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85" windowWidth="19320" windowHeight="4650" tabRatio="964" activeTab="10"/>
  </bookViews>
  <sheets>
    <sheet name="naslovnica" sheetId="1" r:id="rId1"/>
    <sheet name="sadrzaj" sheetId="2" r:id="rId2"/>
    <sheet name="uvod" sheetId="3" r:id="rId3"/>
    <sheet name="prihodi-1" sheetId="4" r:id="rId4"/>
    <sheet name="prihodi-2" sheetId="5" r:id="rId5"/>
    <sheet name="prihodi-3" sheetId="6" r:id="rId6"/>
    <sheet name="prihodi-4" sheetId="7" r:id="rId7"/>
    <sheet name="prihodi-5" sheetId="8" r:id="rId8"/>
    <sheet name="prihodi-6" sheetId="9" r:id="rId9"/>
    <sheet name="rashodi-1" sheetId="10" r:id="rId10"/>
    <sheet name="rashodi-2" sheetId="11" r:id="rId11"/>
    <sheet name="1" sheetId="12" r:id="rId12"/>
    <sheet name="2" sheetId="13" r:id="rId13"/>
    <sheet name="3" sheetId="14" r:id="rId14"/>
    <sheet name="4" sheetId="15" r:id="rId15"/>
    <sheet name="5" sheetId="16" r:id="rId16"/>
    <sheet name="6" sheetId="17" r:id="rId17"/>
    <sheet name="7" sheetId="18" r:id="rId18"/>
    <sheet name="8" sheetId="19" r:id="rId19"/>
    <sheet name="9" sheetId="20" r:id="rId20"/>
    <sheet name="10" sheetId="21" r:id="rId21"/>
    <sheet name="11" sheetId="22" r:id="rId22"/>
    <sheet name="12" sheetId="23" r:id="rId23"/>
    <sheet name="13" sheetId="24" r:id="rId24"/>
    <sheet name="14" sheetId="25" r:id="rId25"/>
    <sheet name="15" sheetId="26" r:id="rId26"/>
    <sheet name="16" sheetId="27" r:id="rId27"/>
    <sheet name="17" sheetId="28" r:id="rId28"/>
    <sheet name="18" sheetId="29" r:id="rId29"/>
    <sheet name="19" sheetId="30" r:id="rId30"/>
    <sheet name="20" sheetId="31" r:id="rId31"/>
    <sheet name="21" sheetId="32" r:id="rId32"/>
    <sheet name="22" sheetId="33" r:id="rId33"/>
    <sheet name="23" sheetId="34" r:id="rId34"/>
    <sheet name="24" sheetId="35" r:id="rId35"/>
    <sheet name="25" sheetId="36" r:id="rId36"/>
    <sheet name="26" sheetId="37" r:id="rId37"/>
    <sheet name="27" sheetId="38" r:id="rId38"/>
    <sheet name="28" sheetId="39" r:id="rId39"/>
    <sheet name="29" sheetId="40" r:id="rId40"/>
    <sheet name="30" sheetId="41" r:id="rId41"/>
    <sheet name="31" sheetId="42" r:id="rId42"/>
    <sheet name="32" sheetId="43" r:id="rId43"/>
    <sheet name="33" sheetId="44" r:id="rId44"/>
    <sheet name="34" sheetId="45" r:id="rId45"/>
    <sheet name="35" sheetId="46" r:id="rId46"/>
    <sheet name="36" sheetId="47" r:id="rId47"/>
    <sheet name="37" sheetId="48" r:id="rId48"/>
    <sheet name="sumarno" sheetId="49" r:id="rId49"/>
    <sheet name="kap.pror." sheetId="50" r:id="rId50"/>
    <sheet name="kraj" sheetId="51" r:id="rId51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POSTERRORSTOSUSP1">#REF!</definedName>
    <definedName name="_xlnm.Print_Area" localSheetId="25">'15'!$B$1:$J$44</definedName>
    <definedName name="_xlnm.Print_Area" localSheetId="26">'16'!$A$1:$J$57</definedName>
    <definedName name="_xlnm.Print_Area" localSheetId="27">'17'!$A$1:$J$52</definedName>
    <definedName name="_xlnm.Print_Area" localSheetId="31">'21'!$A$1:$J$45</definedName>
    <definedName name="_xlnm.Print_Area" localSheetId="3">'prihodi-1'!$A$1:$F$51</definedName>
    <definedName name="_xlnm.Print_Area" localSheetId="4">'prihodi-2'!$A$1:$F$47</definedName>
    <definedName name="_xlnm.Print_Area" localSheetId="5">'prihodi-3'!$A$1:$F$46</definedName>
    <definedName name="_xlnm.Print_Area" localSheetId="6">'prihodi-4'!$A$1:$F$47</definedName>
    <definedName name="_xlnm.Print_Area" localSheetId="7">'prihodi-5'!$A$1:$F$45</definedName>
    <definedName name="_xlnm.Print_Area" localSheetId="8">'prihodi-6'!$A$1:$F$13</definedName>
    <definedName name="_xlnm.Print_Area" localSheetId="9">'rashodi-1'!$A$1:$H$59</definedName>
    <definedName name="_xlnm.Print_Area" localSheetId="10">'rashodi-2'!$A$1:$H$56</definedName>
    <definedName name="_xlnm.Print_Area" localSheetId="1">'sadrzaj'!$A$1:$J$45</definedName>
    <definedName name="_xlnm.Print_Area" localSheetId="2">'uvod'!$A$1:$D$51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fullCalcOnLoad="1"/>
</workbook>
</file>

<file path=xl/sharedStrings.xml><?xml version="1.0" encoding="utf-8"?>
<sst xmlns="http://schemas.openxmlformats.org/spreadsheetml/2006/main" count="2085" uniqueCount="605">
  <si>
    <t>I - PRIHODI, PRIMICI I FINANCIRANJE</t>
  </si>
  <si>
    <t xml:space="preserve">II - RASHODI I IZDACI  </t>
  </si>
  <si>
    <t>Ministarstvo
(razdjel)</t>
  </si>
  <si>
    <t>Proračunska
institucija</t>
  </si>
  <si>
    <t>Ekonomski 
kod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</si>
  <si>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</si>
  <si>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</si>
  <si>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</si>
  <si>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</si>
  <si>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</si>
  <si>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</si>
  <si>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</si>
  <si>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</si>
  <si>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</si>
  <si>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</si>
  <si>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</si>
  <si>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</si>
  <si>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</si>
  <si>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</si>
  <si>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</si>
  <si>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</si>
  <si>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</si>
  <si>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</si>
  <si>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</si>
  <si>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</si>
  <si>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poljoprivredu i vodoprivredu</t>
  </si>
  <si>
    <t xml:space="preserve"> Grantovi za šport i kulturu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</si>
  <si>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</si>
  <si>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</si>
  <si>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</si>
  <si>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</si>
  <si>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 xml:space="preserve"> Grantovi za zdravstvene i socijalne potrebe</t>
  </si>
  <si>
    <t>614200</t>
  </si>
  <si>
    <t>614300</t>
  </si>
  <si>
    <t>614100</t>
  </si>
  <si>
    <t xml:space="preserve"> Grantovi neprofitnim org. i udruženjima građana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</si>
  <si>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</si>
  <si>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</si>
  <si>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</si>
  <si>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</si>
  <si>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</si>
  <si>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razvoj poduzetništva i obrta</t>
  </si>
  <si>
    <t xml:space="preserve"> Grantovi za branitelje i stradalnike dom. rata</t>
  </si>
  <si>
    <t xml:space="preserve"> Grant za zaštitu od prirodnih i drugih nesreća</t>
  </si>
  <si>
    <t>SKUPŠTINA ŽUPANIJE POSAVSKE</t>
  </si>
  <si>
    <t>STRUČNA SLUŽBA SKUPŠTINE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</si>
  <si>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</si>
  <si>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</si>
  <si>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</si>
  <si>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</si>
  <si>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</si>
  <si>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</si>
  <si>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</si>
  <si>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</si>
  <si>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</si>
  <si>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</si>
  <si>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</si>
  <si>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</si>
  <si>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</si>
  <si>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</si>
  <si>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</si>
  <si>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</si>
  <si>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</si>
  <si>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</si>
  <si>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</si>
  <si>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</si>
  <si>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</si>
  <si>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</si>
  <si>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</si>
  <si>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</si>
  <si>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</si>
  <si>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</si>
  <si>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</si>
  <si>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</si>
  <si>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</si>
  <si>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</si>
  <si>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</si>
  <si>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</si>
  <si>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</si>
  <si>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</si>
  <si>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</si>
  <si>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</si>
  <si>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</si>
  <si>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</si>
  <si>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</si>
  <si>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</si>
  <si>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</si>
  <si>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</si>
  <si>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 xml:space="preserve"> UKUPNI IZDACI 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</si>
  <si>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</si>
  <si>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</si>
  <si>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</si>
  <si>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</si>
  <si>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</si>
  <si>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</si>
  <si>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</si>
  <si>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</si>
  <si>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</si>
  <si>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</si>
  <si>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</si>
  <si>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</si>
  <si>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</si>
  <si>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</si>
  <si>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</si>
  <si>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</si>
  <si>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</si>
  <si>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</si>
  <si>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</si>
  <si>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</si>
  <si>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</si>
  <si>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 xml:space="preserve"> Podrška trezoru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</si>
  <si>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</si>
  <si>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</si>
  <si>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</si>
  <si>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</si>
  <si>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</si>
  <si>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</si>
  <si>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</si>
  <si>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</si>
  <si>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</si>
  <si>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</si>
  <si>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</si>
  <si>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</si>
  <si>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</si>
  <si>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</si>
  <si>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 xml:space="preserve"> MINISTARSTVO PRAVOSUĐA I UPRAVE - OPĆINSKI SUD ORAŠJE</t>
  </si>
  <si>
    <t>MINISTARSTVO PRAVOSUĐA I UPRAVE - ZAVOD ZA PRUŽANJE PRAVNE POMOĆI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</si>
  <si>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</si>
  <si>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</si>
  <si>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</si>
  <si>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</si>
  <si>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</si>
  <si>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</si>
  <si>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</si>
  <si>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</si>
  <si>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</si>
  <si>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</si>
  <si>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</si>
  <si>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 xml:space="preserve"> Agencija za državnu službu</t>
  </si>
  <si>
    <t>615100</t>
  </si>
  <si>
    <t xml:space="preserve"> Kapitalni grantovi za zdravstvo</t>
  </si>
  <si>
    <t>1.Prihodi od poduzetničkih aktivnosti i imovine i prihodi od pozitivnih tečajnih razlika</t>
  </si>
  <si>
    <t>Ekonom. 
kod</t>
  </si>
  <si>
    <t xml:space="preserve"> Ugovorene i druge posebne usluge-volonteri</t>
  </si>
  <si>
    <t xml:space="preserve"> Ugovorene i druge posebne usluge-volont</t>
  </si>
  <si>
    <t xml:space="preserve"> Kamate na domaće pozajmljivanje-Koreja</t>
  </si>
  <si>
    <t>Izdaci za otplate dugova</t>
  </si>
  <si>
    <t xml:space="preserve"> Kamate na domaće pozajmljivanje-OPEC</t>
  </si>
  <si>
    <t xml:space="preserve"> Ugovorene i druge posebne usluge-volonterski rad</t>
  </si>
  <si>
    <t xml:space="preserve"> Transfer za zdravstvene institucije i centre za soc.rad</t>
  </si>
  <si>
    <t xml:space="preserve"> Otplate domaćeg pozajmljivanja - OPEC</t>
  </si>
  <si>
    <t xml:space="preserve"> Kamate na domaće pozajmljivanje-Austrija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</si>
  <si>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</si>
  <si>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</si>
  <si>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</si>
  <si>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</si>
  <si>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Grantovi za financiranje višeg i visokog obrazovanja i Zavoda za
 školstvo</t>
  </si>
  <si>
    <t xml:space="preserve"> Grant za Crveni križ Županije Posavske</t>
  </si>
  <si>
    <t>ŽUPANIJSKO PRAVOBRANITELJSTVO</t>
  </si>
  <si>
    <t xml:space="preserve"> Grant za Gospodarsku komoru ŽP</t>
  </si>
  <si>
    <t>Bosna i Hercegovina
Federacija Bosne i Hercegovine
Županija Posavska
V L A D A</t>
  </si>
  <si>
    <t>Bosnia and Herzegovina
Federation of Bosnia and Herzegovina
Posavina County
G O V E R N M E N T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</si>
  <si>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</si>
  <si>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</si>
  <si>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</si>
  <si>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</si>
  <si>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</si>
  <si>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</si>
  <si>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</si>
  <si>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Skupština Županije Posavske</t>
  </si>
  <si>
    <t>Vlada Županije Posavske</t>
  </si>
  <si>
    <t>Ured za raseljene</t>
  </si>
  <si>
    <t>Ured za zakonodavstvo</t>
  </si>
  <si>
    <t>Stručna služba Skupštine Županije Posavske</t>
  </si>
  <si>
    <t>Služba za odnose s javnošću</t>
  </si>
  <si>
    <t>Zajednička služba Vlade</t>
  </si>
  <si>
    <t>Ministarstvo unutarnjih poslova Županije Posavske</t>
  </si>
  <si>
    <t>Ministarstvo pravosuđa i uprave</t>
  </si>
  <si>
    <t>Ministarstvo pravosuđa i uprave - Općinski sud Orašje</t>
  </si>
  <si>
    <t>Ministarstvo pravosuđa i uprave - Općinsko pravobraniteljstvo Orašje</t>
  </si>
  <si>
    <t>Ministarstvo pravosuđa i uprave - Općinsko pravobraniteljstvo Odžak</t>
  </si>
  <si>
    <t>Ministarstvo pravosuđa i uprave - Zavod za pružanje pravne pomoći</t>
  </si>
  <si>
    <t>Ministarstvo gospodarstva i prostornog uređenja</t>
  </si>
  <si>
    <t>Ministarstvo financija</t>
  </si>
  <si>
    <t>Ministarstvo zdravstva, rada i socijalne politike</t>
  </si>
  <si>
    <t>Ministarstvo prometa, veza, turizma i zaštite okoliša</t>
  </si>
  <si>
    <t>Ministarstvo poljoprivrede, vodoprivrede i šumarstva</t>
  </si>
  <si>
    <t>Ministarstvo prosvjete, znanosti, kulture i športa</t>
  </si>
  <si>
    <t>Stranica</t>
  </si>
  <si>
    <t>Ministarstvo prosvjete - Srednja škola Pere Zečevića Odžak</t>
  </si>
  <si>
    <t>Ministarstvo prosvjete - Osnovna škola Orašje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</si>
  <si>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</si>
  <si>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</si>
  <si>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</si>
  <si>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</si>
  <si>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A.G.Matoša Vidovice</t>
  </si>
  <si>
    <t>Ministarstvo prosvjete - Osnovna škola Braće Radića Domaljevac</t>
  </si>
  <si>
    <t>Ministarstvo branitelja</t>
  </si>
  <si>
    <t>Agencija za privatizaciju</t>
  </si>
  <si>
    <t>Uprava za civilnu zaštitu Županije Posavske</t>
  </si>
  <si>
    <t>Kantonalni sud Odžak</t>
  </si>
  <si>
    <t>Županijsko pravobraniteljstvo</t>
  </si>
  <si>
    <t>Kantonalno tužiteljstvo</t>
  </si>
  <si>
    <t>Županijska uprava za inspekcijske poslove</t>
  </si>
  <si>
    <t>RB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</si>
  <si>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</si>
  <si>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</si>
  <si>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</si>
  <si>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</si>
  <si>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</si>
  <si>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</si>
  <si>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</si>
  <si>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</si>
  <si>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</si>
  <si>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</si>
  <si>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</si>
  <si>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</si>
  <si>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</si>
  <si>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</si>
  <si>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</si>
  <si>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</si>
  <si>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</si>
  <si>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</si>
  <si>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</si>
  <si>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</si>
  <si>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</si>
  <si>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</si>
  <si>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</si>
  <si>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</si>
  <si>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</si>
  <si>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</si>
  <si>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</si>
  <si>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</si>
  <si>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</si>
  <si>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</si>
  <si>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</si>
  <si>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</si>
  <si>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</si>
  <si>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</si>
  <si>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</si>
  <si>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</si>
  <si>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O P I S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</si>
  <si>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</si>
  <si>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</si>
  <si>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</si>
  <si>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>41.</t>
  </si>
  <si>
    <t>Ministarstvo prosvjete - Školski centar Fra Martina Nedića Orašje</t>
  </si>
  <si>
    <t>Ministarstvo prosvjete - Srednja strukovna škola Orašje</t>
  </si>
  <si>
    <t>Otplate domaćeg pozajmljivanja-MMF</t>
  </si>
  <si>
    <t>Otplate domaćeg pozajmljivanja-Koreja</t>
  </si>
  <si>
    <t xml:space="preserve"> Otplate domaćeg pozajmljivanja - Koreja</t>
  </si>
  <si>
    <t>INDEKS
4/3</t>
  </si>
  <si>
    <t xml:space="preserve"> Grant za sufinanciranje osn.i srednjeg obrazovanja
 djece s posebnim potrebama</t>
  </si>
  <si>
    <t xml:space="preserve"> Grant za sufinanciranje osn.i srednjeg obrazovanja djece s 
 posebnim potrebama</t>
  </si>
  <si>
    <t xml:space="preserve"> Grant za Udrugu roditelja djece s posebnim potrebama Orašje</t>
  </si>
  <si>
    <t xml:space="preserve"> Grant za Udr.roditelja djece s pos.potrebama Orašje</t>
  </si>
  <si>
    <t xml:space="preserve"> Otplate domaćeg pozajmljivanja - MMF</t>
  </si>
  <si>
    <t xml:space="preserve"> Kamate na domaće pozajmljivanje-MMF</t>
  </si>
  <si>
    <t xml:space="preserve"> Grant za sanaciju šteta uzrokovanih poplavom</t>
  </si>
  <si>
    <t xml:space="preserve"> Grant za Sveučilište u Mostaru</t>
  </si>
  <si>
    <t xml:space="preserve"> Grant za sufinanciranje nabavke udžbenika 
 učenicima</t>
  </si>
  <si>
    <t xml:space="preserve"> Grantovi nižim razinama vlasti</t>
  </si>
  <si>
    <t xml:space="preserve"> Grant za sufinanciranje nabavke udžbenika učenicima </t>
  </si>
  <si>
    <t>61 (70)</t>
  </si>
  <si>
    <t>Ured za gospodarski razvoj Županije Posavske</t>
  </si>
  <si>
    <t>42.</t>
  </si>
  <si>
    <t>URED ZA GOSPODARSKI RAZVOJ ŽUPANIJE POSAVSKE</t>
  </si>
  <si>
    <t>PRORAČUN za
2015.</t>
  </si>
  <si>
    <t xml:space="preserve"> Grantovi nižim razinama vlast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</si>
  <si>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</si>
  <si>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</si>
  <si>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</si>
  <si>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</si>
  <si>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</si>
  <si>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</si>
  <si>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</si>
  <si>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</si>
  <si>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</si>
  <si>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</si>
  <si>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</si>
  <si>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</si>
  <si>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</si>
  <si>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</si>
  <si>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</si>
  <si>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</si>
  <si>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</si>
  <si>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</si>
  <si>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</si>
  <si>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</si>
  <si>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</si>
  <si>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</si>
  <si>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</si>
  <si>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</si>
  <si>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</si>
  <si>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</si>
  <si>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</si>
  <si>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</si>
  <si>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</si>
  <si>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</si>
  <si>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</si>
  <si>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</si>
  <si>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</si>
  <si>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</si>
  <si>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</si>
  <si>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</si>
  <si>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</si>
  <si>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</si>
  <si>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</si>
  <si>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</si>
  <si>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Prihodi od iznajmljivanja zemljišta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</si>
  <si>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</si>
  <si>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</si>
  <si>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</si>
  <si>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Državi</t>
  </si>
  <si>
    <t xml:space="preserve">   Kamate primljene od pozajmica Federaciji</t>
  </si>
  <si>
    <t xml:space="preserve">   Prihodi od pozitivnih tečajnih razlika</t>
  </si>
  <si>
    <t xml:space="preserve">   Prihodi od privatizacije</t>
  </si>
  <si>
    <t xml:space="preserve">   Prihodi od privatizacije poduzeća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</si>
  <si>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</si>
  <si>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</si>
  <si>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</si>
  <si>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</si>
  <si>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</si>
  <si>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</si>
  <si>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</si>
  <si>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</si>
  <si>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</si>
  <si>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</si>
  <si>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</si>
  <si>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</si>
  <si>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</si>
  <si>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</si>
  <si>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</si>
  <si>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</si>
  <si>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</si>
  <si>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</si>
  <si>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</si>
  <si>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</si>
  <si>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</si>
  <si>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</si>
  <si>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</si>
  <si>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</si>
  <si>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</si>
  <si>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</si>
  <si>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</si>
  <si>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</si>
  <si>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</si>
  <si>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</si>
  <si>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</si>
  <si>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Posebna vodna naknada za korištenje površ.i podzem.voda za
   flaš.vode i min.vode za uzgoj ribe u ribnj.za navod.i dr.namj.</t>
  </si>
  <si>
    <t xml:space="preserve">   Posebna vodna naknada za korištenje površinskih i podzemnih 
   voda za industrijske procese, uključujući i termoelektrane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</si>
  <si>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</si>
  <si>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</si>
  <si>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</si>
  <si>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Posebna naknada za zaštitu od prirodnih i drugih nesreća gdje 
   je osnovica sumarni iznos neto plaće za isplatu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</si>
  <si>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</si>
  <si>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</si>
  <si>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</si>
  <si>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</si>
  <si>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</si>
  <si>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</si>
  <si>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</si>
  <si>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</si>
  <si>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</si>
  <si>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</si>
  <si>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Primljene namjenske donacije neplanirane u proračunu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</si>
  <si>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</si>
  <si>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</si>
  <si>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</si>
  <si>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</si>
  <si>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</si>
  <si>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</si>
  <si>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</si>
  <si>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</si>
  <si>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</si>
  <si>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</si>
  <si>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 xml:space="preserve">   Primljeni kapitalni transferi od Federacije</t>
  </si>
  <si>
    <t>V  PRIHODI PO OSNOVI ZAOSTALIH OBVEZA</t>
  </si>
  <si>
    <t xml:space="preserve">   Uplate zaostalih obveza od por.na promet visokotar.proizvoda</t>
  </si>
  <si>
    <t xml:space="preserve">   Uplate zaost.obveza od nakn.Za puteve iz cijene naft.derivata</t>
  </si>
  <si>
    <t>VI KAPITALNI PRIMICI</t>
  </si>
  <si>
    <t xml:space="preserve">   Kapitalni primici od prodaje stalnih sredstava</t>
  </si>
  <si>
    <t>1.Kapitalni primici od prodaje stalnih sredstava</t>
  </si>
  <si>
    <t xml:space="preserve">   Ostali kapitalni primici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</si>
  <si>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</si>
  <si>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</si>
  <si>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</si>
  <si>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</si>
  <si>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</si>
  <si>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r>
      <t xml:space="preserve">      99999999 Riznica </t>
    </r>
    <r>
      <rPr>
        <b/>
        <sz val="10"/>
        <color indexed="8"/>
        <rFont val="Calibri"/>
        <family val="0"/>
      </rPr>
      <t>(razgraničenja 76.939 KM)</t>
    </r>
  </si>
  <si>
    <r>
      <t xml:space="preserve">      99999999 Riznica </t>
    </r>
    <r>
      <rPr>
        <b/>
        <sz val="10"/>
        <color indexed="8"/>
        <rFont val="Calibri"/>
        <family val="0"/>
      </rPr>
      <t>(razgraničenja 4.589 KM)</t>
    </r>
  </si>
  <si>
    <r>
      <t xml:space="preserve">      99999999 Riznica </t>
    </r>
    <r>
      <rPr>
        <b/>
        <sz val="10"/>
        <color indexed="8"/>
        <rFont val="Calibri"/>
        <family val="0"/>
      </rPr>
      <t>(razgraničenja 52.516 KM)</t>
    </r>
  </si>
  <si>
    <r>
      <t xml:space="preserve">      99999999 Riznica </t>
    </r>
    <r>
      <rPr>
        <b/>
        <sz val="10"/>
        <color indexed="8"/>
        <rFont val="Calibri"/>
        <family val="0"/>
      </rPr>
      <t>(razgraničenja 116.056 KM)</t>
    </r>
  </si>
  <si>
    <r>
      <t xml:space="preserve">      20030006 Osnovna škola A.G.Matoš Vidovice 
      </t>
    </r>
    <r>
      <rPr>
        <b/>
        <sz val="10"/>
        <color indexed="8"/>
        <rFont val="Calibri"/>
        <family val="0"/>
      </rPr>
      <t>(razgraničenja 53.667 KM)</t>
    </r>
  </si>
  <si>
    <r>
      <t xml:space="preserve">      20030007 Osnovna škola Braće Radića Domaljevac
      </t>
    </r>
    <r>
      <rPr>
        <b/>
        <sz val="10"/>
        <color indexed="8"/>
        <rFont val="Calibri"/>
        <family val="0"/>
      </rPr>
      <t>(razgraničenja 111.799 KM)</t>
    </r>
  </si>
  <si>
    <r>
      <t xml:space="preserve">      20030001 Osnovna škola Orašje </t>
    </r>
    <r>
      <rPr>
        <b/>
        <sz val="10"/>
        <color indexed="8"/>
        <rFont val="Calibri"/>
        <family val="0"/>
      </rPr>
      <t>(razgraničenja 1.777 KM)</t>
    </r>
  </si>
  <si>
    <r>
      <t xml:space="preserve">      20030004 Osnovna škola fra Ilije Starčevića Tolisa
      </t>
    </r>
    <r>
      <rPr>
        <b/>
        <sz val="10"/>
        <color indexed="8"/>
        <rFont val="Calibri"/>
        <family val="0"/>
      </rPr>
      <t>(razgraničenja 2.000 KM)</t>
    </r>
  </si>
  <si>
    <r>
      <t xml:space="preserve">      20030005 Osnovna škola Stjepana Radića O.Luka-Bok
      </t>
    </r>
    <r>
      <rPr>
        <b/>
        <sz val="10"/>
        <color indexed="8"/>
        <rFont val="Calibri"/>
        <family val="0"/>
      </rPr>
      <t>(razgraničenja 26.610 KM)</t>
    </r>
  </si>
  <si>
    <t>PRORAČUN za 
2015.godinu</t>
  </si>
  <si>
    <t>INDEKS
(3/2)</t>
  </si>
  <si>
    <t>UKUPNO PRIHODI, PRIMICI I FINANCIRANJE</t>
  </si>
  <si>
    <t xml:space="preserve">       1.1.1.  Porezi na dobit pojedinaca i poduzeća</t>
  </si>
  <si>
    <t xml:space="preserve">       1.1.2.  Porez na plaću i radnu snagu (zaost.obveze)</t>
  </si>
  <si>
    <t xml:space="preserve">       1.1.3.  Porez na imovinu</t>
  </si>
  <si>
    <t xml:space="preserve">       1.1.4.  Domaći porezi na dobra i usluge (zaost.uplate)</t>
  </si>
  <si>
    <t xml:space="preserve">       1.1.5.  Porez na dohodak</t>
  </si>
  <si>
    <t xml:space="preserve">       1.1.6.  Prihodi od neizravnih poreza</t>
  </si>
  <si>
    <t xml:space="preserve">       1.1.7.  Ostali porezi</t>
  </si>
  <si>
    <t>1.2.  NEPOREZNI PRIHODI</t>
  </si>
  <si>
    <t>2.1.  RASHODI</t>
  </si>
  <si>
    <t>2.2.  IZDACI</t>
  </si>
  <si>
    <t xml:space="preserve">       2.2.2.  Izdaci za kamate</t>
  </si>
  <si>
    <t>4. PRIMICI OD PRODAJE NEFINANCIJSKE IMOVINE</t>
  </si>
  <si>
    <t>5. IZDACI ZA NABAVKU NEFINANCIJSKE IMOVINE</t>
  </si>
  <si>
    <t>3. TEKUĆA BILANCA (1-2)</t>
  </si>
  <si>
    <t>6. NETO NABAVKA NEFINANCIJSKE IMOVINE (4-5)</t>
  </si>
  <si>
    <t>1.1.  PRIHODI OD POREZA (1.1.1.+...+1.1.7.)</t>
  </si>
  <si>
    <t>2. RASHODI I IZDACI (2.1.+2.2.)</t>
  </si>
  <si>
    <t>8. PRIMICI OD FINANCIJSKE IMOVINE I ZADUŽIVANJA</t>
  </si>
  <si>
    <t>9. IZDACI ZA NABAVKU FINANCIJSKE IMOVINE I 
    OTPLATE DUGOVA</t>
  </si>
  <si>
    <t>1.5.  PRIHODI PO OSNOVI ZAOSTALIH OBVEZA</t>
  </si>
  <si>
    <t>1. PRORAČUNSKI PRIHODI (1.1.+1.2.+1.3.+1.4.+1.5.)</t>
  </si>
  <si>
    <t xml:space="preserve">       9.1.  Izdaci za otplate dugova</t>
  </si>
  <si>
    <t>10. NETO FINANCIRANJE (8-9)</t>
  </si>
  <si>
    <t>11. UKUPAN FINANCIJSKI REZULTAT (7+10)</t>
  </si>
  <si>
    <t>12. POKRIĆE OSTVARENOG DEFICITA (12=11)</t>
  </si>
  <si>
    <t>UKUPNO RASHODI, IZDACI I POKRIĆE DEFICITA</t>
  </si>
  <si>
    <t xml:space="preserve">      23010001 Uprava za civilnu zaštitu </t>
  </si>
  <si>
    <t xml:space="preserve">      17010001 Ministarstvo zdravstva, rada i socijalne politike - 
      Civilne žrtve rata</t>
  </si>
  <si>
    <t xml:space="preserve">      99999999 Riznica ŽP - Proračunska potpora</t>
  </si>
  <si>
    <t xml:space="preserve">      20010001 Ministarstvo prosvjete, znanosti, kulture i športa - 
      Nabavka udžbenika</t>
  </si>
  <si>
    <r>
      <t xml:space="preserve">      20020003 Školski centar fra Martin nedić Orašje 
      </t>
    </r>
    <r>
      <rPr>
        <b/>
        <sz val="10"/>
        <color indexed="8"/>
        <rFont val="Calibri"/>
        <family val="0"/>
      </rPr>
      <t>(razgraničenja 108.765 KM)</t>
    </r>
  </si>
  <si>
    <r>
      <t xml:space="preserve">      17010001 Ministarstvo zdravstva, rada i socijalne politike - 
      Županijska bolnica Orašje </t>
    </r>
    <r>
      <rPr>
        <b/>
        <sz val="10"/>
        <color indexed="8"/>
        <rFont val="Calibri"/>
        <family val="0"/>
      </rPr>
      <t>(razgraničenja 28.881 KM)</t>
    </r>
  </si>
  <si>
    <r>
      <t xml:space="preserve">      18010001 Ministarstvo prometa, veza, turizma i zašt.okoliša
      </t>
    </r>
    <r>
      <rPr>
        <sz val="10"/>
        <color indexed="8"/>
        <rFont val="Calibri"/>
        <family val="0"/>
      </rPr>
      <t>- GSM licence</t>
    </r>
  </si>
  <si>
    <t xml:space="preserve">      20030002 Osnovna škola Vladimira Nazora Odžak</t>
  </si>
  <si>
    <t xml:space="preserve">      20020002 Srednja škola Pere Zečevića Odžak</t>
  </si>
  <si>
    <t xml:space="preserve">      20020004 Srednja strukovna škola Orašje</t>
  </si>
  <si>
    <t xml:space="preserve">      20030007 Osnovna škola Braće Radića Domaljevac</t>
  </si>
  <si>
    <t xml:space="preserve">      20020003 Školski centar fra Martin nedić Orašje</t>
  </si>
  <si>
    <t xml:space="preserve">      20030006 Osnovna škola A.G.Matoša Vidovice</t>
  </si>
  <si>
    <t xml:space="preserve">      17010001 Ministarstvo zdravstva, rada i socijalne politike</t>
  </si>
  <si>
    <t>7. UKUPAN SUFICIT/DEFICIT (3+6)</t>
  </si>
  <si>
    <t xml:space="preserve">      20001001 Ministarstvo prosvjete, znnaosti, kulture i športa - 
      škole (projekti)</t>
  </si>
  <si>
    <t xml:space="preserve">      11010001 Vlada Županije Posavske</t>
  </si>
  <si>
    <t xml:space="preserve">      99999999 Riznica ŽP - Sanacija šteta od poplava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</si>
  <si>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</si>
  <si>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</si>
  <si>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</si>
  <si>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     20030003 Osnovna škola Ruđera Boškovića Donja Mahala</t>
  </si>
  <si>
    <r>
      <t xml:space="preserve">      27010001 Kant.tužiteljstvo - IPA </t>
    </r>
    <r>
      <rPr>
        <b/>
        <sz val="10"/>
        <color indexed="8"/>
        <rFont val="Calibri"/>
        <family val="0"/>
      </rPr>
      <t>(razgraničenja 68.563 KM)</t>
    </r>
  </si>
  <si>
    <t xml:space="preserve">      20001001 Ministarstvo prosvjete, znanosti, kulture i športa - 
      škole (projekti)</t>
  </si>
  <si>
    <t xml:space="preserve">      99999999 Riznica</t>
  </si>
  <si>
    <t xml:space="preserve">      20030004 Osnovna škola fra Ilije Starčevića Tolisa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</si>
  <si>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</si>
  <si>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</si>
  <si>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</si>
  <si>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</si>
  <si>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 xml:space="preserve"> Naknade troškova zaposlenih - volonteri ( 3 ) ( 1 )</t>
  </si>
  <si>
    <t xml:space="preserve"> Naknade troškova zaposlenih - volonteri ( 7 ) ( 2 )</t>
  </si>
  <si>
    <t xml:space="preserve"> Naknade troškova zaposlenih - volonteri ( 2 ) ( 1 )</t>
  </si>
  <si>
    <t xml:space="preserve"> Naknade troškova zaposlenih - volonteri ( 1 ) ( 1 )</t>
  </si>
  <si>
    <t xml:space="preserve"> Naknade troškova zaposlenih - volonteri ( 0 ) ( 1 )</t>
  </si>
  <si>
    <t xml:space="preserve"> Naknade troškova zaposlenih - volonteri ( 15 ) ( 2 )</t>
  </si>
  <si>
    <t xml:space="preserve"> Naknade troškova zaposlenih - volonteri ( 4 ) ( 1 )</t>
  </si>
  <si>
    <t>60 (61)</t>
  </si>
  <si>
    <t>61 (62)</t>
  </si>
  <si>
    <t xml:space="preserve"> Naknade troškova zaposlenih - volonteri ( 11 ) ( 1 )</t>
  </si>
  <si>
    <t>23 (24)</t>
  </si>
  <si>
    <t xml:space="preserve">      13010001 Ministarstvo unutarnjih poslova</t>
  </si>
  <si>
    <t>Ministarstvo unutarnjih poslova</t>
  </si>
  <si>
    <t>Proračunski
korisnik</t>
  </si>
  <si>
    <t>Stručna služba Skupštine</t>
  </si>
  <si>
    <t>Ministarstvo prosvjete, znanosti, kulture i športa - Srednja škola Pere Zečevića Odžak</t>
  </si>
  <si>
    <t>Ministarstvo prosvjete, znanosti, kulture i športa - Školski centar fra Martina Nedića Orašje</t>
  </si>
  <si>
    <t>Ministarstvo prosvjete, znanosti, kulture i športa - Srednja strukovna škola Orašje</t>
  </si>
  <si>
    <t>Ministarstvo prosvjete, znanosti, kulture i športa - Osnovna škola Orašje</t>
  </si>
  <si>
    <t>Ministarstvo prosvjete, znanosti, kulture i športa - Osnovna škola Vladimira Nazora Odžak</t>
  </si>
  <si>
    <t>Ministarstvo prosvjete, znanosti, kulture i športa - Osnovna škola Ruđera Boškovića Donja Mahala</t>
  </si>
  <si>
    <t>Ministarstvo prosvjete, znanosti, kulture i športa - Osnovna škola fra Ilije Starčevića Tolisa</t>
  </si>
  <si>
    <t>Ministarstvo prosvjete, znanosti, kulture i športa - Osnovna škola Stjepana Radića Oštra Luka-Bok</t>
  </si>
  <si>
    <t>Ministarstvo prosvjete, znanosti, kulture i športa - Osnovna škola A.G.Matoša Vidovice</t>
  </si>
  <si>
    <t>Ministarstvo prosvjete, znanosti, kulture i športa - Osnovna škola Braće Radića Domaljevac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</si>
  <si>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</si>
  <si>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</si>
  <si>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</si>
  <si>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</si>
  <si>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</si>
  <si>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</si>
  <si>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</si>
  <si>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</si>
  <si>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</si>
  <si>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</si>
  <si>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</si>
  <si>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</si>
  <si>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</si>
  <si>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Proračun</t>
  </si>
  <si>
    <t>Donacije</t>
  </si>
  <si>
    <t>Grantovi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</si>
  <si>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</si>
  <si>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</si>
  <si>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</si>
  <si>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</si>
  <si>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inozemnih vlada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</si>
  <si>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</si>
  <si>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</si>
  <si>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</si>
  <si>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</si>
  <si>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</si>
  <si>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 xml:space="preserve">   Primljeni namjenski grantovi od drugih razina vlasti</t>
  </si>
  <si>
    <t xml:space="preserve">   Primljeni namjenski grantovi za kulturu</t>
  </si>
  <si>
    <t xml:space="preserve">   Primljeni namjenski grantovi za šport</t>
  </si>
  <si>
    <t xml:space="preserve">   Primljeni namjenski grantovi za šumarstvo</t>
  </si>
  <si>
    <t xml:space="preserve">   Primljeni namjenski grantovi za izbore</t>
  </si>
  <si>
    <t xml:space="preserve">   Primljeni namjenski grantovi za obrazovanje</t>
  </si>
  <si>
    <t xml:space="preserve">   Primljeni namjenski grantovi za razvoj turizma u FBiH</t>
  </si>
  <si>
    <t xml:space="preserve">   Primljeni namjenski grantovi iz sredstava za zaštitu okoliša</t>
  </si>
  <si>
    <t xml:space="preserve">   Grantovi od izvanproračunskih fondova</t>
  </si>
  <si>
    <t xml:space="preserve">   Grant od Federalnog zavoda za zapošljavanje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</si>
  <si>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</si>
  <si>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</si>
  <si>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</si>
  <si>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</si>
  <si>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 xml:space="preserve">   Primljeni kapitalni grantovi od međunarodnih organizacija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</si>
  <si>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</si>
  <si>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</si>
  <si>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</si>
  <si>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 xml:space="preserve">   Primljeni kapitalni grantovi od županija</t>
  </si>
  <si>
    <t>2.Kapitalni grantovi (stari konto)</t>
  </si>
  <si>
    <t>UKUPNO PRIHODI, TEKUĆI I KAPITALNI GRANTOVI I PRIMICI:</t>
  </si>
  <si>
    <r>
      <t xml:space="preserve">Ministarstvo prosvjete, znanosti, kulture i športa - Osnovna škola Orašje </t>
    </r>
    <r>
      <rPr>
        <b/>
        <sz val="10"/>
        <rFont val="Arial"/>
        <family val="2"/>
      </rPr>
      <t>(razgraničenja)</t>
    </r>
  </si>
  <si>
    <r>
      <t xml:space="preserve">Minist.prosv., znanosti, kulture i športa - Osnovna škola fra Ilije Starčevića Tolisa </t>
    </r>
    <r>
      <rPr>
        <b/>
        <sz val="10"/>
        <rFont val="Arial"/>
        <family val="2"/>
      </rPr>
      <t>(razgraničenja)</t>
    </r>
  </si>
  <si>
    <r>
      <t>Minist.prosv., znan., kult.i šp.- Osnovna škola Stjepana Radića Oštra Luka-Bok</t>
    </r>
    <r>
      <rPr>
        <b/>
        <sz val="10"/>
        <rFont val="Arial"/>
        <family val="2"/>
      </rPr>
      <t xml:space="preserve"> (razgraničenja)</t>
    </r>
  </si>
  <si>
    <r>
      <t>Minist.prosvj., znanosti, kulture i športa - Osnovna škola A.G.Matoša Vidovice</t>
    </r>
    <r>
      <rPr>
        <b/>
        <sz val="10"/>
        <rFont val="Arial"/>
        <family val="2"/>
      </rPr>
      <t xml:space="preserve"> (razgraničenja)</t>
    </r>
  </si>
  <si>
    <r>
      <t xml:space="preserve">Minist.prosv., znan., kulture i športa - Osnovna škola Braće Radića Domaljevac </t>
    </r>
    <r>
      <rPr>
        <b/>
        <sz val="10"/>
        <rFont val="Arial"/>
        <family val="2"/>
      </rPr>
      <t>(razgraničenja)</t>
    </r>
  </si>
  <si>
    <t xml:space="preserve">       2.2.1.  Kapitalni izdaci i grantovi</t>
  </si>
  <si>
    <t>Rashodi i izdaci</t>
  </si>
  <si>
    <t>Pokriće deficita</t>
  </si>
  <si>
    <t>III TEKUĆI GRANTOVI (GRANTOVI I DONACIJE)</t>
  </si>
  <si>
    <t>1.3.  TEKUĆI GRANTOVI (GRANTOVI I DONACIJE)</t>
  </si>
  <si>
    <t>1.4.  KAPITALNI GRANTOVI</t>
  </si>
  <si>
    <r>
      <t xml:space="preserve">      19010001 Ministarstvo poljopr., vodoprivrede i šumarstva 
      </t>
    </r>
    <r>
      <rPr>
        <b/>
        <sz val="10"/>
        <color indexed="8"/>
        <rFont val="Calibri"/>
        <family val="0"/>
      </rPr>
      <t>(razgraničenja 1.362.524 KM)</t>
    </r>
  </si>
  <si>
    <r>
      <t xml:space="preserve">      19010001 Ministarstvo poljopr., vodoprivrede i šumarstva 
      </t>
    </r>
    <r>
      <rPr>
        <b/>
        <sz val="10"/>
        <color indexed="8"/>
        <rFont val="Calibri"/>
        <family val="0"/>
      </rPr>
      <t>(razgraničenja 16.245 KM)</t>
    </r>
  </si>
  <si>
    <t>Izvješće o izvršenju Proračuna</t>
  </si>
  <si>
    <t xml:space="preserve">   Naknade i pristojbe po Fed.zakonima i dr.propisima</t>
  </si>
  <si>
    <t xml:space="preserve">   Pos.nakn.za zašt.od prir.i dr.nesreća gdje je osnovica sumarni
   iznos neto prim.po osnovi dr.samost.djelatn.i povr.samost.rada</t>
  </si>
  <si>
    <t>47 (47)</t>
  </si>
  <si>
    <t xml:space="preserve">   Ostali povrati - Uprava za civilnu zaštitu ŽP</t>
  </si>
  <si>
    <t>47 (59)</t>
  </si>
  <si>
    <t>37 (38)</t>
  </si>
  <si>
    <t xml:space="preserve"> Naknade troškova zaposlenih - volonteri ( 4 ) ( 2 )</t>
  </si>
  <si>
    <t xml:space="preserve"> Naknade troškova zaposlenih - volonteri ( 112 ) ( 33 )</t>
  </si>
  <si>
    <t xml:space="preserve">      15010001 Ministarstvo gospodarstva i prostornog uređenja - 
      Prostroni plan Županije Posavske</t>
  </si>
  <si>
    <t xml:space="preserve">      99999999 Riznica - HO Crveni polumjesec Kuvajt</t>
  </si>
  <si>
    <t xml:space="preserve">      200030002 Osnovna škola Vladimira Nazora Odžak</t>
  </si>
  <si>
    <t xml:space="preserve">      200020002 Srednja škola Pree Zečevića Odžak</t>
  </si>
  <si>
    <t xml:space="preserve">      200020004 Srednja strukovna škola Orašje</t>
  </si>
  <si>
    <t xml:space="preserve"> Naknade troškova zaposlenih - volonteri ( 1 )</t>
  </si>
  <si>
    <t xml:space="preserve"> Naknade troškova zaposlenih - volonteri ( 5 )</t>
  </si>
  <si>
    <t xml:space="preserve"> Ugovorene i druge posebne usluge-Prostorni plan</t>
  </si>
  <si>
    <t>110 (116)</t>
  </si>
  <si>
    <t>45 (45)</t>
  </si>
  <si>
    <t xml:space="preserve"> Naknade troškova zaposlenih - volonteri ( 2 )</t>
  </si>
  <si>
    <t xml:space="preserve"> Naknade troškova zaposlenih - volonteri ( 4 )</t>
  </si>
  <si>
    <t xml:space="preserve"> Naknade troškova zaposlenih - volonteri ( 3 )</t>
  </si>
  <si>
    <t>984 (1015)</t>
  </si>
  <si>
    <t xml:space="preserve">   Naknada za zajedničke profesionalne vatrogasne jedinice iz 
   funkcionalne premije osiguranja motornih vozila</t>
  </si>
  <si>
    <t xml:space="preserve">   Porez na promet proizvoda (niža stopa)</t>
  </si>
  <si>
    <t xml:space="preserve">  Ostali prihodi za korišt.,zaštitu i unapređ.šuma po žup.propisima</t>
  </si>
  <si>
    <t xml:space="preserve">   Posebna vodna naknada za vađenje materijala iz vodotoka</t>
  </si>
  <si>
    <t xml:space="preserve">   Primici od prodaje prometnih vozila</t>
  </si>
  <si>
    <t xml:space="preserve">      19010001 Ministarstvo poljoprivrede, vodoprivrede i šumarstva</t>
  </si>
  <si>
    <t xml:space="preserve">      21010001 Ministarstvo branitelja</t>
  </si>
  <si>
    <t>56 (66)</t>
  </si>
  <si>
    <t>62 (63)</t>
  </si>
  <si>
    <t>48 (57)</t>
  </si>
  <si>
    <t>51 (51)</t>
  </si>
  <si>
    <t>105 (111)</t>
  </si>
  <si>
    <t>35 (36)</t>
  </si>
  <si>
    <t>43 (44)</t>
  </si>
  <si>
    <t>44 (44)</t>
  </si>
  <si>
    <t>21 (22)</t>
  </si>
  <si>
    <t>39 (39)</t>
  </si>
  <si>
    <t>935 (964)</t>
  </si>
  <si>
    <t>Izvršenje Proračuna ŽP za 2015. godinu (po korisnicima i ekonomskim klasifikacijama izdataka)</t>
  </si>
  <si>
    <t>Izdaci za nabavku stalnih sredstava za 2015.g.(po pror.korisnicima i izvorima financiranja)</t>
  </si>
  <si>
    <t>IZVRŠENJE za 2015.godinu</t>
  </si>
  <si>
    <t>IZVRŠENJE za 2015.</t>
  </si>
  <si>
    <t xml:space="preserve">   Porez na ukupan prihod fizičkih osoba (zaostale uplate poreza)</t>
  </si>
  <si>
    <t>IZVRŠENJE  2015.</t>
  </si>
  <si>
    <r>
      <t xml:space="preserve">      20030004 Osnovna škola fra Ilije Starčevića Tolisa 
      </t>
    </r>
    <r>
      <rPr>
        <b/>
        <sz val="10"/>
        <color indexed="8"/>
        <rFont val="Calibri"/>
        <family val="0"/>
      </rPr>
      <t>(razgraničenja 4.890 KM)</t>
    </r>
  </si>
  <si>
    <t xml:space="preserve"> Županije Posavske za 2015. godinu</t>
  </si>
  <si>
    <t>IZVRŠENJE PRORAČUNA ŽUPANIJE POSAVSKE ZA 2015.GOD. (po korisnicima i ekonomskim klasifikacijama izdataka)</t>
  </si>
  <si>
    <t>IZDACI ZA NABAVKU STALNIH SREDSTAVA ŽUP.POSAVSKE ZA 2015. (po pror.korisnicima i izvorima financiranja)</t>
  </si>
  <si>
    <t>IZVRŠENJE 
2015.</t>
  </si>
  <si>
    <t>Izvršenje Proračuna ŽP za 2015.godinu</t>
  </si>
  <si>
    <t>Orašje, ožujak 2016.godine</t>
  </si>
  <si>
    <t>INDEKS 8/7</t>
  </si>
  <si>
    <t>PRORAČUN za 2015. (Narodne novine ŽP 2/15, 5/15)</t>
  </si>
  <si>
    <t>PRORAČUN za 2015. 
(nakon preraspodjela)</t>
  </si>
  <si>
    <t>INDEKS 5/4</t>
  </si>
  <si>
    <r>
      <t xml:space="preserve">PRORAČUN za 2015.
</t>
    </r>
    <r>
      <rPr>
        <b/>
        <i/>
        <sz val="10"/>
        <rFont val="Arial"/>
        <family val="2"/>
      </rPr>
      <t>(NN ŽP 2/15, 5/15)</t>
    </r>
  </si>
  <si>
    <r>
      <t xml:space="preserve">PRORAČUN za 2015.
</t>
    </r>
    <r>
      <rPr>
        <b/>
        <i/>
        <sz val="10"/>
        <rFont val="Arial"/>
        <family val="2"/>
      </rPr>
      <t>(nakon preraspodjela)</t>
    </r>
  </si>
  <si>
    <r>
      <t>IZVJEŠĆE O IZVRŠENJU PRORAČUNA 
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2015. godinu</t>
    </r>
  </si>
  <si>
    <t>PRILOG</t>
  </si>
  <si>
    <t>TABLIČNI PREGLED</t>
  </si>
</sst>
</file>

<file path=xl/styles.xml><?xml version="1.0" encoding="utf-8"?>
<styleSheet xmlns="http://schemas.openxmlformats.org/spreadsheetml/2006/main">
  <numFmts count="5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L.&quot;\ #,##0;\-&quot;L.&quot;\ #,##0"/>
    <numFmt numFmtId="191" formatCode="&quot;L.&quot;\ #,##0;[Red]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_-* #,##0_-;\-* #,##0_-;_-* &quot;-&quot;??_-;_-@_-"/>
    <numFmt numFmtId="197" formatCode="_-* #,##0.0_-;\-* #,##0.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0.000"/>
    <numFmt numFmtId="201" formatCode="0.00000"/>
    <numFmt numFmtId="202" formatCode="0.0000"/>
    <numFmt numFmtId="203" formatCode="_-* #,##0.00000_-;\-* #,##0.00000_-;_-* &quot;-&quot;??_-;_-@_-"/>
    <numFmt numFmtId="204" formatCode="0.000000"/>
    <numFmt numFmtId="205" formatCode="_-* #,##0.0_-;\-* #,##0.0_-;_-* &quot;-&quot;_-;_-@_-"/>
    <numFmt numFmtId="206" formatCode="_-* #,##0.00_-;\-* #,##0.00_-;_-* &quot;-&quot;_-;_-@_-"/>
    <numFmt numFmtId="207" formatCode="#,##0;[Red]#,##0"/>
    <numFmt numFmtId="208" formatCode="#,##0.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b/>
      <i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Calibri"/>
      <family val="0"/>
    </font>
    <font>
      <b/>
      <i/>
      <sz val="10"/>
      <color indexed="8"/>
      <name val="Calibri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" fillId="0" borderId="10" xfId="58" applyFont="1" applyBorder="1" applyAlignment="1">
      <alignment horizontal="center" vertical="center" textRotation="90" wrapText="1"/>
      <protection/>
    </xf>
    <xf numFmtId="0" fontId="1" fillId="0" borderId="11" xfId="58" applyFont="1" applyBorder="1" applyAlignment="1">
      <alignment horizontal="center" vertical="center" textRotation="90" wrapText="1"/>
      <protection/>
    </xf>
    <xf numFmtId="0" fontId="1" fillId="0" borderId="11" xfId="58" applyFont="1" applyFill="1" applyBorder="1" applyAlignment="1">
      <alignment horizontal="center" vertical="center" textRotation="90" wrapText="1"/>
      <protection/>
    </xf>
    <xf numFmtId="0" fontId="1" fillId="0" borderId="11" xfId="58" applyFont="1" applyBorder="1" applyAlignment="1">
      <alignment horizontal="center" vertical="center" wrapText="1"/>
      <protection/>
    </xf>
    <xf numFmtId="0" fontId="1" fillId="0" borderId="11" xfId="58" applyFont="1" applyBorder="1" applyAlignment="1">
      <alignment horizontal="center" vertical="center"/>
      <protection/>
    </xf>
    <xf numFmtId="0" fontId="1" fillId="0" borderId="12" xfId="58" applyFont="1" applyBorder="1" applyAlignment="1">
      <alignment horizontal="center"/>
      <protection/>
    </xf>
    <xf numFmtId="0" fontId="1" fillId="0" borderId="13" xfId="58" applyFont="1" applyBorder="1" applyAlignment="1">
      <alignment horizontal="center"/>
      <protection/>
    </xf>
    <xf numFmtId="49" fontId="1" fillId="0" borderId="12" xfId="58" applyNumberFormat="1" applyFont="1" applyBorder="1" applyAlignment="1">
      <alignment horizontal="center"/>
      <protection/>
    </xf>
    <xf numFmtId="49" fontId="1" fillId="0" borderId="13" xfId="58" applyNumberFormat="1" applyFont="1" applyBorder="1" applyAlignment="1">
      <alignment horizontal="center"/>
      <protection/>
    </xf>
    <xf numFmtId="0" fontId="1" fillId="0" borderId="13" xfId="58" applyFont="1" applyBorder="1">
      <alignment/>
      <protection/>
    </xf>
    <xf numFmtId="0" fontId="0" fillId="0" borderId="0" xfId="58">
      <alignment/>
      <protection/>
    </xf>
    <xf numFmtId="0" fontId="0" fillId="0" borderId="12" xfId="58" applyBorder="1">
      <alignment/>
      <protection/>
    </xf>
    <xf numFmtId="0" fontId="0" fillId="0" borderId="13" xfId="58" applyBorder="1">
      <alignment/>
      <protection/>
    </xf>
    <xf numFmtId="0" fontId="0" fillId="0" borderId="13" xfId="58" applyBorder="1" applyAlignment="1">
      <alignment horizontal="center"/>
      <protection/>
    </xf>
    <xf numFmtId="0" fontId="1" fillId="0" borderId="12" xfId="58" applyFont="1" applyBorder="1">
      <alignment/>
      <protection/>
    </xf>
    <xf numFmtId="0" fontId="0" fillId="0" borderId="13" xfId="58" applyFont="1" applyBorder="1">
      <alignment/>
      <protection/>
    </xf>
    <xf numFmtId="0" fontId="0" fillId="0" borderId="13" xfId="58" applyFill="1" applyBorder="1">
      <alignment/>
      <protection/>
    </xf>
    <xf numFmtId="3" fontId="1" fillId="0" borderId="13" xfId="58" applyNumberFormat="1" applyFont="1" applyBorder="1">
      <alignment/>
      <protection/>
    </xf>
    <xf numFmtId="0" fontId="0" fillId="0" borderId="14" xfId="58" applyBorder="1">
      <alignment/>
      <protection/>
    </xf>
    <xf numFmtId="0" fontId="0" fillId="0" borderId="15" xfId="58" applyBorder="1">
      <alignment/>
      <protection/>
    </xf>
    <xf numFmtId="0" fontId="0" fillId="0" borderId="15" xfId="58" applyBorder="1" applyAlignment="1">
      <alignment horizontal="center"/>
      <protection/>
    </xf>
    <xf numFmtId="0" fontId="0" fillId="0" borderId="0" xfId="58" applyAlignment="1">
      <alignment horizontal="center"/>
      <protection/>
    </xf>
    <xf numFmtId="3" fontId="1" fillId="0" borderId="13" xfId="58" applyNumberFormat="1" applyFont="1" applyBorder="1" applyAlignment="1">
      <alignment horizontal="right"/>
      <protection/>
    </xf>
    <xf numFmtId="0" fontId="0" fillId="0" borderId="13" xfId="58" applyFont="1" applyBorder="1">
      <alignment/>
      <protection/>
    </xf>
    <xf numFmtId="0" fontId="1" fillId="0" borderId="13" xfId="58" applyFont="1" applyBorder="1" applyAlignment="1">
      <alignment horizontal="left"/>
      <protection/>
    </xf>
    <xf numFmtId="0" fontId="1" fillId="0" borderId="16" xfId="58" applyFont="1" applyBorder="1">
      <alignment/>
      <protection/>
    </xf>
    <xf numFmtId="0" fontId="0" fillId="15" borderId="13" xfId="58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7" xfId="58" applyBorder="1">
      <alignment/>
      <protection/>
    </xf>
    <xf numFmtId="0" fontId="1" fillId="0" borderId="17" xfId="58" applyFont="1" applyBorder="1">
      <alignment/>
      <protection/>
    </xf>
    <xf numFmtId="49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7" xfId="58" applyFont="1" applyBorder="1" applyAlignment="1">
      <alignment horizontal="center"/>
      <protection/>
    </xf>
    <xf numFmtId="0" fontId="0" fillId="0" borderId="18" xfId="58" applyBorder="1">
      <alignment/>
      <protection/>
    </xf>
    <xf numFmtId="0" fontId="0" fillId="0" borderId="12" xfId="58" applyBorder="1" applyAlignment="1">
      <alignment horizontal="center"/>
      <protection/>
    </xf>
    <xf numFmtId="49" fontId="0" fillId="0" borderId="12" xfId="58" applyNumberFormat="1" applyBorder="1" applyAlignment="1">
      <alignment horizontal="center"/>
      <protection/>
    </xf>
    <xf numFmtId="49" fontId="0" fillId="0" borderId="12" xfId="58" applyNumberFormat="1" applyFont="1" applyBorder="1" applyAlignment="1">
      <alignment horizontal="center"/>
      <protection/>
    </xf>
    <xf numFmtId="49" fontId="1" fillId="0" borderId="12" xfId="0" applyNumberFormat="1" applyFont="1" applyBorder="1" applyAlignment="1">
      <alignment horizontal="center"/>
    </xf>
    <xf numFmtId="0" fontId="0" fillId="0" borderId="14" xfId="58" applyBorder="1" applyAlignment="1">
      <alignment horizontal="center"/>
      <protection/>
    </xf>
    <xf numFmtId="0" fontId="1" fillId="6" borderId="10" xfId="58" applyFont="1" applyFill="1" applyBorder="1" applyAlignment="1">
      <alignment horizontal="center" vertical="center" wrapText="1"/>
      <protection/>
    </xf>
    <xf numFmtId="0" fontId="1" fillId="6" borderId="11" xfId="58" applyFont="1" applyFill="1" applyBorder="1" applyAlignment="1">
      <alignment horizontal="center" vertical="center"/>
      <protection/>
    </xf>
    <xf numFmtId="0" fontId="1" fillId="6" borderId="19" xfId="58" applyFont="1" applyFill="1" applyBorder="1" applyAlignment="1">
      <alignment horizontal="center" vertical="center" wrapText="1"/>
      <protection/>
    </xf>
    <xf numFmtId="3" fontId="0" fillId="0" borderId="13" xfId="58" applyNumberFormat="1" applyBorder="1">
      <alignment/>
      <protection/>
    </xf>
    <xf numFmtId="3" fontId="0" fillId="0" borderId="13" xfId="58" applyNumberFormat="1" applyFont="1" applyBorder="1">
      <alignment/>
      <protection/>
    </xf>
    <xf numFmtId="3" fontId="0" fillId="0" borderId="15" xfId="58" applyNumberFormat="1" applyBorder="1">
      <alignment/>
      <protection/>
    </xf>
    <xf numFmtId="0" fontId="0" fillId="0" borderId="0" xfId="58" applyFont="1" applyAlignment="1">
      <alignment horizontal="left"/>
      <protection/>
    </xf>
    <xf numFmtId="0" fontId="6" fillId="0" borderId="0" xfId="58" applyFont="1" applyAlignment="1">
      <alignment horizontal="left"/>
      <protection/>
    </xf>
    <xf numFmtId="3" fontId="0" fillId="0" borderId="17" xfId="58" applyNumberFormat="1" applyBorder="1">
      <alignment/>
      <protection/>
    </xf>
    <xf numFmtId="3" fontId="1" fillId="15" borderId="13" xfId="58" applyNumberFormat="1" applyFont="1" applyFill="1" applyBorder="1">
      <alignment/>
      <protection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58" applyFont="1" applyBorder="1" applyAlignment="1">
      <alignment horizontal="center"/>
      <protection/>
    </xf>
    <xf numFmtId="0" fontId="0" fillId="0" borderId="13" xfId="58" applyFont="1" applyBorder="1" applyAlignment="1">
      <alignment horizontal="left"/>
      <protection/>
    </xf>
    <xf numFmtId="0" fontId="0" fillId="0" borderId="20" xfId="0" applyBorder="1" applyAlignment="1">
      <alignment/>
    </xf>
    <xf numFmtId="0" fontId="1" fillId="0" borderId="21" xfId="58" applyFont="1" applyBorder="1" applyAlignment="1">
      <alignment horizontal="center"/>
      <protection/>
    </xf>
    <xf numFmtId="0" fontId="0" fillId="0" borderId="22" xfId="58" applyBorder="1" applyAlignment="1">
      <alignment horizontal="center"/>
      <protection/>
    </xf>
    <xf numFmtId="49" fontId="0" fillId="0" borderId="13" xfId="0" applyNumberFormat="1" applyBorder="1" applyAlignment="1">
      <alignment horizontal="center"/>
    </xf>
    <xf numFmtId="0" fontId="0" fillId="0" borderId="20" xfId="58" applyFill="1" applyBorder="1">
      <alignment/>
      <protection/>
    </xf>
    <xf numFmtId="0" fontId="0" fillId="0" borderId="21" xfId="58" applyBorder="1" applyAlignment="1">
      <alignment horizontal="center"/>
      <protection/>
    </xf>
    <xf numFmtId="3" fontId="0" fillId="0" borderId="13" xfId="58" applyNumberFormat="1" applyFont="1" applyBorder="1" applyAlignment="1">
      <alignment horizontal="right"/>
      <protection/>
    </xf>
    <xf numFmtId="0" fontId="0" fillId="0" borderId="12" xfId="58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1" fillId="0" borderId="11" xfId="58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22" xfId="58" applyFont="1" applyBorder="1">
      <alignment/>
      <protection/>
    </xf>
    <xf numFmtId="0" fontId="0" fillId="0" borderId="0" xfId="0" applyFont="1" applyAlignment="1">
      <alignment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1" fillId="0" borderId="22" xfId="58" applyFont="1" applyBorder="1">
      <alignment/>
      <protection/>
    </xf>
    <xf numFmtId="0" fontId="0" fillId="0" borderId="20" xfId="58" applyBorder="1" applyAlignment="1">
      <alignment horizontal="center"/>
      <protection/>
    </xf>
    <xf numFmtId="0" fontId="0" fillId="0" borderId="24" xfId="58" applyBorder="1" applyAlignment="1">
      <alignment horizontal="center"/>
      <protection/>
    </xf>
    <xf numFmtId="0" fontId="0" fillId="0" borderId="25" xfId="58" applyBorder="1">
      <alignment/>
      <protection/>
    </xf>
    <xf numFmtId="49" fontId="0" fillId="0" borderId="12" xfId="0" applyNumberFormat="1" applyFont="1" applyBorder="1" applyAlignment="1">
      <alignment horizontal="center"/>
    </xf>
    <xf numFmtId="0" fontId="0" fillId="0" borderId="0" xfId="58" applyFont="1">
      <alignment/>
      <protection/>
    </xf>
    <xf numFmtId="3" fontId="0" fillId="0" borderId="13" xfId="58" applyNumberFormat="1" applyFill="1" applyBorder="1">
      <alignment/>
      <protection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0" fillId="0" borderId="26" xfId="58" applyNumberFormat="1" applyBorder="1">
      <alignment/>
      <protection/>
    </xf>
    <xf numFmtId="2" fontId="1" fillId="0" borderId="0" xfId="58" applyNumberFormat="1" applyFont="1">
      <alignment/>
      <protection/>
    </xf>
    <xf numFmtId="3" fontId="0" fillId="0" borderId="0" xfId="58" applyNumberFormat="1">
      <alignment/>
      <protection/>
    </xf>
    <xf numFmtId="3" fontId="1" fillId="0" borderId="0" xfId="58" applyNumberFormat="1" applyFont="1">
      <alignment/>
      <protection/>
    </xf>
    <xf numFmtId="3" fontId="0" fillId="0" borderId="27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0" fontId="0" fillId="0" borderId="12" xfId="58" applyFont="1" applyBorder="1">
      <alignment/>
      <protection/>
    </xf>
    <xf numFmtId="0" fontId="1" fillId="0" borderId="28" xfId="58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49" fontId="0" fillId="0" borderId="22" xfId="0" applyNumberFormat="1" applyBorder="1" applyAlignment="1">
      <alignment horizontal="center"/>
    </xf>
    <xf numFmtId="0" fontId="1" fillId="0" borderId="0" xfId="58" applyFont="1" applyAlignment="1">
      <alignment horizontal="left"/>
      <protection/>
    </xf>
    <xf numFmtId="4" fontId="0" fillId="0" borderId="0" xfId="0" applyNumberFormat="1" applyAlignment="1">
      <alignment/>
    </xf>
    <xf numFmtId="0" fontId="5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0" fontId="0" fillId="0" borderId="0" xfId="58" applyFont="1">
      <alignment/>
      <protection/>
    </xf>
    <xf numFmtId="3" fontId="1" fillId="0" borderId="13" xfId="58" applyNumberFormat="1" applyFont="1" applyFill="1" applyBorder="1">
      <alignment/>
      <protection/>
    </xf>
    <xf numFmtId="3" fontId="0" fillId="0" borderId="13" xfId="58" applyNumberFormat="1" applyFont="1" applyBorder="1">
      <alignment/>
      <protection/>
    </xf>
    <xf numFmtId="0" fontId="0" fillId="0" borderId="13" xfId="58" applyFont="1" applyFill="1" applyBorder="1">
      <alignment/>
      <protection/>
    </xf>
    <xf numFmtId="0" fontId="0" fillId="0" borderId="0" xfId="58" applyFont="1" applyFill="1">
      <alignment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58" applyFont="1" applyFill="1" applyBorder="1">
      <alignment/>
      <protection/>
    </xf>
    <xf numFmtId="3" fontId="0" fillId="0" borderId="13" xfId="58" applyNumberFormat="1" applyFont="1" applyFill="1" applyBorder="1">
      <alignment/>
      <protection/>
    </xf>
    <xf numFmtId="0" fontId="0" fillId="0" borderId="22" xfId="58" applyFill="1" applyBorder="1" applyAlignment="1">
      <alignment horizontal="center"/>
      <protection/>
    </xf>
    <xf numFmtId="0" fontId="0" fillId="0" borderId="13" xfId="58" applyFill="1" applyBorder="1" applyAlignment="1">
      <alignment horizontal="center"/>
      <protection/>
    </xf>
    <xf numFmtId="0" fontId="0" fillId="0" borderId="12" xfId="58" applyFill="1" applyBorder="1" applyAlignment="1">
      <alignment horizontal="center"/>
      <protection/>
    </xf>
    <xf numFmtId="3" fontId="0" fillId="0" borderId="13" xfId="58" applyNumberFormat="1" applyFont="1" applyFill="1" applyBorder="1" applyProtection="1">
      <alignment/>
      <protection locked="0"/>
    </xf>
    <xf numFmtId="49" fontId="0" fillId="0" borderId="12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0" borderId="22" xfId="58" applyFont="1" applyFill="1" applyBorder="1" applyAlignment="1">
      <alignment horizontal="center"/>
      <protection/>
    </xf>
    <xf numFmtId="3" fontId="0" fillId="0" borderId="26" xfId="0" applyNumberFormat="1" applyFill="1" applyBorder="1" applyAlignment="1">
      <alignment/>
    </xf>
    <xf numFmtId="1" fontId="0" fillId="0" borderId="0" xfId="58" applyNumberFormat="1" applyFont="1">
      <alignment/>
      <protection/>
    </xf>
    <xf numFmtId="2" fontId="0" fillId="0" borderId="0" xfId="58" applyNumberFormat="1" applyFont="1">
      <alignment/>
      <protection/>
    </xf>
    <xf numFmtId="3" fontId="1" fillId="0" borderId="13" xfId="58" applyNumberFormat="1" applyFont="1" applyFill="1" applyBorder="1" applyAlignment="1">
      <alignment horizontal="right"/>
      <protection/>
    </xf>
    <xf numFmtId="49" fontId="1" fillId="0" borderId="12" xfId="58" applyNumberFormat="1" applyFont="1" applyFill="1" applyBorder="1" applyAlignment="1">
      <alignment horizontal="center"/>
      <protection/>
    </xf>
    <xf numFmtId="49" fontId="1" fillId="0" borderId="13" xfId="58" applyNumberFormat="1" applyFont="1" applyFill="1" applyBorder="1" applyAlignment="1">
      <alignment horizontal="center"/>
      <protection/>
    </xf>
    <xf numFmtId="3" fontId="1" fillId="0" borderId="0" xfId="58" applyNumberFormat="1" applyFont="1" applyAlignment="1">
      <alignment horizontal="center"/>
      <protection/>
    </xf>
    <xf numFmtId="0" fontId="4" fillId="0" borderId="0" xfId="58" applyFont="1" applyBorder="1" applyAlignment="1">
      <alignment horizontal="left"/>
      <protection/>
    </xf>
    <xf numFmtId="0" fontId="1" fillId="6" borderId="11" xfId="0" applyFont="1" applyFill="1" applyBorder="1" applyAlignment="1">
      <alignment horizontal="center" vertical="center" wrapText="1"/>
    </xf>
    <xf numFmtId="4" fontId="0" fillId="0" borderId="0" xfId="58" applyNumberFormat="1">
      <alignment/>
      <protection/>
    </xf>
    <xf numFmtId="4" fontId="1" fillId="6" borderId="19" xfId="58" applyNumberFormat="1" applyFont="1" applyFill="1" applyBorder="1" applyAlignment="1">
      <alignment horizontal="center" vertical="center" wrapText="1"/>
      <protection/>
    </xf>
    <xf numFmtId="4" fontId="0" fillId="0" borderId="23" xfId="58" applyNumberFormat="1" applyBorder="1">
      <alignment/>
      <protection/>
    </xf>
    <xf numFmtId="4" fontId="1" fillId="0" borderId="23" xfId="58" applyNumberFormat="1" applyFont="1" applyBorder="1">
      <alignment/>
      <protection/>
    </xf>
    <xf numFmtId="4" fontId="0" fillId="0" borderId="31" xfId="58" applyNumberFormat="1" applyBorder="1">
      <alignment/>
      <protection/>
    </xf>
    <xf numFmtId="4" fontId="6" fillId="0" borderId="0" xfId="58" applyNumberFormat="1" applyFont="1" applyAlignment="1">
      <alignment horizontal="left"/>
      <protection/>
    </xf>
    <xf numFmtId="4" fontId="1" fillId="0" borderId="0" xfId="58" applyNumberFormat="1" applyFont="1" applyAlignment="1">
      <alignment horizontal="left"/>
      <protection/>
    </xf>
    <xf numFmtId="4" fontId="1" fillId="0" borderId="0" xfId="58" applyNumberFormat="1" applyFont="1" applyFill="1" applyAlignment="1">
      <alignment horizontal="left"/>
      <protection/>
    </xf>
    <xf numFmtId="4" fontId="0" fillId="0" borderId="26" xfId="58" applyNumberFormat="1" applyBorder="1">
      <alignment/>
      <protection/>
    </xf>
    <xf numFmtId="4" fontId="1" fillId="0" borderId="32" xfId="58" applyNumberFormat="1" applyFont="1" applyFill="1" applyBorder="1" applyAlignment="1">
      <alignment horizontal="center" vertical="center" wrapText="1"/>
      <protection/>
    </xf>
    <xf numFmtId="0" fontId="1" fillId="0" borderId="33" xfId="58" applyFont="1" applyBorder="1" applyAlignment="1">
      <alignment horizontal="center"/>
      <protection/>
    </xf>
    <xf numFmtId="4" fontId="1" fillId="0" borderId="33" xfId="58" applyNumberFormat="1" applyFont="1" applyBorder="1" applyAlignment="1">
      <alignment horizontal="center"/>
      <protection/>
    </xf>
    <xf numFmtId="4" fontId="1" fillId="0" borderId="33" xfId="58" applyNumberFormat="1" applyFont="1" applyFill="1" applyBorder="1">
      <alignment/>
      <protection/>
    </xf>
    <xf numFmtId="4" fontId="0" fillId="0" borderId="33" xfId="58" applyNumberFormat="1" applyFont="1" applyFill="1" applyBorder="1">
      <alignment/>
      <protection/>
    </xf>
    <xf numFmtId="4" fontId="0" fillId="0" borderId="33" xfId="58" applyNumberFormat="1" applyBorder="1">
      <alignment/>
      <protection/>
    </xf>
    <xf numFmtId="4" fontId="1" fillId="0" borderId="33" xfId="58" applyNumberFormat="1" applyFont="1" applyBorder="1">
      <alignment/>
      <protection/>
    </xf>
    <xf numFmtId="4" fontId="0" fillId="0" borderId="34" xfId="58" applyNumberFormat="1" applyBorder="1">
      <alignment/>
      <protection/>
    </xf>
    <xf numFmtId="3" fontId="0" fillId="0" borderId="20" xfId="58" applyNumberFormat="1" applyBorder="1">
      <alignment/>
      <protection/>
    </xf>
    <xf numFmtId="3" fontId="1" fillId="15" borderId="20" xfId="58" applyNumberFormat="1" applyFont="1" applyFill="1" applyBorder="1">
      <alignment/>
      <protection/>
    </xf>
    <xf numFmtId="3" fontId="0" fillId="0" borderId="20" xfId="58" applyNumberFormat="1" applyFont="1" applyBorder="1">
      <alignment/>
      <protection/>
    </xf>
    <xf numFmtId="3" fontId="0" fillId="0" borderId="20" xfId="58" applyNumberFormat="1" applyFill="1" applyBorder="1">
      <alignment/>
      <protection/>
    </xf>
    <xf numFmtId="0" fontId="1" fillId="0" borderId="20" xfId="58" applyFont="1" applyBorder="1" applyAlignment="1">
      <alignment horizontal="center"/>
      <protection/>
    </xf>
    <xf numFmtId="3" fontId="1" fillId="0" borderId="20" xfId="58" applyNumberFormat="1" applyFont="1" applyFill="1" applyBorder="1" applyAlignment="1">
      <alignment horizontal="right"/>
      <protection/>
    </xf>
    <xf numFmtId="3" fontId="1" fillId="0" borderId="20" xfId="58" applyNumberFormat="1" applyFont="1" applyBorder="1">
      <alignment/>
      <protection/>
    </xf>
    <xf numFmtId="3" fontId="0" fillId="0" borderId="20" xfId="58" applyNumberFormat="1" applyFont="1" applyFill="1" applyBorder="1">
      <alignment/>
      <protection/>
    </xf>
    <xf numFmtId="3" fontId="1" fillId="0" borderId="13" xfId="58" applyNumberFormat="1" applyFont="1" applyBorder="1" applyAlignment="1">
      <alignment horizontal="center"/>
      <protection/>
    </xf>
    <xf numFmtId="3" fontId="0" fillId="0" borderId="13" xfId="58" applyNumberFormat="1" applyFont="1" applyFill="1" applyBorder="1">
      <alignment/>
      <protection/>
    </xf>
    <xf numFmtId="3" fontId="1" fillId="0" borderId="13" xfId="58" applyNumberFormat="1" applyFont="1" applyFill="1" applyBorder="1">
      <alignment/>
      <protection/>
    </xf>
    <xf numFmtId="4" fontId="1" fillId="0" borderId="33" xfId="58" applyNumberFormat="1" applyFont="1" applyBorder="1" applyAlignment="1">
      <alignment horizontal="right"/>
      <protection/>
    </xf>
    <xf numFmtId="3" fontId="0" fillId="0" borderId="13" xfId="58" applyNumberFormat="1" applyFont="1" applyFill="1" applyBorder="1">
      <alignment/>
      <protection/>
    </xf>
    <xf numFmtId="4" fontId="1" fillId="0" borderId="34" xfId="58" applyNumberFormat="1" applyFont="1" applyBorder="1">
      <alignment/>
      <protection/>
    </xf>
    <xf numFmtId="3" fontId="1" fillId="0" borderId="15" xfId="58" applyNumberFormat="1" applyFont="1" applyBorder="1">
      <alignment/>
      <protection/>
    </xf>
    <xf numFmtId="4" fontId="0" fillId="0" borderId="33" xfId="58" applyNumberFormat="1" applyFont="1" applyBorder="1" applyAlignment="1">
      <alignment horizontal="right"/>
      <protection/>
    </xf>
    <xf numFmtId="4" fontId="1" fillId="0" borderId="13" xfId="58" applyNumberFormat="1" applyFont="1" applyFill="1" applyBorder="1" applyAlignment="1">
      <alignment horizontal="right"/>
      <protection/>
    </xf>
    <xf numFmtId="0" fontId="1" fillId="6" borderId="11" xfId="58" applyFont="1" applyFill="1" applyBorder="1" applyAlignment="1">
      <alignment horizontal="center" vertical="center" wrapText="1"/>
      <protection/>
    </xf>
    <xf numFmtId="208" fontId="0" fillId="0" borderId="0" xfId="0" applyNumberFormat="1" applyAlignment="1">
      <alignment/>
    </xf>
    <xf numFmtId="0" fontId="0" fillId="0" borderId="13" xfId="58" applyFont="1" applyFill="1" applyBorder="1" applyAlignment="1">
      <alignment wrapText="1"/>
      <protection/>
    </xf>
    <xf numFmtId="3" fontId="0" fillId="0" borderId="0" xfId="58" applyNumberFormat="1" applyFont="1">
      <alignment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" fontId="12" fillId="0" borderId="23" xfId="0" applyNumberFormat="1" applyFont="1" applyBorder="1" applyAlignment="1">
      <alignment/>
    </xf>
    <xf numFmtId="164" fontId="7" fillId="0" borderId="25" xfId="58" applyNumberFormat="1" applyFont="1" applyBorder="1" applyAlignment="1">
      <alignment/>
      <protection/>
    </xf>
    <xf numFmtId="164" fontId="13" fillId="0" borderId="25" xfId="0" applyNumberFormat="1" applyFont="1" applyBorder="1" applyAlignment="1">
      <alignment/>
    </xf>
    <xf numFmtId="0" fontId="0" fillId="0" borderId="12" xfId="58" applyBorder="1" applyAlignment="1">
      <alignment vertical="center"/>
      <protection/>
    </xf>
    <xf numFmtId="0" fontId="0" fillId="0" borderId="13" xfId="58" applyBorder="1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13" xfId="58" applyBorder="1" applyAlignment="1">
      <alignment horizontal="center" vertical="center"/>
      <protection/>
    </xf>
    <xf numFmtId="0" fontId="0" fillId="0" borderId="13" xfId="0" applyFill="1" applyBorder="1" applyAlignment="1">
      <alignment vertical="center" wrapText="1"/>
    </xf>
    <xf numFmtId="3" fontId="0" fillId="0" borderId="13" xfId="58" applyNumberFormat="1" applyFont="1" applyFill="1" applyBorder="1" applyAlignment="1">
      <alignment vertical="center"/>
      <protection/>
    </xf>
    <xf numFmtId="4" fontId="0" fillId="0" borderId="33" xfId="58" applyNumberFormat="1" applyFont="1" applyFill="1" applyBorder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vertical="center"/>
      <protection/>
    </xf>
    <xf numFmtId="0" fontId="0" fillId="0" borderId="13" xfId="0" applyBorder="1" applyAlignment="1">
      <alignment vertical="center" wrapText="1"/>
    </xf>
    <xf numFmtId="0" fontId="0" fillId="0" borderId="12" xfId="58" applyFont="1" applyBorder="1" applyAlignment="1">
      <alignment vertical="center"/>
      <protection/>
    </xf>
    <xf numFmtId="0" fontId="0" fillId="0" borderId="13" xfId="58" applyFont="1" applyBorder="1" applyAlignment="1">
      <alignment vertical="center"/>
      <protection/>
    </xf>
    <xf numFmtId="0" fontId="0" fillId="0" borderId="13" xfId="58" applyFont="1" applyBorder="1" applyAlignment="1">
      <alignment horizontal="center" vertical="center"/>
      <protection/>
    </xf>
    <xf numFmtId="0" fontId="0" fillId="0" borderId="13" xfId="58" applyFont="1" applyFill="1" applyBorder="1" applyAlignment="1">
      <alignment vertical="center" wrapText="1"/>
      <protection/>
    </xf>
    <xf numFmtId="3" fontId="0" fillId="0" borderId="20" xfId="58" applyNumberFormat="1" applyFont="1" applyBorder="1" applyAlignment="1">
      <alignment vertical="center"/>
      <protection/>
    </xf>
    <xf numFmtId="0" fontId="0" fillId="0" borderId="0" xfId="58" applyFont="1" applyAlignment="1">
      <alignment vertical="center"/>
      <protection/>
    </xf>
    <xf numFmtId="3" fontId="0" fillId="0" borderId="0" xfId="58" applyNumberFormat="1" applyFont="1" applyAlignment="1">
      <alignment vertical="center"/>
      <protection/>
    </xf>
    <xf numFmtId="0" fontId="0" fillId="0" borderId="13" xfId="0" applyFont="1" applyBorder="1" applyAlignment="1">
      <alignment wrapText="1"/>
    </xf>
    <xf numFmtId="0" fontId="0" fillId="0" borderId="12" xfId="0" applyBorder="1" applyAlignment="1">
      <alignment horizontal="right"/>
    </xf>
    <xf numFmtId="0" fontId="1" fillId="0" borderId="12" xfId="0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1" fillId="2" borderId="13" xfId="0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4" fontId="1" fillId="2" borderId="23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0" fontId="1" fillId="2" borderId="13" xfId="44" applyNumberFormat="1" applyFont="1" applyFill="1" applyBorder="1" applyAlignment="1">
      <alignment wrapText="1"/>
    </xf>
    <xf numFmtId="3" fontId="0" fillId="15" borderId="17" xfId="0" applyNumberForma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0" fillId="0" borderId="12" xfId="0" applyFont="1" applyBorder="1" applyAlignment="1">
      <alignment horizontal="right"/>
    </xf>
    <xf numFmtId="3" fontId="14" fillId="0" borderId="17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2" borderId="13" xfId="0" applyFont="1" applyFill="1" applyBorder="1" applyAlignment="1">
      <alignment wrapText="1"/>
    </xf>
    <xf numFmtId="4" fontId="1" fillId="2" borderId="23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0" fontId="14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2" borderId="13" xfId="0" applyFont="1" applyFill="1" applyBorder="1" applyAlignment="1">
      <alignment/>
    </xf>
    <xf numFmtId="3" fontId="8" fillId="2" borderId="13" xfId="0" applyNumberFormat="1" applyFont="1" applyFill="1" applyBorder="1" applyAlignment="1">
      <alignment/>
    </xf>
    <xf numFmtId="4" fontId="8" fillId="2" borderId="23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14" fillId="0" borderId="12" xfId="0" applyFont="1" applyBorder="1" applyAlignment="1">
      <alignment horizontal="right"/>
    </xf>
    <xf numFmtId="0" fontId="1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0" fontId="14" fillId="0" borderId="12" xfId="0" applyFont="1" applyBorder="1" applyAlignment="1">
      <alignment horizontal="right"/>
    </xf>
    <xf numFmtId="0" fontId="16" fillId="0" borderId="13" xfId="0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3" fontId="1" fillId="0" borderId="17" xfId="0" applyNumberFormat="1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/>
    </xf>
    <xf numFmtId="0" fontId="8" fillId="0" borderId="12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3" fontId="8" fillId="0" borderId="13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208" fontId="5" fillId="0" borderId="0" xfId="0" applyNumberFormat="1" applyFont="1" applyAlignment="1">
      <alignment/>
    </xf>
    <xf numFmtId="0" fontId="8" fillId="2" borderId="13" xfId="0" applyFont="1" applyFill="1" applyBorder="1" applyAlignment="1">
      <alignment wrapText="1"/>
    </xf>
    <xf numFmtId="0" fontId="8" fillId="0" borderId="0" xfId="0" applyFont="1" applyAlignment="1">
      <alignment/>
    </xf>
    <xf numFmtId="3" fontId="8" fillId="2" borderId="17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2" borderId="13" xfId="0" applyNumberFormat="1" applyFont="1" applyFill="1" applyBorder="1" applyAlignment="1">
      <alignment/>
    </xf>
    <xf numFmtId="0" fontId="1" fillId="2" borderId="35" xfId="0" applyFont="1" applyFill="1" applyBorder="1" applyAlignment="1">
      <alignment horizontal="left" vertical="center"/>
    </xf>
    <xf numFmtId="3" fontId="1" fillId="2" borderId="35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/>
    </xf>
    <xf numFmtId="3" fontId="1" fillId="2" borderId="37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0" fontId="1" fillId="2" borderId="21" xfId="0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/>
    </xf>
    <xf numFmtId="4" fontId="8" fillId="2" borderId="39" xfId="0" applyNumberFormat="1" applyFont="1" applyFill="1" applyBorder="1" applyAlignment="1">
      <alignment/>
    </xf>
    <xf numFmtId="0" fontId="18" fillId="0" borderId="4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41" xfId="58" applyFont="1" applyFill="1" applyBorder="1" applyAlignment="1">
      <alignment horizontal="center" vertical="center" wrapText="1"/>
      <protection/>
    </xf>
    <xf numFmtId="0" fontId="18" fillId="0" borderId="42" xfId="58" applyFont="1" applyFill="1" applyBorder="1" applyAlignment="1">
      <alignment horizontal="center" vertical="center" wrapText="1"/>
      <protection/>
    </xf>
    <xf numFmtId="2" fontId="1" fillId="2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0" fillId="0" borderId="36" xfId="0" applyNumberFormat="1" applyFill="1" applyBorder="1" applyAlignment="1">
      <alignment horizontal="right" vertical="center"/>
    </xf>
    <xf numFmtId="2" fontId="1" fillId="2" borderId="35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2" fontId="1" fillId="2" borderId="37" xfId="0" applyNumberFormat="1" applyFont="1" applyFill="1" applyBorder="1" applyAlignment="1">
      <alignment horizontal="right"/>
    </xf>
    <xf numFmtId="2" fontId="0" fillId="0" borderId="38" xfId="0" applyNumberForma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 vertical="center"/>
    </xf>
    <xf numFmtId="3" fontId="0" fillId="0" borderId="17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1" fillId="6" borderId="13" xfId="0" applyFont="1" applyFill="1" applyBorder="1" applyAlignment="1">
      <alignment/>
    </xf>
    <xf numFmtId="3" fontId="1" fillId="6" borderId="13" xfId="0" applyNumberFormat="1" applyFont="1" applyFill="1" applyBorder="1" applyAlignment="1">
      <alignment/>
    </xf>
    <xf numFmtId="0" fontId="1" fillId="6" borderId="13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/>
    </xf>
    <xf numFmtId="3" fontId="1" fillId="6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1" fillId="0" borderId="0" xfId="58" applyNumberFormat="1" applyFont="1" applyAlignment="1">
      <alignment horizontal="center"/>
      <protection/>
    </xf>
    <xf numFmtId="2" fontId="0" fillId="0" borderId="0" xfId="58" applyNumberFormat="1">
      <alignment/>
      <protection/>
    </xf>
    <xf numFmtId="3" fontId="0" fillId="0" borderId="0" xfId="0" applyNumberFormat="1" applyFill="1" applyBorder="1" applyAlignment="1">
      <alignment/>
    </xf>
    <xf numFmtId="0" fontId="0" fillId="0" borderId="14" xfId="0" applyBorder="1" applyAlignment="1">
      <alignment horizontal="right"/>
    </xf>
    <xf numFmtId="0" fontId="9" fillId="0" borderId="15" xfId="0" applyFont="1" applyBorder="1" applyAlignment="1">
      <alignment/>
    </xf>
    <xf numFmtId="3" fontId="0" fillId="0" borderId="18" xfId="0" applyNumberFormat="1" applyBorder="1" applyAlignment="1">
      <alignment/>
    </xf>
    <xf numFmtId="4" fontId="0" fillId="0" borderId="39" xfId="0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15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3" fontId="0" fillId="0" borderId="1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0" fontId="0" fillId="0" borderId="25" xfId="0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14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40" xfId="0" applyFont="1" applyBorder="1" applyAlignment="1">
      <alignment horizontal="right"/>
    </xf>
    <xf numFmtId="0" fontId="9" fillId="0" borderId="22" xfId="0" applyFont="1" applyBorder="1" applyAlignment="1">
      <alignment/>
    </xf>
    <xf numFmtId="3" fontId="0" fillId="0" borderId="4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0" fontId="1" fillId="0" borderId="40" xfId="0" applyFont="1" applyBorder="1" applyAlignment="1">
      <alignment horizontal="right"/>
    </xf>
    <xf numFmtId="0" fontId="9" fillId="0" borderId="22" xfId="0" applyFont="1" applyFill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5" xfId="58" applyFont="1" applyFill="1" applyBorder="1">
      <alignment/>
      <protection/>
    </xf>
    <xf numFmtId="3" fontId="0" fillId="0" borderId="0" xfId="58" applyNumberFormat="1" applyFill="1">
      <alignment/>
      <protection/>
    </xf>
    <xf numFmtId="3" fontId="0" fillId="0" borderId="0" xfId="58" applyNumberFormat="1" applyFont="1">
      <alignment/>
      <protection/>
    </xf>
    <xf numFmtId="4" fontId="1" fillId="0" borderId="0" xfId="58" applyNumberFormat="1" applyFont="1">
      <alignment/>
      <protection/>
    </xf>
    <xf numFmtId="0" fontId="1" fillId="0" borderId="25" xfId="58" applyFont="1" applyBorder="1" applyAlignment="1">
      <alignment horizontal="right"/>
      <protection/>
    </xf>
    <xf numFmtId="0" fontId="1" fillId="0" borderId="0" xfId="58" applyFont="1" applyFill="1" applyAlignment="1">
      <alignment horizontal="left"/>
      <protection/>
    </xf>
    <xf numFmtId="0" fontId="4" fillId="0" borderId="25" xfId="58" applyFont="1" applyBorder="1" applyAlignment="1">
      <alignment horizontal="left"/>
      <protection/>
    </xf>
    <xf numFmtId="0" fontId="0" fillId="0" borderId="25" xfId="0" applyBorder="1" applyAlignment="1">
      <alignment/>
    </xf>
    <xf numFmtId="0" fontId="1" fillId="0" borderId="23" xfId="58" applyFont="1" applyBorder="1" applyAlignment="1">
      <alignment horizontal="center"/>
      <protection/>
    </xf>
    <xf numFmtId="0" fontId="8" fillId="0" borderId="20" xfId="0" applyFont="1" applyBorder="1" applyAlignment="1">
      <alignment horizontal="right" wrapText="1"/>
    </xf>
    <xf numFmtId="0" fontId="8" fillId="2" borderId="43" xfId="0" applyFont="1" applyFill="1" applyBorder="1" applyAlignment="1">
      <alignment horizontal="right" wrapText="1"/>
    </xf>
    <xf numFmtId="0" fontId="8" fillId="2" borderId="44" xfId="0" applyFont="1" applyFill="1" applyBorder="1" applyAlignment="1">
      <alignment horizontal="right" wrapText="1"/>
    </xf>
    <xf numFmtId="4" fontId="1" fillId="0" borderId="23" xfId="58" applyNumberFormat="1" applyFont="1" applyBorder="1" applyAlignment="1">
      <alignment horizontal="right"/>
      <protection/>
    </xf>
    <xf numFmtId="4" fontId="0" fillId="0" borderId="23" xfId="58" applyNumberFormat="1" applyFont="1" applyBorder="1" applyAlignment="1">
      <alignment horizontal="right"/>
      <protection/>
    </xf>
    <xf numFmtId="4" fontId="0" fillId="0" borderId="39" xfId="58" applyNumberFormat="1" applyFont="1" applyBorder="1" applyAlignment="1">
      <alignment horizontal="right"/>
      <protection/>
    </xf>
    <xf numFmtId="3" fontId="0" fillId="0" borderId="13" xfId="58" applyNumberFormat="1" applyFont="1" applyBorder="1" applyAlignment="1">
      <alignment vertical="center"/>
      <protection/>
    </xf>
    <xf numFmtId="4" fontId="0" fillId="0" borderId="23" xfId="58" applyNumberFormat="1" applyFont="1" applyBorder="1" applyAlignment="1">
      <alignment horizontal="right" vertical="center"/>
      <protection/>
    </xf>
    <xf numFmtId="3" fontId="0" fillId="0" borderId="13" xfId="58" applyNumberFormat="1" applyBorder="1" applyAlignment="1">
      <alignment vertical="center"/>
      <protection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20" xfId="0" applyFont="1" applyBorder="1" applyAlignment="1">
      <alignment/>
    </xf>
    <xf numFmtId="0" fontId="1" fillId="6" borderId="17" xfId="0" applyFont="1" applyFill="1" applyBorder="1" applyAlignment="1">
      <alignment/>
    </xf>
    <xf numFmtId="0" fontId="1" fillId="6" borderId="45" xfId="0" applyFont="1" applyFill="1" applyBorder="1" applyAlignment="1">
      <alignment/>
    </xf>
    <xf numFmtId="0" fontId="1" fillId="6" borderId="20" xfId="0" applyFont="1" applyFill="1" applyBorder="1" applyAlignment="1">
      <alignment/>
    </xf>
    <xf numFmtId="0" fontId="5" fillId="0" borderId="17" xfId="0" applyFont="1" applyBorder="1" applyAlignment="1">
      <alignment wrapText="1"/>
    </xf>
    <xf numFmtId="0" fontId="0" fillId="0" borderId="45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justify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196" fontId="4" fillId="0" borderId="25" xfId="44" applyNumberFormat="1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8" fillId="0" borderId="46" xfId="0" applyFont="1" applyBorder="1" applyAlignment="1">
      <alignment horizontal="right" wrapText="1"/>
    </xf>
    <xf numFmtId="0" fontId="4" fillId="0" borderId="0" xfId="58" applyFont="1" applyBorder="1" applyAlignment="1">
      <alignment horizontal="left"/>
      <protection/>
    </xf>
    <xf numFmtId="0" fontId="6" fillId="0" borderId="0" xfId="58" applyFont="1" applyAlignment="1">
      <alignment horizontal="left"/>
      <protection/>
    </xf>
    <xf numFmtId="0" fontId="0" fillId="0" borderId="0" xfId="58" applyFont="1" applyFill="1" applyAlignment="1">
      <alignment horizontal="justify" vertical="top"/>
      <protection/>
    </xf>
    <xf numFmtId="0" fontId="0" fillId="0" borderId="0" xfId="0" applyFill="1" applyAlignment="1">
      <alignment horizontal="justify" vertical="top"/>
    </xf>
    <xf numFmtId="0" fontId="1" fillId="0" borderId="0" xfId="58" applyFont="1" applyAlignment="1">
      <alignment horizontal="left"/>
      <protection/>
    </xf>
    <xf numFmtId="0" fontId="1" fillId="0" borderId="25" xfId="58" applyFont="1" applyBorder="1" applyAlignment="1">
      <alignment horizontal="right"/>
      <protection/>
    </xf>
    <xf numFmtId="0" fontId="1" fillId="0" borderId="0" xfId="58" applyFont="1" applyFill="1" applyAlignment="1">
      <alignment horizontal="left"/>
      <protection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6" borderId="17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izvrsenje300903-s planom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ablon1-2307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38100</xdr:rowOff>
    </xdr:from>
    <xdr:to>
      <xdr:col>6</xdr:col>
      <xdr:colOff>47625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38100"/>
          <a:ext cx="123825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38100</xdr:rowOff>
    </xdr:from>
    <xdr:to>
      <xdr:col>6</xdr:col>
      <xdr:colOff>47625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38100"/>
          <a:ext cx="123825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1">
      <selection activeCell="I37" sqref="I37"/>
    </sheetView>
  </sheetViews>
  <sheetFormatPr defaultColWidth="9.140625" defaultRowHeight="12.75"/>
  <cols>
    <col min="3" max="3" width="12.57421875" style="0" customWidth="1"/>
    <col min="4" max="4" width="4.57421875" style="0" customWidth="1"/>
    <col min="6" max="6" width="4.421875" style="0" customWidth="1"/>
    <col min="9" max="9" width="20.00390625" style="0" customWidth="1"/>
  </cols>
  <sheetData>
    <row r="1" spans="1:9" ht="12.75">
      <c r="A1" s="386"/>
      <c r="B1" s="386"/>
      <c r="C1" s="386"/>
      <c r="D1" s="386"/>
      <c r="E1" s="386"/>
      <c r="F1" s="386"/>
      <c r="G1" s="386"/>
      <c r="H1" s="386"/>
      <c r="I1" s="386"/>
    </row>
    <row r="2" spans="1:9" ht="12.75">
      <c r="A2" s="387" t="s">
        <v>160</v>
      </c>
      <c r="B2" s="388"/>
      <c r="C2" s="388"/>
      <c r="G2" s="387" t="s">
        <v>161</v>
      </c>
      <c r="H2" s="388"/>
      <c r="I2" s="388"/>
    </row>
    <row r="3" spans="1:9" ht="12.75">
      <c r="A3" s="388"/>
      <c r="B3" s="388"/>
      <c r="C3" s="388"/>
      <c r="G3" s="388"/>
      <c r="H3" s="388"/>
      <c r="I3" s="388"/>
    </row>
    <row r="4" spans="1:9" ht="12.75">
      <c r="A4" s="388"/>
      <c r="B4" s="388"/>
      <c r="C4" s="388"/>
      <c r="G4" s="388"/>
      <c r="H4" s="388"/>
      <c r="I4" s="388"/>
    </row>
    <row r="5" spans="1:9" ht="12.75">
      <c r="A5" s="388"/>
      <c r="B5" s="388"/>
      <c r="C5" s="388"/>
      <c r="G5" s="388"/>
      <c r="H5" s="388"/>
      <c r="I5" s="388"/>
    </row>
    <row r="6" spans="1:9" ht="12.75">
      <c r="A6" s="388"/>
      <c r="B6" s="388"/>
      <c r="C6" s="388"/>
      <c r="G6" s="388"/>
      <c r="H6" s="388"/>
      <c r="I6" s="388"/>
    </row>
    <row r="7" spans="1:9" ht="12.75">
      <c r="A7" s="388"/>
      <c r="B7" s="388"/>
      <c r="C7" s="388"/>
      <c r="G7" s="388"/>
      <c r="H7" s="388"/>
      <c r="I7" s="388"/>
    </row>
    <row r="8" spans="1:9" ht="12.75">
      <c r="A8" s="130"/>
      <c r="B8" s="130"/>
      <c r="C8" s="130"/>
      <c r="D8" s="130"/>
      <c r="E8" s="130"/>
      <c r="F8" s="130"/>
      <c r="G8" s="130"/>
      <c r="H8" s="130"/>
      <c r="I8" s="130"/>
    </row>
    <row r="12" spans="7:9" ht="18.75">
      <c r="G12" s="383" t="s">
        <v>603</v>
      </c>
      <c r="H12" s="384"/>
      <c r="I12" s="384"/>
    </row>
    <row r="20" spans="1:9" ht="12.75" customHeight="1">
      <c r="A20" s="389" t="s">
        <v>602</v>
      </c>
      <c r="B20" s="390"/>
      <c r="C20" s="390"/>
      <c r="D20" s="390"/>
      <c r="E20" s="390"/>
      <c r="F20" s="390"/>
      <c r="G20" s="390"/>
      <c r="H20" s="390"/>
      <c r="I20" s="390"/>
    </row>
    <row r="21" spans="1:9" ht="12.75">
      <c r="A21" s="390"/>
      <c r="B21" s="390"/>
      <c r="C21" s="390"/>
      <c r="D21" s="390"/>
      <c r="E21" s="390"/>
      <c r="F21" s="390"/>
      <c r="G21" s="390"/>
      <c r="H21" s="390"/>
      <c r="I21" s="390"/>
    </row>
    <row r="22" spans="1:9" ht="12.75">
      <c r="A22" s="386"/>
      <c r="B22" s="386"/>
      <c r="C22" s="386"/>
      <c r="D22" s="386"/>
      <c r="E22" s="386"/>
      <c r="F22" s="386"/>
      <c r="G22" s="386"/>
      <c r="H22" s="386"/>
      <c r="I22" s="386"/>
    </row>
    <row r="23" spans="1:9" ht="12.75">
      <c r="A23" s="386"/>
      <c r="B23" s="386"/>
      <c r="C23" s="386"/>
      <c r="D23" s="386"/>
      <c r="E23" s="386"/>
      <c r="F23" s="386"/>
      <c r="G23" s="386"/>
      <c r="H23" s="386"/>
      <c r="I23" s="386"/>
    </row>
    <row r="24" spans="1:9" ht="12.75">
      <c r="A24" s="386"/>
      <c r="B24" s="386"/>
      <c r="C24" s="386"/>
      <c r="D24" s="386"/>
      <c r="E24" s="386"/>
      <c r="F24" s="386"/>
      <c r="G24" s="386"/>
      <c r="H24" s="386"/>
      <c r="I24" s="386"/>
    </row>
    <row r="25" spans="1:9" ht="12.75">
      <c r="A25" s="386"/>
      <c r="B25" s="386"/>
      <c r="C25" s="386"/>
      <c r="D25" s="386"/>
      <c r="E25" s="386"/>
      <c r="F25" s="386"/>
      <c r="G25" s="386"/>
      <c r="H25" s="386"/>
      <c r="I25" s="386"/>
    </row>
    <row r="26" spans="1:9" ht="12.75">
      <c r="A26" s="386"/>
      <c r="B26" s="386"/>
      <c r="C26" s="386"/>
      <c r="D26" s="386"/>
      <c r="E26" s="386"/>
      <c r="F26" s="386"/>
      <c r="G26" s="386"/>
      <c r="H26" s="386"/>
      <c r="I26" s="386"/>
    </row>
    <row r="27" spans="1:9" ht="15.75">
      <c r="A27" s="391"/>
      <c r="B27" s="391"/>
      <c r="C27" s="391"/>
      <c r="D27" s="391"/>
      <c r="E27" s="391"/>
      <c r="F27" s="391"/>
      <c r="G27" s="391"/>
      <c r="H27" s="391"/>
      <c r="I27" s="391"/>
    </row>
    <row r="31" spans="1:9" ht="15">
      <c r="A31" s="392" t="s">
        <v>604</v>
      </c>
      <c r="B31" s="392"/>
      <c r="C31" s="392"/>
      <c r="D31" s="392"/>
      <c r="E31" s="392"/>
      <c r="F31" s="392"/>
      <c r="G31" s="392"/>
      <c r="H31" s="392"/>
      <c r="I31" s="392"/>
    </row>
    <row r="54" spans="1:9" ht="12.75">
      <c r="A54" s="385" t="s">
        <v>595</v>
      </c>
      <c r="B54" s="386"/>
      <c r="C54" s="386"/>
      <c r="D54" s="386"/>
      <c r="E54" s="386"/>
      <c r="F54" s="386"/>
      <c r="G54" s="386"/>
      <c r="H54" s="386"/>
      <c r="I54" s="386"/>
    </row>
    <row r="55" spans="1:9" ht="12.75">
      <c r="A55" s="386"/>
      <c r="B55" s="386"/>
      <c r="C55" s="386"/>
      <c r="D55" s="386"/>
      <c r="E55" s="386"/>
      <c r="F55" s="386"/>
      <c r="G55" s="386"/>
      <c r="H55" s="386"/>
      <c r="I55" s="386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</sheetData>
  <sheetProtection/>
  <mergeCells count="8">
    <mergeCell ref="G12:I12"/>
    <mergeCell ref="A54:I55"/>
    <mergeCell ref="A1:I1"/>
    <mergeCell ref="A2:C7"/>
    <mergeCell ref="G2:I7"/>
    <mergeCell ref="A20:I26"/>
    <mergeCell ref="A27:I27"/>
    <mergeCell ref="A31:I31"/>
  </mergeCells>
  <printOptions/>
  <pageMargins left="0.66" right="0.4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B3:L65"/>
  <sheetViews>
    <sheetView view="pageBreakPreview" zoomScale="60" zoomScalePageLayoutView="0" workbookViewId="0" topLeftCell="D1">
      <selection activeCell="K9" sqref="K9"/>
    </sheetView>
  </sheetViews>
  <sheetFormatPr defaultColWidth="9.140625" defaultRowHeight="12" customHeight="1"/>
  <cols>
    <col min="1" max="1" width="0.5625" style="13" hidden="1" customWidth="1"/>
    <col min="2" max="2" width="5.7109375" style="13" hidden="1" customWidth="1"/>
    <col min="3" max="3" width="10.7109375" style="24" customWidth="1"/>
    <col min="4" max="4" width="54.00390625" style="13" customWidth="1"/>
    <col min="5" max="7" width="15.7109375" style="13" customWidth="1"/>
    <col min="8" max="8" width="8.7109375" style="148" customWidth="1"/>
    <col min="9" max="9" width="9.140625" style="13" customWidth="1"/>
    <col min="10" max="10" width="13.140625" style="13" bestFit="1" customWidth="1"/>
    <col min="11" max="11" width="9.140625" style="13" customWidth="1"/>
    <col min="12" max="12" width="10.140625" style="13" bestFit="1" customWidth="1"/>
    <col min="13" max="16384" width="9.140625" style="13" customWidth="1"/>
  </cols>
  <sheetData>
    <row r="2" ht="2.25" customHeight="1"/>
    <row r="3" spans="3:8" s="1" customFormat="1" ht="30.75" customHeight="1" thickBot="1">
      <c r="C3" s="408" t="s">
        <v>1</v>
      </c>
      <c r="D3" s="408"/>
      <c r="E3" s="146"/>
      <c r="F3" s="146"/>
      <c r="G3" s="371"/>
      <c r="H3" s="372"/>
    </row>
    <row r="4" spans="2:8" s="1" customFormat="1" ht="51.75" customHeight="1">
      <c r="B4" s="3" t="s">
        <v>2</v>
      </c>
      <c r="C4" s="42" t="s">
        <v>4</v>
      </c>
      <c r="D4" s="43" t="s">
        <v>5</v>
      </c>
      <c r="E4" s="182" t="s">
        <v>597</v>
      </c>
      <c r="F4" s="182" t="s">
        <v>598</v>
      </c>
      <c r="G4" s="147" t="s">
        <v>593</v>
      </c>
      <c r="H4" s="149" t="s">
        <v>599</v>
      </c>
    </row>
    <row r="5" spans="2:8" s="2" customFormat="1" ht="13.5" customHeight="1">
      <c r="B5" s="8">
        <v>1</v>
      </c>
      <c r="C5" s="8">
        <v>1</v>
      </c>
      <c r="D5" s="9">
        <v>2</v>
      </c>
      <c r="E5" s="35">
        <v>3</v>
      </c>
      <c r="F5" s="35">
        <v>4</v>
      </c>
      <c r="G5" s="9">
        <v>5</v>
      </c>
      <c r="H5" s="373">
        <v>6</v>
      </c>
    </row>
    <row r="6" spans="2:10" s="2" customFormat="1" ht="13.5" customHeight="1">
      <c r="B6" s="8"/>
      <c r="C6" s="8"/>
      <c r="D6" s="27" t="s">
        <v>88</v>
      </c>
      <c r="E6" s="25">
        <f>E8+E14+E19+E22+E40+'rashodi-2'!E17+'rashodi-2'!E22+'rashodi-2'!E29+'rashodi-2'!E35</f>
        <v>37494520</v>
      </c>
      <c r="F6" s="25">
        <f>F8+F14+F19+F22+F40+'rashodi-2'!F17+'rashodi-2'!F22+'rashodi-2'!F29+'rashodi-2'!F35</f>
        <v>37494520</v>
      </c>
      <c r="G6" s="25">
        <f>G8+G14+G19+G22+G40+'rashodi-2'!G17+'rashodi-2'!G22+'rashodi-2'!G29+'rashodi-2'!G35</f>
        <v>35964034.43</v>
      </c>
      <c r="H6" s="377">
        <f>G6/F6*100</f>
        <v>95.91810864627685</v>
      </c>
      <c r="J6" s="336"/>
    </row>
    <row r="7" spans="2:10" s="2" customFormat="1" ht="13.5" customHeight="1">
      <c r="B7" s="8"/>
      <c r="C7" s="8"/>
      <c r="D7" s="27"/>
      <c r="E7" s="25"/>
      <c r="F7" s="25"/>
      <c r="G7" s="25"/>
      <c r="H7" s="377"/>
      <c r="J7" s="145"/>
    </row>
    <row r="8" spans="2:10" s="2" customFormat="1" ht="13.5" customHeight="1">
      <c r="B8" s="8"/>
      <c r="C8" s="8">
        <v>600000</v>
      </c>
      <c r="D8" s="27" t="s">
        <v>49</v>
      </c>
      <c r="E8" s="25">
        <f>E9+E10+E11+E12</f>
        <v>295000</v>
      </c>
      <c r="F8" s="25">
        <f>F9+F10+F11+F12</f>
        <v>295000</v>
      </c>
      <c r="G8" s="25">
        <f>G9+G10+G11+G12</f>
        <v>294547.55</v>
      </c>
      <c r="H8" s="377">
        <f aca="true" t="shared" si="0" ref="H8:H59">G8/F8*100</f>
        <v>99.84662711864407</v>
      </c>
      <c r="J8" s="336"/>
    </row>
    <row r="9" spans="2:12" s="2" customFormat="1" ht="13.5" customHeight="1">
      <c r="B9" s="8"/>
      <c r="C9" s="68">
        <v>600000</v>
      </c>
      <c r="D9" s="60" t="s">
        <v>22</v>
      </c>
      <c r="E9" s="67">
        <f>3!G8</f>
        <v>250000</v>
      </c>
      <c r="F9" s="67">
        <f>3!H8</f>
        <v>250000</v>
      </c>
      <c r="G9" s="67">
        <f>3!I8</f>
        <v>249997.55</v>
      </c>
      <c r="H9" s="378">
        <f t="shared" si="0"/>
        <v>99.99901999999999</v>
      </c>
      <c r="L9" s="145"/>
    </row>
    <row r="10" spans="2:11" s="2" customFormat="1" ht="13.5" customHeight="1">
      <c r="B10" s="8"/>
      <c r="C10" s="68">
        <v>600000</v>
      </c>
      <c r="D10" s="60" t="s">
        <v>23</v>
      </c>
      <c r="E10" s="67">
        <f>3!G9</f>
        <v>30000</v>
      </c>
      <c r="F10" s="67">
        <f>3!H9</f>
        <v>30000</v>
      </c>
      <c r="G10" s="67">
        <f>3!I9</f>
        <v>29550</v>
      </c>
      <c r="H10" s="378">
        <f t="shared" si="0"/>
        <v>98.5</v>
      </c>
      <c r="K10" s="145"/>
    </row>
    <row r="11" spans="2:12" s="2" customFormat="1" ht="13.5" customHeight="1">
      <c r="B11" s="8"/>
      <c r="C11" s="68">
        <v>600000</v>
      </c>
      <c r="D11" s="60" t="s">
        <v>50</v>
      </c>
      <c r="E11" s="67">
        <f>3!G10</f>
        <v>15000</v>
      </c>
      <c r="F11" s="67">
        <f>3!H10</f>
        <v>15000</v>
      </c>
      <c r="G11" s="67">
        <f>3!I10</f>
        <v>15000</v>
      </c>
      <c r="H11" s="378">
        <f t="shared" si="0"/>
        <v>100</v>
      </c>
      <c r="L11" s="145"/>
    </row>
    <row r="12" spans="2:8" s="2" customFormat="1" ht="13.5" customHeight="1">
      <c r="B12" s="8"/>
      <c r="C12" s="68">
        <v>600000</v>
      </c>
      <c r="D12" s="60" t="s">
        <v>36</v>
      </c>
      <c r="E12" s="67">
        <f>'16'!G8</f>
        <v>0</v>
      </c>
      <c r="F12" s="67">
        <f>'16'!H8</f>
        <v>0</v>
      </c>
      <c r="G12" s="67">
        <f>'16'!I8</f>
        <v>0</v>
      </c>
      <c r="H12" s="378"/>
    </row>
    <row r="13" spans="2:8" s="2" customFormat="1" ht="13.5" customHeight="1">
      <c r="B13" s="8"/>
      <c r="C13" s="68"/>
      <c r="D13" s="60"/>
      <c r="E13" s="142"/>
      <c r="F13" s="142"/>
      <c r="G13" s="142"/>
      <c r="H13" s="377"/>
    </row>
    <row r="14" spans="2:10" s="1" customFormat="1" ht="13.5" customHeight="1">
      <c r="B14" s="10"/>
      <c r="C14" s="8">
        <v>611000</v>
      </c>
      <c r="D14" s="12" t="s">
        <v>92</v>
      </c>
      <c r="E14" s="115">
        <f>SUM(E15:E17)</f>
        <v>19436990</v>
      </c>
      <c r="F14" s="115">
        <f>SUM(F15:F17)</f>
        <v>19441650</v>
      </c>
      <c r="G14" s="115">
        <f>SUM(G15:G17)</f>
        <v>18873520.02</v>
      </c>
      <c r="H14" s="377">
        <f t="shared" si="0"/>
        <v>97.07776870790288</v>
      </c>
      <c r="J14" s="96"/>
    </row>
    <row r="15" spans="2:11" ht="13.5" customHeight="1">
      <c r="B15" s="14"/>
      <c r="C15" s="37">
        <v>611100</v>
      </c>
      <c r="D15" s="26" t="s">
        <v>128</v>
      </c>
      <c r="E15" s="46">
        <f>1!G8+2!G8+3!G13+4!G8+5!G8+6!G8+8!G8+9!G8+'10'!G8+'11'!G8+'12'!G8+'13'!G8+'14'!G8+'15'!G8+'16'!G11+'17'!G8+'18'!G8+'19'!G8+'20'!G8+'22'!G8+'23'!G8+'21'!G8+'24'!G8+'25'!G8+'26'!G8+'27'!G8+'28'!G8+'29'!G8+'30'!G8+'31'!G8+'32'!G8+'33'!G8+'34'!G8+'35'!G8+'36'!G8+'37'!G8+7!G8</f>
        <v>15828330</v>
      </c>
      <c r="F15" s="46">
        <f>1!H8+2!H8+3!H13+4!H8+5!H8+6!H8+8!H8+9!H8+'10'!H8+'11'!H8+'12'!H8+'13'!H8+'14'!H8+'15'!H8+'16'!H11+'17'!H8+'18'!H8+'19'!H8+'20'!H8+'22'!H8+'23'!H8+'21'!H8+'24'!H8+'25'!H8+'26'!H8+'27'!H8+'28'!H8+'29'!H8+'30'!H8+'31'!H8+'32'!H8+'33'!H8+'34'!H8+'35'!H8+'36'!H8+'37'!H8+7!H8</f>
        <v>15806770</v>
      </c>
      <c r="G15" s="46">
        <f>1!I8+2!I8+3!I13+4!I8+5!I8+6!I8+8!I8+9!I8+'10'!I8+'11'!I8+'12'!I8+'13'!I8+'14'!I8+'15'!I8+'16'!I11+'17'!I8+'18'!I8+'19'!I8+'20'!I8+'22'!I8+'23'!I8+'21'!I8+'24'!I8+'25'!I8+'26'!I8+'27'!I8+'28'!I8+'29'!I8+'30'!I8+'31'!I8+'32'!I8+'33'!I8+'34'!I8+'35'!I8+'36'!I8+'37'!I8+7!I8</f>
        <v>15441021.909999998</v>
      </c>
      <c r="H15" s="378">
        <f t="shared" si="0"/>
        <v>97.68613012019533</v>
      </c>
      <c r="J15" s="95"/>
      <c r="K15" s="95"/>
    </row>
    <row r="16" spans="2:11" ht="13.5" customHeight="1">
      <c r="B16" s="14"/>
      <c r="C16" s="37">
        <v>611200</v>
      </c>
      <c r="D16" s="26" t="s">
        <v>129</v>
      </c>
      <c r="E16" s="46">
        <f>1!G9+2!G9+3!G14+4!G9+5!G9+6!G9+8!G9+9!G9+'10'!G9+'11'!G9+'12'!G9+'13'!G9+'14'!G9+'15'!G9+'16'!G12+'17'!G9+'18'!G9+'19'!G9+'20'!G9+'22'!G9+'23'!G9+'21'!G9+'24'!G9+'25'!G9+'26'!G9+'27'!G9+'28'!G9+'29'!G9+'30'!G9+'31'!G9+'32'!G9+'33'!G9+'34'!G9+'35'!G9+'36'!G9+'37'!G9+7!G9</f>
        <v>3369600</v>
      </c>
      <c r="F16" s="46">
        <f>1!H9+2!H9+3!H14+4!H9+5!H9+6!H9+8!H9+9!H9+'10'!H9+'11'!H9+'12'!H9+'13'!H9+'14'!H9+'15'!H9+'16'!H12+'17'!H9+'18'!H9+'19'!H9+'20'!H9+'22'!H9+'23'!H9+'21'!H9+'24'!H9+'25'!H9+'26'!H9+'27'!H9+'28'!H9+'29'!H9+'30'!H9+'31'!H9+'32'!H9+'33'!H9+'34'!H9+'35'!H9+'36'!H9+'37'!H9+7!H9</f>
        <v>3394260</v>
      </c>
      <c r="G16" s="46">
        <f>1!I9+2!I9+3!I14+4!I9+5!I9+6!I9+8!I9+9!I9+'10'!I9+'11'!I9+'12'!I9+'13'!I9+'14'!I9+'15'!I9+'16'!I12+'17'!I9+'18'!I9+'19'!I9+'20'!I9+'22'!I9+'23'!I9+'21'!I9+'24'!I9+'25'!I9+'26'!I9+'27'!I9+'28'!I9+'29'!I9+'30'!I9+'31'!I9+'32'!I9+'33'!I9+'34'!I9+'35'!I9+'36'!I9+'37'!I9+7!I9</f>
        <v>3222822.4899999998</v>
      </c>
      <c r="H16" s="378">
        <f t="shared" si="0"/>
        <v>94.94919334405732</v>
      </c>
      <c r="J16" s="95"/>
      <c r="K16" s="95"/>
    </row>
    <row r="17" spans="2:11" ht="13.5" customHeight="1">
      <c r="B17" s="14"/>
      <c r="C17" s="37">
        <v>611200</v>
      </c>
      <c r="D17" s="26" t="s">
        <v>550</v>
      </c>
      <c r="E17" s="46">
        <f>1!G10+2!G10+3!G15+4!G10+5!G10+6!G10+8!G10+9!G10+'10'!G10+'11'!G10+'12'!G10+'13'!G10+'14'!G10+'15'!G10+'16'!G13+'17'!G10+'18'!G10+'19'!G10+'20'!G10+'22'!G10+'23'!G10+'21'!G10+'24'!G10+'25'!G10+'26'!G10+'27'!G10+'28'!G10+'29'!G10+'30'!G10+'31'!G10+'32'!G10+'33'!G10+'34'!G10+'35'!G10+'36'!G10+'37'!G10+7!G10</f>
        <v>239060</v>
      </c>
      <c r="F17" s="46">
        <f>1!H10+2!H10+3!H15+4!H10+5!H10+6!H10+8!H10+9!H10+'10'!H10+'11'!H10+'12'!H10+'13'!H10+'14'!H10+'15'!H10+'16'!H13+'17'!H10+'18'!H10+'19'!H10+'20'!H10+'22'!H10+'23'!H10+'21'!H10+'24'!H10+'25'!H10+'26'!H10+'27'!H10+'28'!H10+'29'!H10+'30'!H10+'31'!H10+'32'!H10+'33'!H10+'34'!H10+'35'!H10+'36'!H10+'37'!H10+7!H10</f>
        <v>240620</v>
      </c>
      <c r="G17" s="46">
        <f>1!I10+2!I10+3!I15+4!I10+5!I10+6!I10+8!I10+9!I10+'10'!I10+'11'!I10+'12'!I10+'13'!I10+'14'!I10+'15'!I10+'16'!I13+'17'!I10+'18'!I10+'19'!I10+'20'!I10+'22'!I10+'23'!I10+'21'!I10+'24'!I10+'25'!I10+'26'!I10+'27'!I10+'28'!I10+'29'!I10+'30'!I10+'31'!I10+'32'!I10+'33'!I10+'34'!I10+'35'!I10+'36'!I10+'37'!I10+7!I10</f>
        <v>209675.62</v>
      </c>
      <c r="H17" s="378">
        <f t="shared" si="0"/>
        <v>87.13973069570277</v>
      </c>
      <c r="J17" s="95"/>
      <c r="K17" s="95"/>
    </row>
    <row r="18" spans="2:10" ht="13.5" customHeight="1">
      <c r="B18" s="14"/>
      <c r="C18" s="37"/>
      <c r="D18" s="15"/>
      <c r="E18" s="88"/>
      <c r="F18" s="88"/>
      <c r="G18" s="88"/>
      <c r="H18" s="377"/>
      <c r="J18" s="95"/>
    </row>
    <row r="19" spans="2:11" ht="13.5" customHeight="1">
      <c r="B19" s="14"/>
      <c r="C19" s="8">
        <v>612000</v>
      </c>
      <c r="D19" s="12" t="s">
        <v>91</v>
      </c>
      <c r="E19" s="20">
        <f>E20</f>
        <v>1835600</v>
      </c>
      <c r="F19" s="20">
        <f>F20</f>
        <v>1836490</v>
      </c>
      <c r="G19" s="20">
        <f>G20</f>
        <v>1788013.0599999998</v>
      </c>
      <c r="H19" s="377">
        <f t="shared" si="0"/>
        <v>97.36034827306437</v>
      </c>
      <c r="J19" s="95"/>
      <c r="K19" s="95"/>
    </row>
    <row r="20" spans="2:8" s="1" customFormat="1" ht="13.5" customHeight="1">
      <c r="B20" s="17"/>
      <c r="C20" s="37">
        <v>612100</v>
      </c>
      <c r="D20" s="18" t="s">
        <v>8</v>
      </c>
      <c r="E20" s="46">
        <f>1!G13+2!G14+3!G19+4!G14+5!G14+6!G14+8!G14+9!G14+'10'!G14+'11'!G14+'12'!G14+'13'!G14+'14'!G14+'15'!G14+'16'!G17+'17'!G14+'18'!G14+'19'!G14+'20'!G14+'22'!G14+'23'!G14+'21'!G14+'24'!G14+'25'!G14+'26'!G14+'27'!G14+'28'!G14+'29'!G14+'30'!G14+'31'!G14+'32'!G13+'33'!G14+'34'!G14+'35'!G14+'36'!G14+'37'!G14+7!G14</f>
        <v>1835600</v>
      </c>
      <c r="F20" s="46">
        <f>1!H13+2!H14+3!H19+4!H14+5!H14+6!H14+8!H14+9!H14+'10'!H14+'11'!H14+'12'!H14+'13'!H14+'14'!H14+'15'!H14+'16'!H17+'17'!H14+'18'!H14+'19'!H14+'20'!H14+'22'!H14+'23'!H14+'21'!H14+'24'!H14+'25'!H14+'26'!H14+'27'!H14+'28'!H14+'29'!H14+'30'!H14+'31'!H14+'32'!H13+'33'!H14+'34'!H14+'35'!H14+'36'!H14+'37'!H14+7!H14</f>
        <v>1836490</v>
      </c>
      <c r="G20" s="46">
        <f>1!I13+2!I14+3!I19+4!I14+5!I14+6!I14+8!I14+9!I14+'10'!I14+'11'!I14+'12'!I14+'13'!I14+'14'!I14+'15'!I14+'16'!I17+'17'!I14+'18'!I14+'19'!I14+'20'!I14+'22'!I14+'23'!I14+'21'!I14+'24'!I14+'25'!I14+'26'!I14+'27'!I14+'28'!I14+'29'!I14+'30'!I14+'31'!I14+'32'!I13+'33'!I14+'34'!I14+'35'!I14+'36'!I14+'37'!I14+7!I14</f>
        <v>1788013.0599999998</v>
      </c>
      <c r="H20" s="378">
        <f t="shared" si="0"/>
        <v>97.36034827306437</v>
      </c>
    </row>
    <row r="21" spans="2:8" ht="13.5" customHeight="1">
      <c r="B21" s="14"/>
      <c r="C21" s="37"/>
      <c r="D21" s="26"/>
      <c r="E21" s="46"/>
      <c r="F21" s="46"/>
      <c r="G21" s="46"/>
      <c r="H21" s="377"/>
    </row>
    <row r="22" spans="2:11" ht="13.5" customHeight="1">
      <c r="B22" s="14"/>
      <c r="C22" s="8">
        <v>613000</v>
      </c>
      <c r="D22" s="12" t="s">
        <v>93</v>
      </c>
      <c r="E22" s="20">
        <f>SUM(E23:E38)</f>
        <v>4940220</v>
      </c>
      <c r="F22" s="20">
        <f>SUM(F23:F38)</f>
        <v>4919340</v>
      </c>
      <c r="G22" s="20">
        <f>SUM(G23:G38)</f>
        <v>4477713.600000001</v>
      </c>
      <c r="H22" s="377">
        <f t="shared" si="0"/>
        <v>91.02264937979486</v>
      </c>
      <c r="J22" s="95"/>
      <c r="K22" s="96"/>
    </row>
    <row r="23" spans="2:11" s="1" customFormat="1" ht="13.5" customHeight="1">
      <c r="B23" s="17"/>
      <c r="C23" s="37">
        <v>613100</v>
      </c>
      <c r="D23" s="15" t="s">
        <v>9</v>
      </c>
      <c r="E23" s="46">
        <f>1!G17+2!G18+3!G23+4!G18+5!G18+6!G18+8!G18+9!G18+'10'!G18+'11'!G18+'12'!G18+'13'!G18+'14'!G18+'15'!G18+'16'!G21+'17'!G18+'18'!G18+'19'!G18+'20'!G18+'22'!G18+'23'!G18+'21'!G18+'24'!G18+'25'!G18+'26'!G18+'27'!G18+'28'!G18+'29'!G18+'30'!G18+'31'!G18+'32'!G17+'33'!G18+'34'!G18+'35'!G18+'36'!G18+'37'!G18+7!G18</f>
        <v>128500</v>
      </c>
      <c r="F23" s="46">
        <f>1!H17+2!H18+3!H23+4!H18+5!H18+6!H18+8!H18+9!H18+'10'!H18+'11'!H18+'12'!H18+'13'!H18+'14'!H18+'15'!H18+'16'!H21+'17'!H18+'18'!H18+'19'!H18+'20'!H18+'22'!H18+'23'!H18+'21'!H18+'24'!H18+'25'!H18+'26'!H18+'27'!H18+'28'!H18+'29'!H18+'30'!H18+'31'!H18+'32'!H17+'33'!H18+'34'!H18+'35'!H18+'36'!H18+'37'!H18+7!H18</f>
        <v>133440</v>
      </c>
      <c r="G23" s="46">
        <f>1!I17+2!I18+3!I23+4!I18+5!I18+6!I18+8!I18+9!I18+'10'!I18+'11'!I18+'12'!I18+'13'!I18+'14'!I18+'15'!I18+'16'!I21+'17'!I18+'18'!I18+'19'!I18+'20'!I18+'22'!I18+'23'!I18+'21'!I18+'24'!I18+'25'!I18+'26'!I18+'27'!I18+'28'!I18+'29'!I18+'30'!I18+'31'!I18+'32'!I17+'33'!I18+'34'!I18+'35'!I18+'36'!I18+'37'!I18+7!I18</f>
        <v>116253.96000000002</v>
      </c>
      <c r="H23" s="378">
        <f t="shared" si="0"/>
        <v>87.12077338129498</v>
      </c>
      <c r="J23" s="96"/>
      <c r="K23" s="96"/>
    </row>
    <row r="24" spans="2:11" ht="13.5" customHeight="1">
      <c r="B24" s="14"/>
      <c r="C24" s="37">
        <v>613200</v>
      </c>
      <c r="D24" s="15" t="s">
        <v>10</v>
      </c>
      <c r="E24" s="46">
        <f>1!G18+2!G19+3!G24+4!G19+5!G19+6!G19+8!G19+9!G19+'10'!G19+'11'!G19+'12'!G19+'13'!G19+'14'!G19+'15'!G19+'16'!G22+'17'!G19+'18'!G19+'19'!G19+'20'!G19+'22'!G19+'23'!G19+'21'!G19+'24'!G19+'25'!G19+'26'!G19+'27'!G19+'28'!G19+'29'!G19+'30'!G19+'31'!G19+'32'!G18+'33'!G19+'34'!G19+'35'!G19+'36'!G19+'37'!G19+7!G19</f>
        <v>746900</v>
      </c>
      <c r="F24" s="46">
        <f>1!H18+2!H19+3!H24+4!H19+5!H19+6!H19+8!H19+9!H19+'10'!H19+'11'!H19+'12'!H19+'13'!H19+'14'!H19+'15'!H19+'16'!H22+'17'!H19+'18'!H19+'19'!H19+'20'!H19+'22'!H19+'23'!H19+'21'!H19+'24'!H19+'25'!H19+'26'!H19+'27'!H19+'28'!H19+'29'!H19+'30'!H19+'31'!H19+'32'!H18+'33'!H19+'34'!H19+'35'!H19+'36'!H19+'37'!H19+7!H19</f>
        <v>723620</v>
      </c>
      <c r="G24" s="46">
        <f>1!I18+2!I19+3!I24+4!I19+5!I19+6!I19+8!I19+9!I19+'10'!I19+'11'!I19+'12'!I19+'13'!I19+'14'!I19+'15'!I19+'16'!I22+'17'!I19+'18'!I19+'19'!I19+'20'!I19+'22'!I19+'23'!I19+'21'!I19+'24'!I19+'25'!I19+'26'!I19+'27'!I19+'28'!I19+'29'!I19+'30'!I19+'31'!I19+'32'!I18+'33'!I19+'34'!I19+'35'!I19+'36'!I19+'37'!I19+7!I19</f>
        <v>678411.9000000003</v>
      </c>
      <c r="H24" s="378">
        <f t="shared" si="0"/>
        <v>93.75250822254777</v>
      </c>
      <c r="K24" s="96"/>
    </row>
    <row r="25" spans="2:11" ht="13.5" customHeight="1">
      <c r="B25" s="14"/>
      <c r="C25" s="37">
        <v>613300</v>
      </c>
      <c r="D25" s="26" t="s">
        <v>130</v>
      </c>
      <c r="E25" s="46">
        <f>1!G19+2!G20+3!G25+4!G20+5!G20+6!G20+8!G20+9!G20+'10'!G20+'11'!G20+'12'!G20+'13'!G20+'14'!G20+'15'!G20+'16'!G23+'17'!G20+'18'!G20+'19'!G20+'20'!G20+'22'!G20+'23'!G20+'21'!G20+'24'!G20+'25'!G20+'26'!G20+'27'!G20+'28'!G20+'29'!G20+'30'!G20+'31'!G20+'32'!G19+'33'!G20+'34'!G20+'35'!G20+'36'!G20+'37'!G20+7!G20</f>
        <v>452000</v>
      </c>
      <c r="F25" s="46">
        <f>1!H19+2!H20+3!H25+4!H20+5!H20+6!H20+8!H20+9!H20+'10'!H20+'11'!H20+'12'!H20+'13'!H20+'14'!H20+'15'!H20+'16'!H23+'17'!H20+'18'!H20+'19'!H20+'20'!H20+'22'!H20+'23'!H20+'21'!H20+'24'!H20+'25'!H20+'26'!H20+'27'!H20+'28'!H20+'29'!H20+'30'!H20+'31'!H20+'32'!H19+'33'!H20+'34'!H20+'35'!H20+'36'!H20+'37'!H20+7!H20</f>
        <v>448980</v>
      </c>
      <c r="G25" s="46">
        <f>1!I19+2!I20+3!I25+4!I20+5!I20+6!I20+8!I20+9!I20+'10'!I20+'11'!I20+'12'!I20+'13'!I20+'14'!I20+'15'!I20+'16'!I23+'17'!I20+'18'!I20+'19'!I20+'20'!I20+'22'!I20+'23'!I20+'21'!I20+'24'!I20+'25'!I20+'26'!I20+'27'!I20+'28'!I20+'29'!I20+'30'!I20+'31'!I20+'32'!I19+'33'!I20+'34'!I20+'35'!I20+'36'!I20+'37'!I20+7!I20</f>
        <v>426162.28000000014</v>
      </c>
      <c r="H25" s="378">
        <f t="shared" si="0"/>
        <v>94.91787607465815</v>
      </c>
      <c r="J25" s="95"/>
      <c r="K25" s="96"/>
    </row>
    <row r="26" spans="2:11" ht="13.5" customHeight="1">
      <c r="B26" s="14"/>
      <c r="C26" s="37">
        <v>613400</v>
      </c>
      <c r="D26" s="26" t="s">
        <v>94</v>
      </c>
      <c r="E26" s="46">
        <f>1!G20+2!G21+3!G26+4!G21+5!G21+6!G21+8!G21+9!G21+'10'!G21+'11'!G21+'12'!G21+'13'!G21+'14'!G21+'15'!G21+'16'!G24+'17'!G21+'18'!G21+'19'!G21+'20'!G21+'22'!G21+'23'!G21+'21'!G21+'24'!G21+'25'!G21+'26'!G21+'27'!G21+'28'!G21+'29'!G21+'30'!G21+'31'!G21+'32'!G20+'33'!G21+'34'!G21+'35'!G21+'36'!G21+'37'!G21+7!G21</f>
        <v>530350</v>
      </c>
      <c r="F26" s="46">
        <f>1!H20+2!H21+3!H26+4!H21+5!H21+6!H21+8!H21+9!H21+'10'!H21+'11'!H21+'12'!H21+'13'!H21+'14'!H21+'15'!H21+'16'!H24+'17'!H21+'18'!H21+'19'!H21+'20'!H21+'22'!H21+'23'!H21+'21'!H21+'24'!H21+'25'!H21+'26'!H21+'27'!H21+'28'!H21+'29'!H21+'30'!H21+'31'!H21+'32'!H20+'33'!H21+'34'!H21+'35'!H21+'36'!H21+'37'!H21+7!H21</f>
        <v>540510</v>
      </c>
      <c r="G26" s="46">
        <f>1!I20+2!I21+3!I26+4!I21+5!I21+6!I21+8!I21+9!I21+'10'!I21+'11'!I21+'12'!I21+'13'!I21+'14'!I21+'15'!I21+'16'!I24+'17'!I21+'18'!I21+'19'!I21+'20'!I21+'22'!I21+'23'!I21+'21'!I21+'24'!I21+'25'!I21+'26'!I21+'27'!I21+'28'!I21+'29'!I21+'30'!I21+'31'!I21+'32'!I20+'33'!I21+'34'!I21+'35'!I21+'36'!I21+'37'!I21+7!I21</f>
        <v>492843.51</v>
      </c>
      <c r="H26" s="378">
        <f t="shared" si="0"/>
        <v>91.18120108786147</v>
      </c>
      <c r="J26" s="95"/>
      <c r="K26" s="96"/>
    </row>
    <row r="27" spans="2:11" ht="13.5" customHeight="1">
      <c r="B27" s="14"/>
      <c r="C27" s="37">
        <v>613500</v>
      </c>
      <c r="D27" s="19" t="s">
        <v>11</v>
      </c>
      <c r="E27" s="124">
        <f>1!G21+2!G22+3!G27+4!G22+5!G22+6!G22+8!G22+9!G22+'10'!G22+'11'!G22+'12'!G22+'13'!G22+'14'!G22+'15'!G22+'16'!G25+'17'!G22+'18'!G22+'19'!G22+'20'!G22+'22'!G22+'23'!G22+'21'!G22+'24'!G22+'25'!G22+'26'!G22+'27'!G22+'28'!G22+'29'!G22+'30'!G22+'31'!G22+'32'!G21+'33'!G22+'34'!G22+'35'!G22+'36'!G22+'37'!G22+7!G22</f>
        <v>247900</v>
      </c>
      <c r="F27" s="124">
        <f>1!H21+2!H22+3!H27+4!H22+5!H22+6!H22+8!H22+9!H22+'10'!H22+'11'!H22+'12'!H22+'13'!H22+'14'!H22+'15'!H22+'16'!H25+'17'!H22+'18'!H22+'19'!H22+'20'!H22+'22'!H22+'23'!H22+'21'!H22+'24'!H22+'25'!H22+'26'!H22+'27'!H22+'28'!H22+'29'!H22+'30'!H22+'31'!H22+'32'!H21+'33'!H22+'34'!H22+'35'!H22+'36'!H22+'37'!H22+7!H22</f>
        <v>235370</v>
      </c>
      <c r="G27" s="124">
        <f>1!I21+2!I22+3!I27+4!I22+5!I22+6!I22+8!I22+9!I22+'10'!I22+'11'!I22+'12'!I22+'13'!I22+'14'!I22+'15'!I22+'16'!I25+'17'!I22+'18'!I22+'19'!I22+'20'!I22+'22'!I22+'23'!I22+'21'!I22+'24'!I22+'25'!I22+'26'!I22+'27'!I22+'28'!I22+'29'!I22+'30'!I22+'31'!I22+'32'!I21+'33'!I22+'34'!I22+'35'!I22+'36'!I22+'37'!I22+7!I22</f>
        <v>203429.16999999995</v>
      </c>
      <c r="H27" s="378">
        <f t="shared" si="0"/>
        <v>86.42952372859752</v>
      </c>
      <c r="J27" s="95"/>
      <c r="K27" s="96"/>
    </row>
    <row r="28" spans="2:11" ht="13.5" customHeight="1">
      <c r="B28" s="14"/>
      <c r="C28" s="37">
        <v>613600</v>
      </c>
      <c r="D28" s="117" t="s">
        <v>131</v>
      </c>
      <c r="E28" s="124">
        <f>1!G22+2!G23+3!G28+4!G23+5!G23+6!G23+8!G23+9!G23+'10'!G23+'11'!G23+'12'!G23+'13'!G23+'14'!G23+'15'!G23+'16'!G26+'17'!G23+'18'!G23+'19'!G23+'20'!G23+'22'!G23+'23'!G23+'21'!G23+'24'!G23+'25'!G23+'26'!G23+'27'!G23+'28'!G23+'29'!G23+'30'!G23+'31'!G23+'32'!G22+'33'!G23+'34'!G23+'35'!G23+'36'!G23+'37'!G23+7!G23</f>
        <v>32100</v>
      </c>
      <c r="F28" s="124">
        <f>1!H22+2!H23+3!H28+4!H23+5!H23+6!H23+8!H23+9!H23+'10'!H23+'11'!H23+'12'!H23+'13'!H23+'14'!H23+'15'!H23+'16'!H26+'17'!H23+'18'!H23+'19'!H23+'20'!H23+'22'!H23+'23'!H23+'21'!H23+'24'!H23+'25'!H23+'26'!H23+'27'!H23+'28'!H23+'29'!H23+'30'!H23+'31'!H23+'32'!H22+'33'!H23+'34'!H23+'35'!H23+'36'!H23+'37'!H23+7!H23</f>
        <v>32100</v>
      </c>
      <c r="G28" s="124">
        <f>1!I22+2!I23+3!I28+4!I23+5!I23+6!I23+8!I23+9!I23+'10'!I23+'11'!I23+'12'!I23+'13'!I23+'14'!I23+'15'!I23+'16'!I26+'17'!I23+'18'!I23+'19'!I23+'20'!I23+'22'!I23+'23'!I23+'21'!I23+'24'!I23+'25'!I23+'26'!I23+'27'!I23+'28'!I23+'29'!I23+'30'!I23+'31'!I23+'32'!I22+'33'!I23+'34'!I23+'35'!I23+'36'!I23+'37'!I23+7!I23</f>
        <v>32004</v>
      </c>
      <c r="H28" s="378">
        <f t="shared" si="0"/>
        <v>99.70093457943925</v>
      </c>
      <c r="K28" s="96"/>
    </row>
    <row r="29" spans="2:11" ht="13.5" customHeight="1">
      <c r="B29" s="14"/>
      <c r="C29" s="37">
        <v>613700</v>
      </c>
      <c r="D29" s="19" t="s">
        <v>12</v>
      </c>
      <c r="E29" s="124">
        <f>1!G23+2!G24+3!G29+4!G24+5!G24+6!G24+8!G24+9!G24+'10'!G24+'11'!G24+'12'!G24+'13'!G24+'14'!G24+'15'!G24+'16'!G27+'17'!G24+'18'!G24+'19'!G24+'20'!G24+'22'!G24+'23'!G24+'21'!G24+'24'!G24+'25'!G24+'26'!G24+'27'!G24+'28'!G24+'29'!G24+'30'!G24+'31'!G24+'32'!G23+'33'!G24+'34'!G24+'35'!G24+'36'!G24+'37'!G24+7!G24</f>
        <v>334750</v>
      </c>
      <c r="F29" s="124">
        <f>1!H23+2!H24+3!H29+4!H24+5!H24+6!H24+8!H24+9!H24+'10'!H24+'11'!H24+'12'!H24+'13'!H24+'14'!H24+'15'!H24+'16'!H27+'17'!H24+'18'!H24+'19'!H24+'20'!H24+'22'!H24+'23'!H24+'21'!H24+'24'!H24+'25'!H24+'26'!H24+'27'!H24+'28'!H24+'29'!H24+'30'!H24+'31'!H24+'32'!H23+'33'!H24+'34'!H24+'35'!H24+'36'!H24+'37'!H24+7!H24</f>
        <v>333760</v>
      </c>
      <c r="G29" s="124">
        <f>1!I23+2!I24+3!I29+4!I24+5!I24+6!I24+8!I24+9!I24+'10'!I24+'11'!I24+'12'!I24+'13'!I24+'14'!I24+'15'!I24+'16'!I27+'17'!I24+'18'!I24+'19'!I24+'20'!I24+'22'!I24+'23'!I24+'21'!I24+'24'!I24+'25'!I24+'26'!I24+'27'!I24+'28'!I24+'29'!I24+'30'!I24+'31'!I24+'32'!I23+'33'!I24+'34'!I24+'35'!I24+'36'!I24+'37'!I24+7!I24</f>
        <v>318771.38999999996</v>
      </c>
      <c r="H29" s="378">
        <f t="shared" si="0"/>
        <v>95.50916526845637</v>
      </c>
      <c r="K29" s="96"/>
    </row>
    <row r="30" spans="2:11" ht="13.5" customHeight="1">
      <c r="B30" s="14"/>
      <c r="C30" s="37">
        <v>613700</v>
      </c>
      <c r="D30" s="19" t="s">
        <v>13</v>
      </c>
      <c r="E30" s="124">
        <f>'18'!G25</f>
        <v>500000</v>
      </c>
      <c r="F30" s="124">
        <f>'18'!H25</f>
        <v>500000</v>
      </c>
      <c r="G30" s="124">
        <f>'18'!I25</f>
        <v>453340.55</v>
      </c>
      <c r="H30" s="378">
        <f t="shared" si="0"/>
        <v>90.66811</v>
      </c>
      <c r="K30" s="96"/>
    </row>
    <row r="31" spans="2:11" ht="13.5" customHeight="1">
      <c r="B31" s="14"/>
      <c r="C31" s="37">
        <v>613800</v>
      </c>
      <c r="D31" s="117" t="s">
        <v>95</v>
      </c>
      <c r="E31" s="124">
        <f>1!G24+2!G25+3!G30+4!G25+5!G25+6!G25+8!G25+9!G25+'10'!G25+'11'!G25+'12'!G25+'13'!G25+'14'!G25+'15'!G25+'16'!G28+'17'!G25+'18'!G26+'19'!G25+'20'!G25+'22'!G25+'23'!G25+'21'!G25+'24'!G25+'25'!G25+'26'!G25+'27'!G25+'28'!G25+'29'!G25+'30'!G25+'31'!G25+'32'!G24+'33'!G25+'34'!G25+'35'!G25+'36'!G25+'37'!G25+7!G25</f>
        <v>38080</v>
      </c>
      <c r="F31" s="124">
        <f>1!H24+2!H25+3!H30+4!H25+5!H25+6!H25+8!H25+9!H25+'10'!H25+'11'!H25+'12'!H25+'13'!H25+'14'!H25+'15'!H25+'16'!H28+'17'!H25+'18'!H26+'19'!H25+'20'!H25+'22'!H25+'23'!H25+'21'!H25+'24'!H25+'25'!H25+'26'!H25+'27'!H25+'28'!H25+'29'!H25+'30'!H25+'31'!H25+'32'!H24+'33'!H25+'34'!H25+'35'!H25+'36'!H25+'37'!H25+7!H25</f>
        <v>39400</v>
      </c>
      <c r="G31" s="124">
        <f>1!I24+2!I25+3!I30+4!I25+5!I25+6!I25+8!I25+9!I25+'10'!I25+'11'!I25+'12'!I25+'13'!I25+'14'!I25+'15'!I25+'16'!I28+'17'!I25+'18'!I26+'19'!I25+'20'!I25+'22'!I25+'23'!I25+'21'!I25+'24'!I25+'25'!I25+'26'!I25+'27'!I25+'28'!I25+'29'!I25+'30'!I25+'31'!I25+'32'!I24+'33'!I25+'34'!I25+'35'!I25+'36'!I25+'37'!I25+7!I25</f>
        <v>33214.72</v>
      </c>
      <c r="H31" s="378">
        <f t="shared" si="0"/>
        <v>84.30131979695432</v>
      </c>
      <c r="K31" s="96"/>
    </row>
    <row r="32" spans="2:11" ht="13.5" customHeight="1">
      <c r="B32" s="14"/>
      <c r="C32" s="37">
        <v>613800</v>
      </c>
      <c r="D32" s="26" t="s">
        <v>116</v>
      </c>
      <c r="E32" s="46">
        <f>'20'!G26</f>
        <v>0</v>
      </c>
      <c r="F32" s="46">
        <f>'20'!H26</f>
        <v>0</v>
      </c>
      <c r="G32" s="46">
        <f>'20'!I26</f>
        <v>0</v>
      </c>
      <c r="H32" s="378"/>
      <c r="K32" s="96"/>
    </row>
    <row r="33" spans="2:11" ht="13.5" customHeight="1">
      <c r="B33" s="14"/>
      <c r="C33" s="127">
        <v>613900</v>
      </c>
      <c r="D33" s="117" t="s">
        <v>96</v>
      </c>
      <c r="E33" s="128">
        <f>1!G25+2!G26+3!G31+4!G26+5!G26+6!G26+8!G26+9!G26+'10'!G26+'11'!G26+'12'!G26+'13'!G26+'14'!G26+'15'!G26+'16'!G29+'17'!G26+'18'!G27+'19'!G26+'20'!G27+'22'!G26+'23'!G26+'21'!G26+'24'!G26+'25'!G26+'26'!G26+'27'!G26+'28'!G26+'29'!G26+'30'!G26+'31'!G26+'32'!G25+'33'!G26+'34'!G26+'35'!G26+'36'!G26+'37'!G26+7!G26</f>
        <v>1400950</v>
      </c>
      <c r="F33" s="128">
        <f>1!H25+2!H26+3!H31+4!H26+5!H26+6!H26+8!H26+9!H26+'10'!H26+'11'!H26+'12'!H26+'13'!H26+'14'!H26+'15'!H26+'16'!H29+'17'!H26+'18'!H27+'19'!H26+'20'!H27+'22'!H26+'23'!H26+'21'!H26+'24'!H26+'25'!H26+'26'!H26+'27'!H26+'28'!H26+'29'!H26+'30'!H26+'31'!H26+'32'!H25+'33'!H26+'34'!H26+'35'!H26+'36'!H26+'37'!H26+7!H26</f>
        <v>1410600</v>
      </c>
      <c r="G33" s="128">
        <f>1!I25+2!I26+3!I31+4!I26+5!I26+6!I26+8!I26+9!I26+'10'!I26+'11'!I26+'12'!I26+'13'!I26+'14'!I26+'15'!I26+'16'!I29+'17'!I26+'18'!I27+'19'!I26+'20'!I27+'22'!I26+'23'!I26+'21'!I26+'24'!I26+'25'!I26+'26'!I26+'27'!I26+'28'!I26+'29'!I26+'30'!I26+'31'!I26+'32'!I25+'33'!I26+'34'!I26+'35'!I26+'36'!I26+'37'!I26+7!I26</f>
        <v>1302993.6199999999</v>
      </c>
      <c r="H33" s="378">
        <f t="shared" si="0"/>
        <v>92.37158797674748</v>
      </c>
      <c r="J33" s="95"/>
      <c r="K33" s="96"/>
    </row>
    <row r="34" spans="2:11" ht="13.5" customHeight="1">
      <c r="B34" s="14"/>
      <c r="C34" s="37">
        <v>613900</v>
      </c>
      <c r="D34" s="26" t="s">
        <v>138</v>
      </c>
      <c r="E34" s="46">
        <f>3!G32</f>
        <v>36000</v>
      </c>
      <c r="F34" s="46">
        <f>3!H32</f>
        <v>36000</v>
      </c>
      <c r="G34" s="46">
        <f>3!I32</f>
        <v>35590.259999999995</v>
      </c>
      <c r="H34" s="378">
        <f t="shared" si="0"/>
        <v>98.86183333333332</v>
      </c>
      <c r="K34" s="96"/>
    </row>
    <row r="35" spans="2:11" ht="13.5" customHeight="1">
      <c r="B35" s="14"/>
      <c r="C35" s="37">
        <v>613900</v>
      </c>
      <c r="D35" s="26" t="s">
        <v>110</v>
      </c>
      <c r="E35" s="46">
        <f>'16'!G30</f>
        <v>75300</v>
      </c>
      <c r="F35" s="46">
        <f>'16'!H30</f>
        <v>74770</v>
      </c>
      <c r="G35" s="46">
        <f>'16'!I30</f>
        <v>74770</v>
      </c>
      <c r="H35" s="378">
        <f t="shared" si="0"/>
        <v>100</v>
      </c>
      <c r="K35" s="96"/>
    </row>
    <row r="36" spans="2:11" ht="13.5" customHeight="1">
      <c r="B36" s="14"/>
      <c r="C36" s="37">
        <v>613900</v>
      </c>
      <c r="D36" s="26" t="s">
        <v>109</v>
      </c>
      <c r="E36" s="46">
        <f>'20'!G28</f>
        <v>55000</v>
      </c>
      <c r="F36" s="46">
        <f>'20'!H28</f>
        <v>57240</v>
      </c>
      <c r="G36" s="46">
        <f>'20'!I28</f>
        <v>56876.7</v>
      </c>
      <c r="H36" s="378">
        <f t="shared" si="0"/>
        <v>99.3653039832285</v>
      </c>
      <c r="K36" s="96"/>
    </row>
    <row r="37" spans="2:11" ht="13.5" customHeight="1">
      <c r="B37" s="14"/>
      <c r="C37" s="37">
        <v>613900</v>
      </c>
      <c r="D37" s="26" t="s">
        <v>148</v>
      </c>
      <c r="E37" s="46">
        <f>1!G26+2!G27+3!G33+4!G27+5!G27+6!G27+8!G27+9!G27+'10'!G27+'11'!G27+'12'!G27+'13'!G27+'14'!G27+'15'!G27+'16'!G31+'17'!G27+'18'!G28+'19'!G27+'20'!G29+'22'!G27+'23'!G27+'21'!G27+'24'!G27+'25'!G27+'26'!G27+'27'!G27+'28'!G27+'29'!G27+'30'!G27+'31'!G27+'32'!G26+'33'!G27+'34'!G27+'35'!G27+'36'!G27+'37'!G27+7!G27</f>
        <v>262390</v>
      </c>
      <c r="F37" s="46">
        <f>1!H26+2!H27+3!H33+4!H27+5!H27+6!H27+8!H27+9!H27+'10'!H27+'11'!H27+'12'!H27+'13'!H27+'14'!H27+'15'!H27+'16'!H31+'17'!H27+'18'!H28+'19'!H27+'20'!H29+'22'!H27+'23'!H27+'21'!H27+'24'!H27+'25'!H27+'26'!H27+'27'!H27+'28'!H27+'29'!H27+'30'!H27+'31'!H27+'32'!H26+'33'!H27+'34'!H27+'35'!H27+'36'!H27+'37'!H27+7!H27</f>
        <v>253550</v>
      </c>
      <c r="G37" s="46">
        <f>1!I26+2!I27+3!I33+4!I27+5!I27+6!I27+8!I27+9!I27+'10'!I27+'11'!I27+'12'!I27+'13'!I27+'14'!I27+'15'!I27+'16'!I31+'17'!I27+'18'!I28+'19'!I27+'20'!I29+'22'!I27+'23'!I27+'21'!I27+'24'!I27+'25'!I27+'26'!I27+'27'!I27+'28'!I27+'29'!I27+'30'!I27+'31'!I27+'32'!I26+'33'!I27+'34'!I27+'35'!I27+'36'!I27+'37'!I27+7!I27</f>
        <v>253051.54000000007</v>
      </c>
      <c r="H37" s="378">
        <f t="shared" si="0"/>
        <v>99.80340761191088</v>
      </c>
      <c r="J37" s="95"/>
      <c r="K37" s="96"/>
    </row>
    <row r="38" spans="2:11" ht="13.5" customHeight="1">
      <c r="B38" s="14"/>
      <c r="C38" s="37">
        <v>613900</v>
      </c>
      <c r="D38" s="26" t="s">
        <v>558</v>
      </c>
      <c r="E38" s="46">
        <f>1!G27+2!G28+3!G34+4!G28+5!G28+6!G28+8!G28+9!G28+'10'!G28+'11'!G28+'12'!G28+'13'!G28+'14'!G28+'15'!G28+'16'!G32+'17'!G28+'18'!G29+'19'!G28+'20'!G30+'22'!G28+'23'!G28+'21'!G28+'24'!G28+'25'!G28+'26'!G28+'27'!G28+'28'!G28+'29'!G28+'30'!G28+'31'!G28+'32'!G27+'33'!G28+'34'!G28+'35'!G28+'36'!G28+'37'!G28+7!G28</f>
        <v>100000</v>
      </c>
      <c r="F38" s="46">
        <f>1!H27+2!H28+3!H34+4!H28+5!H28+6!H28+8!H28+9!H28+'10'!H28+'11'!H28+'12'!H28+'13'!H28+'14'!H28+'15'!H28+'16'!H32+'17'!H28+'18'!H29+'19'!H28+'20'!H30+'22'!H28+'23'!H28+'21'!H28+'24'!H28+'25'!H28+'26'!H28+'27'!H28+'28'!H28+'29'!H28+'30'!H28+'31'!H28+'32'!H27+'33'!H28+'34'!H28+'35'!H28+'36'!H28+'37'!H28+7!H28</f>
        <v>100000</v>
      </c>
      <c r="G38" s="46">
        <f>1!I27+2!I28+3!I34+4!I28+5!I28+6!I28+8!I28+9!I28+'10'!I28+'11'!I28+'12'!I28+'13'!I28+'14'!I28+'15'!I28+'16'!I32+'17'!I28+'18'!I29+'19'!I28+'20'!I30+'22'!I28+'23'!I28+'21'!I28+'24'!I28+'25'!I28+'26'!I28+'27'!I28+'28'!I28+'29'!I28+'30'!I28+'31'!I28+'32'!I27+'33'!I28+'34'!I28+'35'!I28+'36'!I28+'37'!I28+7!I28</f>
        <v>0</v>
      </c>
      <c r="H38" s="378">
        <f t="shared" si="0"/>
        <v>0</v>
      </c>
      <c r="J38" s="95"/>
      <c r="K38" s="96"/>
    </row>
    <row r="39" spans="2:8" ht="13.5" customHeight="1">
      <c r="B39" s="14"/>
      <c r="C39" s="37"/>
      <c r="D39" s="15"/>
      <c r="E39" s="88"/>
      <c r="F39" s="88"/>
      <c r="G39" s="88"/>
      <c r="H39" s="377"/>
    </row>
    <row r="40" spans="2:12" ht="13.5" customHeight="1">
      <c r="B40" s="14"/>
      <c r="C40" s="8">
        <v>614000</v>
      </c>
      <c r="D40" s="12" t="s">
        <v>132</v>
      </c>
      <c r="E40" s="115">
        <f>E41+E42+E43+E44+E45+E46+E47+E48+E49+E50+E51+E52+E53+E54+E55+E56+E57+E58+E59+'rashodi-2'!E3+'rashodi-2'!E4+'rashodi-2'!E5+'rashodi-2'!E6+'rashodi-2'!E7+'rashodi-2'!E8+'rashodi-2'!E9+'rashodi-2'!E10+'rashodi-2'!E11+'rashodi-2'!E12+'rashodi-2'!E13+'rashodi-2'!E14</f>
        <v>7301800</v>
      </c>
      <c r="F40" s="115">
        <f>F41+F42+F43+F44+F45+F46+F47+F48+F49+F50+F51+F52+F53+F54+F55+F56+F57+F58+F59+'rashodi-2'!F3+'rashodi-2'!F4+'rashodi-2'!F5+'rashodi-2'!F6+'rashodi-2'!F7+'rashodi-2'!F8+'rashodi-2'!F9+'rashodi-2'!F10+'rashodi-2'!F11+'rashodi-2'!F12+'rashodi-2'!F13+'rashodi-2'!F14</f>
        <v>7301800</v>
      </c>
      <c r="G40" s="115">
        <f>G41+G42+G43+G44+G45+G46+G47+G48+G49+G50+G51+G52+G53+G54+G55+G56+G57+G58+G59+'rashodi-2'!G3+'rashodi-2'!G4+'rashodi-2'!G5+'rashodi-2'!G6+'rashodi-2'!G7+'rashodi-2'!G8+'rashodi-2'!G9+'rashodi-2'!G10+'rashodi-2'!G11+'rashodi-2'!G12+'rashodi-2'!G13+'rashodi-2'!G14</f>
        <v>6972537.879999999</v>
      </c>
      <c r="H40" s="377">
        <f t="shared" si="0"/>
        <v>95.4906718891232</v>
      </c>
      <c r="J40" s="148"/>
      <c r="L40" s="95"/>
    </row>
    <row r="41" spans="2:12" s="101" customFormat="1" ht="13.5" customHeight="1">
      <c r="B41" s="102"/>
      <c r="C41" s="68">
        <v>614100</v>
      </c>
      <c r="D41" s="18" t="s">
        <v>258</v>
      </c>
      <c r="E41" s="124">
        <f>3!G36</f>
        <v>350000</v>
      </c>
      <c r="F41" s="124">
        <f>3!H36</f>
        <v>116125</v>
      </c>
      <c r="G41" s="124">
        <f>3!I36</f>
        <v>116125</v>
      </c>
      <c r="H41" s="378">
        <f t="shared" si="0"/>
        <v>100</v>
      </c>
      <c r="J41" s="185"/>
      <c r="L41" s="185"/>
    </row>
    <row r="42" spans="2:8" s="101" customFormat="1" ht="13.5" customHeight="1">
      <c r="B42" s="102"/>
      <c r="C42" s="68">
        <v>614100</v>
      </c>
      <c r="D42" s="123" t="s">
        <v>259</v>
      </c>
      <c r="E42" s="124">
        <f>3!G37</f>
        <v>200000</v>
      </c>
      <c r="F42" s="124">
        <f>3!H37</f>
        <v>200000</v>
      </c>
      <c r="G42" s="124">
        <f>3!I37</f>
        <v>200000</v>
      </c>
      <c r="H42" s="378">
        <f t="shared" si="0"/>
        <v>100</v>
      </c>
    </row>
    <row r="43" spans="2:8" s="1" customFormat="1" ht="13.5" customHeight="1">
      <c r="B43" s="17"/>
      <c r="C43" s="37">
        <v>614100</v>
      </c>
      <c r="D43" s="30" t="s">
        <v>268</v>
      </c>
      <c r="E43" s="46">
        <f>'16'!G34</f>
        <v>350000</v>
      </c>
      <c r="F43" s="46">
        <f>'16'!H34</f>
        <v>310500</v>
      </c>
      <c r="G43" s="46">
        <f>'16'!I34</f>
        <v>300500</v>
      </c>
      <c r="H43" s="378">
        <f t="shared" si="0"/>
        <v>96.77938808373591</v>
      </c>
    </row>
    <row r="44" spans="2:8" s="1" customFormat="1" ht="13.5" customHeight="1">
      <c r="B44" s="17"/>
      <c r="C44" s="33">
        <v>614100</v>
      </c>
      <c r="D44" s="26" t="s">
        <v>149</v>
      </c>
      <c r="E44" s="46">
        <f>'17'!G30</f>
        <v>150000</v>
      </c>
      <c r="F44" s="46">
        <f>'17'!H30</f>
        <v>105000</v>
      </c>
      <c r="G44" s="46">
        <f>'17'!I30</f>
        <v>105000</v>
      </c>
      <c r="H44" s="378">
        <f t="shared" si="0"/>
        <v>100</v>
      </c>
    </row>
    <row r="45" spans="2:8" s="1" customFormat="1" ht="13.5" customHeight="1">
      <c r="B45" s="17"/>
      <c r="C45" s="37">
        <v>614100</v>
      </c>
      <c r="D45" s="72" t="s">
        <v>105</v>
      </c>
      <c r="E45" s="46">
        <f>'18'!G31</f>
        <v>100000</v>
      </c>
      <c r="F45" s="46">
        <f>'18'!H31</f>
        <v>100000</v>
      </c>
      <c r="G45" s="46">
        <f>'18'!I31</f>
        <v>100000</v>
      </c>
      <c r="H45" s="378">
        <f t="shared" si="0"/>
        <v>100</v>
      </c>
    </row>
    <row r="46" spans="2:8" s="1" customFormat="1" ht="13.5" customHeight="1">
      <c r="B46" s="17"/>
      <c r="C46" s="37">
        <v>614100</v>
      </c>
      <c r="D46" s="72" t="s">
        <v>152</v>
      </c>
      <c r="E46" s="46">
        <f>'18'!G32</f>
        <v>0</v>
      </c>
      <c r="F46" s="46">
        <f>'18'!H32</f>
        <v>0</v>
      </c>
      <c r="G46" s="46">
        <f>'18'!I32</f>
        <v>0</v>
      </c>
      <c r="H46" s="378"/>
    </row>
    <row r="47" spans="2:8" s="1" customFormat="1" ht="13.5" customHeight="1">
      <c r="B47" s="17"/>
      <c r="C47" s="68">
        <v>614100</v>
      </c>
      <c r="D47" s="123" t="s">
        <v>90</v>
      </c>
      <c r="E47" s="46">
        <f>'19'!G30</f>
        <v>100000</v>
      </c>
      <c r="F47" s="46">
        <f>'19'!H30</f>
        <v>100000</v>
      </c>
      <c r="G47" s="46">
        <f>'19'!I30</f>
        <v>99936.41</v>
      </c>
      <c r="H47" s="378">
        <f t="shared" si="0"/>
        <v>99.93641000000001</v>
      </c>
    </row>
    <row r="48" spans="2:8" s="1" customFormat="1" ht="26.25" customHeight="1">
      <c r="B48" s="17"/>
      <c r="C48" s="33">
        <v>614100</v>
      </c>
      <c r="D48" s="121" t="s">
        <v>156</v>
      </c>
      <c r="E48" s="380">
        <f>'20'!G32</f>
        <v>205000</v>
      </c>
      <c r="F48" s="380">
        <f>'20'!H32</f>
        <v>178500</v>
      </c>
      <c r="G48" s="380">
        <f>'20'!I32</f>
        <v>178500</v>
      </c>
      <c r="H48" s="381">
        <f t="shared" si="0"/>
        <v>100</v>
      </c>
    </row>
    <row r="49" spans="2:8" s="1" customFormat="1" ht="13.5" customHeight="1">
      <c r="B49" s="17"/>
      <c r="C49" s="129" t="s">
        <v>34</v>
      </c>
      <c r="D49" s="122" t="s">
        <v>26</v>
      </c>
      <c r="E49" s="200">
        <f>'20'!G33</f>
        <v>200000</v>
      </c>
      <c r="F49" s="200">
        <f>'20'!H33</f>
        <v>200000</v>
      </c>
      <c r="G49" s="200">
        <f>'20'!I33</f>
        <v>200000</v>
      </c>
      <c r="H49" s="381">
        <f t="shared" si="0"/>
        <v>100</v>
      </c>
    </row>
    <row r="50" spans="2:8" s="1" customFormat="1" ht="13.5" customHeight="1">
      <c r="B50" s="17"/>
      <c r="C50" s="129" t="s">
        <v>34</v>
      </c>
      <c r="D50" s="122" t="s">
        <v>456</v>
      </c>
      <c r="E50" s="200">
        <f>'20'!G34</f>
        <v>277000</v>
      </c>
      <c r="F50" s="200">
        <f>'20'!H34</f>
        <v>297500</v>
      </c>
      <c r="G50" s="200">
        <f>'20'!I34</f>
        <v>297500</v>
      </c>
      <c r="H50" s="381">
        <f t="shared" si="0"/>
        <v>100</v>
      </c>
    </row>
    <row r="51" spans="2:8" s="1" customFormat="1" ht="12.75" customHeight="1">
      <c r="B51" s="17"/>
      <c r="C51" s="129" t="s">
        <v>32</v>
      </c>
      <c r="D51" s="184" t="s">
        <v>262</v>
      </c>
      <c r="E51" s="200">
        <f>3!G38</f>
        <v>100000</v>
      </c>
      <c r="F51" s="200">
        <f>3!H38</f>
        <v>100000</v>
      </c>
      <c r="G51" s="200">
        <f>3!I38</f>
        <v>93538.62</v>
      </c>
      <c r="H51" s="381">
        <f t="shared" si="0"/>
        <v>93.53862</v>
      </c>
    </row>
    <row r="52" spans="2:8" s="1" customFormat="1" ht="13.5" customHeight="1">
      <c r="B52" s="17"/>
      <c r="C52" s="33">
        <v>614200</v>
      </c>
      <c r="D52" s="30" t="s">
        <v>24</v>
      </c>
      <c r="E52" s="382">
        <f>4!G30</f>
        <v>15000</v>
      </c>
      <c r="F52" s="382">
        <f>4!H30</f>
        <v>15000</v>
      </c>
      <c r="G52" s="382">
        <f>4!I30</f>
        <v>0</v>
      </c>
      <c r="H52" s="381">
        <f t="shared" si="0"/>
        <v>0</v>
      </c>
    </row>
    <row r="53" spans="2:8" s="1" customFormat="1" ht="13.5" customHeight="1">
      <c r="B53" s="17"/>
      <c r="C53" s="33" t="s">
        <v>32</v>
      </c>
      <c r="D53" s="26" t="s">
        <v>31</v>
      </c>
      <c r="E53" s="380">
        <f>'17'!G31</f>
        <v>1580000</v>
      </c>
      <c r="F53" s="380">
        <f>'17'!H31</f>
        <v>1523000</v>
      </c>
      <c r="G53" s="380">
        <f>'17'!I31</f>
        <v>1522947.72</v>
      </c>
      <c r="H53" s="381">
        <f t="shared" si="0"/>
        <v>99.99656730137886</v>
      </c>
    </row>
    <row r="54" spans="2:8" s="1" customFormat="1" ht="13.5" customHeight="1">
      <c r="B54" s="17"/>
      <c r="C54" s="33" t="s">
        <v>32</v>
      </c>
      <c r="D54" s="30" t="s">
        <v>39</v>
      </c>
      <c r="E54" s="382">
        <f>'20'!G35</f>
        <v>117000</v>
      </c>
      <c r="F54" s="382">
        <f>'20'!H35</f>
        <v>123000</v>
      </c>
      <c r="G54" s="382">
        <f>'20'!I35</f>
        <v>123000</v>
      </c>
      <c r="H54" s="381">
        <f t="shared" si="0"/>
        <v>100</v>
      </c>
    </row>
    <row r="55" spans="2:8" s="1" customFormat="1" ht="26.25" customHeight="1">
      <c r="B55" s="17"/>
      <c r="C55" s="33" t="s">
        <v>32</v>
      </c>
      <c r="D55" s="74" t="s">
        <v>253</v>
      </c>
      <c r="E55" s="382">
        <f>'20'!G36</f>
        <v>15000</v>
      </c>
      <c r="F55" s="382">
        <f>'20'!H36</f>
        <v>15000</v>
      </c>
      <c r="G55" s="382">
        <f>'20'!I36</f>
        <v>15000</v>
      </c>
      <c r="H55" s="381">
        <f t="shared" si="0"/>
        <v>100</v>
      </c>
    </row>
    <row r="56" spans="2:8" s="1" customFormat="1" ht="13.5" customHeight="1">
      <c r="B56" s="17"/>
      <c r="C56" s="33">
        <v>614200</v>
      </c>
      <c r="D56" s="30" t="s">
        <v>42</v>
      </c>
      <c r="E56" s="45">
        <f>'31'!G30</f>
        <v>700000</v>
      </c>
      <c r="F56" s="45">
        <f>'31'!H30</f>
        <v>700000</v>
      </c>
      <c r="G56" s="45">
        <f>'31'!I30</f>
        <v>699580.63</v>
      </c>
      <c r="H56" s="378">
        <f t="shared" si="0"/>
        <v>99.94009</v>
      </c>
    </row>
    <row r="57" spans="2:8" s="1" customFormat="1" ht="13.5" customHeight="1">
      <c r="B57" s="17"/>
      <c r="C57" s="33" t="s">
        <v>32</v>
      </c>
      <c r="D57" s="26" t="s">
        <v>43</v>
      </c>
      <c r="E57" s="45">
        <f>'33'!G30</f>
        <v>56300</v>
      </c>
      <c r="F57" s="45">
        <f>'33'!H30</f>
        <v>509175</v>
      </c>
      <c r="G57" s="45">
        <f>'33'!I30</f>
        <v>505236.54</v>
      </c>
      <c r="H57" s="378">
        <f t="shared" si="0"/>
        <v>99.22650169391662</v>
      </c>
    </row>
    <row r="58" spans="2:8" s="1" customFormat="1" ht="13.5" customHeight="1">
      <c r="B58" s="17"/>
      <c r="C58" s="33" t="s">
        <v>33</v>
      </c>
      <c r="D58" s="30" t="s">
        <v>21</v>
      </c>
      <c r="E58" s="46">
        <f>1!G29</f>
        <v>160000</v>
      </c>
      <c r="F58" s="46">
        <f>1!H29</f>
        <v>160000</v>
      </c>
      <c r="G58" s="46">
        <f>1!I29</f>
        <v>159999.66</v>
      </c>
      <c r="H58" s="378">
        <f t="shared" si="0"/>
        <v>99.9997875</v>
      </c>
    </row>
    <row r="59" spans="2:8" s="1" customFormat="1" ht="13.5" customHeight="1" thickBot="1">
      <c r="B59" s="17"/>
      <c r="C59" s="364" t="s">
        <v>33</v>
      </c>
      <c r="D59" s="365" t="s">
        <v>35</v>
      </c>
      <c r="E59" s="47">
        <f>3!G39</f>
        <v>70000</v>
      </c>
      <c r="F59" s="47">
        <f>3!H39</f>
        <v>70000</v>
      </c>
      <c r="G59" s="47">
        <f>3!I39</f>
        <v>69913</v>
      </c>
      <c r="H59" s="379">
        <f t="shared" si="0"/>
        <v>99.8757142857143</v>
      </c>
    </row>
    <row r="60" spans="2:3" ht="12" customHeight="1">
      <c r="B60" s="14"/>
      <c r="C60" s="48"/>
    </row>
    <row r="61" spans="2:8" s="1" customFormat="1" ht="12" customHeight="1">
      <c r="B61" s="17"/>
      <c r="C61" s="24"/>
      <c r="D61" s="13"/>
      <c r="E61" s="13"/>
      <c r="F61" s="13"/>
      <c r="G61" s="13"/>
      <c r="H61" s="148"/>
    </row>
    <row r="62" spans="2:8" s="1" customFormat="1" ht="12" customHeight="1">
      <c r="B62" s="28"/>
      <c r="C62" s="24"/>
      <c r="D62" s="13"/>
      <c r="E62" s="13"/>
      <c r="F62" s="13"/>
      <c r="G62" s="13"/>
      <c r="H62" s="148"/>
    </row>
    <row r="63" spans="2:8" s="1" customFormat="1" ht="12" customHeight="1">
      <c r="B63" s="28"/>
      <c r="C63" s="24"/>
      <c r="D63" s="13"/>
      <c r="E63" s="13"/>
      <c r="F63" s="13"/>
      <c r="G63" s="13"/>
      <c r="H63" s="148"/>
    </row>
    <row r="64" spans="2:8" s="1" customFormat="1" ht="12" customHeight="1">
      <c r="B64" s="28"/>
      <c r="C64" s="24"/>
      <c r="D64" s="13"/>
      <c r="E64" s="13"/>
      <c r="F64" s="13"/>
      <c r="G64" s="13"/>
      <c r="H64" s="148"/>
    </row>
    <row r="65" ht="12" customHeight="1" thickBot="1">
      <c r="B65" s="21"/>
    </row>
  </sheetData>
  <sheetProtection/>
  <mergeCells count="2">
    <mergeCell ref="G3:H3"/>
    <mergeCell ref="C3:D3"/>
  </mergeCells>
  <printOptions/>
  <pageMargins left="0.67" right="0.16" top="0.52" bottom="0.42" header="0.5118110236220472" footer="0.4"/>
  <pageSetup horizontalDpi="600" verticalDpi="600" orientation="portrait" paperSize="9" scale="80" r:id="rId1"/>
  <headerFooter alignWithMargins="0">
    <oddFooter>&amp;R8</oddFooter>
  </headerFooter>
  <rowBreaks count="1" manualBreakCount="1"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5"/>
  <dimension ref="A1:K62"/>
  <sheetViews>
    <sheetView tabSelected="1" zoomScalePageLayoutView="0" workbookViewId="0" topLeftCell="C1">
      <selection activeCell="L29" sqref="L29"/>
    </sheetView>
  </sheetViews>
  <sheetFormatPr defaultColWidth="9.140625" defaultRowHeight="12" customHeight="1"/>
  <cols>
    <col min="1" max="1" width="0.5625" style="13" hidden="1" customWidth="1"/>
    <col min="2" max="2" width="5.7109375" style="13" hidden="1" customWidth="1"/>
    <col min="3" max="3" width="10.7109375" style="24" customWidth="1"/>
    <col min="4" max="4" width="54.00390625" style="13" customWidth="1"/>
    <col min="5" max="7" width="15.7109375" style="13" customWidth="1"/>
    <col min="8" max="8" width="8.7109375" style="148" customWidth="1"/>
    <col min="9" max="9" width="9.140625" style="13" customWidth="1"/>
    <col min="10" max="10" width="10.57421875" style="13" bestFit="1" customWidth="1"/>
    <col min="11" max="11" width="9.140625" style="13" customWidth="1"/>
    <col min="12" max="12" width="10.140625" style="13" bestFit="1" customWidth="1"/>
    <col min="13" max="16384" width="9.140625" style="13" customWidth="1"/>
  </cols>
  <sheetData>
    <row r="1" spans="2:8" s="1" customFormat="1" ht="51.75" customHeight="1">
      <c r="B1" s="3" t="s">
        <v>2</v>
      </c>
      <c r="C1" s="42" t="s">
        <v>4</v>
      </c>
      <c r="D1" s="43" t="s">
        <v>5</v>
      </c>
      <c r="E1" s="182" t="s">
        <v>597</v>
      </c>
      <c r="F1" s="182" t="s">
        <v>598</v>
      </c>
      <c r="G1" s="147" t="s">
        <v>593</v>
      </c>
      <c r="H1" s="149" t="s">
        <v>599</v>
      </c>
    </row>
    <row r="2" spans="2:8" s="2" customFormat="1" ht="13.5" customHeight="1">
      <c r="B2" s="8">
        <v>1</v>
      </c>
      <c r="C2" s="8">
        <v>1</v>
      </c>
      <c r="D2" s="9">
        <v>2</v>
      </c>
      <c r="E2" s="35">
        <v>3</v>
      </c>
      <c r="F2" s="35">
        <v>4</v>
      </c>
      <c r="G2" s="9">
        <v>5</v>
      </c>
      <c r="H2" s="373">
        <v>6</v>
      </c>
    </row>
    <row r="3" spans="2:8" s="1" customFormat="1" ht="13.5" customHeight="1">
      <c r="B3" s="17"/>
      <c r="C3" s="33" t="s">
        <v>33</v>
      </c>
      <c r="D3" s="117" t="s">
        <v>157</v>
      </c>
      <c r="E3" s="88">
        <f>3!G40</f>
        <v>30000</v>
      </c>
      <c r="F3" s="88">
        <f>3!H40</f>
        <v>30000</v>
      </c>
      <c r="G3" s="88">
        <f>3!I40</f>
        <v>30000</v>
      </c>
      <c r="H3" s="180">
        <f>G3/F3*100</f>
        <v>100</v>
      </c>
    </row>
    <row r="4" spans="2:8" s="1" customFormat="1" ht="13.5" customHeight="1">
      <c r="B4" s="17"/>
      <c r="C4" s="129" t="s">
        <v>33</v>
      </c>
      <c r="D4" s="117" t="s">
        <v>242</v>
      </c>
      <c r="E4" s="88">
        <f>3!G41</f>
        <v>15000</v>
      </c>
      <c r="F4" s="88">
        <f>3!H41</f>
        <v>15000</v>
      </c>
      <c r="G4" s="88">
        <f>3!I41</f>
        <v>15000</v>
      </c>
      <c r="H4" s="180">
        <f aca="true" t="shared" si="0" ref="H4:H42">G4/F4*100</f>
        <v>100</v>
      </c>
    </row>
    <row r="5" spans="2:8" s="1" customFormat="1" ht="13.5" customHeight="1">
      <c r="B5" s="17"/>
      <c r="C5" s="129" t="s">
        <v>33</v>
      </c>
      <c r="D5" s="117" t="s">
        <v>254</v>
      </c>
      <c r="E5" s="88">
        <f>3!G42</f>
        <v>15000</v>
      </c>
      <c r="F5" s="88">
        <f>3!H42</f>
        <v>15000</v>
      </c>
      <c r="G5" s="88">
        <f>3!I42</f>
        <v>15000</v>
      </c>
      <c r="H5" s="180">
        <f t="shared" si="0"/>
        <v>100</v>
      </c>
    </row>
    <row r="6" spans="2:8" s="1" customFormat="1" ht="13.5" customHeight="1">
      <c r="B6" s="17"/>
      <c r="C6" s="129" t="s">
        <v>33</v>
      </c>
      <c r="D6" s="117" t="s">
        <v>159</v>
      </c>
      <c r="E6" s="88">
        <f>3!G43</f>
        <v>30000</v>
      </c>
      <c r="F6" s="88">
        <f>3!H43</f>
        <v>15000</v>
      </c>
      <c r="G6" s="88">
        <f>3!I43</f>
        <v>15000</v>
      </c>
      <c r="H6" s="180">
        <f t="shared" si="0"/>
        <v>100</v>
      </c>
    </row>
    <row r="7" spans="2:8" s="1" customFormat="1" ht="13.5" customHeight="1">
      <c r="B7" s="17"/>
      <c r="C7" s="129" t="s">
        <v>33</v>
      </c>
      <c r="D7" s="122" t="s">
        <v>27</v>
      </c>
      <c r="E7" s="88">
        <f>'20'!G37</f>
        <v>30000</v>
      </c>
      <c r="F7" s="88">
        <f>'20'!H37</f>
        <v>30000</v>
      </c>
      <c r="G7" s="88">
        <f>'20'!I37</f>
        <v>30000</v>
      </c>
      <c r="H7" s="180">
        <f t="shared" si="0"/>
        <v>100</v>
      </c>
    </row>
    <row r="8" spans="2:8" s="1" customFormat="1" ht="13.5" customHeight="1">
      <c r="B8" s="17"/>
      <c r="C8" s="129" t="s">
        <v>33</v>
      </c>
      <c r="D8" s="122" t="s">
        <v>28</v>
      </c>
      <c r="E8" s="88">
        <f>'20'!G38</f>
        <v>80000</v>
      </c>
      <c r="F8" s="88">
        <f>'20'!H38</f>
        <v>80000</v>
      </c>
      <c r="G8" s="88">
        <f>'20'!I38</f>
        <v>80000</v>
      </c>
      <c r="H8" s="180">
        <f t="shared" si="0"/>
        <v>100</v>
      </c>
    </row>
    <row r="9" spans="2:8" ht="13.5" customHeight="1">
      <c r="B9" s="14"/>
      <c r="C9" s="129" t="s">
        <v>136</v>
      </c>
      <c r="D9" s="122" t="s">
        <v>41</v>
      </c>
      <c r="E9" s="88">
        <f>'15'!G31</f>
        <v>500000</v>
      </c>
      <c r="F9" s="88">
        <f>'15'!H31</f>
        <v>281000</v>
      </c>
      <c r="G9" s="88">
        <f>'15'!I31</f>
        <v>160704</v>
      </c>
      <c r="H9" s="180">
        <f t="shared" si="0"/>
        <v>57.19003558718862</v>
      </c>
    </row>
    <row r="10" spans="2:8" ht="13.5" customHeight="1">
      <c r="B10" s="14"/>
      <c r="C10" s="33" t="s">
        <v>136</v>
      </c>
      <c r="D10" s="30" t="s">
        <v>25</v>
      </c>
      <c r="E10" s="45">
        <f>'19'!G31</f>
        <v>0</v>
      </c>
      <c r="F10" s="45">
        <f>'19'!H31</f>
        <v>0</v>
      </c>
      <c r="G10" s="45">
        <f>'19'!I31</f>
        <v>0</v>
      </c>
      <c r="H10" s="180"/>
    </row>
    <row r="11" spans="2:8" ht="13.5" customHeight="1">
      <c r="B11" s="14"/>
      <c r="C11" s="33" t="s">
        <v>136</v>
      </c>
      <c r="D11" s="30" t="s">
        <v>453</v>
      </c>
      <c r="E11" s="45">
        <f>'19'!G32</f>
        <v>800000</v>
      </c>
      <c r="F11" s="45">
        <f>'19'!H32</f>
        <v>690000</v>
      </c>
      <c r="G11" s="45">
        <f>'19'!I32</f>
        <v>576920.68</v>
      </c>
      <c r="H11" s="180">
        <f t="shared" si="0"/>
        <v>83.6116927536232</v>
      </c>
    </row>
    <row r="12" spans="2:8" ht="13.5" customHeight="1">
      <c r="B12" s="14"/>
      <c r="C12" s="33" t="s">
        <v>136</v>
      </c>
      <c r="D12" s="30" t="s">
        <v>454</v>
      </c>
      <c r="E12" s="45">
        <f>'19'!G33</f>
        <v>190000</v>
      </c>
      <c r="F12" s="45">
        <f>'19'!H33</f>
        <v>190000</v>
      </c>
      <c r="G12" s="45">
        <f>'19'!I33</f>
        <v>179095.13</v>
      </c>
      <c r="H12" s="180">
        <f t="shared" si="0"/>
        <v>94.26059473684211</v>
      </c>
    </row>
    <row r="13" spans="2:8" ht="13.5" customHeight="1">
      <c r="B13" s="14"/>
      <c r="C13" s="33" t="s">
        <v>136</v>
      </c>
      <c r="D13" s="30" t="s">
        <v>455</v>
      </c>
      <c r="E13" s="45">
        <f>'19'!G34</f>
        <v>800000</v>
      </c>
      <c r="F13" s="45">
        <f>'19'!H34</f>
        <v>800000</v>
      </c>
      <c r="G13" s="45">
        <f>'19'!I34</f>
        <v>756548.6</v>
      </c>
      <c r="H13" s="180">
        <f t="shared" si="0"/>
        <v>94.568575</v>
      </c>
    </row>
    <row r="14" spans="2:8" ht="13.5" customHeight="1">
      <c r="B14" s="14"/>
      <c r="C14" s="33">
        <v>614800</v>
      </c>
      <c r="D14" s="30" t="s">
        <v>38</v>
      </c>
      <c r="E14" s="45">
        <f>'16'!G35</f>
        <v>66500</v>
      </c>
      <c r="F14" s="45">
        <f>'16'!H35</f>
        <v>333000</v>
      </c>
      <c r="G14" s="45">
        <f>'16'!I35</f>
        <v>327491.89</v>
      </c>
      <c r="H14" s="180">
        <f t="shared" si="0"/>
        <v>98.34591291291291</v>
      </c>
    </row>
    <row r="15" spans="1:8" ht="13.5" customHeight="1">
      <c r="A15" s="13">
        <v>614400</v>
      </c>
      <c r="B15" s="14"/>
      <c r="C15" s="17"/>
      <c r="D15" s="12"/>
      <c r="E15" s="20"/>
      <c r="F15" s="20"/>
      <c r="G15" s="20"/>
      <c r="H15" s="180"/>
    </row>
    <row r="16" spans="2:8" ht="13.5" customHeight="1">
      <c r="B16" s="14"/>
      <c r="C16" s="14"/>
      <c r="D16" s="15"/>
      <c r="E16" s="45"/>
      <c r="F16" s="45"/>
      <c r="G16" s="45"/>
      <c r="H16" s="180"/>
    </row>
    <row r="17" spans="2:10" ht="13.5" customHeight="1">
      <c r="B17" s="14"/>
      <c r="C17" s="40">
        <v>615000</v>
      </c>
      <c r="D17" s="34" t="s">
        <v>14</v>
      </c>
      <c r="E17" s="20">
        <f>SUM(E18:E20)</f>
        <v>158880</v>
      </c>
      <c r="F17" s="20">
        <f>SUM(F18:F20)</f>
        <v>274380</v>
      </c>
      <c r="G17" s="20">
        <f>SUM(G18:G20)</f>
        <v>274380</v>
      </c>
      <c r="H17" s="176">
        <f t="shared" si="0"/>
        <v>100</v>
      </c>
      <c r="J17" s="95"/>
    </row>
    <row r="18" spans="2:10" s="101" customFormat="1" ht="13.5" customHeight="1">
      <c r="B18" s="102"/>
      <c r="C18" s="86" t="s">
        <v>139</v>
      </c>
      <c r="D18" s="69" t="s">
        <v>14</v>
      </c>
      <c r="E18" s="46">
        <f>3!G46+'20'!G41</f>
        <v>130000</v>
      </c>
      <c r="F18" s="46">
        <f>3!H46+'20'!H41</f>
        <v>245500</v>
      </c>
      <c r="G18" s="46">
        <f>3!I46+'20'!I41</f>
        <v>245500</v>
      </c>
      <c r="H18" s="180">
        <f t="shared" si="0"/>
        <v>100</v>
      </c>
      <c r="J18" s="185"/>
    </row>
    <row r="19" spans="2:8" ht="13.5" customHeight="1">
      <c r="B19" s="14"/>
      <c r="C19" s="86" t="s">
        <v>139</v>
      </c>
      <c r="D19" s="69" t="s">
        <v>140</v>
      </c>
      <c r="E19" s="46">
        <f>'17'!G34</f>
        <v>28880</v>
      </c>
      <c r="F19" s="46">
        <f>'17'!H34</f>
        <v>28880</v>
      </c>
      <c r="G19" s="46">
        <f>'17'!I34</f>
        <v>28880</v>
      </c>
      <c r="H19" s="180">
        <f t="shared" si="0"/>
        <v>100</v>
      </c>
    </row>
    <row r="20" spans="2:8" ht="13.5" customHeight="1">
      <c r="B20" s="14"/>
      <c r="C20" s="39"/>
      <c r="D20" s="30"/>
      <c r="E20" s="46"/>
      <c r="F20" s="46"/>
      <c r="G20" s="46"/>
      <c r="H20" s="180"/>
    </row>
    <row r="21" spans="2:8" ht="13.5" customHeight="1">
      <c r="B21" s="14"/>
      <c r="C21" s="38"/>
      <c r="D21" s="30"/>
      <c r="E21" s="46"/>
      <c r="F21" s="46"/>
      <c r="G21" s="46"/>
      <c r="H21" s="180"/>
    </row>
    <row r="22" spans="2:8" ht="13.5" customHeight="1">
      <c r="B22" s="14"/>
      <c r="C22" s="10" t="s">
        <v>29</v>
      </c>
      <c r="D22" s="34" t="s">
        <v>133</v>
      </c>
      <c r="E22" s="20">
        <f>SUM(E23:E26)</f>
        <v>117620</v>
      </c>
      <c r="F22" s="20">
        <f>SUM(F23:F26)</f>
        <v>118180</v>
      </c>
      <c r="G22" s="20">
        <f>SUM(G23:G26)</f>
        <v>113752.64000000001</v>
      </c>
      <c r="H22" s="176">
        <f t="shared" si="0"/>
        <v>96.25371467253343</v>
      </c>
    </row>
    <row r="23" spans="2:8" ht="13.5" customHeight="1">
      <c r="B23" s="14"/>
      <c r="C23" s="37">
        <v>616300</v>
      </c>
      <c r="D23" s="69" t="s">
        <v>124</v>
      </c>
      <c r="E23" s="46">
        <f>'20'!G44</f>
        <v>16220</v>
      </c>
      <c r="F23" s="46">
        <f>'20'!H44</f>
        <v>16220</v>
      </c>
      <c r="G23" s="46">
        <f>'20'!I44</f>
        <v>15138.78</v>
      </c>
      <c r="H23" s="180">
        <f t="shared" si="0"/>
        <v>93.33403205918619</v>
      </c>
    </row>
    <row r="24" spans="2:8" ht="13.5" customHeight="1">
      <c r="B24" s="14"/>
      <c r="C24" s="37">
        <v>616300</v>
      </c>
      <c r="D24" s="69" t="s">
        <v>257</v>
      </c>
      <c r="E24" s="46">
        <f>'16'!G38</f>
        <v>34100</v>
      </c>
      <c r="F24" s="46">
        <f>'16'!H38</f>
        <v>34100</v>
      </c>
      <c r="G24" s="46">
        <f>'16'!I38</f>
        <v>30774.9</v>
      </c>
      <c r="H24" s="180">
        <f t="shared" si="0"/>
        <v>90.24897360703812</v>
      </c>
    </row>
    <row r="25" spans="2:8" ht="13.5" customHeight="1">
      <c r="B25" s="14"/>
      <c r="C25" s="37">
        <v>616300</v>
      </c>
      <c r="D25" s="69" t="s">
        <v>145</v>
      </c>
      <c r="E25" s="46">
        <f>'16'!G39</f>
        <v>23240</v>
      </c>
      <c r="F25" s="46">
        <f>'16'!H39</f>
        <v>23800</v>
      </c>
      <c r="G25" s="46">
        <f>'16'!I39</f>
        <v>23782.36</v>
      </c>
      <c r="H25" s="180">
        <f t="shared" si="0"/>
        <v>99.92588235294117</v>
      </c>
    </row>
    <row r="26" spans="2:8" ht="13.5" customHeight="1">
      <c r="B26" s="14"/>
      <c r="C26" s="37">
        <v>616300</v>
      </c>
      <c r="D26" s="69" t="s">
        <v>151</v>
      </c>
      <c r="E26" s="46">
        <f>'16'!G40</f>
        <v>44060</v>
      </c>
      <c r="F26" s="46">
        <f>'16'!H40</f>
        <v>44060</v>
      </c>
      <c r="G26" s="46">
        <f>'16'!I40</f>
        <v>44056.6</v>
      </c>
      <c r="H26" s="180">
        <f t="shared" si="0"/>
        <v>99.99228325011347</v>
      </c>
    </row>
    <row r="27" spans="2:8" ht="13.5" customHeight="1">
      <c r="B27" s="14"/>
      <c r="C27" s="37"/>
      <c r="D27" s="69"/>
      <c r="E27" s="46"/>
      <c r="F27" s="46"/>
      <c r="G27" s="46"/>
      <c r="H27" s="180"/>
    </row>
    <row r="28" spans="2:8" ht="13.5" customHeight="1">
      <c r="B28" s="14"/>
      <c r="C28" s="37"/>
      <c r="D28" s="15"/>
      <c r="E28" s="45"/>
      <c r="F28" s="45"/>
      <c r="G28" s="45"/>
      <c r="H28" s="180"/>
    </row>
    <row r="29" spans="2:11" ht="13.5" customHeight="1">
      <c r="B29" s="14"/>
      <c r="C29" s="8">
        <v>821000</v>
      </c>
      <c r="D29" s="12" t="s">
        <v>15</v>
      </c>
      <c r="E29" s="20">
        <f>SUM(E30:E32)</f>
        <v>1456890</v>
      </c>
      <c r="F29" s="20">
        <f>SUM(F30:F32)</f>
        <v>1479000</v>
      </c>
      <c r="G29" s="20">
        <f>SUM(G30:G32)</f>
        <v>1367892.12</v>
      </c>
      <c r="H29" s="176">
        <f t="shared" si="0"/>
        <v>92.48763488843814</v>
      </c>
      <c r="J29" s="95"/>
      <c r="K29" s="95"/>
    </row>
    <row r="30" spans="2:11" ht="13.5" customHeight="1">
      <c r="B30" s="14"/>
      <c r="C30" s="127">
        <v>821200</v>
      </c>
      <c r="D30" s="19" t="s">
        <v>16</v>
      </c>
      <c r="E30" s="124">
        <f>1!G37+2!G37+3!G49+4!G38+5!G37+6!G37+8!G37+9!G37+'10'!G37+'11'!G37+'12'!G37+'13'!G37+'14'!G37+'15'!G34+'16'!G43+'17'!G37+'18'!G38+'19'!G37+'20'!G47+'22'!G37+'23'!G37+'21'!G37+'24'!G37+'25'!G37+'26'!G37+'27'!G37+'28'!G37+'29'!G37+'30'!G37+'31'!G34+'32'!G36+'33'!G35+'34'!G37+'35'!G37+'36'!G37+'37'!G37+7!G37</f>
        <v>420460</v>
      </c>
      <c r="F30" s="124">
        <f>1!H37+2!H37+3!H49+4!H38+5!H37+6!H37+8!H37+9!H37+'10'!H37+'11'!H37+'12'!H37+'13'!H37+'14'!H37+'15'!H34+'16'!H43+'17'!H37+'18'!H38+'19'!H37+'20'!H47+'22'!H37+'23'!H37+'21'!H37+'24'!H37+'25'!H37+'26'!H37+'27'!H37+'28'!H37+'29'!H37+'30'!H37+'31'!H34+'32'!H36+'33'!H35+'34'!H37+'35'!H37+'36'!H37+'37'!H37+7!H37</f>
        <v>415170</v>
      </c>
      <c r="G30" s="124">
        <f>1!I37+2!I37+3!I49+4!I38+5!I37+6!I37+8!I37+9!I37+'10'!I37+'11'!I37+'12'!I37+'13'!I37+'14'!I37+'15'!I34+'16'!I43+'17'!I37+'18'!I38+'19'!I37+'20'!I47+'22'!I37+'23'!I37+'21'!I37+'24'!I37+'25'!I37+'26'!I37+'27'!I37+'28'!I37+'29'!I37+'30'!I37+'31'!I34+'32'!I36+'33'!I35+'34'!I37+'35'!I37+'36'!I37+'37'!I37+7!I37</f>
        <v>331765.15</v>
      </c>
      <c r="H30" s="180">
        <f t="shared" si="0"/>
        <v>79.91067514512127</v>
      </c>
      <c r="K30" s="95"/>
    </row>
    <row r="31" spans="2:11" ht="13.5" customHeight="1">
      <c r="B31" s="14"/>
      <c r="C31" s="127">
        <v>821300</v>
      </c>
      <c r="D31" s="19" t="s">
        <v>17</v>
      </c>
      <c r="E31" s="124">
        <f>1!G38+2!G38+3!G50+4!G39+5!G38+6!G38+8!G38+9!G38+'10'!G38+'11'!G38+'12'!G38+'13'!G38+'14'!G38+'15'!G35+'16'!G44+'17'!G38+'18'!G39+'19'!G38+'20'!G48+'22'!G38+'23'!G38+'21'!G38+'24'!G38+'25'!G38+'26'!G38+'27'!G38+'28'!G38+'29'!G38+'30'!G38+'31'!G35+'32'!G37+'33'!G36+'34'!G38+'35'!G38+'36'!G38+'37'!G38+7!G38</f>
        <v>196430</v>
      </c>
      <c r="F31" s="124">
        <f>1!H38+2!H38+3!H50+4!H39+5!H38+6!H38+8!H38+9!H38+'10'!H38+'11'!H38+'12'!H38+'13'!H38+'14'!H38+'15'!H35+'16'!H44+'17'!H38+'18'!H39+'19'!H38+'20'!H48+'22'!H38+'23'!H38+'21'!H38+'24'!H38+'25'!H38+'26'!H38+'27'!H38+'28'!H38+'29'!H38+'30'!H38+'31'!H35+'32'!H37+'33'!H36+'34'!H38+'35'!H38+'36'!H38+'37'!H38+7!H38</f>
        <v>223830</v>
      </c>
      <c r="G31" s="124">
        <f>1!I38+2!I38+3!I50+4!I39+5!I38+6!I38+8!I38+9!I38+'10'!I38+'11'!I38+'12'!I38+'13'!I38+'14'!I38+'15'!I35+'16'!I44+'17'!I38+'18'!I39+'19'!I38+'20'!I48+'22'!I38+'23'!I38+'21'!I38+'24'!I38+'25'!I38+'26'!I38+'27'!I38+'28'!I38+'29'!I38+'30'!I38+'31'!I35+'32'!I37+'33'!I36+'34'!I38+'35'!I38+'36'!I38+'37'!I38+7!I38</f>
        <v>196142.22</v>
      </c>
      <c r="H31" s="180">
        <f t="shared" si="0"/>
        <v>87.62999597909128</v>
      </c>
      <c r="K31" s="95"/>
    </row>
    <row r="32" spans="2:11" s="1" customFormat="1" ht="13.5" customHeight="1">
      <c r="B32" s="17"/>
      <c r="C32" s="127">
        <v>821600</v>
      </c>
      <c r="D32" s="117" t="s">
        <v>30</v>
      </c>
      <c r="E32" s="124">
        <f>'18'!G40</f>
        <v>840000</v>
      </c>
      <c r="F32" s="124">
        <f>'18'!H40</f>
        <v>840000</v>
      </c>
      <c r="G32" s="124">
        <f>'18'!I40</f>
        <v>839984.75</v>
      </c>
      <c r="H32" s="180">
        <f t="shared" si="0"/>
        <v>99.99818452380951</v>
      </c>
      <c r="K32" s="95"/>
    </row>
    <row r="33" spans="2:8" ht="13.5" customHeight="1">
      <c r="B33" s="14"/>
      <c r="C33" s="37"/>
      <c r="D33" s="15"/>
      <c r="E33" s="45"/>
      <c r="F33" s="45"/>
      <c r="G33" s="45"/>
      <c r="H33" s="180"/>
    </row>
    <row r="34" spans="2:8" ht="13.5" customHeight="1">
      <c r="B34" s="14"/>
      <c r="C34" s="37"/>
      <c r="D34" s="26"/>
      <c r="E34" s="46"/>
      <c r="F34" s="46"/>
      <c r="G34" s="46"/>
      <c r="H34" s="180"/>
    </row>
    <row r="35" spans="2:8" ht="13.5" customHeight="1">
      <c r="B35" s="14"/>
      <c r="C35" s="8">
        <v>823000</v>
      </c>
      <c r="D35" s="12" t="s">
        <v>134</v>
      </c>
      <c r="E35" s="20">
        <f>SUM(E36:E38)</f>
        <v>1951520</v>
      </c>
      <c r="F35" s="20">
        <f>SUM(F36:F38)</f>
        <v>1828680</v>
      </c>
      <c r="G35" s="20">
        <f>SUM(G36:G38)</f>
        <v>1801677.56</v>
      </c>
      <c r="H35" s="176">
        <f t="shared" si="0"/>
        <v>98.52339173611567</v>
      </c>
    </row>
    <row r="36" spans="2:10" ht="13.5" customHeight="1">
      <c r="B36" s="14"/>
      <c r="C36" s="37">
        <v>823300</v>
      </c>
      <c r="D36" s="26" t="s">
        <v>150</v>
      </c>
      <c r="E36" s="45">
        <f>'20'!G51</f>
        <v>75850</v>
      </c>
      <c r="F36" s="45">
        <f>'20'!H51</f>
        <v>75850</v>
      </c>
      <c r="G36" s="45">
        <f>'20'!I51</f>
        <v>70908.31</v>
      </c>
      <c r="H36" s="180">
        <f t="shared" si="0"/>
        <v>93.48491760052735</v>
      </c>
      <c r="J36" s="148"/>
    </row>
    <row r="37" spans="2:8" ht="13.5" customHeight="1">
      <c r="B37" s="14"/>
      <c r="C37" s="37">
        <v>823300</v>
      </c>
      <c r="D37" s="26" t="s">
        <v>256</v>
      </c>
      <c r="E37" s="46">
        <f>'16'!G47</f>
        <v>1730770</v>
      </c>
      <c r="F37" s="46">
        <f>'16'!H47</f>
        <v>1730770</v>
      </c>
      <c r="G37" s="46">
        <f>'16'!I47</f>
        <v>1730769.25</v>
      </c>
      <c r="H37" s="180">
        <f t="shared" si="0"/>
        <v>99.99995666668593</v>
      </c>
    </row>
    <row r="38" spans="2:10" ht="13.5" customHeight="1">
      <c r="B38" s="14"/>
      <c r="C38" s="37">
        <v>823300</v>
      </c>
      <c r="D38" s="26" t="s">
        <v>250</v>
      </c>
      <c r="E38" s="45">
        <f>'16'!G48</f>
        <v>144900</v>
      </c>
      <c r="F38" s="45">
        <f>'16'!H48</f>
        <v>22060</v>
      </c>
      <c r="G38" s="45">
        <f>'16'!I48</f>
        <v>0</v>
      </c>
      <c r="H38" s="180">
        <f t="shared" si="0"/>
        <v>0</v>
      </c>
      <c r="J38" s="337"/>
    </row>
    <row r="39" spans="2:8" ht="13.5" customHeight="1">
      <c r="B39" s="14"/>
      <c r="C39" s="37"/>
      <c r="D39" s="15"/>
      <c r="E39" s="50"/>
      <c r="F39" s="50"/>
      <c r="G39" s="45"/>
      <c r="H39" s="180"/>
    </row>
    <row r="40" spans="2:8" ht="13.5" customHeight="1">
      <c r="B40" s="14"/>
      <c r="C40" s="37"/>
      <c r="D40" s="15"/>
      <c r="E40" s="50"/>
      <c r="F40" s="50"/>
      <c r="G40" s="45"/>
      <c r="H40" s="180"/>
    </row>
    <row r="41" spans="2:10" ht="13.5" customHeight="1">
      <c r="B41" s="14"/>
      <c r="C41" s="8"/>
      <c r="D41" s="12" t="s">
        <v>18</v>
      </c>
      <c r="E41" s="181" t="s">
        <v>564</v>
      </c>
      <c r="F41" s="181" t="s">
        <v>564</v>
      </c>
      <c r="G41" s="142" t="s">
        <v>582</v>
      </c>
      <c r="H41" s="180"/>
      <c r="J41" s="95"/>
    </row>
    <row r="42" spans="2:10" ht="13.5" customHeight="1">
      <c r="B42" s="14"/>
      <c r="C42" s="8"/>
      <c r="D42" s="12" t="s">
        <v>40</v>
      </c>
      <c r="E42" s="20">
        <f>1!G42+2!G42+3!G54+4!G43+5!G42+6!G42+7!G42+8!G42+9!G42+'10'!G42+'11'!G42+'12'!G42+'13'!G42+'14'!G42+'15'!G39+'16'!G51+'17'!G42+'18'!G43+'19'!G42+'20'!G55+'22'!G42+'23'!G42+'21'!G42+'24'!G42+'25'!G42+'26'!G42+'27'!G42+'28'!G42+'29'!G42+'30'!G42+'31'!G39+'32'!G41+'33'!G40+'34'!G42+'35'!G42+'36'!G42+'37'!G42</f>
        <v>37494520</v>
      </c>
      <c r="F42" s="20">
        <f>1!H42+2!H42+3!H54+4!H43+5!H42+6!H42+7!H42+8!H42+9!H42+'10'!H42+'11'!H42+'12'!H42+'13'!H42+'14'!H42+'15'!H39+'16'!H51+'17'!H42+'18'!H43+'19'!H42+'20'!H55+'22'!H42+'23'!H42+'21'!H42+'24'!H42+'25'!H42+'26'!H42+'27'!H42+'28'!H42+'29'!H42+'30'!H42+'31'!H39+'32'!H41+'33'!H40+'34'!H42+'35'!H42+'36'!H42+'37'!H42</f>
        <v>37494520</v>
      </c>
      <c r="G42" s="20">
        <f>1!I42+2!I42+3!I54+4!I43+5!I42+6!I42+7!I42+8!I42+9!I42+'10'!I42+'11'!I42+'12'!I42+'13'!I42+'14'!I42+'15'!I39+'16'!I51+'17'!I42+'18'!I43+'19'!I42+'20'!I55+'22'!I42+'23'!I42+'21'!I42+'24'!I42+'25'!I42+'26'!I42+'27'!I42+'28'!I42+'29'!I42+'30'!I42+'31'!I39+'32'!I41+'33'!I40+'34'!I42+'35'!I42+'36'!I42+'37'!I42</f>
        <v>35964034.43000001</v>
      </c>
      <c r="H42" s="176">
        <f t="shared" si="0"/>
        <v>95.91810864627686</v>
      </c>
      <c r="J42" s="95"/>
    </row>
    <row r="43" spans="2:8" s="1" customFormat="1" ht="13.5" customHeight="1" thickBot="1">
      <c r="B43" s="17"/>
      <c r="C43" s="41"/>
      <c r="D43" s="22"/>
      <c r="E43" s="36"/>
      <c r="F43" s="36"/>
      <c r="G43" s="22"/>
      <c r="H43" s="164"/>
    </row>
    <row r="44" spans="2:8" ht="13.5" customHeight="1" thickBot="1">
      <c r="B44" s="14"/>
      <c r="C44" s="84"/>
      <c r="D44" s="85"/>
      <c r="E44" s="85"/>
      <c r="F44" s="85"/>
      <c r="G44" s="85"/>
      <c r="H44" s="152"/>
    </row>
    <row r="45" ht="12" customHeight="1">
      <c r="B45" s="14"/>
    </row>
    <row r="46" spans="2:8" s="1" customFormat="1" ht="12" customHeight="1">
      <c r="B46" s="17"/>
      <c r="C46" s="110"/>
      <c r="D46" s="13"/>
      <c r="E46" s="95"/>
      <c r="F46" s="95"/>
      <c r="G46" s="95"/>
      <c r="H46" s="148"/>
    </row>
    <row r="47" spans="2:8" s="1" customFormat="1" ht="12" customHeight="1">
      <c r="B47" s="17"/>
      <c r="C47" s="48"/>
      <c r="D47" s="13"/>
      <c r="E47" s="13"/>
      <c r="F47" s="13"/>
      <c r="G47" s="13"/>
      <c r="H47" s="148"/>
    </row>
    <row r="48" spans="2:11" s="1" customFormat="1" ht="12" customHeight="1">
      <c r="B48" s="17"/>
      <c r="C48" s="112"/>
      <c r="D48" s="13"/>
      <c r="E48" s="13"/>
      <c r="F48" s="13"/>
      <c r="G48" s="13"/>
      <c r="H48" s="148"/>
      <c r="K48" s="96"/>
    </row>
    <row r="49" spans="2:3" ht="12" customHeight="1">
      <c r="B49" s="14"/>
      <c r="C49" s="113"/>
    </row>
    <row r="50" spans="2:8" ht="12" customHeight="1">
      <c r="B50" s="14"/>
      <c r="C50" s="409"/>
      <c r="D50" s="409"/>
      <c r="E50" s="409"/>
      <c r="F50" s="409"/>
      <c r="G50" s="409"/>
      <c r="H50" s="409"/>
    </row>
    <row r="51" spans="2:8" s="1" customFormat="1" ht="12" customHeight="1">
      <c r="B51" s="17"/>
      <c r="C51" s="409"/>
      <c r="D51" s="409"/>
      <c r="E51" s="49"/>
      <c r="F51" s="49"/>
      <c r="G51" s="49"/>
      <c r="H51" s="153"/>
    </row>
    <row r="52" spans="2:3" ht="12" customHeight="1">
      <c r="B52" s="14"/>
      <c r="C52" s="113"/>
    </row>
    <row r="53" spans="2:8" ht="12" customHeight="1">
      <c r="B53" s="14"/>
      <c r="C53" s="410"/>
      <c r="D53" s="411"/>
      <c r="E53" s="411"/>
      <c r="F53" s="411"/>
      <c r="G53" s="411"/>
      <c r="H53" s="411"/>
    </row>
    <row r="54" spans="2:8" ht="12" customHeight="1">
      <c r="B54" s="14"/>
      <c r="C54" s="411"/>
      <c r="D54" s="411"/>
      <c r="E54" s="411"/>
      <c r="F54" s="411"/>
      <c r="G54" s="411"/>
      <c r="H54" s="411"/>
    </row>
    <row r="55" spans="2:3" ht="12" customHeight="1">
      <c r="B55" s="14"/>
      <c r="C55" s="48"/>
    </row>
    <row r="56" spans="2:3" ht="12" customHeight="1">
      <c r="B56" s="14"/>
      <c r="C56" s="48"/>
    </row>
    <row r="57" spans="2:3" ht="12" customHeight="1">
      <c r="B57" s="14"/>
      <c r="C57" s="48"/>
    </row>
    <row r="58" spans="2:8" s="1" customFormat="1" ht="12" customHeight="1">
      <c r="B58" s="17"/>
      <c r="C58" s="24"/>
      <c r="D58" s="13"/>
      <c r="E58" s="13"/>
      <c r="F58" s="13"/>
      <c r="G58" s="13"/>
      <c r="H58" s="148"/>
    </row>
    <row r="59" spans="2:8" s="1" customFormat="1" ht="12" customHeight="1">
      <c r="B59" s="28"/>
      <c r="C59" s="24"/>
      <c r="D59" s="13"/>
      <c r="E59" s="13"/>
      <c r="F59" s="13"/>
      <c r="G59" s="13"/>
      <c r="H59" s="148"/>
    </row>
    <row r="60" spans="2:8" s="1" customFormat="1" ht="12" customHeight="1">
      <c r="B60" s="28"/>
      <c r="C60" s="24"/>
      <c r="D60" s="13"/>
      <c r="E60" s="13"/>
      <c r="F60" s="13"/>
      <c r="G60" s="13"/>
      <c r="H60" s="148"/>
    </row>
    <row r="61" spans="2:8" s="1" customFormat="1" ht="12" customHeight="1">
      <c r="B61" s="28"/>
      <c r="C61" s="24"/>
      <c r="D61" s="13"/>
      <c r="E61" s="13"/>
      <c r="F61" s="13"/>
      <c r="G61" s="13"/>
      <c r="H61" s="148"/>
    </row>
    <row r="62" ht="12" customHeight="1" thickBot="1">
      <c r="B62" s="21"/>
    </row>
  </sheetData>
  <sheetProtection/>
  <mergeCells count="3">
    <mergeCell ref="C50:H50"/>
    <mergeCell ref="C51:D51"/>
    <mergeCell ref="C53:H54"/>
  </mergeCells>
  <printOptions/>
  <pageMargins left="0.67" right="0.16" top="0.63" bottom="0.56" header="0.5118110236220472" footer="0.4"/>
  <pageSetup horizontalDpi="600" verticalDpi="600" orientation="portrait" paperSize="9" scale="74" r:id="rId1"/>
  <headerFooter alignWithMargins="0">
    <oddFooter>&amp;R9</oddFooter>
  </headerFooter>
  <rowBreaks count="1" manualBreakCount="1">
    <brk id="5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M47"/>
  <sheetViews>
    <sheetView zoomScalePageLayoutView="0" workbookViewId="0" topLeftCell="B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28125" style="24" customWidth="1"/>
    <col min="6" max="6" width="43.7109375" style="13" customWidth="1"/>
    <col min="7" max="9" width="15.7109375" style="13" customWidth="1"/>
    <col min="10" max="10" width="8.7109375" style="148" customWidth="1"/>
    <col min="11" max="11" width="9.140625" style="13" customWidth="1"/>
    <col min="12" max="12" width="9.57421875" style="13" bestFit="1" customWidth="1"/>
    <col min="13" max="16384" width="9.140625" style="13" customWidth="1"/>
  </cols>
  <sheetData>
    <row r="2" spans="2:10" ht="15" customHeight="1">
      <c r="B2" s="412" t="s">
        <v>44</v>
      </c>
      <c r="C2" s="412"/>
      <c r="D2" s="412"/>
      <c r="E2" s="412"/>
      <c r="F2" s="412"/>
      <c r="G2" s="412"/>
      <c r="H2" s="412"/>
      <c r="I2" s="412"/>
      <c r="J2" s="412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>
        <v>10</v>
      </c>
      <c r="C6" s="11" t="s">
        <v>6</v>
      </c>
      <c r="D6" s="11" t="s">
        <v>7</v>
      </c>
      <c r="E6" s="9"/>
      <c r="F6" s="9"/>
      <c r="G6" s="9"/>
      <c r="H6" s="9"/>
      <c r="I6" s="9"/>
      <c r="J6" s="159"/>
    </row>
    <row r="7" spans="2:12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SUM(G8:G10)</f>
        <v>364720</v>
      </c>
      <c r="H7" s="20">
        <f>SUM(H8:H10)</f>
        <v>364720</v>
      </c>
      <c r="I7" s="20">
        <f>SUM(I8:I10)</f>
        <v>360650.66000000003</v>
      </c>
      <c r="J7" s="160">
        <f>IF(H7=0,"",I7/H7*100)</f>
        <v>98.88425641588069</v>
      </c>
      <c r="L7" s="94"/>
    </row>
    <row r="8" spans="2:12" ht="12.75" customHeight="1">
      <c r="B8" s="14"/>
      <c r="C8" s="15"/>
      <c r="D8" s="15"/>
      <c r="E8" s="16">
        <v>611100</v>
      </c>
      <c r="F8" s="26" t="s">
        <v>128</v>
      </c>
      <c r="G8" s="88">
        <v>298200</v>
      </c>
      <c r="H8" s="88">
        <v>298200</v>
      </c>
      <c r="I8" s="88">
        <v>294282.94</v>
      </c>
      <c r="J8" s="161">
        <f>IF(H8=0,"",I8/H8*100)</f>
        <v>98.68643192488264</v>
      </c>
      <c r="K8" s="87"/>
      <c r="L8" s="94"/>
    </row>
    <row r="9" spans="2:12" ht="12.75" customHeight="1">
      <c r="B9" s="14"/>
      <c r="C9" s="15"/>
      <c r="D9" s="15"/>
      <c r="E9" s="16">
        <v>611200</v>
      </c>
      <c r="F9" s="26" t="s">
        <v>129</v>
      </c>
      <c r="G9" s="88">
        <v>61300</v>
      </c>
      <c r="H9" s="88">
        <v>61050</v>
      </c>
      <c r="I9" s="88">
        <v>60898.72</v>
      </c>
      <c r="J9" s="161">
        <f aca="true" t="shared" si="0" ref="J9:J42">IF(H9=0,"",I9/H9*100)</f>
        <v>99.75220311220312</v>
      </c>
      <c r="K9" s="95"/>
      <c r="L9" s="94"/>
    </row>
    <row r="10" spans="2:12" ht="12.75" customHeight="1">
      <c r="B10" s="14"/>
      <c r="C10" s="15"/>
      <c r="D10" s="15"/>
      <c r="E10" s="16">
        <v>611200</v>
      </c>
      <c r="F10" s="26" t="s">
        <v>457</v>
      </c>
      <c r="G10" s="88">
        <v>5220</v>
      </c>
      <c r="H10" s="88">
        <v>5470</v>
      </c>
      <c r="I10" s="88">
        <v>5469</v>
      </c>
      <c r="J10" s="161">
        <f t="shared" si="0"/>
        <v>99.981718464351</v>
      </c>
      <c r="K10" s="95"/>
      <c r="L10" s="94"/>
    </row>
    <row r="11" spans="2:12" ht="12.75" customHeight="1">
      <c r="B11" s="14"/>
      <c r="C11" s="15"/>
      <c r="D11" s="15"/>
      <c r="E11" s="16"/>
      <c r="F11" s="15"/>
      <c r="G11" s="45"/>
      <c r="H11" s="45"/>
      <c r="I11" s="45"/>
      <c r="J11" s="161">
        <f t="shared" si="0"/>
      </c>
      <c r="L11" s="94"/>
    </row>
    <row r="12" spans="2:12" ht="12.75" customHeight="1">
      <c r="B12" s="17"/>
      <c r="C12" s="12"/>
      <c r="D12" s="12"/>
      <c r="E12" s="9">
        <v>612000</v>
      </c>
      <c r="F12" s="12" t="s">
        <v>91</v>
      </c>
      <c r="G12" s="20">
        <f>G13+G14</f>
        <v>31600</v>
      </c>
      <c r="H12" s="20">
        <f>H13+H14</f>
        <v>31600</v>
      </c>
      <c r="I12" s="20">
        <f>I13+I14</f>
        <v>30899.7</v>
      </c>
      <c r="J12" s="160">
        <f t="shared" si="0"/>
        <v>97.78386075949366</v>
      </c>
      <c r="L12" s="94"/>
    </row>
    <row r="13" spans="2:12" s="1" customFormat="1" ht="12.75" customHeight="1">
      <c r="B13" s="14"/>
      <c r="C13" s="15"/>
      <c r="D13" s="15"/>
      <c r="E13" s="16">
        <v>612100</v>
      </c>
      <c r="F13" s="18" t="s">
        <v>8</v>
      </c>
      <c r="G13" s="88">
        <v>31600</v>
      </c>
      <c r="H13" s="88">
        <v>31600</v>
      </c>
      <c r="I13" s="88">
        <v>30899.7</v>
      </c>
      <c r="J13" s="161">
        <f t="shared" si="0"/>
        <v>97.78386075949366</v>
      </c>
      <c r="L13" s="94"/>
    </row>
    <row r="14" spans="2:12" ht="12.75" customHeight="1">
      <c r="B14" s="14"/>
      <c r="C14" s="15"/>
      <c r="D14" s="15"/>
      <c r="E14" s="16"/>
      <c r="F14" s="15"/>
      <c r="G14" s="45"/>
      <c r="H14" s="45"/>
      <c r="I14" s="45"/>
      <c r="J14" s="161">
        <f t="shared" si="0"/>
      </c>
      <c r="L14" s="94"/>
    </row>
    <row r="15" spans="2:12" ht="12.75" customHeight="1">
      <c r="B15" s="14"/>
      <c r="C15" s="15"/>
      <c r="D15" s="15"/>
      <c r="E15" s="16"/>
      <c r="F15" s="15"/>
      <c r="G15" s="45"/>
      <c r="H15" s="45"/>
      <c r="I15" s="45"/>
      <c r="J15" s="161">
        <f t="shared" si="0"/>
      </c>
      <c r="L15" s="94"/>
    </row>
    <row r="16" spans="2:12" ht="12.75" customHeight="1">
      <c r="B16" s="17"/>
      <c r="C16" s="12"/>
      <c r="D16" s="12"/>
      <c r="E16" s="9">
        <v>613000</v>
      </c>
      <c r="F16" s="12" t="s">
        <v>93</v>
      </c>
      <c r="G16" s="51">
        <f>SUM(G17:G26)</f>
        <v>257150</v>
      </c>
      <c r="H16" s="51">
        <f>SUM(H17:H26)</f>
        <v>252890</v>
      </c>
      <c r="I16" s="51">
        <f>SUM(I17:I26)</f>
        <v>252688.53</v>
      </c>
      <c r="J16" s="160">
        <f t="shared" si="0"/>
        <v>99.92033295108546</v>
      </c>
      <c r="L16" s="94"/>
    </row>
    <row r="17" spans="2:12" s="1" customFormat="1" ht="12.75" customHeight="1">
      <c r="B17" s="14"/>
      <c r="C17" s="15"/>
      <c r="D17" s="15"/>
      <c r="E17" s="16">
        <v>613100</v>
      </c>
      <c r="F17" s="15" t="s">
        <v>9</v>
      </c>
      <c r="G17" s="45">
        <v>6000</v>
      </c>
      <c r="H17" s="45">
        <v>5780</v>
      </c>
      <c r="I17" s="45">
        <v>5771.53</v>
      </c>
      <c r="J17" s="161">
        <f t="shared" si="0"/>
        <v>99.85346020761246</v>
      </c>
      <c r="L17" s="94"/>
    </row>
    <row r="18" spans="2:12" ht="12.75" customHeight="1">
      <c r="B18" s="14"/>
      <c r="C18" s="15"/>
      <c r="D18" s="15"/>
      <c r="E18" s="16">
        <v>613200</v>
      </c>
      <c r="F18" s="15" t="s">
        <v>10</v>
      </c>
      <c r="G18" s="45">
        <v>13600</v>
      </c>
      <c r="H18" s="45">
        <v>10930</v>
      </c>
      <c r="I18" s="45">
        <v>10922.11</v>
      </c>
      <c r="J18" s="161">
        <f t="shared" si="0"/>
        <v>99.92781335773103</v>
      </c>
      <c r="L18" s="94"/>
    </row>
    <row r="19" spans="2:12" ht="12.75" customHeight="1">
      <c r="B19" s="14"/>
      <c r="C19" s="15"/>
      <c r="D19" s="15"/>
      <c r="E19" s="16">
        <v>613300</v>
      </c>
      <c r="F19" s="26" t="s">
        <v>130</v>
      </c>
      <c r="G19" s="45">
        <v>6300</v>
      </c>
      <c r="H19" s="45">
        <v>8300</v>
      </c>
      <c r="I19" s="88">
        <v>8246.07</v>
      </c>
      <c r="J19" s="161">
        <f t="shared" si="0"/>
        <v>99.35024096385541</v>
      </c>
      <c r="L19" s="94"/>
    </row>
    <row r="20" spans="2:12" ht="12.75" customHeight="1">
      <c r="B20" s="14"/>
      <c r="C20" s="15"/>
      <c r="D20" s="15"/>
      <c r="E20" s="16">
        <v>613400</v>
      </c>
      <c r="F20" s="26" t="s">
        <v>94</v>
      </c>
      <c r="G20" s="88">
        <v>5500</v>
      </c>
      <c r="H20" s="88">
        <v>4450</v>
      </c>
      <c r="I20" s="88">
        <v>4446.56</v>
      </c>
      <c r="J20" s="161">
        <f t="shared" si="0"/>
        <v>99.92269662921349</v>
      </c>
      <c r="L20" s="94"/>
    </row>
    <row r="21" spans="2:12" ht="12.75" customHeight="1">
      <c r="B21" s="14"/>
      <c r="C21" s="15"/>
      <c r="D21" s="15"/>
      <c r="E21" s="16">
        <v>613500</v>
      </c>
      <c r="F21" s="15" t="s">
        <v>11</v>
      </c>
      <c r="G21" s="88">
        <v>10000</v>
      </c>
      <c r="H21" s="88">
        <v>9650</v>
      </c>
      <c r="I21" s="88">
        <v>9647.46</v>
      </c>
      <c r="J21" s="161">
        <f t="shared" si="0"/>
        <v>99.97367875647667</v>
      </c>
      <c r="L21" s="94"/>
    </row>
    <row r="22" spans="2:12" ht="12.75" customHeight="1">
      <c r="B22" s="14"/>
      <c r="C22" s="15"/>
      <c r="D22" s="15"/>
      <c r="E22" s="16">
        <v>613600</v>
      </c>
      <c r="F22" s="26" t="s">
        <v>131</v>
      </c>
      <c r="G22" s="45">
        <v>0</v>
      </c>
      <c r="H22" s="45">
        <v>0</v>
      </c>
      <c r="I22" s="45">
        <v>0</v>
      </c>
      <c r="J22" s="161">
        <f t="shared" si="0"/>
      </c>
      <c r="L22" s="94"/>
    </row>
    <row r="23" spans="2:12" ht="12.75" customHeight="1">
      <c r="B23" s="14"/>
      <c r="C23" s="15"/>
      <c r="D23" s="15"/>
      <c r="E23" s="16">
        <v>613700</v>
      </c>
      <c r="F23" s="15" t="s">
        <v>12</v>
      </c>
      <c r="G23" s="45">
        <v>9000</v>
      </c>
      <c r="H23" s="45">
        <v>2910</v>
      </c>
      <c r="I23" s="45">
        <v>2903.43</v>
      </c>
      <c r="J23" s="161">
        <f t="shared" si="0"/>
        <v>99.77422680412371</v>
      </c>
      <c r="L23" s="94"/>
    </row>
    <row r="24" spans="2:12" ht="12.75" customHeight="1">
      <c r="B24" s="14"/>
      <c r="C24" s="15"/>
      <c r="D24" s="15"/>
      <c r="E24" s="16">
        <v>613800</v>
      </c>
      <c r="F24" s="26" t="s">
        <v>95</v>
      </c>
      <c r="G24" s="45">
        <v>350</v>
      </c>
      <c r="H24" s="45">
        <v>350</v>
      </c>
      <c r="I24" s="45">
        <v>338.95</v>
      </c>
      <c r="J24" s="161">
        <f t="shared" si="0"/>
        <v>96.84285714285714</v>
      </c>
      <c r="L24" s="141"/>
    </row>
    <row r="25" spans="2:12" ht="12.75" customHeight="1">
      <c r="B25" s="14"/>
      <c r="C25" s="15"/>
      <c r="D25" s="15"/>
      <c r="E25" s="16">
        <v>613900</v>
      </c>
      <c r="F25" s="26" t="s">
        <v>96</v>
      </c>
      <c r="G25" s="88">
        <v>200000</v>
      </c>
      <c r="H25" s="88">
        <v>202770</v>
      </c>
      <c r="I25" s="88">
        <v>202668.17</v>
      </c>
      <c r="J25" s="161">
        <f t="shared" si="0"/>
        <v>99.94978053952755</v>
      </c>
      <c r="K25" s="114"/>
      <c r="L25" s="140"/>
    </row>
    <row r="26" spans="2:13" ht="12.75" customHeight="1">
      <c r="B26" s="14"/>
      <c r="C26" s="15"/>
      <c r="D26" s="15"/>
      <c r="E26" s="16">
        <v>613900</v>
      </c>
      <c r="F26" s="26" t="s">
        <v>143</v>
      </c>
      <c r="G26" s="45">
        <v>6400</v>
      </c>
      <c r="H26" s="45">
        <v>7750</v>
      </c>
      <c r="I26" s="88">
        <v>7744.25</v>
      </c>
      <c r="J26" s="161">
        <f t="shared" si="0"/>
        <v>99.92580645161291</v>
      </c>
      <c r="L26" s="140"/>
      <c r="M26" s="87"/>
    </row>
    <row r="27" spans="2:12" ht="12.75" customHeight="1">
      <c r="B27" s="14"/>
      <c r="C27" s="15"/>
      <c r="D27" s="15"/>
      <c r="E27" s="16"/>
      <c r="F27" s="15"/>
      <c r="G27" s="45"/>
      <c r="H27" s="45"/>
      <c r="I27" s="45"/>
      <c r="J27" s="161">
        <f t="shared" si="0"/>
      </c>
      <c r="L27" s="94"/>
    </row>
    <row r="28" spans="2:12" ht="12.75" customHeight="1">
      <c r="B28" s="17"/>
      <c r="C28" s="12"/>
      <c r="D28" s="12"/>
      <c r="E28" s="9">
        <v>614000</v>
      </c>
      <c r="F28" s="12" t="s">
        <v>132</v>
      </c>
      <c r="G28" s="20">
        <f>SUM(G29:G34)</f>
        <v>160000</v>
      </c>
      <c r="H28" s="20">
        <f>SUM(H29:H34)</f>
        <v>160000</v>
      </c>
      <c r="I28" s="20">
        <f>SUM(I29:I34)</f>
        <v>159999.66</v>
      </c>
      <c r="J28" s="160">
        <f t="shared" si="0"/>
        <v>99.9997875</v>
      </c>
      <c r="L28" s="94"/>
    </row>
    <row r="29" spans="2:12" s="1" customFormat="1" ht="12.75" customHeight="1">
      <c r="B29" s="14"/>
      <c r="C29" s="15"/>
      <c r="D29" s="15"/>
      <c r="E29" s="16">
        <v>614300</v>
      </c>
      <c r="F29" s="26" t="s">
        <v>21</v>
      </c>
      <c r="G29" s="45">
        <v>160000</v>
      </c>
      <c r="H29" s="45">
        <v>160000</v>
      </c>
      <c r="I29" s="45">
        <v>159999.66</v>
      </c>
      <c r="J29" s="161">
        <f t="shared" si="0"/>
        <v>99.9997875</v>
      </c>
      <c r="L29" s="94"/>
    </row>
    <row r="30" spans="2:12" ht="12.75" customHeight="1">
      <c r="B30" s="14"/>
      <c r="C30" s="15"/>
      <c r="D30" s="15"/>
      <c r="E30" s="16"/>
      <c r="F30" s="26"/>
      <c r="G30" s="45"/>
      <c r="H30" s="45"/>
      <c r="I30" s="45"/>
      <c r="J30" s="161">
        <f t="shared" si="0"/>
      </c>
      <c r="L30" s="94"/>
    </row>
    <row r="31" spans="2:12" ht="12.75" customHeight="1">
      <c r="B31" s="14"/>
      <c r="C31" s="15"/>
      <c r="D31" s="15"/>
      <c r="E31" s="16"/>
      <c r="F31" s="15"/>
      <c r="G31" s="45"/>
      <c r="H31" s="45"/>
      <c r="I31" s="45"/>
      <c r="J31" s="161">
        <f t="shared" si="0"/>
      </c>
      <c r="L31" s="94"/>
    </row>
    <row r="32" spans="2:12" ht="12.75" customHeight="1">
      <c r="B32" s="14"/>
      <c r="C32" s="15"/>
      <c r="D32" s="15"/>
      <c r="E32" s="16"/>
      <c r="F32" s="15"/>
      <c r="G32" s="45"/>
      <c r="H32" s="45"/>
      <c r="I32" s="45"/>
      <c r="J32" s="161">
        <f t="shared" si="0"/>
      </c>
      <c r="L32" s="94"/>
    </row>
    <row r="33" spans="2:12" ht="12.75" customHeight="1">
      <c r="B33" s="14"/>
      <c r="C33" s="15"/>
      <c r="D33" s="15"/>
      <c r="E33" s="16"/>
      <c r="F33" s="15"/>
      <c r="G33" s="45"/>
      <c r="H33" s="45"/>
      <c r="I33" s="45"/>
      <c r="J33" s="161">
        <f t="shared" si="0"/>
      </c>
      <c r="L33" s="94"/>
    </row>
    <row r="34" spans="2:12" ht="12.75" customHeight="1">
      <c r="B34" s="14"/>
      <c r="C34" s="15"/>
      <c r="D34" s="15"/>
      <c r="E34" s="16"/>
      <c r="F34" s="19"/>
      <c r="G34" s="45"/>
      <c r="H34" s="45"/>
      <c r="I34" s="45"/>
      <c r="J34" s="161">
        <f t="shared" si="0"/>
      </c>
      <c r="L34" s="94"/>
    </row>
    <row r="35" spans="2:12" ht="12.75" customHeight="1">
      <c r="B35" s="14"/>
      <c r="C35" s="15"/>
      <c r="D35" s="15"/>
      <c r="E35" s="16"/>
      <c r="F35" s="15"/>
      <c r="G35" s="45"/>
      <c r="H35" s="45"/>
      <c r="I35" s="45"/>
      <c r="J35" s="161">
        <f t="shared" si="0"/>
      </c>
      <c r="L35" s="94"/>
    </row>
    <row r="36" spans="2:12" ht="12.75" customHeight="1">
      <c r="B36" s="17"/>
      <c r="C36" s="12"/>
      <c r="D36" s="12"/>
      <c r="E36" s="9">
        <v>821000</v>
      </c>
      <c r="F36" s="12" t="s">
        <v>15</v>
      </c>
      <c r="G36" s="20">
        <f>SUM(G37:G38)</f>
        <v>2000</v>
      </c>
      <c r="H36" s="20">
        <f>SUM(H37:H38)</f>
        <v>7610</v>
      </c>
      <c r="I36" s="20">
        <f>SUM(I37:I38)</f>
        <v>7590.79</v>
      </c>
      <c r="J36" s="160">
        <f t="shared" si="0"/>
        <v>99.74756898817346</v>
      </c>
      <c r="L36" s="94"/>
    </row>
    <row r="37" spans="2:12" s="1" customFormat="1" ht="12.75" customHeight="1">
      <c r="B37" s="14"/>
      <c r="C37" s="15"/>
      <c r="D37" s="15"/>
      <c r="E37" s="16">
        <v>821200</v>
      </c>
      <c r="F37" s="15" t="s">
        <v>16</v>
      </c>
      <c r="G37" s="88">
        <v>0</v>
      </c>
      <c r="H37" s="88">
        <v>5610</v>
      </c>
      <c r="I37" s="88">
        <v>5600.79</v>
      </c>
      <c r="J37" s="161">
        <f t="shared" si="0"/>
        <v>99.83582887700535</v>
      </c>
      <c r="L37" s="94"/>
    </row>
    <row r="38" spans="2:12" ht="12.75" customHeight="1">
      <c r="B38" s="14"/>
      <c r="C38" s="15"/>
      <c r="D38" s="15"/>
      <c r="E38" s="16">
        <v>821300</v>
      </c>
      <c r="F38" s="15" t="s">
        <v>17</v>
      </c>
      <c r="G38" s="88">
        <v>2000</v>
      </c>
      <c r="H38" s="88">
        <v>2000</v>
      </c>
      <c r="I38" s="88">
        <v>1990</v>
      </c>
      <c r="J38" s="161">
        <f t="shared" si="0"/>
        <v>99.5</v>
      </c>
      <c r="K38" s="87"/>
      <c r="L38" s="94"/>
    </row>
    <row r="39" spans="2:12" ht="12.75" customHeight="1">
      <c r="B39" s="14"/>
      <c r="C39" s="15"/>
      <c r="D39" s="15"/>
      <c r="E39" s="16"/>
      <c r="F39" s="15"/>
      <c r="G39" s="45"/>
      <c r="H39" s="45"/>
      <c r="I39" s="45"/>
      <c r="J39" s="161">
        <f t="shared" si="0"/>
      </c>
      <c r="L39" s="94"/>
    </row>
    <row r="40" spans="2:12" ht="12.75" customHeight="1">
      <c r="B40" s="14"/>
      <c r="C40" s="15"/>
      <c r="D40" s="15"/>
      <c r="E40" s="16"/>
      <c r="F40" s="15"/>
      <c r="G40" s="45"/>
      <c r="H40" s="45"/>
      <c r="I40" s="45"/>
      <c r="J40" s="161">
        <f t="shared" si="0"/>
      </c>
      <c r="L40" s="94"/>
    </row>
    <row r="41" spans="2:12" ht="12.75" customHeight="1">
      <c r="B41" s="17"/>
      <c r="C41" s="12"/>
      <c r="D41" s="12"/>
      <c r="E41" s="9"/>
      <c r="F41" s="12" t="s">
        <v>18</v>
      </c>
      <c r="G41" s="115">
        <v>15</v>
      </c>
      <c r="H41" s="115">
        <v>15</v>
      </c>
      <c r="I41" s="115">
        <v>15</v>
      </c>
      <c r="J41" s="161"/>
      <c r="L41" s="94"/>
    </row>
    <row r="42" spans="2:12" s="1" customFormat="1" ht="12.75" customHeight="1">
      <c r="B42" s="17"/>
      <c r="C42" s="12"/>
      <c r="D42" s="12"/>
      <c r="E42" s="9"/>
      <c r="F42" s="12" t="s">
        <v>40</v>
      </c>
      <c r="G42" s="20">
        <f>G7+G12+G16+G28+G36</f>
        <v>815470</v>
      </c>
      <c r="H42" s="20">
        <f>H7+H12+H16+H28+H36</f>
        <v>816820</v>
      </c>
      <c r="I42" s="20">
        <f>I7+I12+I16+I28+I36</f>
        <v>811829.3400000001</v>
      </c>
      <c r="J42" s="160">
        <f t="shared" si="0"/>
        <v>99.38901349134449</v>
      </c>
      <c r="L42" s="94"/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/>
      <c r="H43" s="20"/>
      <c r="I43" s="20"/>
      <c r="J43" s="163"/>
    </row>
    <row r="44" spans="2:10" s="1" customFormat="1" ht="12.75" customHeight="1">
      <c r="B44" s="17"/>
      <c r="C44" s="12"/>
      <c r="D44" s="12"/>
      <c r="E44" s="9"/>
      <c r="F44" s="12" t="s">
        <v>20</v>
      </c>
      <c r="G44" s="20"/>
      <c r="H44" s="20"/>
      <c r="I44" s="20"/>
      <c r="J44" s="163"/>
    </row>
    <row r="45" spans="2:10" s="1" customFormat="1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6" ht="12.75" customHeight="1"/>
    <row r="47" ht="12.75">
      <c r="B47" s="87"/>
    </row>
  </sheetData>
  <sheetProtection/>
  <mergeCells count="2">
    <mergeCell ref="B2:J2"/>
    <mergeCell ref="F3:G3"/>
  </mergeCells>
  <printOptions/>
  <pageMargins left="0.2755905511811024" right="0.2755905511811024" top="0.5905511811023623" bottom="0.5905511811023623" header="0.5118110236220472" footer="0.5118110236220472"/>
  <pageSetup fitToHeight="1" fitToWidth="1" horizontalDpi="180" verticalDpi="180" orientation="portrait" paperSize="9" scale="77" r:id="rId1"/>
  <headerFooter alignWithMargins="0">
    <oddFooter>&amp;R10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L47"/>
  <sheetViews>
    <sheetView zoomScalePageLayoutView="0" workbookViewId="0" topLeftCell="B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9" width="15.7109375" style="13" customWidth="1"/>
    <col min="10" max="10" width="8.7109375" style="148" customWidth="1"/>
    <col min="11" max="16384" width="9.140625" style="13" customWidth="1"/>
  </cols>
  <sheetData>
    <row r="2" spans="2:10" ht="15" customHeight="1">
      <c r="B2" s="414" t="s">
        <v>45</v>
      </c>
      <c r="C2" s="414"/>
      <c r="D2" s="414"/>
      <c r="E2" s="414"/>
      <c r="F2" s="414"/>
      <c r="G2" s="414"/>
      <c r="H2" s="414"/>
      <c r="I2" s="414"/>
      <c r="J2" s="155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>
        <v>10</v>
      </c>
      <c r="C6" s="11" t="s">
        <v>6</v>
      </c>
      <c r="D6" s="11" t="s">
        <v>46</v>
      </c>
      <c r="E6" s="9"/>
      <c r="F6" s="9"/>
      <c r="G6" s="9"/>
      <c r="H6" s="9"/>
      <c r="I6" s="9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50000</v>
      </c>
      <c r="H7" s="20">
        <f>SUM(H8:H11)</f>
        <v>50000</v>
      </c>
      <c r="I7" s="20">
        <f>SUM(I8:I11)</f>
        <v>48003.59</v>
      </c>
      <c r="J7" s="160">
        <f>IF(H7=0,"",I7/H7*100)</f>
        <v>96.00717999999999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88">
        <v>38100</v>
      </c>
      <c r="H8" s="88">
        <v>38100</v>
      </c>
      <c r="I8" s="88">
        <v>36463.59</v>
      </c>
      <c r="J8" s="161">
        <f>IF(H8=0,"",I8/H8*100)</f>
        <v>95.70496062992126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88">
        <v>10600</v>
      </c>
      <c r="H9" s="88">
        <v>10600</v>
      </c>
      <c r="I9" s="88">
        <v>10390</v>
      </c>
      <c r="J9" s="161">
        <f aca="true" t="shared" si="0" ref="J9:J44">IF(H9=0,"",I9/H9*100)</f>
        <v>98.0188679245283</v>
      </c>
    </row>
    <row r="10" spans="2:12" ht="12.75" customHeight="1">
      <c r="B10" s="14"/>
      <c r="C10" s="15"/>
      <c r="D10" s="15"/>
      <c r="E10" s="16">
        <v>611200</v>
      </c>
      <c r="F10" s="26" t="s">
        <v>556</v>
      </c>
      <c r="G10" s="88">
        <v>1300</v>
      </c>
      <c r="H10" s="88">
        <v>1300</v>
      </c>
      <c r="I10" s="88">
        <v>1150</v>
      </c>
      <c r="J10" s="161">
        <f t="shared" si="0"/>
        <v>88.46153846153845</v>
      </c>
      <c r="L10" s="94"/>
    </row>
    <row r="11" spans="2:10" ht="12.75" customHeight="1">
      <c r="B11" s="14"/>
      <c r="C11" s="15"/>
      <c r="D11" s="15"/>
      <c r="E11" s="16"/>
      <c r="F11" s="26"/>
      <c r="G11" s="45"/>
      <c r="H11" s="45"/>
      <c r="I11" s="45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4100</v>
      </c>
      <c r="H13" s="20">
        <f>H14+H15</f>
        <v>4100</v>
      </c>
      <c r="I13" s="20">
        <f>I14+I15</f>
        <v>3828.64</v>
      </c>
      <c r="J13" s="160">
        <f t="shared" si="0"/>
        <v>93.38146341463414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45">
        <v>4100</v>
      </c>
      <c r="H14" s="45">
        <v>4100</v>
      </c>
      <c r="I14" s="45">
        <v>3828.64</v>
      </c>
      <c r="J14" s="161">
        <f t="shared" si="0"/>
        <v>93.38146341463414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51"/>
      <c r="H16" s="51"/>
      <c r="I16" s="51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2870</v>
      </c>
      <c r="H17" s="51">
        <f>SUM(H18:H27)</f>
        <v>2870</v>
      </c>
      <c r="I17" s="51">
        <f>SUM(I18:I27)</f>
        <v>2857.11</v>
      </c>
      <c r="J17" s="160">
        <f t="shared" si="0"/>
        <v>99.55087108013939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5">
        <v>500</v>
      </c>
      <c r="H18" s="45">
        <v>500</v>
      </c>
      <c r="I18" s="45">
        <v>493.41</v>
      </c>
      <c r="J18" s="161">
        <f t="shared" si="0"/>
        <v>98.682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5">
        <v>0</v>
      </c>
      <c r="H19" s="45">
        <v>0</v>
      </c>
      <c r="I19" s="45">
        <v>0</v>
      </c>
      <c r="J19" s="161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5">
        <v>0</v>
      </c>
      <c r="H20" s="45">
        <v>0</v>
      </c>
      <c r="I20" s="45">
        <v>0</v>
      </c>
      <c r="J20" s="161">
        <f t="shared" si="0"/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5">
        <v>0</v>
      </c>
      <c r="H21" s="45">
        <v>0</v>
      </c>
      <c r="I21" s="45">
        <v>0</v>
      </c>
      <c r="J21" s="161">
        <f t="shared" si="0"/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45">
        <v>0</v>
      </c>
      <c r="H22" s="45">
        <v>0</v>
      </c>
      <c r="I22" s="45">
        <v>0</v>
      </c>
      <c r="J22" s="161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45">
        <v>0</v>
      </c>
      <c r="H23" s="45">
        <v>0</v>
      </c>
      <c r="I23" s="45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45">
        <v>0</v>
      </c>
      <c r="H24" s="45">
        <v>0</v>
      </c>
      <c r="I24" s="45">
        <v>0</v>
      </c>
      <c r="J24" s="161">
        <f t="shared" si="0"/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45">
        <v>0</v>
      </c>
      <c r="H25" s="45">
        <v>0</v>
      </c>
      <c r="I25" s="45">
        <v>0</v>
      </c>
      <c r="J25" s="161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45">
        <v>550</v>
      </c>
      <c r="H26" s="45">
        <v>610</v>
      </c>
      <c r="I26" s="45">
        <v>605.78</v>
      </c>
      <c r="J26" s="161">
        <f t="shared" si="0"/>
        <v>99.30819672131148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46">
        <v>1820</v>
      </c>
      <c r="H27" s="46">
        <v>1760</v>
      </c>
      <c r="I27" s="46">
        <v>1757.92</v>
      </c>
      <c r="J27" s="161">
        <f t="shared" si="0"/>
        <v>99.88181818181818</v>
      </c>
      <c r="K27" s="95"/>
      <c r="L27" s="95"/>
    </row>
    <row r="28" spans="2:10" s="1" customFormat="1" ht="12.75" customHeight="1">
      <c r="B28" s="17"/>
      <c r="C28" s="12"/>
      <c r="D28" s="12"/>
      <c r="E28" s="9"/>
      <c r="F28" s="12"/>
      <c r="G28" s="45"/>
      <c r="H28" s="45"/>
      <c r="I28" s="45"/>
      <c r="J28" s="161">
        <f t="shared" si="0"/>
      </c>
    </row>
    <row r="29" spans="2:10" ht="12.75" customHeight="1">
      <c r="B29" s="14"/>
      <c r="C29" s="15"/>
      <c r="D29" s="15"/>
      <c r="E29" s="16"/>
      <c r="F29" s="26"/>
      <c r="G29" s="45"/>
      <c r="H29" s="45"/>
      <c r="I29" s="45"/>
      <c r="J29" s="161">
        <f t="shared" si="0"/>
      </c>
    </row>
    <row r="30" spans="2:10" ht="12.75" customHeight="1">
      <c r="B30" s="14"/>
      <c r="C30" s="15"/>
      <c r="D30" s="15"/>
      <c r="E30" s="16"/>
      <c r="F30" s="15"/>
      <c r="G30" s="45"/>
      <c r="H30" s="45"/>
      <c r="I30" s="45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45"/>
      <c r="I31" s="45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45"/>
      <c r="I32" s="45"/>
      <c r="J32" s="161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45"/>
      <c r="I33" s="45"/>
      <c r="J33" s="161">
        <f t="shared" si="0"/>
      </c>
    </row>
    <row r="34" spans="2:10" ht="12.75" customHeight="1">
      <c r="B34" s="14"/>
      <c r="C34" s="15"/>
      <c r="D34" s="15"/>
      <c r="E34" s="16"/>
      <c r="F34" s="19"/>
      <c r="G34" s="45"/>
      <c r="H34" s="45"/>
      <c r="I34" s="45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20">
        <f>SUM(G37:G38)</f>
        <v>0</v>
      </c>
      <c r="H36" s="20">
        <f>SUM(H37:H38)</f>
        <v>0</v>
      </c>
      <c r="I36" s="20">
        <f>SUM(I37:I38)</f>
        <v>0</v>
      </c>
      <c r="J36" s="160">
        <f t="shared" si="0"/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88">
        <v>0</v>
      </c>
      <c r="H37" s="88">
        <v>0</v>
      </c>
      <c r="I37" s="88">
        <v>0</v>
      </c>
      <c r="J37" s="161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45">
        <v>0</v>
      </c>
      <c r="H38" s="45">
        <v>0</v>
      </c>
      <c r="I38" s="45">
        <v>0</v>
      </c>
      <c r="J38" s="161">
        <f t="shared" si="0"/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20"/>
      <c r="H40" s="20"/>
      <c r="I40" s="20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20">
        <v>3</v>
      </c>
      <c r="H41" s="20">
        <v>3</v>
      </c>
      <c r="I41" s="20">
        <v>3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56970</v>
      </c>
      <c r="H42" s="20">
        <f>H7+H13+H17+H36</f>
        <v>56970</v>
      </c>
      <c r="I42" s="20">
        <f>I7+I13+I17+I36</f>
        <v>54689.34</v>
      </c>
      <c r="J42" s="160">
        <f t="shared" si="0"/>
        <v>95.99673512374933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>
        <f>G42+1!G42</f>
        <v>872440</v>
      </c>
      <c r="H43" s="20">
        <f>H42+1!H42</f>
        <v>873790</v>
      </c>
      <c r="I43" s="20">
        <f>I42+1!I42</f>
        <v>866518.68</v>
      </c>
      <c r="J43" s="160">
        <f t="shared" si="0"/>
        <v>99.16784124331934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20">
        <f>G43+1!G43</f>
        <v>872440</v>
      </c>
      <c r="H44" s="20">
        <f>H43+1!H43</f>
        <v>873790</v>
      </c>
      <c r="I44" s="20">
        <f>I43+1!I43</f>
        <v>866518.68</v>
      </c>
      <c r="J44" s="160">
        <f t="shared" si="0"/>
        <v>99.16784124331934</v>
      </c>
    </row>
    <row r="45" spans="2:10" ht="12.75" customHeight="1" thickBot="1">
      <c r="B45" s="21"/>
      <c r="C45" s="22"/>
      <c r="D45" s="22"/>
      <c r="E45" s="23"/>
      <c r="F45" s="22"/>
      <c r="G45" s="22"/>
      <c r="H45" s="22"/>
      <c r="I45" s="22"/>
      <c r="J45" s="164"/>
    </row>
    <row r="47" ht="12.75">
      <c r="B47" s="87"/>
    </row>
  </sheetData>
  <sheetProtection/>
  <mergeCells count="2">
    <mergeCell ref="B2:I2"/>
    <mergeCell ref="F3:G3"/>
  </mergeCells>
  <printOptions/>
  <pageMargins left="0.2755905511811024" right="0.2755905511811024" top="0.5905511811023623" bottom="0.5905511811023623" header="0.5118110236220472" footer="0.5118110236220472"/>
  <pageSetup fitToHeight="1" fitToWidth="1" horizontalDpi="180" verticalDpi="180" orientation="portrait" paperSize="9" scale="77" r:id="rId1"/>
  <headerFooter alignWithMargins="0">
    <oddFooter>&amp;R11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B2:N60"/>
  <sheetViews>
    <sheetView view="pageBreakPreview" zoomScale="60" zoomScalePageLayoutView="0" workbookViewId="0" topLeftCell="B13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9" width="15.7109375" style="13" customWidth="1"/>
    <col min="10" max="10" width="8.7109375" style="148" customWidth="1"/>
    <col min="11" max="13" width="9.140625" style="13" customWidth="1"/>
    <col min="14" max="14" width="10.57421875" style="13" bestFit="1" customWidth="1"/>
    <col min="15" max="16384" width="9.140625" style="13" customWidth="1"/>
  </cols>
  <sheetData>
    <row r="2" spans="2:10" ht="15" customHeight="1">
      <c r="B2" s="414" t="s">
        <v>47</v>
      </c>
      <c r="C2" s="414"/>
      <c r="D2" s="414"/>
      <c r="E2" s="414"/>
      <c r="F2" s="414"/>
      <c r="G2" s="414"/>
      <c r="H2" s="414"/>
      <c r="I2" s="414"/>
      <c r="J2" s="155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48</v>
      </c>
      <c r="C6" s="11" t="s">
        <v>6</v>
      </c>
      <c r="D6" s="11" t="s">
        <v>7</v>
      </c>
      <c r="E6" s="9"/>
      <c r="F6" s="9"/>
      <c r="G6" s="169"/>
      <c r="H6" s="169"/>
      <c r="I6" s="169"/>
      <c r="J6" s="159"/>
    </row>
    <row r="7" spans="2:10" s="2" customFormat="1" ht="12.75" customHeight="1">
      <c r="B7" s="10"/>
      <c r="C7" s="11"/>
      <c r="D7" s="11"/>
      <c r="E7" s="9">
        <v>600000</v>
      </c>
      <c r="F7" s="27" t="s">
        <v>49</v>
      </c>
      <c r="G7" s="170">
        <f>G8+G9+G10</f>
        <v>295000</v>
      </c>
      <c r="H7" s="170">
        <f>H8+H9+H10</f>
        <v>295000</v>
      </c>
      <c r="I7" s="170">
        <f>I8+I9+I10</f>
        <v>294547.55</v>
      </c>
      <c r="J7" s="160">
        <f>IF(H7=0,"",I7/H7*100)</f>
        <v>99.84662711864407</v>
      </c>
    </row>
    <row r="8" spans="2:10" s="2" customFormat="1" ht="12.75" customHeight="1">
      <c r="B8" s="10"/>
      <c r="C8" s="11"/>
      <c r="D8" s="11"/>
      <c r="E8" s="59">
        <v>600000</v>
      </c>
      <c r="F8" s="60" t="s">
        <v>22</v>
      </c>
      <c r="G8" s="168">
        <v>250000</v>
      </c>
      <c r="H8" s="168">
        <v>250000</v>
      </c>
      <c r="I8" s="168">
        <v>249997.55</v>
      </c>
      <c r="J8" s="161">
        <f>IF(H8=0,"",I8/H8*100)</f>
        <v>99.99901999999999</v>
      </c>
    </row>
    <row r="9" spans="2:10" s="2" customFormat="1" ht="12.75" customHeight="1">
      <c r="B9" s="10"/>
      <c r="C9" s="11"/>
      <c r="D9" s="11"/>
      <c r="E9" s="59">
        <v>600000</v>
      </c>
      <c r="F9" s="60" t="s">
        <v>23</v>
      </c>
      <c r="G9" s="168">
        <v>30000</v>
      </c>
      <c r="H9" s="168">
        <v>30000</v>
      </c>
      <c r="I9" s="168">
        <v>29550</v>
      </c>
      <c r="J9" s="161">
        <f aca="true" t="shared" si="0" ref="J9:J54">IF(H9=0,"",I9/H9*100)</f>
        <v>98.5</v>
      </c>
    </row>
    <row r="10" spans="2:10" s="2" customFormat="1" ht="12.75" customHeight="1">
      <c r="B10" s="10"/>
      <c r="C10" s="11"/>
      <c r="D10" s="11"/>
      <c r="E10" s="59">
        <v>600000</v>
      </c>
      <c r="F10" s="60" t="s">
        <v>50</v>
      </c>
      <c r="G10" s="168">
        <v>15000</v>
      </c>
      <c r="H10" s="168">
        <v>15000</v>
      </c>
      <c r="I10" s="168">
        <v>15000</v>
      </c>
      <c r="J10" s="161">
        <f t="shared" si="0"/>
        <v>100</v>
      </c>
    </row>
    <row r="11" spans="2:10" s="2" customFormat="1" ht="12.75" customHeight="1">
      <c r="B11" s="10"/>
      <c r="C11" s="11"/>
      <c r="D11" s="11"/>
      <c r="E11" s="9"/>
      <c r="F11" s="9"/>
      <c r="G11" s="171"/>
      <c r="H11" s="171"/>
      <c r="I11" s="171"/>
      <c r="J11" s="161">
        <f t="shared" si="0"/>
      </c>
    </row>
    <row r="12" spans="2:10" s="1" customFormat="1" ht="12.75" customHeight="1">
      <c r="B12" s="17"/>
      <c r="C12" s="12"/>
      <c r="D12" s="12"/>
      <c r="E12" s="9">
        <v>611000</v>
      </c>
      <c r="F12" s="12" t="s">
        <v>92</v>
      </c>
      <c r="G12" s="171">
        <f>SUM(G13:G16)</f>
        <v>197700</v>
      </c>
      <c r="H12" s="171">
        <f>SUM(H13:H16)</f>
        <v>197700</v>
      </c>
      <c r="I12" s="171">
        <f>SUM(I13:I16)</f>
        <v>187010.68</v>
      </c>
      <c r="J12" s="160">
        <f t="shared" si="0"/>
        <v>94.59316135558927</v>
      </c>
    </row>
    <row r="13" spans="2:10" ht="12.75" customHeight="1">
      <c r="B13" s="14"/>
      <c r="C13" s="15"/>
      <c r="D13" s="15"/>
      <c r="E13" s="16">
        <v>611100</v>
      </c>
      <c r="F13" s="26" t="s">
        <v>128</v>
      </c>
      <c r="G13" s="165">
        <v>153500</v>
      </c>
      <c r="H13" s="165">
        <v>153500</v>
      </c>
      <c r="I13" s="165">
        <v>145503.77</v>
      </c>
      <c r="J13" s="161">
        <f t="shared" si="0"/>
        <v>94.7907296416938</v>
      </c>
    </row>
    <row r="14" spans="2:12" ht="12.75" customHeight="1">
      <c r="B14" s="14"/>
      <c r="C14" s="15"/>
      <c r="D14" s="15"/>
      <c r="E14" s="16">
        <v>611200</v>
      </c>
      <c r="F14" s="15" t="s">
        <v>129</v>
      </c>
      <c r="G14" s="165">
        <v>27600</v>
      </c>
      <c r="H14" s="165">
        <v>28070</v>
      </c>
      <c r="I14" s="168">
        <v>28060.91</v>
      </c>
      <c r="J14" s="161">
        <f t="shared" si="0"/>
        <v>99.9676166726042</v>
      </c>
      <c r="K14" s="95"/>
      <c r="L14" s="95"/>
    </row>
    <row r="15" spans="2:12" ht="12.75" customHeight="1">
      <c r="B15" s="14"/>
      <c r="C15" s="15"/>
      <c r="D15" s="15"/>
      <c r="E15" s="16">
        <v>611200</v>
      </c>
      <c r="F15" s="26" t="s">
        <v>458</v>
      </c>
      <c r="G15" s="168">
        <v>16600</v>
      </c>
      <c r="H15" s="168">
        <v>16130</v>
      </c>
      <c r="I15" s="168">
        <v>13446</v>
      </c>
      <c r="J15" s="161">
        <f t="shared" si="0"/>
        <v>83.36019838809672</v>
      </c>
      <c r="K15" s="95"/>
      <c r="L15" s="95"/>
    </row>
    <row r="16" spans="2:10" ht="12.75" customHeight="1">
      <c r="B16" s="14"/>
      <c r="C16" s="15"/>
      <c r="D16" s="15"/>
      <c r="E16" s="16"/>
      <c r="F16" s="26"/>
      <c r="G16" s="166"/>
      <c r="H16" s="166"/>
      <c r="I16" s="166"/>
      <c r="J16" s="161">
        <f t="shared" si="0"/>
      </c>
    </row>
    <row r="17" spans="2:10" ht="12.75" customHeight="1">
      <c r="B17" s="14"/>
      <c r="C17" s="15"/>
      <c r="D17" s="15"/>
      <c r="E17" s="16"/>
      <c r="F17" s="15"/>
      <c r="G17" s="165"/>
      <c r="H17" s="165"/>
      <c r="I17" s="165"/>
      <c r="J17" s="161">
        <f t="shared" si="0"/>
      </c>
    </row>
    <row r="18" spans="2:10" s="1" customFormat="1" ht="12.75" customHeight="1">
      <c r="B18" s="17"/>
      <c r="C18" s="12"/>
      <c r="D18" s="12"/>
      <c r="E18" s="9">
        <v>612000</v>
      </c>
      <c r="F18" s="12" t="s">
        <v>91</v>
      </c>
      <c r="G18" s="171">
        <f>G19+G20</f>
        <v>16300</v>
      </c>
      <c r="H18" s="171">
        <f>H19+H20</f>
        <v>16300</v>
      </c>
      <c r="I18" s="171">
        <f>I19+I20</f>
        <v>14511.43</v>
      </c>
      <c r="J18" s="160">
        <f t="shared" si="0"/>
        <v>89.02717791411044</v>
      </c>
    </row>
    <row r="19" spans="2:10" ht="12.75" customHeight="1">
      <c r="B19" s="14"/>
      <c r="C19" s="15"/>
      <c r="D19" s="15"/>
      <c r="E19" s="16">
        <v>612100</v>
      </c>
      <c r="F19" s="18" t="s">
        <v>8</v>
      </c>
      <c r="G19" s="165">
        <v>16300</v>
      </c>
      <c r="H19" s="165">
        <v>16300</v>
      </c>
      <c r="I19" s="165">
        <v>14511.43</v>
      </c>
      <c r="J19" s="161">
        <f t="shared" si="0"/>
        <v>89.02717791411044</v>
      </c>
    </row>
    <row r="20" spans="2:10" ht="12.75" customHeight="1">
      <c r="B20" s="14"/>
      <c r="C20" s="15"/>
      <c r="D20" s="15"/>
      <c r="E20" s="16"/>
      <c r="F20" s="15"/>
      <c r="G20" s="165"/>
      <c r="H20" s="165"/>
      <c r="I20" s="165"/>
      <c r="J20" s="161">
        <f t="shared" si="0"/>
      </c>
    </row>
    <row r="21" spans="2:10" ht="12.75" customHeight="1">
      <c r="B21" s="14"/>
      <c r="C21" s="15"/>
      <c r="D21" s="15"/>
      <c r="E21" s="16"/>
      <c r="F21" s="15"/>
      <c r="G21" s="165"/>
      <c r="H21" s="165"/>
      <c r="I21" s="165"/>
      <c r="J21" s="161">
        <f t="shared" si="0"/>
      </c>
    </row>
    <row r="22" spans="2:10" s="1" customFormat="1" ht="12.75" customHeight="1">
      <c r="B22" s="17"/>
      <c r="C22" s="12"/>
      <c r="D22" s="12"/>
      <c r="E22" s="9">
        <v>613000</v>
      </c>
      <c r="F22" s="12" t="s">
        <v>93</v>
      </c>
      <c r="G22" s="166">
        <f>SUM(G23:G33)</f>
        <v>249130</v>
      </c>
      <c r="H22" s="166">
        <f>SUM(H23:H33)</f>
        <v>246770</v>
      </c>
      <c r="I22" s="166">
        <f>SUM(I23:I33)</f>
        <v>241239.19</v>
      </c>
      <c r="J22" s="160">
        <f t="shared" si="0"/>
        <v>97.75871864489201</v>
      </c>
    </row>
    <row r="23" spans="2:10" ht="12.75" customHeight="1">
      <c r="B23" s="14"/>
      <c r="C23" s="15"/>
      <c r="D23" s="15"/>
      <c r="E23" s="16">
        <v>613100</v>
      </c>
      <c r="F23" s="15" t="s">
        <v>9</v>
      </c>
      <c r="G23" s="165">
        <v>15500</v>
      </c>
      <c r="H23" s="165">
        <v>15500</v>
      </c>
      <c r="I23" s="165">
        <v>13495.9</v>
      </c>
      <c r="J23" s="161">
        <f t="shared" si="0"/>
        <v>87.07032258064515</v>
      </c>
    </row>
    <row r="24" spans="2:10" ht="12.75" customHeight="1">
      <c r="B24" s="14"/>
      <c r="C24" s="15"/>
      <c r="D24" s="15"/>
      <c r="E24" s="16">
        <v>613200</v>
      </c>
      <c r="F24" s="15" t="s">
        <v>10</v>
      </c>
      <c r="G24" s="165">
        <v>0</v>
      </c>
      <c r="H24" s="165">
        <v>0</v>
      </c>
      <c r="I24" s="165">
        <v>0</v>
      </c>
      <c r="J24" s="161">
        <f t="shared" si="0"/>
      </c>
    </row>
    <row r="25" spans="2:10" ht="12.75" customHeight="1">
      <c r="B25" s="14"/>
      <c r="C25" s="15"/>
      <c r="D25" s="15"/>
      <c r="E25" s="16">
        <v>613300</v>
      </c>
      <c r="F25" s="26" t="s">
        <v>130</v>
      </c>
      <c r="G25" s="165">
        <v>6000</v>
      </c>
      <c r="H25" s="165">
        <v>6000</v>
      </c>
      <c r="I25" s="165">
        <v>5311.7</v>
      </c>
      <c r="J25" s="161">
        <f t="shared" si="0"/>
        <v>88.52833333333334</v>
      </c>
    </row>
    <row r="26" spans="2:10" ht="12.75" customHeight="1">
      <c r="B26" s="14"/>
      <c r="C26" s="15"/>
      <c r="D26" s="15"/>
      <c r="E26" s="16">
        <v>613400</v>
      </c>
      <c r="F26" s="15" t="s">
        <v>94</v>
      </c>
      <c r="G26" s="165">
        <v>2000</v>
      </c>
      <c r="H26" s="165">
        <v>2000</v>
      </c>
      <c r="I26" s="165">
        <v>1938.45</v>
      </c>
      <c r="J26" s="161">
        <f t="shared" si="0"/>
        <v>96.9225</v>
      </c>
    </row>
    <row r="27" spans="2:10" ht="12.75" customHeight="1">
      <c r="B27" s="14"/>
      <c r="C27" s="15"/>
      <c r="D27" s="15"/>
      <c r="E27" s="16">
        <v>613500</v>
      </c>
      <c r="F27" s="15" t="s">
        <v>11</v>
      </c>
      <c r="G27" s="167">
        <v>4500</v>
      </c>
      <c r="H27" s="167">
        <v>4500</v>
      </c>
      <c r="I27" s="167">
        <v>4293.09</v>
      </c>
      <c r="J27" s="161">
        <f t="shared" si="0"/>
        <v>95.402</v>
      </c>
    </row>
    <row r="28" spans="2:14" ht="12.75" customHeight="1">
      <c r="B28" s="14"/>
      <c r="C28" s="15"/>
      <c r="D28" s="15"/>
      <c r="E28" s="16">
        <v>613600</v>
      </c>
      <c r="F28" s="26" t="s">
        <v>131</v>
      </c>
      <c r="G28" s="165">
        <v>0</v>
      </c>
      <c r="H28" s="165">
        <v>0</v>
      </c>
      <c r="I28" s="165">
        <v>0</v>
      </c>
      <c r="J28" s="161">
        <f t="shared" si="0"/>
      </c>
      <c r="N28" s="337"/>
    </row>
    <row r="29" spans="2:10" ht="12.75" customHeight="1">
      <c r="B29" s="14"/>
      <c r="C29" s="15"/>
      <c r="D29" s="15"/>
      <c r="E29" s="16">
        <v>613700</v>
      </c>
      <c r="F29" s="15" t="s">
        <v>12</v>
      </c>
      <c r="G29" s="165">
        <v>10000</v>
      </c>
      <c r="H29" s="165">
        <v>7950</v>
      </c>
      <c r="I29" s="165">
        <v>5799.02</v>
      </c>
      <c r="J29" s="161">
        <f t="shared" si="0"/>
        <v>72.94364779874213</v>
      </c>
    </row>
    <row r="30" spans="2:10" ht="12.75" customHeight="1">
      <c r="B30" s="14"/>
      <c r="C30" s="15"/>
      <c r="D30" s="15"/>
      <c r="E30" s="16">
        <v>613800</v>
      </c>
      <c r="F30" s="15" t="s">
        <v>95</v>
      </c>
      <c r="G30" s="165">
        <v>330</v>
      </c>
      <c r="H30" s="165">
        <v>330</v>
      </c>
      <c r="I30" s="165">
        <v>328.95</v>
      </c>
      <c r="J30" s="161">
        <f t="shared" si="0"/>
        <v>99.68181818181819</v>
      </c>
    </row>
    <row r="31" spans="2:12" ht="12.75" customHeight="1">
      <c r="B31" s="14"/>
      <c r="C31" s="15"/>
      <c r="D31" s="15"/>
      <c r="E31" s="126">
        <v>613900</v>
      </c>
      <c r="F31" s="19" t="s">
        <v>96</v>
      </c>
      <c r="G31" s="168">
        <v>160000</v>
      </c>
      <c r="H31" s="168">
        <v>161800</v>
      </c>
      <c r="I31" s="168">
        <f>162975.38-1175.38</f>
        <v>161800</v>
      </c>
      <c r="J31" s="161">
        <f t="shared" si="0"/>
        <v>100</v>
      </c>
      <c r="K31" s="87"/>
      <c r="L31" s="148"/>
    </row>
    <row r="32" spans="2:12" ht="12.75" customHeight="1">
      <c r="B32" s="14"/>
      <c r="C32" s="15"/>
      <c r="D32" s="15"/>
      <c r="E32" s="16">
        <v>613900</v>
      </c>
      <c r="F32" s="26" t="s">
        <v>137</v>
      </c>
      <c r="G32" s="168">
        <v>36000</v>
      </c>
      <c r="H32" s="168">
        <v>36000</v>
      </c>
      <c r="I32" s="168">
        <f>34414.88+1175.38</f>
        <v>35590.259999999995</v>
      </c>
      <c r="J32" s="161">
        <f t="shared" si="0"/>
        <v>98.86183333333332</v>
      </c>
      <c r="L32" s="148"/>
    </row>
    <row r="33" spans="2:12" ht="12.75" customHeight="1">
      <c r="B33" s="14"/>
      <c r="C33" s="15"/>
      <c r="D33" s="15"/>
      <c r="E33" s="16">
        <v>613900</v>
      </c>
      <c r="F33" s="26" t="s">
        <v>143</v>
      </c>
      <c r="G33" s="165">
        <v>14800</v>
      </c>
      <c r="H33" s="165">
        <v>12690</v>
      </c>
      <c r="I33" s="165">
        <v>12681.82</v>
      </c>
      <c r="J33" s="161">
        <f t="shared" si="0"/>
        <v>99.93553979511425</v>
      </c>
      <c r="L33" s="95"/>
    </row>
    <row r="34" spans="2:10" ht="12.75" customHeight="1">
      <c r="B34" s="14"/>
      <c r="C34" s="15"/>
      <c r="D34" s="15"/>
      <c r="E34" s="16"/>
      <c r="F34" s="15"/>
      <c r="G34" s="165"/>
      <c r="H34" s="165"/>
      <c r="I34" s="165"/>
      <c r="J34" s="161">
        <f t="shared" si="0"/>
      </c>
    </row>
    <row r="35" spans="2:10" s="1" customFormat="1" ht="12.75" customHeight="1">
      <c r="B35" s="17"/>
      <c r="C35" s="12"/>
      <c r="D35" s="12"/>
      <c r="E35" s="9">
        <v>614000</v>
      </c>
      <c r="F35" s="12" t="s">
        <v>132</v>
      </c>
      <c r="G35" s="171">
        <f>SUM(G36:G43)</f>
        <v>810000</v>
      </c>
      <c r="H35" s="171">
        <f>SUM(H36:H43)</f>
        <v>561125</v>
      </c>
      <c r="I35" s="171">
        <f>SUM(I36:I43)</f>
        <v>554576.62</v>
      </c>
      <c r="J35" s="160">
        <f t="shared" si="0"/>
        <v>98.83299086656271</v>
      </c>
    </row>
    <row r="36" spans="2:10" s="101" customFormat="1" ht="12.75" customHeight="1">
      <c r="B36" s="102"/>
      <c r="C36" s="18"/>
      <c r="D36" s="18"/>
      <c r="E36" s="59">
        <v>614100</v>
      </c>
      <c r="F36" s="18" t="s">
        <v>258</v>
      </c>
      <c r="G36" s="167">
        <v>350000</v>
      </c>
      <c r="H36" s="167">
        <v>116125</v>
      </c>
      <c r="I36" s="167">
        <v>116125</v>
      </c>
      <c r="J36" s="161">
        <f t="shared" si="0"/>
        <v>100</v>
      </c>
    </row>
    <row r="37" spans="2:10" s="101" customFormat="1" ht="12.75" customHeight="1">
      <c r="B37" s="102"/>
      <c r="C37" s="18"/>
      <c r="D37" s="18"/>
      <c r="E37" s="59">
        <v>614100</v>
      </c>
      <c r="F37" s="123" t="s">
        <v>259</v>
      </c>
      <c r="G37" s="167">
        <v>200000</v>
      </c>
      <c r="H37" s="167">
        <v>200000</v>
      </c>
      <c r="I37" s="167">
        <v>200000</v>
      </c>
      <c r="J37" s="161">
        <f t="shared" si="0"/>
        <v>100</v>
      </c>
    </row>
    <row r="38" spans="2:14" s="210" customFormat="1" ht="26.25" customHeight="1">
      <c r="B38" s="205"/>
      <c r="C38" s="206"/>
      <c r="D38" s="206"/>
      <c r="E38" s="207">
        <v>614200</v>
      </c>
      <c r="F38" s="208" t="s">
        <v>260</v>
      </c>
      <c r="G38" s="209">
        <v>100000</v>
      </c>
      <c r="H38" s="209">
        <v>100000</v>
      </c>
      <c r="I38" s="209">
        <v>93538.62</v>
      </c>
      <c r="J38" s="201">
        <f t="shared" si="0"/>
        <v>93.53862</v>
      </c>
      <c r="N38" s="211"/>
    </row>
    <row r="39" spans="2:10" ht="12.75" customHeight="1">
      <c r="B39" s="14"/>
      <c r="C39" s="15"/>
      <c r="D39" s="15"/>
      <c r="E39" s="16">
        <v>614300</v>
      </c>
      <c r="F39" s="29" t="s">
        <v>35</v>
      </c>
      <c r="G39" s="172">
        <v>70000</v>
      </c>
      <c r="H39" s="172">
        <v>70000</v>
      </c>
      <c r="I39" s="172">
        <v>69913</v>
      </c>
      <c r="J39" s="161">
        <f t="shared" si="0"/>
        <v>99.8757142857143</v>
      </c>
    </row>
    <row r="40" spans="2:10" ht="12.75" customHeight="1">
      <c r="B40" s="14"/>
      <c r="C40" s="15"/>
      <c r="D40" s="15"/>
      <c r="E40" s="16">
        <v>614300</v>
      </c>
      <c r="F40" s="117" t="s">
        <v>157</v>
      </c>
      <c r="G40" s="172">
        <v>30000</v>
      </c>
      <c r="H40" s="172">
        <v>30000</v>
      </c>
      <c r="I40" s="172">
        <v>30000</v>
      </c>
      <c r="J40" s="161">
        <f t="shared" si="0"/>
        <v>100</v>
      </c>
    </row>
    <row r="41" spans="2:10" ht="12.75" customHeight="1">
      <c r="B41" s="14"/>
      <c r="C41" s="15"/>
      <c r="D41" s="15"/>
      <c r="E41" s="16">
        <v>614300</v>
      </c>
      <c r="F41" s="117" t="s">
        <v>242</v>
      </c>
      <c r="G41" s="172">
        <v>15000</v>
      </c>
      <c r="H41" s="172">
        <v>15000</v>
      </c>
      <c r="I41" s="172">
        <v>15000</v>
      </c>
      <c r="J41" s="161">
        <f t="shared" si="0"/>
        <v>100</v>
      </c>
    </row>
    <row r="42" spans="2:10" ht="12.75" customHeight="1">
      <c r="B42" s="14"/>
      <c r="C42" s="15"/>
      <c r="D42" s="15"/>
      <c r="E42" s="16">
        <v>614300</v>
      </c>
      <c r="F42" s="117" t="s">
        <v>255</v>
      </c>
      <c r="G42" s="172">
        <v>15000</v>
      </c>
      <c r="H42" s="172">
        <v>15000</v>
      </c>
      <c r="I42" s="172">
        <v>15000</v>
      </c>
      <c r="J42" s="161">
        <f t="shared" si="0"/>
        <v>100</v>
      </c>
    </row>
    <row r="43" spans="2:10" ht="12.75" customHeight="1">
      <c r="B43" s="14"/>
      <c r="C43" s="15"/>
      <c r="D43" s="15"/>
      <c r="E43" s="16">
        <v>614300</v>
      </c>
      <c r="F43" s="117" t="s">
        <v>159</v>
      </c>
      <c r="G43" s="172">
        <v>30000</v>
      </c>
      <c r="H43" s="172">
        <v>15000</v>
      </c>
      <c r="I43" s="172">
        <v>15000</v>
      </c>
      <c r="J43" s="161">
        <f t="shared" si="0"/>
        <v>100</v>
      </c>
    </row>
    <row r="44" spans="2:10" ht="12.75" customHeight="1">
      <c r="B44" s="14"/>
      <c r="C44" s="15"/>
      <c r="D44" s="15"/>
      <c r="E44" s="16"/>
      <c r="F44" s="117"/>
      <c r="G44" s="172"/>
      <c r="H44" s="172"/>
      <c r="I44" s="172"/>
      <c r="J44" s="161">
        <f t="shared" si="0"/>
      </c>
    </row>
    <row r="45" spans="2:10" ht="12.75" customHeight="1">
      <c r="B45" s="14"/>
      <c r="C45" s="15"/>
      <c r="D45" s="15"/>
      <c r="E45" s="9">
        <v>615000</v>
      </c>
      <c r="F45" s="12" t="s">
        <v>14</v>
      </c>
      <c r="G45" s="171">
        <f>G46</f>
        <v>130000</v>
      </c>
      <c r="H45" s="171">
        <f>H46</f>
        <v>245500</v>
      </c>
      <c r="I45" s="171">
        <f>I46</f>
        <v>245500</v>
      </c>
      <c r="J45" s="160">
        <f t="shared" si="0"/>
        <v>100</v>
      </c>
    </row>
    <row r="46" spans="2:10" ht="12.75" customHeight="1">
      <c r="B46" s="14"/>
      <c r="C46" s="15"/>
      <c r="D46" s="15"/>
      <c r="E46" s="59">
        <v>615100</v>
      </c>
      <c r="F46" s="18" t="s">
        <v>14</v>
      </c>
      <c r="G46" s="167">
        <v>130000</v>
      </c>
      <c r="H46" s="167">
        <v>245500</v>
      </c>
      <c r="I46" s="172">
        <v>245500</v>
      </c>
      <c r="J46" s="161">
        <f t="shared" si="0"/>
        <v>100</v>
      </c>
    </row>
    <row r="47" spans="2:10" ht="12.75" customHeight="1">
      <c r="B47" s="14"/>
      <c r="C47" s="15"/>
      <c r="D47" s="15"/>
      <c r="E47" s="16"/>
      <c r="F47" s="19"/>
      <c r="G47" s="168"/>
      <c r="H47" s="168"/>
      <c r="I47" s="168"/>
      <c r="J47" s="161">
        <f t="shared" si="0"/>
      </c>
    </row>
    <row r="48" spans="2:10" ht="12.75" customHeight="1">
      <c r="B48" s="17"/>
      <c r="C48" s="12"/>
      <c r="D48" s="12"/>
      <c r="E48" s="9">
        <v>821000</v>
      </c>
      <c r="F48" s="12" t="s">
        <v>15</v>
      </c>
      <c r="G48" s="20">
        <f>SUM(G49:G50)</f>
        <v>6000</v>
      </c>
      <c r="H48" s="20">
        <f>SUM(H49:H50)</f>
        <v>6250</v>
      </c>
      <c r="I48" s="20">
        <f>SUM(I49:I50)</f>
        <v>6217.84</v>
      </c>
      <c r="J48" s="160">
        <f t="shared" si="0"/>
        <v>99.48544</v>
      </c>
    </row>
    <row r="49" spans="2:10" ht="12.75" customHeight="1">
      <c r="B49" s="14"/>
      <c r="C49" s="15"/>
      <c r="D49" s="15"/>
      <c r="E49" s="16">
        <v>821200</v>
      </c>
      <c r="F49" s="15" t="s">
        <v>16</v>
      </c>
      <c r="G49" s="45">
        <v>0</v>
      </c>
      <c r="H49" s="45">
        <v>0</v>
      </c>
      <c r="I49" s="45">
        <v>0</v>
      </c>
      <c r="J49" s="161">
        <f t="shared" si="0"/>
      </c>
    </row>
    <row r="50" spans="2:10" ht="12.75" customHeight="1">
      <c r="B50" s="14"/>
      <c r="C50" s="15"/>
      <c r="D50" s="15"/>
      <c r="E50" s="16">
        <v>821300</v>
      </c>
      <c r="F50" s="15" t="s">
        <v>17</v>
      </c>
      <c r="G50" s="46">
        <v>6000</v>
      </c>
      <c r="H50" s="46">
        <v>6250</v>
      </c>
      <c r="I50" s="46">
        <v>6217.84</v>
      </c>
      <c r="J50" s="161">
        <f t="shared" si="0"/>
        <v>99.48544</v>
      </c>
    </row>
    <row r="51" spans="2:10" ht="12.75" customHeight="1">
      <c r="B51" s="14"/>
      <c r="C51" s="15"/>
      <c r="D51" s="15"/>
      <c r="E51" s="16"/>
      <c r="F51" s="15"/>
      <c r="G51" s="20"/>
      <c r="H51" s="20"/>
      <c r="I51" s="20"/>
      <c r="J51" s="161">
        <f t="shared" si="0"/>
      </c>
    </row>
    <row r="52" spans="2:10" s="1" customFormat="1" ht="12.75" customHeight="1">
      <c r="B52" s="14"/>
      <c r="C52" s="15"/>
      <c r="D52" s="15"/>
      <c r="E52" s="16"/>
      <c r="F52" s="15"/>
      <c r="G52" s="20"/>
      <c r="H52" s="20"/>
      <c r="I52" s="20"/>
      <c r="J52" s="161">
        <f t="shared" si="0"/>
      </c>
    </row>
    <row r="53" spans="2:10" ht="12.75" customHeight="1">
      <c r="B53" s="17"/>
      <c r="C53" s="12"/>
      <c r="D53" s="12"/>
      <c r="E53" s="9"/>
      <c r="F53" s="12" t="s">
        <v>18</v>
      </c>
      <c r="G53" s="20">
        <v>7</v>
      </c>
      <c r="H53" s="20">
        <v>7</v>
      </c>
      <c r="I53" s="20">
        <v>6</v>
      </c>
      <c r="J53" s="161"/>
    </row>
    <row r="54" spans="2:10" ht="12.75" customHeight="1">
      <c r="B54" s="17"/>
      <c r="C54" s="12"/>
      <c r="D54" s="12"/>
      <c r="E54" s="9"/>
      <c r="F54" s="12" t="s">
        <v>40</v>
      </c>
      <c r="G54" s="20">
        <f>G7+G12+G18+G22+G35+G45+G48</f>
        <v>1704130</v>
      </c>
      <c r="H54" s="20">
        <f>H7+H12+H18+H22+H35+H45+H48</f>
        <v>1568645</v>
      </c>
      <c r="I54" s="20">
        <f>I7+I12+I18+I22+I35+I45+I48</f>
        <v>1543603.31</v>
      </c>
      <c r="J54" s="160">
        <f t="shared" si="0"/>
        <v>98.40361012211176</v>
      </c>
    </row>
    <row r="55" spans="2:10" ht="12.75" customHeight="1">
      <c r="B55" s="17"/>
      <c r="C55" s="12"/>
      <c r="D55" s="12"/>
      <c r="E55" s="9"/>
      <c r="F55" s="12" t="s">
        <v>19</v>
      </c>
      <c r="G55" s="15"/>
      <c r="H55" s="15"/>
      <c r="I55" s="15"/>
      <c r="J55" s="162"/>
    </row>
    <row r="56" spans="2:10" ht="12.75" customHeight="1">
      <c r="B56" s="17"/>
      <c r="C56" s="12"/>
      <c r="D56" s="12"/>
      <c r="E56" s="9"/>
      <c r="F56" s="12" t="s">
        <v>20</v>
      </c>
      <c r="G56" s="15"/>
      <c r="H56" s="15"/>
      <c r="I56" s="15"/>
      <c r="J56" s="162"/>
    </row>
    <row r="57" spans="2:10" s="1" customFormat="1" ht="12.75" customHeight="1" thickBot="1">
      <c r="B57" s="21"/>
      <c r="C57" s="22"/>
      <c r="D57" s="22"/>
      <c r="E57" s="23"/>
      <c r="F57" s="22"/>
      <c r="G57" s="22"/>
      <c r="H57" s="22"/>
      <c r="I57" s="22"/>
      <c r="J57" s="164"/>
    </row>
    <row r="58" spans="2:10" s="1" customFormat="1" ht="12.75" customHeight="1">
      <c r="B58" s="13"/>
      <c r="C58" s="13"/>
      <c r="D58" s="13"/>
      <c r="E58" s="24"/>
      <c r="F58" s="13"/>
      <c r="G58" s="13"/>
      <c r="H58" s="13"/>
      <c r="I58" s="13"/>
      <c r="J58" s="148"/>
    </row>
    <row r="59" spans="2:10" s="1" customFormat="1" ht="12.75" customHeight="1">
      <c r="B59" s="13"/>
      <c r="C59" s="13"/>
      <c r="D59" s="13"/>
      <c r="E59" s="24"/>
      <c r="F59" s="13"/>
      <c r="G59" s="13"/>
      <c r="H59" s="13"/>
      <c r="I59" s="13"/>
      <c r="J59" s="148"/>
    </row>
    <row r="60" spans="2:10" s="1" customFormat="1" ht="12.75" customHeight="1">
      <c r="B60" s="13"/>
      <c r="C60" s="13"/>
      <c r="D60" s="13"/>
      <c r="E60" s="24"/>
      <c r="F60" s="13"/>
      <c r="G60" s="13"/>
      <c r="H60" s="13"/>
      <c r="I60" s="13"/>
      <c r="J60" s="148"/>
    </row>
    <row r="61" ht="12.75" customHeight="1"/>
  </sheetData>
  <sheetProtection/>
  <mergeCells count="2">
    <mergeCell ref="B2:I2"/>
    <mergeCell ref="F3:G3"/>
  </mergeCells>
  <printOptions/>
  <pageMargins left="0.21" right="0.19" top="0.5905511811023623" bottom="0.5905511811023623" header="0.5118110236220472" footer="0.5118110236220472"/>
  <pageSetup horizontalDpi="180" verticalDpi="180" orientation="portrait" paperSize="9" scale="79" r:id="rId1"/>
  <headerFooter alignWithMargins="0">
    <oddFooter>&amp;R12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2:M48"/>
  <sheetViews>
    <sheetView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9" width="15.7109375" style="13" customWidth="1"/>
    <col min="10" max="10" width="8.7109375" style="148" customWidth="1"/>
    <col min="11" max="16384" width="9.140625" style="13" customWidth="1"/>
  </cols>
  <sheetData>
    <row r="2" spans="2:10" ht="15" customHeight="1">
      <c r="B2" s="412" t="s">
        <v>51</v>
      </c>
      <c r="C2" s="412"/>
      <c r="D2" s="412"/>
      <c r="E2" s="412"/>
      <c r="F2" s="412"/>
      <c r="G2" s="412"/>
      <c r="H2" s="412"/>
      <c r="I2" s="412"/>
      <c r="J2" s="154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48</v>
      </c>
      <c r="C6" s="11" t="s">
        <v>6</v>
      </c>
      <c r="D6" s="11" t="s">
        <v>46</v>
      </c>
      <c r="E6" s="9"/>
      <c r="F6" s="9"/>
      <c r="G6" s="9"/>
      <c r="H6" s="9"/>
      <c r="I6" s="9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13220</v>
      </c>
      <c r="H7" s="20">
        <f>SUM(H8:H11)</f>
        <v>13220</v>
      </c>
      <c r="I7" s="20">
        <f>SUM(I8:I11)</f>
        <v>3242</v>
      </c>
      <c r="J7" s="160">
        <f>IF(H7=0,"",I7/H7*100)</f>
        <v>24.523449319213313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88">
        <v>7800</v>
      </c>
      <c r="H8" s="88">
        <v>7800</v>
      </c>
      <c r="I8" s="88">
        <v>0</v>
      </c>
      <c r="J8" s="161">
        <f>IF(H8=0,"",I8/H8*100)</f>
        <v>0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88">
        <v>1100</v>
      </c>
      <c r="H9" s="88">
        <v>1100</v>
      </c>
      <c r="I9" s="88">
        <v>0</v>
      </c>
      <c r="J9" s="161">
        <f aca="true" t="shared" si="0" ref="J9:J43">IF(H9=0,"",I9/H9*100)</f>
        <v>0</v>
      </c>
    </row>
    <row r="10" spans="2:12" ht="12.75" customHeight="1">
      <c r="B10" s="14"/>
      <c r="C10" s="15"/>
      <c r="D10" s="15"/>
      <c r="E10" s="16">
        <v>611200</v>
      </c>
      <c r="F10" s="26" t="s">
        <v>459</v>
      </c>
      <c r="G10" s="88">
        <v>4320</v>
      </c>
      <c r="H10" s="88">
        <v>4320</v>
      </c>
      <c r="I10" s="88">
        <v>3242</v>
      </c>
      <c r="J10" s="161">
        <f t="shared" si="0"/>
        <v>75.0462962962963</v>
      </c>
      <c r="L10" s="94"/>
    </row>
    <row r="11" spans="2:10" ht="12.75" customHeight="1">
      <c r="B11" s="14"/>
      <c r="C11" s="15"/>
      <c r="D11" s="15"/>
      <c r="E11" s="16"/>
      <c r="F11" s="26"/>
      <c r="G11" s="45"/>
      <c r="H11" s="45"/>
      <c r="I11" s="45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3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900</v>
      </c>
      <c r="H13" s="20">
        <f>H14+H15</f>
        <v>900</v>
      </c>
      <c r="I13" s="20">
        <f>I14+I15</f>
        <v>0</v>
      </c>
      <c r="J13" s="160">
        <f t="shared" si="0"/>
        <v>0</v>
      </c>
      <c r="M13" s="101"/>
    </row>
    <row r="14" spans="2:13" ht="12.75" customHeight="1">
      <c r="B14" s="14"/>
      <c r="C14" s="15"/>
      <c r="D14" s="15"/>
      <c r="E14" s="16">
        <v>612100</v>
      </c>
      <c r="F14" s="18" t="s">
        <v>8</v>
      </c>
      <c r="G14" s="88">
        <v>900</v>
      </c>
      <c r="H14" s="88">
        <v>900</v>
      </c>
      <c r="I14" s="88">
        <v>0</v>
      </c>
      <c r="J14" s="161">
        <f t="shared" si="0"/>
        <v>0</v>
      </c>
      <c r="M14" s="87"/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51"/>
      <c r="H16" s="51"/>
      <c r="I16" s="51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20600</v>
      </c>
      <c r="H17" s="51">
        <f>SUM(H18:H27)</f>
        <v>19880</v>
      </c>
      <c r="I17" s="51">
        <f>SUM(I18:I27)</f>
        <v>17800.61</v>
      </c>
      <c r="J17" s="160">
        <f t="shared" si="0"/>
        <v>89.54029175050302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5">
        <v>300</v>
      </c>
      <c r="H18" s="45">
        <v>300</v>
      </c>
      <c r="I18" s="45">
        <v>41</v>
      </c>
      <c r="J18" s="161">
        <f t="shared" si="0"/>
        <v>13.666666666666666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5">
        <v>0</v>
      </c>
      <c r="H19" s="45">
        <v>0</v>
      </c>
      <c r="I19" s="45">
        <v>0</v>
      </c>
      <c r="J19" s="161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5">
        <v>1100</v>
      </c>
      <c r="H20" s="45">
        <v>1100</v>
      </c>
      <c r="I20" s="45">
        <v>824.39</v>
      </c>
      <c r="J20" s="161">
        <f t="shared" si="0"/>
        <v>74.94454545454545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5">
        <v>0</v>
      </c>
      <c r="H21" s="45">
        <v>0</v>
      </c>
      <c r="I21" s="45">
        <v>0</v>
      </c>
      <c r="J21" s="161">
        <f t="shared" si="0"/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45">
        <v>500</v>
      </c>
      <c r="H22" s="45">
        <v>500</v>
      </c>
      <c r="I22" s="45">
        <v>406.84</v>
      </c>
      <c r="J22" s="161">
        <f t="shared" si="0"/>
        <v>81.368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45">
        <v>0</v>
      </c>
      <c r="H23" s="45">
        <v>0</v>
      </c>
      <c r="I23" s="45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45">
        <v>400</v>
      </c>
      <c r="H24" s="45">
        <v>400</v>
      </c>
      <c r="I24" s="45">
        <v>78</v>
      </c>
      <c r="J24" s="161">
        <f t="shared" si="0"/>
        <v>19.5</v>
      </c>
    </row>
    <row r="25" spans="2:11" ht="12.75" customHeight="1">
      <c r="B25" s="14"/>
      <c r="C25" s="15"/>
      <c r="D25" s="15"/>
      <c r="E25" s="16">
        <v>613800</v>
      </c>
      <c r="F25" s="15" t="s">
        <v>95</v>
      </c>
      <c r="G25" s="45">
        <v>300</v>
      </c>
      <c r="H25" s="45">
        <v>300</v>
      </c>
      <c r="I25" s="45">
        <v>0</v>
      </c>
      <c r="J25" s="161">
        <f t="shared" si="0"/>
        <v>0</v>
      </c>
      <c r="K25" s="87"/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88">
        <v>13400</v>
      </c>
      <c r="H26" s="88">
        <v>13400</v>
      </c>
      <c r="I26" s="88">
        <v>12575.18</v>
      </c>
      <c r="J26" s="161">
        <f t="shared" si="0"/>
        <v>93.84462686567164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45">
        <v>4600</v>
      </c>
      <c r="H27" s="45">
        <v>3880</v>
      </c>
      <c r="I27" s="45">
        <v>3875.2</v>
      </c>
      <c r="J27" s="161">
        <f t="shared" si="0"/>
        <v>99.87628865979381</v>
      </c>
      <c r="L27" s="95"/>
    </row>
    <row r="28" spans="2:10" ht="12.75" customHeight="1">
      <c r="B28" s="14"/>
      <c r="C28" s="15"/>
      <c r="D28" s="15"/>
      <c r="E28" s="16"/>
      <c r="F28" s="15"/>
      <c r="G28" s="20"/>
      <c r="H28" s="20"/>
      <c r="I28" s="20"/>
      <c r="J28" s="161">
        <f t="shared" si="0"/>
      </c>
    </row>
    <row r="29" spans="2:10" s="1" customFormat="1" ht="12.75" customHeight="1">
      <c r="B29" s="17"/>
      <c r="C29" s="12"/>
      <c r="D29" s="12"/>
      <c r="E29" s="62">
        <v>614000</v>
      </c>
      <c r="F29" s="12" t="s">
        <v>132</v>
      </c>
      <c r="G29" s="20">
        <f>SUM(G30:G35)</f>
        <v>15000</v>
      </c>
      <c r="H29" s="20">
        <f>SUM(H30:H35)</f>
        <v>15000</v>
      </c>
      <c r="I29" s="20">
        <f>SUM(I30:I35)</f>
        <v>0</v>
      </c>
      <c r="J29" s="160">
        <f t="shared" si="0"/>
        <v>0</v>
      </c>
    </row>
    <row r="30" spans="2:10" ht="12.75" customHeight="1">
      <c r="B30" s="14"/>
      <c r="C30" s="15"/>
      <c r="D30" s="31"/>
      <c r="E30" s="64">
        <v>614200</v>
      </c>
      <c r="F30" s="61" t="s">
        <v>24</v>
      </c>
      <c r="G30" s="88">
        <v>15000</v>
      </c>
      <c r="H30" s="88">
        <v>15000</v>
      </c>
      <c r="I30" s="88">
        <v>0</v>
      </c>
      <c r="J30" s="161">
        <f t="shared" si="0"/>
        <v>0</v>
      </c>
    </row>
    <row r="31" spans="2:10" ht="12.75" customHeight="1">
      <c r="B31" s="14"/>
      <c r="C31" s="15"/>
      <c r="D31" s="15"/>
      <c r="E31" s="63"/>
      <c r="F31" s="15"/>
      <c r="G31" s="45"/>
      <c r="H31" s="45"/>
      <c r="I31" s="45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45"/>
      <c r="I32" s="45"/>
      <c r="J32" s="161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45"/>
      <c r="I33" s="45"/>
      <c r="J33" s="161">
        <f t="shared" si="0"/>
      </c>
    </row>
    <row r="34" spans="2:10" ht="12.75" customHeight="1">
      <c r="B34" s="14"/>
      <c r="C34" s="15"/>
      <c r="D34" s="15"/>
      <c r="E34" s="16"/>
      <c r="F34" s="15"/>
      <c r="G34" s="45"/>
      <c r="H34" s="45"/>
      <c r="I34" s="45"/>
      <c r="J34" s="161">
        <f t="shared" si="0"/>
      </c>
    </row>
    <row r="35" spans="2:10" ht="12.75" customHeight="1">
      <c r="B35" s="14"/>
      <c r="C35" s="15"/>
      <c r="D35" s="15"/>
      <c r="E35" s="16"/>
      <c r="F35" s="19"/>
      <c r="G35" s="45"/>
      <c r="H35" s="45"/>
      <c r="I35" s="45"/>
      <c r="J35" s="161">
        <f t="shared" si="0"/>
      </c>
    </row>
    <row r="36" spans="2:10" ht="12.75" customHeight="1">
      <c r="B36" s="14"/>
      <c r="C36" s="15"/>
      <c r="D36" s="15"/>
      <c r="E36" s="16"/>
      <c r="F36" s="15"/>
      <c r="G36" s="20"/>
      <c r="H36" s="20"/>
      <c r="I36" s="20"/>
      <c r="J36" s="161">
        <f t="shared" si="0"/>
      </c>
    </row>
    <row r="37" spans="2:10" s="1" customFormat="1" ht="12.75" customHeight="1">
      <c r="B37" s="17"/>
      <c r="C37" s="12"/>
      <c r="D37" s="12"/>
      <c r="E37" s="9">
        <v>821000</v>
      </c>
      <c r="F37" s="12" t="s">
        <v>15</v>
      </c>
      <c r="G37" s="20">
        <f>SUM(G38:G39)</f>
        <v>1000</v>
      </c>
      <c r="H37" s="20">
        <f>SUM(H38:H39)</f>
        <v>1000</v>
      </c>
      <c r="I37" s="20">
        <f>SUM(I38:I39)</f>
        <v>0</v>
      </c>
      <c r="J37" s="160">
        <f t="shared" si="0"/>
        <v>0</v>
      </c>
    </row>
    <row r="38" spans="2:10" ht="12.75" customHeight="1">
      <c r="B38" s="14"/>
      <c r="C38" s="15"/>
      <c r="D38" s="15"/>
      <c r="E38" s="16">
        <v>821200</v>
      </c>
      <c r="F38" s="15" t="s">
        <v>16</v>
      </c>
      <c r="G38" s="88">
        <v>0</v>
      </c>
      <c r="H38" s="88">
        <v>0</v>
      </c>
      <c r="I38" s="88">
        <v>0</v>
      </c>
      <c r="J38" s="161">
        <f t="shared" si="0"/>
      </c>
    </row>
    <row r="39" spans="2:10" ht="12.75" customHeight="1">
      <c r="B39" s="14"/>
      <c r="C39" s="15"/>
      <c r="D39" s="15"/>
      <c r="E39" s="16">
        <v>821300</v>
      </c>
      <c r="F39" s="15" t="s">
        <v>17</v>
      </c>
      <c r="G39" s="45">
        <v>1000</v>
      </c>
      <c r="H39" s="45">
        <v>1000</v>
      </c>
      <c r="I39" s="45">
        <v>0</v>
      </c>
      <c r="J39" s="161">
        <f t="shared" si="0"/>
        <v>0</v>
      </c>
    </row>
    <row r="40" spans="2:10" ht="12.75" customHeight="1">
      <c r="B40" s="14"/>
      <c r="C40" s="15"/>
      <c r="D40" s="15"/>
      <c r="E40" s="16"/>
      <c r="F40" s="15"/>
      <c r="G40" s="45"/>
      <c r="H40" s="45"/>
      <c r="I40" s="45"/>
      <c r="J40" s="161">
        <f t="shared" si="0"/>
      </c>
    </row>
    <row r="41" spans="2:10" ht="12.75" customHeight="1">
      <c r="B41" s="14"/>
      <c r="C41" s="15"/>
      <c r="D41" s="15"/>
      <c r="E41" s="16"/>
      <c r="F41" s="15"/>
      <c r="G41" s="20"/>
      <c r="H41" s="20"/>
      <c r="I41" s="20"/>
      <c r="J41" s="161">
        <f t="shared" si="0"/>
      </c>
    </row>
    <row r="42" spans="2:10" s="1" customFormat="1" ht="12.75" customHeight="1">
      <c r="B42" s="17"/>
      <c r="C42" s="12"/>
      <c r="D42" s="12"/>
      <c r="E42" s="9"/>
      <c r="F42" s="12" t="s">
        <v>18</v>
      </c>
      <c r="G42" s="115">
        <v>1</v>
      </c>
      <c r="H42" s="115">
        <v>1</v>
      </c>
      <c r="I42" s="115">
        <v>0</v>
      </c>
      <c r="J42" s="161"/>
    </row>
    <row r="43" spans="2:10" s="1" customFormat="1" ht="12.75" customHeight="1">
      <c r="B43" s="17"/>
      <c r="C43" s="12"/>
      <c r="D43" s="12"/>
      <c r="E43" s="9"/>
      <c r="F43" s="12" t="s">
        <v>40</v>
      </c>
      <c r="G43" s="20">
        <f>G7+G13+G17+G29+G37</f>
        <v>50720</v>
      </c>
      <c r="H43" s="20">
        <f>H7+H13+H17+H29+H37</f>
        <v>50000</v>
      </c>
      <c r="I43" s="20">
        <f>I7+I13+I17+I29+I37</f>
        <v>21042.61</v>
      </c>
      <c r="J43" s="160">
        <f t="shared" si="0"/>
        <v>42.08522</v>
      </c>
    </row>
    <row r="44" spans="2:10" s="1" customFormat="1" ht="12.75" customHeight="1">
      <c r="B44" s="17"/>
      <c r="C44" s="12"/>
      <c r="D44" s="12"/>
      <c r="E44" s="9"/>
      <c r="F44" s="12" t="s">
        <v>19</v>
      </c>
      <c r="G44" s="20"/>
      <c r="H44" s="20"/>
      <c r="I44" s="20"/>
      <c r="J44" s="163"/>
    </row>
    <row r="45" spans="2:10" s="1" customFormat="1" ht="12.75" customHeight="1">
      <c r="B45" s="17"/>
      <c r="C45" s="12"/>
      <c r="D45" s="12"/>
      <c r="E45" s="9"/>
      <c r="F45" s="12" t="s">
        <v>20</v>
      </c>
      <c r="G45" s="45"/>
      <c r="H45" s="45"/>
      <c r="I45" s="45"/>
      <c r="J45" s="162"/>
    </row>
    <row r="46" spans="2:10" ht="12.75" customHeight="1" thickBot="1">
      <c r="B46" s="21"/>
      <c r="C46" s="22"/>
      <c r="D46" s="22"/>
      <c r="E46" s="23"/>
      <c r="F46" s="22"/>
      <c r="G46" s="22"/>
      <c r="H46" s="22"/>
      <c r="I46" s="22"/>
      <c r="J46" s="164"/>
    </row>
    <row r="48" ht="12.75">
      <c r="B48" s="87"/>
    </row>
  </sheetData>
  <sheetProtection/>
  <mergeCells count="2">
    <mergeCell ref="B2:I2"/>
    <mergeCell ref="F3:G3"/>
  </mergeCells>
  <printOptions/>
  <pageMargins left="0.2755905511811024" right="0.2755905511811024" top="0.5905511811023623" bottom="0.5905511811023623" header="0.5118110236220472" footer="0.5118110236220472"/>
  <pageSetup fitToHeight="1" fitToWidth="1" horizontalDpi="180" verticalDpi="180" orientation="portrait" paperSize="9" scale="78" r:id="rId1"/>
  <headerFooter alignWithMargins="0">
    <oddFooter>&amp;R13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2:L47"/>
  <sheetViews>
    <sheetView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9" width="15.7109375" style="13" customWidth="1"/>
    <col min="10" max="10" width="8.7109375" style="148" customWidth="1"/>
    <col min="11" max="16384" width="9.140625" style="13" customWidth="1"/>
  </cols>
  <sheetData>
    <row r="2" spans="2:10" ht="15" customHeight="1">
      <c r="B2" s="414" t="s">
        <v>52</v>
      </c>
      <c r="C2" s="414"/>
      <c r="D2" s="414"/>
      <c r="E2" s="414"/>
      <c r="F2" s="414"/>
      <c r="G2" s="414"/>
      <c r="H2" s="414"/>
      <c r="I2" s="414"/>
      <c r="J2" s="155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48</v>
      </c>
      <c r="C6" s="11" t="s">
        <v>6</v>
      </c>
      <c r="D6" s="11" t="s">
        <v>53</v>
      </c>
      <c r="E6" s="9"/>
      <c r="F6" s="9"/>
      <c r="G6" s="9"/>
      <c r="H6" s="9"/>
      <c r="I6" s="9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31900</v>
      </c>
      <c r="H7" s="20">
        <f>SUM(H8:H11)</f>
        <v>31900</v>
      </c>
      <c r="I7" s="20">
        <f>SUM(I8:I11)</f>
        <v>29817.239999999998</v>
      </c>
      <c r="J7" s="160">
        <f>IF(H7=0,"",I7/H7*100)</f>
        <v>93.47097178683384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88">
        <v>26400</v>
      </c>
      <c r="H8" s="88">
        <v>26400</v>
      </c>
      <c r="I8" s="88">
        <v>26194.17</v>
      </c>
      <c r="J8" s="161">
        <f>IF(H8=0,"",I8/H8*100)</f>
        <v>99.2203409090909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88">
        <v>2800</v>
      </c>
      <c r="H9" s="88">
        <v>2800</v>
      </c>
      <c r="I9" s="88">
        <v>2374</v>
      </c>
      <c r="J9" s="161">
        <f aca="true" t="shared" si="0" ref="J9:J42">IF(H9=0,"",I9/H9*100)</f>
        <v>84.78571428571429</v>
      </c>
    </row>
    <row r="10" spans="2:12" ht="12.75" customHeight="1">
      <c r="B10" s="14"/>
      <c r="C10" s="15"/>
      <c r="D10" s="15"/>
      <c r="E10" s="16">
        <v>611200</v>
      </c>
      <c r="F10" s="26" t="s">
        <v>460</v>
      </c>
      <c r="G10" s="88">
        <v>2700</v>
      </c>
      <c r="H10" s="88">
        <v>2700</v>
      </c>
      <c r="I10" s="88">
        <v>1249.07</v>
      </c>
      <c r="J10" s="161">
        <f t="shared" si="0"/>
        <v>46.26185185185185</v>
      </c>
      <c r="L10" s="94"/>
    </row>
    <row r="11" spans="2:10" ht="12.75" customHeight="1">
      <c r="B11" s="14"/>
      <c r="C11" s="15"/>
      <c r="D11" s="15"/>
      <c r="E11" s="16"/>
      <c r="F11" s="26"/>
      <c r="G11" s="45"/>
      <c r="H11" s="45"/>
      <c r="I11" s="45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2900</v>
      </c>
      <c r="H13" s="20">
        <f>H14+H15</f>
        <v>2900</v>
      </c>
      <c r="I13" s="20">
        <f>I14+I15</f>
        <v>2750.39</v>
      </c>
      <c r="J13" s="160">
        <f t="shared" si="0"/>
        <v>94.84103448275862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45">
        <v>2900</v>
      </c>
      <c r="H14" s="45">
        <v>2900</v>
      </c>
      <c r="I14" s="45">
        <v>2750.39</v>
      </c>
      <c r="J14" s="161">
        <f t="shared" si="0"/>
        <v>94.84103448275862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51"/>
      <c r="H16" s="51"/>
      <c r="I16" s="51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7300</v>
      </c>
      <c r="H17" s="51">
        <f>SUM(H18:H27)</f>
        <v>6240</v>
      </c>
      <c r="I17" s="51">
        <f>SUM(I18:I27)</f>
        <v>3939.72</v>
      </c>
      <c r="J17" s="160">
        <f t="shared" si="0"/>
        <v>63.136538461538464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5">
        <v>300</v>
      </c>
      <c r="H18" s="45">
        <v>300</v>
      </c>
      <c r="I18" s="45">
        <v>0</v>
      </c>
      <c r="J18" s="161">
        <f t="shared" si="0"/>
        <v>0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5">
        <v>0</v>
      </c>
      <c r="H19" s="45">
        <v>0</v>
      </c>
      <c r="I19" s="45">
        <v>0</v>
      </c>
      <c r="J19" s="161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5">
        <v>0</v>
      </c>
      <c r="H20" s="45">
        <v>0</v>
      </c>
      <c r="I20" s="45">
        <v>0</v>
      </c>
      <c r="J20" s="161">
        <f t="shared" si="0"/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5">
        <v>0</v>
      </c>
      <c r="H21" s="45">
        <v>0</v>
      </c>
      <c r="I21" s="45">
        <v>0</v>
      </c>
      <c r="J21" s="161">
        <f t="shared" si="0"/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45">
        <v>0</v>
      </c>
      <c r="H22" s="45">
        <v>0</v>
      </c>
      <c r="I22" s="45">
        <v>0</v>
      </c>
      <c r="J22" s="161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45">
        <v>0</v>
      </c>
      <c r="H23" s="45">
        <v>0</v>
      </c>
      <c r="I23" s="45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45">
        <v>0</v>
      </c>
      <c r="H24" s="45">
        <v>0</v>
      </c>
      <c r="I24" s="45">
        <v>0</v>
      </c>
      <c r="J24" s="161">
        <f t="shared" si="0"/>
      </c>
    </row>
    <row r="25" spans="2:12" ht="12.75" customHeight="1">
      <c r="B25" s="14"/>
      <c r="C25" s="15"/>
      <c r="D25" s="15"/>
      <c r="E25" s="16">
        <v>613800</v>
      </c>
      <c r="F25" s="15" t="s">
        <v>95</v>
      </c>
      <c r="G25" s="45">
        <v>0</v>
      </c>
      <c r="H25" s="45">
        <v>0</v>
      </c>
      <c r="I25" s="45">
        <v>0</v>
      </c>
      <c r="J25" s="161">
        <f t="shared" si="0"/>
      </c>
      <c r="L25" s="87"/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45">
        <v>4200</v>
      </c>
      <c r="H26" s="45">
        <v>4200</v>
      </c>
      <c r="I26" s="45">
        <v>2209.7</v>
      </c>
      <c r="J26" s="161">
        <f t="shared" si="0"/>
        <v>52.61190476190476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46">
        <v>2800</v>
      </c>
      <c r="H27" s="46">
        <v>1740</v>
      </c>
      <c r="I27" s="46">
        <v>1730.02</v>
      </c>
      <c r="J27" s="161">
        <f t="shared" si="0"/>
        <v>99.4264367816092</v>
      </c>
      <c r="L27" s="95"/>
    </row>
    <row r="28" spans="2:10" s="1" customFormat="1" ht="12.75" customHeight="1">
      <c r="B28" s="17"/>
      <c r="C28" s="12"/>
      <c r="D28" s="12"/>
      <c r="E28" s="62"/>
      <c r="F28" s="12"/>
      <c r="G28" s="45"/>
      <c r="H28" s="45"/>
      <c r="I28" s="45"/>
      <c r="J28" s="161">
        <f t="shared" si="0"/>
      </c>
    </row>
    <row r="29" spans="2:10" ht="12.75" customHeight="1">
      <c r="B29" s="14"/>
      <c r="C29" s="15"/>
      <c r="D29" s="31"/>
      <c r="E29" s="64"/>
      <c r="F29" s="61"/>
      <c r="G29" s="45"/>
      <c r="H29" s="45"/>
      <c r="I29" s="45"/>
      <c r="J29" s="161">
        <f t="shared" si="0"/>
      </c>
    </row>
    <row r="30" spans="2:10" ht="12.75" customHeight="1">
      <c r="B30" s="14"/>
      <c r="C30" s="15"/>
      <c r="D30" s="15"/>
      <c r="E30" s="63"/>
      <c r="F30" s="15"/>
      <c r="G30" s="45"/>
      <c r="H30" s="45"/>
      <c r="I30" s="45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45"/>
      <c r="I31" s="45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45"/>
      <c r="I32" s="45"/>
      <c r="J32" s="161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45"/>
      <c r="I33" s="45"/>
      <c r="J33" s="161">
        <f t="shared" si="0"/>
      </c>
    </row>
    <row r="34" spans="2:10" ht="12.75" customHeight="1">
      <c r="B34" s="14"/>
      <c r="C34" s="15"/>
      <c r="D34" s="15"/>
      <c r="E34" s="16"/>
      <c r="F34" s="19"/>
      <c r="G34" s="45"/>
      <c r="H34" s="45"/>
      <c r="I34" s="45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20">
        <f>SUM(G37:G38)</f>
        <v>0</v>
      </c>
      <c r="H36" s="20">
        <f>SUM(H37:H38)</f>
        <v>0</v>
      </c>
      <c r="I36" s="20">
        <f>SUM(I37:I38)</f>
        <v>0</v>
      </c>
      <c r="J36" s="160">
        <f t="shared" si="0"/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88">
        <v>0</v>
      </c>
      <c r="H37" s="88">
        <v>0</v>
      </c>
      <c r="I37" s="88">
        <v>0</v>
      </c>
      <c r="J37" s="161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45">
        <v>0</v>
      </c>
      <c r="H38" s="45">
        <v>0</v>
      </c>
      <c r="I38" s="45">
        <v>0</v>
      </c>
      <c r="J38" s="161">
        <f t="shared" si="0"/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20"/>
      <c r="H40" s="20"/>
      <c r="I40" s="20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20">
        <v>1</v>
      </c>
      <c r="H41" s="20">
        <v>1</v>
      </c>
      <c r="I41" s="20">
        <v>1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42100</v>
      </c>
      <c r="H42" s="20">
        <f>H7+H13+H17+H36</f>
        <v>41040</v>
      </c>
      <c r="I42" s="20">
        <f>I7+I13+I17+I36</f>
        <v>36507.35</v>
      </c>
      <c r="J42" s="160">
        <f t="shared" si="0"/>
        <v>88.95553118908381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/>
      <c r="H43" s="20"/>
      <c r="I43" s="20"/>
      <c r="J43" s="163"/>
    </row>
    <row r="44" spans="2:10" s="1" customFormat="1" ht="12.75" customHeight="1">
      <c r="B44" s="17"/>
      <c r="C44" s="12"/>
      <c r="D44" s="12"/>
      <c r="E44" s="9"/>
      <c r="F44" s="12" t="s">
        <v>20</v>
      </c>
      <c r="G44" s="45"/>
      <c r="H44" s="45"/>
      <c r="I44" s="45"/>
      <c r="J44" s="162"/>
    </row>
    <row r="45" spans="2:10" ht="12.75" customHeight="1" thickBot="1">
      <c r="B45" s="21"/>
      <c r="C45" s="22"/>
      <c r="D45" s="22"/>
      <c r="E45" s="23"/>
      <c r="F45" s="22"/>
      <c r="G45" s="22"/>
      <c r="H45" s="22"/>
      <c r="I45" s="22"/>
      <c r="J45" s="164"/>
    </row>
    <row r="47" ht="12.75">
      <c r="B47" s="87"/>
    </row>
  </sheetData>
  <sheetProtection/>
  <mergeCells count="2">
    <mergeCell ref="B2:I2"/>
    <mergeCell ref="F3:G3"/>
  </mergeCells>
  <printOptions/>
  <pageMargins left="0.2755905511811024" right="0.2755905511811024" top="0.5905511811023623" bottom="0.52" header="0.5118110236220472" footer="0.5118110236220472"/>
  <pageSetup fitToHeight="1" fitToWidth="1" horizontalDpi="180" verticalDpi="180" orientation="portrait" paperSize="9" scale="77" r:id="rId1"/>
  <headerFooter alignWithMargins="0">
    <oddFooter>&amp;R14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B2:L50"/>
  <sheetViews>
    <sheetView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9" width="15.7109375" style="13" customWidth="1"/>
    <col min="10" max="10" width="8.7109375" style="148" customWidth="1"/>
    <col min="11" max="16384" width="9.140625" style="13" customWidth="1"/>
  </cols>
  <sheetData>
    <row r="2" spans="2:10" ht="15" customHeight="1">
      <c r="B2" s="414" t="s">
        <v>89</v>
      </c>
      <c r="C2" s="414"/>
      <c r="D2" s="414"/>
      <c r="E2" s="414"/>
      <c r="F2" s="414"/>
      <c r="G2" s="414"/>
      <c r="H2" s="414"/>
      <c r="I2" s="414"/>
      <c r="J2" s="155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48</v>
      </c>
      <c r="C6" s="11" t="s">
        <v>6</v>
      </c>
      <c r="D6" s="11" t="s">
        <v>54</v>
      </c>
      <c r="E6" s="9"/>
      <c r="F6" s="9"/>
      <c r="G6" s="9"/>
      <c r="H6" s="9"/>
      <c r="I6" s="9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69600</v>
      </c>
      <c r="H7" s="20">
        <f>SUM(H8:H11)</f>
        <v>70320</v>
      </c>
      <c r="I7" s="20">
        <f>SUM(I8:I11)</f>
        <v>70267.91</v>
      </c>
      <c r="J7" s="160">
        <f>IF(H7=0,"",I7/H7*100)</f>
        <v>99.92592434584756</v>
      </c>
    </row>
    <row r="8" spans="2:12" ht="12.75" customHeight="1">
      <c r="B8" s="14"/>
      <c r="C8" s="15"/>
      <c r="D8" s="15"/>
      <c r="E8" s="16">
        <v>611100</v>
      </c>
      <c r="F8" s="26" t="s">
        <v>128</v>
      </c>
      <c r="G8" s="88">
        <v>57500</v>
      </c>
      <c r="H8" s="88">
        <v>58140</v>
      </c>
      <c r="I8" s="88">
        <v>58134.31</v>
      </c>
      <c r="J8" s="161">
        <f>IF(H8=0,"",I8/H8*100)</f>
        <v>99.99021327829377</v>
      </c>
      <c r="K8" s="95"/>
      <c r="L8" s="95"/>
    </row>
    <row r="9" spans="2:12" ht="12.75" customHeight="1">
      <c r="B9" s="14"/>
      <c r="C9" s="15"/>
      <c r="D9" s="15"/>
      <c r="E9" s="16">
        <v>611200</v>
      </c>
      <c r="F9" s="15" t="s">
        <v>129</v>
      </c>
      <c r="G9" s="88">
        <v>10800</v>
      </c>
      <c r="H9" s="88">
        <v>10800</v>
      </c>
      <c r="I9" s="88">
        <v>10758</v>
      </c>
      <c r="J9" s="161">
        <f aca="true" t="shared" si="0" ref="J9:J42">IF(H9=0,"",I9/H9*100)</f>
        <v>99.6111111111111</v>
      </c>
      <c r="K9" s="100"/>
      <c r="L9" s="95"/>
    </row>
    <row r="10" spans="2:12" ht="12.75" customHeight="1">
      <c r="B10" s="14"/>
      <c r="C10" s="15"/>
      <c r="D10" s="15"/>
      <c r="E10" s="16">
        <v>611200</v>
      </c>
      <c r="F10" s="26" t="s">
        <v>556</v>
      </c>
      <c r="G10" s="88">
        <v>1300</v>
      </c>
      <c r="H10" s="88">
        <v>1380</v>
      </c>
      <c r="I10" s="88">
        <v>1375.6</v>
      </c>
      <c r="J10" s="161">
        <f t="shared" si="0"/>
        <v>99.68115942028984</v>
      </c>
      <c r="L10" s="95"/>
    </row>
    <row r="11" spans="2:12" ht="12.75" customHeight="1">
      <c r="B11" s="14"/>
      <c r="C11" s="15"/>
      <c r="D11" s="15"/>
      <c r="E11" s="16"/>
      <c r="F11" s="26"/>
      <c r="G11" s="45"/>
      <c r="H11" s="45"/>
      <c r="I11" s="45"/>
      <c r="J11" s="161">
        <f t="shared" si="0"/>
      </c>
      <c r="L11" s="95"/>
    </row>
    <row r="12" spans="2:12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  <c r="L12" s="95"/>
    </row>
    <row r="13" spans="2:12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6100</v>
      </c>
      <c r="H13" s="20">
        <f>H14+H15</f>
        <v>6110</v>
      </c>
      <c r="I13" s="20">
        <f>I14+I15</f>
        <v>6104.07</v>
      </c>
      <c r="J13" s="160">
        <f t="shared" si="0"/>
        <v>99.90294599018003</v>
      </c>
      <c r="L13" s="95"/>
    </row>
    <row r="14" spans="2:12" ht="12.75" customHeight="1">
      <c r="B14" s="14"/>
      <c r="C14" s="15"/>
      <c r="D14" s="15"/>
      <c r="E14" s="16">
        <v>612100</v>
      </c>
      <c r="F14" s="18" t="s">
        <v>8</v>
      </c>
      <c r="G14" s="88">
        <v>6100</v>
      </c>
      <c r="H14" s="88">
        <v>6110</v>
      </c>
      <c r="I14" s="88">
        <v>6104.07</v>
      </c>
      <c r="J14" s="161">
        <f t="shared" si="0"/>
        <v>99.90294599018003</v>
      </c>
      <c r="L14" s="95"/>
    </row>
    <row r="15" spans="2:12" ht="12.75" customHeight="1">
      <c r="B15" s="14"/>
      <c r="C15" s="15"/>
      <c r="D15" s="15"/>
      <c r="E15" s="16"/>
      <c r="F15" s="15"/>
      <c r="G15" s="45"/>
      <c r="H15" s="45"/>
      <c r="I15" s="45"/>
      <c r="J15" s="161">
        <f t="shared" si="0"/>
      </c>
      <c r="L15" s="95"/>
    </row>
    <row r="16" spans="2:12" ht="12.75" customHeight="1">
      <c r="B16" s="14"/>
      <c r="C16" s="15"/>
      <c r="D16" s="15"/>
      <c r="E16" s="16"/>
      <c r="F16" s="15"/>
      <c r="G16" s="51"/>
      <c r="H16" s="51"/>
      <c r="I16" s="51"/>
      <c r="J16" s="161">
        <f t="shared" si="0"/>
      </c>
      <c r="L16" s="95"/>
    </row>
    <row r="17" spans="2:12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9940</v>
      </c>
      <c r="H17" s="51">
        <f>SUM(H18:H27)</f>
        <v>11320</v>
      </c>
      <c r="I17" s="51">
        <f>SUM(I18:I27)</f>
        <v>10516.55</v>
      </c>
      <c r="J17" s="160">
        <f t="shared" si="0"/>
        <v>92.90238515901059</v>
      </c>
      <c r="L17" s="95"/>
    </row>
    <row r="18" spans="2:12" ht="12.75" customHeight="1">
      <c r="B18" s="14"/>
      <c r="C18" s="15"/>
      <c r="D18" s="15"/>
      <c r="E18" s="16">
        <v>613100</v>
      </c>
      <c r="F18" s="15" t="s">
        <v>9</v>
      </c>
      <c r="G18" s="88">
        <v>800</v>
      </c>
      <c r="H18" s="88">
        <v>800</v>
      </c>
      <c r="I18" s="88">
        <v>622.11</v>
      </c>
      <c r="J18" s="161">
        <f t="shared" si="0"/>
        <v>77.76375</v>
      </c>
      <c r="L18" s="95"/>
    </row>
    <row r="19" spans="2:12" ht="12.75" customHeight="1">
      <c r="B19" s="14"/>
      <c r="C19" s="15"/>
      <c r="D19" s="15"/>
      <c r="E19" s="16">
        <v>613200</v>
      </c>
      <c r="F19" s="15" t="s">
        <v>10</v>
      </c>
      <c r="G19" s="45">
        <v>0</v>
      </c>
      <c r="H19" s="45">
        <v>0</v>
      </c>
      <c r="I19" s="45">
        <v>0</v>
      </c>
      <c r="J19" s="161">
        <f t="shared" si="0"/>
      </c>
      <c r="L19" s="95"/>
    </row>
    <row r="20" spans="2:12" ht="12.75" customHeight="1">
      <c r="B20" s="14"/>
      <c r="C20" s="15"/>
      <c r="D20" s="15"/>
      <c r="E20" s="16">
        <v>613300</v>
      </c>
      <c r="F20" s="26" t="s">
        <v>130</v>
      </c>
      <c r="G20" s="45">
        <v>1800</v>
      </c>
      <c r="H20" s="45">
        <v>1600</v>
      </c>
      <c r="I20" s="45">
        <v>1539.23</v>
      </c>
      <c r="J20" s="161">
        <f t="shared" si="0"/>
        <v>96.201875</v>
      </c>
      <c r="L20" s="95"/>
    </row>
    <row r="21" spans="2:12" ht="12.75" customHeight="1">
      <c r="B21" s="14"/>
      <c r="C21" s="15"/>
      <c r="D21" s="15"/>
      <c r="E21" s="16">
        <v>613400</v>
      </c>
      <c r="F21" s="15" t="s">
        <v>94</v>
      </c>
      <c r="G21" s="88">
        <v>350</v>
      </c>
      <c r="H21" s="88">
        <v>350</v>
      </c>
      <c r="I21" s="88">
        <v>0</v>
      </c>
      <c r="J21" s="161">
        <f t="shared" si="0"/>
        <v>0</v>
      </c>
      <c r="L21" s="95"/>
    </row>
    <row r="22" spans="2:12" ht="12.75" customHeight="1">
      <c r="B22" s="14"/>
      <c r="C22" s="15"/>
      <c r="D22" s="15"/>
      <c r="E22" s="16">
        <v>613500</v>
      </c>
      <c r="F22" s="15" t="s">
        <v>11</v>
      </c>
      <c r="G22" s="45">
        <v>250</v>
      </c>
      <c r="H22" s="45">
        <v>250</v>
      </c>
      <c r="I22" s="45">
        <v>243.23</v>
      </c>
      <c r="J22" s="161">
        <f t="shared" si="0"/>
        <v>97.292</v>
      </c>
      <c r="L22" s="95"/>
    </row>
    <row r="23" spans="2:12" ht="12.75" customHeight="1">
      <c r="B23" s="14"/>
      <c r="C23" s="15"/>
      <c r="D23" s="15"/>
      <c r="E23" s="16">
        <v>613600</v>
      </c>
      <c r="F23" s="26" t="s">
        <v>131</v>
      </c>
      <c r="G23" s="45">
        <v>0</v>
      </c>
      <c r="H23" s="45">
        <v>0</v>
      </c>
      <c r="I23" s="45">
        <v>0</v>
      </c>
      <c r="J23" s="161">
        <f t="shared" si="0"/>
      </c>
      <c r="L23" s="95"/>
    </row>
    <row r="24" spans="2:12" ht="12.75" customHeight="1">
      <c r="B24" s="14"/>
      <c r="C24" s="15"/>
      <c r="D24" s="15"/>
      <c r="E24" s="16">
        <v>613700</v>
      </c>
      <c r="F24" s="15" t="s">
        <v>12</v>
      </c>
      <c r="G24" s="45">
        <v>400</v>
      </c>
      <c r="H24" s="45">
        <v>400</v>
      </c>
      <c r="I24" s="45">
        <v>221</v>
      </c>
      <c r="J24" s="161">
        <f t="shared" si="0"/>
        <v>55.25</v>
      </c>
      <c r="L24" s="95"/>
    </row>
    <row r="25" spans="2:12" ht="12.75" customHeight="1">
      <c r="B25" s="14"/>
      <c r="C25" s="15"/>
      <c r="D25" s="15"/>
      <c r="E25" s="16">
        <v>613800</v>
      </c>
      <c r="F25" s="15" t="s">
        <v>95</v>
      </c>
      <c r="G25" s="45">
        <v>0</v>
      </c>
      <c r="H25" s="45">
        <v>0</v>
      </c>
      <c r="I25" s="45">
        <v>0</v>
      </c>
      <c r="J25" s="161">
        <f t="shared" si="0"/>
      </c>
      <c r="L25" s="95"/>
    </row>
    <row r="26" spans="2:12" ht="12.75" customHeight="1">
      <c r="B26" s="14"/>
      <c r="C26" s="15"/>
      <c r="D26" s="15"/>
      <c r="E26" s="16">
        <v>613900</v>
      </c>
      <c r="F26" s="15" t="s">
        <v>96</v>
      </c>
      <c r="G26" s="88">
        <v>4500</v>
      </c>
      <c r="H26" s="88">
        <v>5850</v>
      </c>
      <c r="I26" s="88">
        <v>5825.53</v>
      </c>
      <c r="J26" s="161">
        <f t="shared" si="0"/>
        <v>99.58170940170939</v>
      </c>
      <c r="L26" s="95"/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124">
        <v>1840</v>
      </c>
      <c r="H27" s="124">
        <v>2070</v>
      </c>
      <c r="I27" s="124">
        <v>2065.45</v>
      </c>
      <c r="J27" s="161">
        <f t="shared" si="0"/>
        <v>99.78019323671496</v>
      </c>
      <c r="L27" s="95"/>
    </row>
    <row r="28" spans="2:10" s="1" customFormat="1" ht="12.75" customHeight="1">
      <c r="B28" s="17"/>
      <c r="C28" s="12"/>
      <c r="D28" s="12"/>
      <c r="E28" s="62"/>
      <c r="F28" s="12"/>
      <c r="G28" s="88"/>
      <c r="H28" s="88"/>
      <c r="I28" s="88"/>
      <c r="J28" s="161">
        <f t="shared" si="0"/>
      </c>
    </row>
    <row r="29" spans="2:10" ht="12.75" customHeight="1">
      <c r="B29" s="14"/>
      <c r="C29" s="15"/>
      <c r="D29" s="31"/>
      <c r="E29" s="64"/>
      <c r="F29" s="61"/>
      <c r="G29" s="88"/>
      <c r="H29" s="88"/>
      <c r="I29" s="88"/>
      <c r="J29" s="161">
        <f t="shared" si="0"/>
      </c>
    </row>
    <row r="30" spans="2:10" ht="12.75" customHeight="1">
      <c r="B30" s="14"/>
      <c r="C30" s="15"/>
      <c r="D30" s="15"/>
      <c r="E30" s="63"/>
      <c r="F30" s="15"/>
      <c r="G30" s="88"/>
      <c r="H30" s="88"/>
      <c r="I30" s="88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88"/>
      <c r="H31" s="88"/>
      <c r="I31" s="88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88"/>
      <c r="H32" s="88"/>
      <c r="I32" s="88"/>
      <c r="J32" s="161">
        <f t="shared" si="0"/>
      </c>
    </row>
    <row r="33" spans="2:10" ht="12.75" customHeight="1">
      <c r="B33" s="14"/>
      <c r="C33" s="15"/>
      <c r="D33" s="15"/>
      <c r="E33" s="16"/>
      <c r="F33" s="15"/>
      <c r="G33" s="88"/>
      <c r="H33" s="88"/>
      <c r="I33" s="88"/>
      <c r="J33" s="161">
        <f t="shared" si="0"/>
      </c>
    </row>
    <row r="34" spans="2:10" ht="12.75" customHeight="1">
      <c r="B34" s="14"/>
      <c r="C34" s="15"/>
      <c r="D34" s="15"/>
      <c r="E34" s="16"/>
      <c r="F34" s="19"/>
      <c r="G34" s="88"/>
      <c r="H34" s="88"/>
      <c r="I34" s="88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SUM(G37:G38)</f>
        <v>800</v>
      </c>
      <c r="H36" s="115">
        <f>SUM(H37:H38)</f>
        <v>800</v>
      </c>
      <c r="I36" s="115">
        <f>SUM(I37:I38)</f>
        <v>643.49</v>
      </c>
      <c r="J36" s="160">
        <f t="shared" si="0"/>
        <v>80.43625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88">
        <v>0</v>
      </c>
      <c r="H37" s="88">
        <v>0</v>
      </c>
      <c r="I37" s="88">
        <v>0</v>
      </c>
      <c r="J37" s="161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88">
        <v>800</v>
      </c>
      <c r="H38" s="88">
        <v>800</v>
      </c>
      <c r="I38" s="88">
        <v>643.49</v>
      </c>
      <c r="J38" s="161">
        <f t="shared" si="0"/>
        <v>80.43625</v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20"/>
      <c r="H40" s="20"/>
      <c r="I40" s="20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115">
        <v>3</v>
      </c>
      <c r="H41" s="115">
        <v>3</v>
      </c>
      <c r="I41" s="115">
        <v>3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86440</v>
      </c>
      <c r="H42" s="20">
        <f>H7+H13+H17+H36</f>
        <v>88550</v>
      </c>
      <c r="I42" s="20">
        <f>I7+I13+I17+I36</f>
        <v>87532.02000000002</v>
      </c>
      <c r="J42" s="160">
        <f t="shared" si="0"/>
        <v>98.85038961038963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/>
      <c r="H43" s="20"/>
      <c r="I43" s="20"/>
      <c r="J43" s="160"/>
    </row>
    <row r="44" spans="2:10" s="1" customFormat="1" ht="12.75" customHeight="1">
      <c r="B44" s="17"/>
      <c r="C44" s="12"/>
      <c r="D44" s="12"/>
      <c r="E44" s="9"/>
      <c r="F44" s="12" t="s">
        <v>20</v>
      </c>
      <c r="G44" s="20"/>
      <c r="H44" s="20"/>
      <c r="I44" s="20"/>
      <c r="J44" s="160"/>
    </row>
    <row r="45" spans="2:10" ht="12.75" customHeight="1" thickBot="1">
      <c r="B45" s="21"/>
      <c r="C45" s="22"/>
      <c r="D45" s="22"/>
      <c r="E45" s="23"/>
      <c r="F45" s="22"/>
      <c r="G45" s="22"/>
      <c r="H45" s="22"/>
      <c r="I45" s="22"/>
      <c r="J45" s="164"/>
    </row>
    <row r="47" ht="12.75">
      <c r="B47" s="87"/>
    </row>
    <row r="48" ht="12.75">
      <c r="B48" s="87"/>
    </row>
    <row r="49" ht="12.75">
      <c r="B49" s="87"/>
    </row>
    <row r="50" ht="12.75">
      <c r="B50" s="87"/>
    </row>
  </sheetData>
  <sheetProtection/>
  <mergeCells count="2">
    <mergeCell ref="B2:I2"/>
    <mergeCell ref="F3:G3"/>
  </mergeCells>
  <printOptions/>
  <pageMargins left="0.2755905511811024" right="0.2755905511811024" top="0.5905511811023623" bottom="0.53" header="0.5118110236220472" footer="0.5118110236220472"/>
  <pageSetup fitToHeight="1" fitToWidth="1" horizontalDpi="180" verticalDpi="180" orientation="portrait" paperSize="9" scale="77" r:id="rId1"/>
  <headerFooter alignWithMargins="0">
    <oddFooter>&amp;R15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B2:L50"/>
  <sheetViews>
    <sheetView zoomScalePageLayoutView="0" workbookViewId="0" topLeftCell="A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9" width="15.7109375" style="13" customWidth="1"/>
    <col min="10" max="10" width="8.7109375" style="148" customWidth="1"/>
    <col min="11" max="16384" width="9.140625" style="13" customWidth="1"/>
  </cols>
  <sheetData>
    <row r="2" spans="2:10" ht="15" customHeight="1">
      <c r="B2" s="414" t="s">
        <v>266</v>
      </c>
      <c r="C2" s="414"/>
      <c r="D2" s="414"/>
      <c r="E2" s="414"/>
      <c r="F2" s="414"/>
      <c r="G2" s="414"/>
      <c r="H2" s="414"/>
      <c r="I2" s="414"/>
      <c r="J2" s="155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48</v>
      </c>
      <c r="C6" s="11" t="s">
        <v>6</v>
      </c>
      <c r="D6" s="11" t="s">
        <v>75</v>
      </c>
      <c r="E6" s="9"/>
      <c r="F6" s="9"/>
      <c r="G6" s="9"/>
      <c r="H6" s="9"/>
      <c r="I6" s="9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40620</v>
      </c>
      <c r="H7" s="20">
        <f>SUM(H8:H11)</f>
        <v>40620</v>
      </c>
      <c r="I7" s="20">
        <f>SUM(I8:I11)</f>
        <v>24347.2</v>
      </c>
      <c r="J7" s="160">
        <f>IF(H7=0,"",I7/H7*100)</f>
        <v>59.938946331856236</v>
      </c>
    </row>
    <row r="8" spans="2:11" ht="12.75" customHeight="1">
      <c r="B8" s="14"/>
      <c r="C8" s="15"/>
      <c r="D8" s="15"/>
      <c r="E8" s="16">
        <v>611100</v>
      </c>
      <c r="F8" s="26" t="s">
        <v>128</v>
      </c>
      <c r="G8" s="88">
        <v>31200</v>
      </c>
      <c r="H8" s="88">
        <v>31200</v>
      </c>
      <c r="I8" s="88">
        <v>18316.2</v>
      </c>
      <c r="J8" s="161">
        <f>IF(H8=0,"",I8/H8*100)</f>
        <v>58.705769230769235</v>
      </c>
      <c r="K8" s="95"/>
    </row>
    <row r="9" spans="2:11" ht="12.75" customHeight="1">
      <c r="B9" s="14"/>
      <c r="C9" s="15"/>
      <c r="D9" s="15"/>
      <c r="E9" s="16">
        <v>611200</v>
      </c>
      <c r="F9" s="15" t="s">
        <v>129</v>
      </c>
      <c r="G9" s="88">
        <v>8400</v>
      </c>
      <c r="H9" s="88">
        <v>8390</v>
      </c>
      <c r="I9" s="88">
        <v>5007</v>
      </c>
      <c r="J9" s="161">
        <f aca="true" t="shared" si="0" ref="J9:J44">IF(H9=0,"",I9/H9*100)</f>
        <v>59.678188319427896</v>
      </c>
      <c r="K9" s="100"/>
    </row>
    <row r="10" spans="2:12" ht="12.75" customHeight="1">
      <c r="B10" s="14"/>
      <c r="C10" s="15"/>
      <c r="D10" s="15"/>
      <c r="E10" s="16">
        <v>611200</v>
      </c>
      <c r="F10" s="26" t="s">
        <v>461</v>
      </c>
      <c r="G10" s="88">
        <v>1020</v>
      </c>
      <c r="H10" s="88">
        <v>1030</v>
      </c>
      <c r="I10" s="88">
        <v>1024</v>
      </c>
      <c r="J10" s="161">
        <f t="shared" si="0"/>
        <v>99.41747572815534</v>
      </c>
      <c r="L10" s="94"/>
    </row>
    <row r="11" spans="2:10" ht="12.75" customHeight="1">
      <c r="B11" s="14"/>
      <c r="C11" s="15"/>
      <c r="D11" s="15"/>
      <c r="E11" s="16"/>
      <c r="F11" s="26"/>
      <c r="G11" s="45"/>
      <c r="H11" s="45"/>
      <c r="I11" s="45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3400</v>
      </c>
      <c r="H13" s="20">
        <f>H14+H15</f>
        <v>3400</v>
      </c>
      <c r="I13" s="20">
        <f>I14+I15</f>
        <v>1923.19</v>
      </c>
      <c r="J13" s="160">
        <f t="shared" si="0"/>
        <v>56.56441176470588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88">
        <v>3400</v>
      </c>
      <c r="H14" s="88">
        <v>3400</v>
      </c>
      <c r="I14" s="88">
        <v>1923.19</v>
      </c>
      <c r="J14" s="161">
        <f t="shared" si="0"/>
        <v>56.56441176470588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51"/>
      <c r="H16" s="51"/>
      <c r="I16" s="51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4000</v>
      </c>
      <c r="H17" s="51">
        <f>SUM(H18:H27)</f>
        <v>3740</v>
      </c>
      <c r="I17" s="51">
        <f>SUM(I18:I27)</f>
        <v>1532.88</v>
      </c>
      <c r="J17" s="160">
        <f t="shared" si="0"/>
        <v>40.9860962566845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88">
        <v>1000</v>
      </c>
      <c r="H18" s="88">
        <v>1000</v>
      </c>
      <c r="I18" s="88">
        <v>0</v>
      </c>
      <c r="J18" s="161">
        <f t="shared" si="0"/>
        <v>0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5">
        <v>0</v>
      </c>
      <c r="H19" s="45">
        <v>0</v>
      </c>
      <c r="I19" s="45">
        <v>0</v>
      </c>
      <c r="J19" s="161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5">
        <v>0</v>
      </c>
      <c r="H20" s="45">
        <v>0</v>
      </c>
      <c r="I20" s="45">
        <v>0</v>
      </c>
      <c r="J20" s="161">
        <f t="shared" si="0"/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88">
        <v>300</v>
      </c>
      <c r="H21" s="88">
        <v>300</v>
      </c>
      <c r="I21" s="88">
        <v>0</v>
      </c>
      <c r="J21" s="161">
        <f t="shared" si="0"/>
        <v>0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45">
        <v>0</v>
      </c>
      <c r="H22" s="45">
        <v>0</v>
      </c>
      <c r="I22" s="45">
        <v>0</v>
      </c>
      <c r="J22" s="161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45">
        <v>0</v>
      </c>
      <c r="H23" s="45">
        <v>0</v>
      </c>
      <c r="I23" s="45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45">
        <v>300</v>
      </c>
      <c r="H24" s="45">
        <v>300</v>
      </c>
      <c r="I24" s="45">
        <v>0</v>
      </c>
      <c r="J24" s="161">
        <f t="shared" si="0"/>
        <v>0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45">
        <v>0</v>
      </c>
      <c r="H25" s="45">
        <v>0</v>
      </c>
      <c r="I25" s="45">
        <v>0</v>
      </c>
      <c r="J25" s="161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88">
        <v>1500</v>
      </c>
      <c r="H26" s="88">
        <v>1500</v>
      </c>
      <c r="I26" s="88">
        <v>897.19</v>
      </c>
      <c r="J26" s="161">
        <f t="shared" si="0"/>
        <v>59.81266666666667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124">
        <v>900</v>
      </c>
      <c r="H27" s="124">
        <v>640</v>
      </c>
      <c r="I27" s="124">
        <v>635.69</v>
      </c>
      <c r="J27" s="161">
        <f t="shared" si="0"/>
        <v>99.32656250000001</v>
      </c>
      <c r="K27" s="95"/>
      <c r="L27" s="95"/>
    </row>
    <row r="28" spans="2:10" s="1" customFormat="1" ht="12.75" customHeight="1">
      <c r="B28" s="17"/>
      <c r="C28" s="12"/>
      <c r="D28" s="12"/>
      <c r="E28" s="62"/>
      <c r="F28" s="12"/>
      <c r="G28" s="88"/>
      <c r="H28" s="88"/>
      <c r="I28" s="88"/>
      <c r="J28" s="161">
        <f t="shared" si="0"/>
      </c>
    </row>
    <row r="29" spans="2:10" ht="12.75" customHeight="1">
      <c r="B29" s="14"/>
      <c r="C29" s="15"/>
      <c r="D29" s="31"/>
      <c r="E29" s="64"/>
      <c r="F29" s="61"/>
      <c r="G29" s="88"/>
      <c r="H29" s="88"/>
      <c r="I29" s="88"/>
      <c r="J29" s="161">
        <f t="shared" si="0"/>
      </c>
    </row>
    <row r="30" spans="2:10" ht="12.75" customHeight="1">
      <c r="B30" s="14"/>
      <c r="C30" s="15"/>
      <c r="D30" s="15"/>
      <c r="E30" s="63"/>
      <c r="F30" s="15"/>
      <c r="G30" s="88"/>
      <c r="H30" s="88"/>
      <c r="I30" s="88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88"/>
      <c r="H31" s="88"/>
      <c r="I31" s="88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88"/>
      <c r="H32" s="88"/>
      <c r="I32" s="88"/>
      <c r="J32" s="161">
        <f t="shared" si="0"/>
      </c>
    </row>
    <row r="33" spans="2:10" ht="12.75" customHeight="1">
      <c r="B33" s="14"/>
      <c r="C33" s="15"/>
      <c r="D33" s="15"/>
      <c r="E33" s="16"/>
      <c r="F33" s="15"/>
      <c r="G33" s="88"/>
      <c r="H33" s="88"/>
      <c r="I33" s="88"/>
      <c r="J33" s="161">
        <f t="shared" si="0"/>
      </c>
    </row>
    <row r="34" spans="2:10" ht="12.75" customHeight="1">
      <c r="B34" s="14"/>
      <c r="C34" s="15"/>
      <c r="D34" s="15"/>
      <c r="E34" s="16"/>
      <c r="F34" s="19"/>
      <c r="G34" s="88"/>
      <c r="H34" s="88"/>
      <c r="I34" s="88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SUM(G37:G38)</f>
        <v>1500</v>
      </c>
      <c r="H36" s="115">
        <f>SUM(H37:H38)</f>
        <v>1500</v>
      </c>
      <c r="I36" s="115">
        <f>SUM(I37:I38)</f>
        <v>0</v>
      </c>
      <c r="J36" s="160">
        <f t="shared" si="0"/>
        <v>0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88">
        <v>0</v>
      </c>
      <c r="H37" s="88">
        <v>0</v>
      </c>
      <c r="I37" s="88">
        <v>0</v>
      </c>
      <c r="J37" s="161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88">
        <v>1500</v>
      </c>
      <c r="H38" s="88">
        <v>1500</v>
      </c>
      <c r="I38" s="88">
        <v>0</v>
      </c>
      <c r="J38" s="161">
        <f t="shared" si="0"/>
        <v>0</v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20"/>
      <c r="H40" s="20"/>
      <c r="I40" s="20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115">
        <v>1</v>
      </c>
      <c r="H41" s="115">
        <v>1</v>
      </c>
      <c r="I41" s="115">
        <v>1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49520</v>
      </c>
      <c r="H42" s="20">
        <f>H7+H13+H17+H36</f>
        <v>49260</v>
      </c>
      <c r="I42" s="20">
        <f>I7+I13+I17+I36</f>
        <v>27803.27</v>
      </c>
      <c r="J42" s="160">
        <f t="shared" si="0"/>
        <v>56.44187982135607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>
        <f>G42+6!G42+5!G42+4!G43+3!G54</f>
        <v>1932910</v>
      </c>
      <c r="H43" s="20">
        <f>H42+6!H42+5!H42+4!H43+3!H54</f>
        <v>1797495</v>
      </c>
      <c r="I43" s="20">
        <f>I42+6!I42+5!I42+4!I43+3!I54</f>
        <v>1716488.56</v>
      </c>
      <c r="J43" s="160">
        <f t="shared" si="0"/>
        <v>95.49337049616273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20">
        <f>G43</f>
        <v>1932910</v>
      </c>
      <c r="H44" s="20">
        <f>H43</f>
        <v>1797495</v>
      </c>
      <c r="I44" s="20">
        <f>I43</f>
        <v>1716488.56</v>
      </c>
      <c r="J44" s="160">
        <f t="shared" si="0"/>
        <v>95.49337049616273</v>
      </c>
    </row>
    <row r="45" spans="2:10" ht="12.75" customHeight="1" thickBot="1">
      <c r="B45" s="21"/>
      <c r="C45" s="22"/>
      <c r="D45" s="22"/>
      <c r="E45" s="23"/>
      <c r="F45" s="22"/>
      <c r="G45" s="22"/>
      <c r="H45" s="22"/>
      <c r="I45" s="22"/>
      <c r="J45" s="164"/>
    </row>
    <row r="47" ht="12.75">
      <c r="B47" s="87"/>
    </row>
    <row r="48" ht="12.75">
      <c r="B48" s="87"/>
    </row>
    <row r="49" ht="12.75">
      <c r="B49" s="87"/>
    </row>
    <row r="50" ht="12.75">
      <c r="B50" s="87"/>
    </row>
  </sheetData>
  <sheetProtection/>
  <mergeCells count="2">
    <mergeCell ref="B2:I2"/>
    <mergeCell ref="F3:G3"/>
  </mergeCells>
  <printOptions/>
  <pageMargins left="0.2755905511811024" right="0.2755905511811024" top="0.5905511811023623" bottom="0.53" header="0.5118110236220472" footer="0.5118110236220472"/>
  <pageSetup fitToHeight="1" fitToWidth="1" horizontalDpi="180" verticalDpi="180" orientation="portrait" paperSize="9" scale="77" r:id="rId1"/>
  <headerFooter alignWithMargins="0">
    <oddFooter>&amp;R16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2:M50"/>
  <sheetViews>
    <sheetView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2" width="7.00390625" style="13" bestFit="1" customWidth="1"/>
    <col min="3" max="4" width="5.7109375" style="13" bestFit="1" customWidth="1"/>
    <col min="5" max="5" width="10.8515625" style="24" customWidth="1"/>
    <col min="6" max="6" width="43.7109375" style="13" customWidth="1"/>
    <col min="7" max="9" width="15.7109375" style="13" customWidth="1"/>
    <col min="10" max="10" width="8.7109375" style="148" customWidth="1"/>
    <col min="11" max="16384" width="9.140625" style="13" customWidth="1"/>
  </cols>
  <sheetData>
    <row r="2" spans="2:10" ht="15" customHeight="1">
      <c r="B2" s="414" t="s">
        <v>55</v>
      </c>
      <c r="C2" s="414"/>
      <c r="D2" s="414"/>
      <c r="E2" s="414"/>
      <c r="F2" s="414"/>
      <c r="G2" s="414"/>
      <c r="H2" s="414"/>
      <c r="I2" s="414"/>
      <c r="J2" s="155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56</v>
      </c>
      <c r="C6" s="11" t="s">
        <v>6</v>
      </c>
      <c r="D6" s="11" t="s">
        <v>7</v>
      </c>
      <c r="E6" s="9"/>
      <c r="F6" s="9"/>
      <c r="G6" s="9"/>
      <c r="H6" s="9"/>
      <c r="I6" s="9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115">
        <f>SUM(G8:G11)</f>
        <v>208320</v>
      </c>
      <c r="H7" s="115">
        <f>SUM(H8:H11)</f>
        <v>210020</v>
      </c>
      <c r="I7" s="115">
        <f>SUM(I8:I11)</f>
        <v>209710.77</v>
      </c>
      <c r="J7" s="160">
        <f>IF(H7=0,"",I7/H7*100)</f>
        <v>99.8527616417484</v>
      </c>
    </row>
    <row r="8" spans="2:12" ht="12.75" customHeight="1">
      <c r="B8" s="14"/>
      <c r="C8" s="15"/>
      <c r="D8" s="15"/>
      <c r="E8" s="16">
        <v>611100</v>
      </c>
      <c r="F8" s="26" t="s">
        <v>128</v>
      </c>
      <c r="G8" s="88">
        <v>154100</v>
      </c>
      <c r="H8" s="88">
        <v>153700</v>
      </c>
      <c r="I8" s="88">
        <v>153408.77</v>
      </c>
      <c r="J8" s="161">
        <f>IF(H8=0,"",I8/H8*100)</f>
        <v>99.81052049446973</v>
      </c>
      <c r="K8" s="95"/>
      <c r="L8" s="95"/>
    </row>
    <row r="9" spans="2:12" ht="12.75" customHeight="1">
      <c r="B9" s="14"/>
      <c r="C9" s="15"/>
      <c r="D9" s="15"/>
      <c r="E9" s="16">
        <v>611200</v>
      </c>
      <c r="F9" s="15" t="s">
        <v>129</v>
      </c>
      <c r="G9" s="88">
        <v>48020</v>
      </c>
      <c r="H9" s="88">
        <v>49980</v>
      </c>
      <c r="I9" s="88">
        <v>49964</v>
      </c>
      <c r="J9" s="161">
        <f aca="true" t="shared" si="0" ref="J9:J44">IF(H9=0,"",I9/H9*100)</f>
        <v>99.96798719487795</v>
      </c>
      <c r="K9" s="95"/>
      <c r="L9" s="95"/>
    </row>
    <row r="10" spans="2:12" ht="12.75" customHeight="1">
      <c r="B10" s="14"/>
      <c r="C10" s="15"/>
      <c r="D10" s="15"/>
      <c r="E10" s="16">
        <v>611200</v>
      </c>
      <c r="F10" s="26" t="s">
        <v>457</v>
      </c>
      <c r="G10" s="88">
        <v>6200</v>
      </c>
      <c r="H10" s="88">
        <v>6340</v>
      </c>
      <c r="I10" s="88">
        <v>6338</v>
      </c>
      <c r="J10" s="161">
        <f t="shared" si="0"/>
        <v>99.96845425867508</v>
      </c>
      <c r="K10" s="95"/>
      <c r="L10" s="95"/>
    </row>
    <row r="11" spans="2:12" ht="12.75" customHeight="1">
      <c r="B11" s="14"/>
      <c r="C11" s="15"/>
      <c r="D11" s="15"/>
      <c r="E11" s="16"/>
      <c r="F11" s="26"/>
      <c r="G11" s="88"/>
      <c r="H11" s="88"/>
      <c r="I11" s="88"/>
      <c r="J11" s="161">
        <f t="shared" si="0"/>
      </c>
      <c r="L11" s="87"/>
    </row>
    <row r="12" spans="2:12" ht="12.75" customHeight="1">
      <c r="B12" s="14"/>
      <c r="C12" s="15"/>
      <c r="D12" s="15"/>
      <c r="E12" s="16"/>
      <c r="F12" s="15"/>
      <c r="G12" s="115"/>
      <c r="H12" s="115"/>
      <c r="I12" s="115"/>
      <c r="J12" s="161">
        <f t="shared" si="0"/>
      </c>
      <c r="L12" s="87"/>
    </row>
    <row r="13" spans="2:13" s="1" customFormat="1" ht="12.75" customHeight="1">
      <c r="B13" s="17"/>
      <c r="C13" s="12"/>
      <c r="D13" s="12"/>
      <c r="E13" s="9">
        <v>612000</v>
      </c>
      <c r="F13" s="12" t="s">
        <v>91</v>
      </c>
      <c r="G13" s="115">
        <f>G14+G15</f>
        <v>16500</v>
      </c>
      <c r="H13" s="115">
        <f>H14+H15</f>
        <v>16500</v>
      </c>
      <c r="I13" s="115">
        <f>I14+I15</f>
        <v>16107.93</v>
      </c>
      <c r="J13" s="160">
        <f t="shared" si="0"/>
        <v>97.62381818181818</v>
      </c>
      <c r="L13" s="101"/>
      <c r="M13" s="101"/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88">
        <v>16500</v>
      </c>
      <c r="H14" s="88">
        <v>16500</v>
      </c>
      <c r="I14" s="88">
        <v>16107.93</v>
      </c>
      <c r="J14" s="161">
        <f t="shared" si="0"/>
        <v>97.62381818181818</v>
      </c>
    </row>
    <row r="15" spans="2:10" ht="12.75" customHeight="1">
      <c r="B15" s="14"/>
      <c r="C15" s="15"/>
      <c r="D15" s="15"/>
      <c r="E15" s="16"/>
      <c r="F15" s="15"/>
      <c r="G15" s="88"/>
      <c r="H15" s="88"/>
      <c r="I15" s="88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115"/>
      <c r="H16" s="115"/>
      <c r="I16" s="115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378300</v>
      </c>
      <c r="H17" s="51">
        <f>SUM(H18:H27)</f>
        <v>374510</v>
      </c>
      <c r="I17" s="51">
        <f>SUM(I18:I27)</f>
        <v>360997.36000000004</v>
      </c>
      <c r="J17" s="160">
        <f t="shared" si="0"/>
        <v>96.39191476863103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5">
        <v>2300</v>
      </c>
      <c r="H18" s="45">
        <v>2300</v>
      </c>
      <c r="I18" s="45">
        <v>2079.25</v>
      </c>
      <c r="J18" s="161">
        <f t="shared" si="0"/>
        <v>90.40217391304348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5">
        <v>110000</v>
      </c>
      <c r="H19" s="45">
        <v>96950</v>
      </c>
      <c r="I19" s="45">
        <v>90305.23</v>
      </c>
      <c r="J19" s="161">
        <f t="shared" si="0"/>
        <v>93.14618875709128</v>
      </c>
    </row>
    <row r="20" spans="2:13" ht="12.75" customHeight="1">
      <c r="B20" s="14"/>
      <c r="C20" s="15"/>
      <c r="D20" s="15"/>
      <c r="E20" s="16">
        <v>613300</v>
      </c>
      <c r="F20" s="26" t="s">
        <v>130</v>
      </c>
      <c r="G20" s="45">
        <v>44000</v>
      </c>
      <c r="H20" s="45">
        <v>44000</v>
      </c>
      <c r="I20" s="45">
        <v>41408.45</v>
      </c>
      <c r="J20" s="161">
        <f t="shared" si="0"/>
        <v>94.11011363636364</v>
      </c>
      <c r="M20" s="337"/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5">
        <v>84000</v>
      </c>
      <c r="H21" s="45">
        <v>88100</v>
      </c>
      <c r="I21" s="45">
        <v>87758.22</v>
      </c>
      <c r="J21" s="161">
        <f t="shared" si="0"/>
        <v>99.61205448354143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45">
        <v>45000</v>
      </c>
      <c r="H22" s="45">
        <v>33000</v>
      </c>
      <c r="I22" s="45">
        <v>30059.7</v>
      </c>
      <c r="J22" s="161">
        <f t="shared" si="0"/>
        <v>91.09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45">
        <v>0</v>
      </c>
      <c r="H23" s="45">
        <v>0</v>
      </c>
      <c r="I23" s="45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45">
        <v>30500</v>
      </c>
      <c r="H24" s="45">
        <v>35300</v>
      </c>
      <c r="I24" s="45">
        <v>35183.31</v>
      </c>
      <c r="J24" s="161">
        <f t="shared" si="0"/>
        <v>99.66943342776203</v>
      </c>
    </row>
    <row r="25" spans="2:11" ht="12.75" customHeight="1">
      <c r="B25" s="14"/>
      <c r="C25" s="15"/>
      <c r="D25" s="15"/>
      <c r="E25" s="16">
        <v>613800</v>
      </c>
      <c r="F25" s="15" t="s">
        <v>95</v>
      </c>
      <c r="G25" s="45">
        <v>800</v>
      </c>
      <c r="H25" s="45">
        <v>2800</v>
      </c>
      <c r="I25" s="45">
        <v>2190.2</v>
      </c>
      <c r="J25" s="161">
        <f t="shared" si="0"/>
        <v>78.22142857142856</v>
      </c>
      <c r="K25" s="87"/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88">
        <v>55000</v>
      </c>
      <c r="H26" s="88">
        <v>64350</v>
      </c>
      <c r="I26" s="88">
        <v>64309.62</v>
      </c>
      <c r="J26" s="161">
        <f t="shared" si="0"/>
        <v>99.93724941724942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46">
        <v>6700</v>
      </c>
      <c r="H27" s="46">
        <v>7710</v>
      </c>
      <c r="I27" s="124">
        <v>7703.38</v>
      </c>
      <c r="J27" s="161">
        <f t="shared" si="0"/>
        <v>99.91413748378729</v>
      </c>
      <c r="L27" s="95"/>
    </row>
    <row r="28" spans="2:10" s="1" customFormat="1" ht="12.75" customHeight="1">
      <c r="B28" s="17"/>
      <c r="C28" s="12"/>
      <c r="D28" s="12"/>
      <c r="E28" s="62"/>
      <c r="F28" s="12"/>
      <c r="G28" s="45"/>
      <c r="H28" s="45"/>
      <c r="I28" s="45"/>
      <c r="J28" s="161">
        <f t="shared" si="0"/>
      </c>
    </row>
    <row r="29" spans="2:10" ht="12.75" customHeight="1">
      <c r="B29" s="14"/>
      <c r="C29" s="15"/>
      <c r="D29" s="31"/>
      <c r="E29" s="64"/>
      <c r="F29" s="61"/>
      <c r="G29" s="45"/>
      <c r="H29" s="45"/>
      <c r="I29" s="45"/>
      <c r="J29" s="161">
        <f t="shared" si="0"/>
      </c>
    </row>
    <row r="30" spans="2:10" ht="12.75" customHeight="1">
      <c r="B30" s="14"/>
      <c r="C30" s="15"/>
      <c r="D30" s="15"/>
      <c r="E30" s="63"/>
      <c r="F30" s="15"/>
      <c r="G30" s="45"/>
      <c r="H30" s="45"/>
      <c r="I30" s="45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45"/>
      <c r="I31" s="45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45"/>
      <c r="I32" s="45"/>
      <c r="J32" s="161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45"/>
      <c r="I33" s="45"/>
      <c r="J33" s="161">
        <f t="shared" si="0"/>
      </c>
    </row>
    <row r="34" spans="2:10" ht="12.75" customHeight="1">
      <c r="B34" s="14"/>
      <c r="C34" s="15"/>
      <c r="D34" s="15"/>
      <c r="E34" s="16"/>
      <c r="F34" s="19"/>
      <c r="G34" s="45"/>
      <c r="H34" s="45"/>
      <c r="I34" s="45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20">
        <f>SUM(G37:G38)</f>
        <v>5500</v>
      </c>
      <c r="H36" s="20">
        <f>SUM(H37:H38)</f>
        <v>8600</v>
      </c>
      <c r="I36" s="20">
        <f>SUM(I37:I38)</f>
        <v>8585.94</v>
      </c>
      <c r="J36" s="160">
        <f t="shared" si="0"/>
        <v>99.83651162790699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88">
        <v>0</v>
      </c>
      <c r="H37" s="88">
        <v>0</v>
      </c>
      <c r="I37" s="88">
        <v>0</v>
      </c>
      <c r="J37" s="161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88">
        <v>5500</v>
      </c>
      <c r="H38" s="88">
        <v>8600</v>
      </c>
      <c r="I38" s="88">
        <v>8585.94</v>
      </c>
      <c r="J38" s="161">
        <f t="shared" si="0"/>
        <v>99.83651162790699</v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20"/>
      <c r="H40" s="20"/>
      <c r="I40" s="20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115">
        <v>14</v>
      </c>
      <c r="H41" s="115">
        <v>14</v>
      </c>
      <c r="I41" s="115">
        <v>14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608620</v>
      </c>
      <c r="H42" s="20">
        <f>H7+H13+H17+H36</f>
        <v>609630</v>
      </c>
      <c r="I42" s="20">
        <f>I7+I13+I17+I36</f>
        <v>595402</v>
      </c>
      <c r="J42" s="160">
        <f t="shared" si="0"/>
        <v>97.66612535472335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>
        <f aca="true" t="shared" si="1" ref="G43:I44">G42</f>
        <v>608620</v>
      </c>
      <c r="H43" s="20">
        <f t="shared" si="1"/>
        <v>609630</v>
      </c>
      <c r="I43" s="20">
        <f t="shared" si="1"/>
        <v>595402</v>
      </c>
      <c r="J43" s="160">
        <f t="shared" si="0"/>
        <v>97.66612535472335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20">
        <f t="shared" si="1"/>
        <v>608620</v>
      </c>
      <c r="H44" s="20">
        <f t="shared" si="1"/>
        <v>609630</v>
      </c>
      <c r="I44" s="20">
        <f t="shared" si="1"/>
        <v>595402</v>
      </c>
      <c r="J44" s="160">
        <f t="shared" si="0"/>
        <v>97.66612535472335</v>
      </c>
    </row>
    <row r="45" spans="2:10" ht="12.75" customHeight="1" thickBot="1">
      <c r="B45" s="21"/>
      <c r="C45" s="22"/>
      <c r="D45" s="22"/>
      <c r="E45" s="23"/>
      <c r="F45" s="22"/>
      <c r="G45" s="22"/>
      <c r="H45" s="22"/>
      <c r="I45" s="22"/>
      <c r="J45" s="164"/>
    </row>
    <row r="47" ht="12.75">
      <c r="B47" s="87"/>
    </row>
    <row r="48" ht="12.75">
      <c r="B48" s="87"/>
    </row>
    <row r="49" ht="12.75">
      <c r="B49" s="87"/>
    </row>
    <row r="50" ht="12.75">
      <c r="B50" s="87"/>
    </row>
  </sheetData>
  <sheetProtection/>
  <mergeCells count="2">
    <mergeCell ref="B2:I2"/>
    <mergeCell ref="F3:G3"/>
  </mergeCells>
  <printOptions/>
  <pageMargins left="0.2755905511811024" right="0.2755905511811024" top="0.5905511811023623" bottom="0.54" header="0.5118110236220472" footer="0.5118110236220472"/>
  <pageSetup fitToHeight="1" fitToWidth="1" horizontalDpi="180" verticalDpi="180" orientation="portrait" paperSize="9" scale="77" r:id="rId1"/>
  <headerFooter alignWithMargins="0">
    <oddFooter>&amp;R17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25">
      <selection activeCell="O14" sqref="O14"/>
    </sheetView>
  </sheetViews>
  <sheetFormatPr defaultColWidth="9.140625" defaultRowHeight="12.75"/>
  <cols>
    <col min="1" max="1" width="4.00390625" style="58" customWidth="1"/>
    <col min="7" max="7" width="15.7109375" style="0" customWidth="1"/>
    <col min="8" max="8" width="7.421875" style="0" customWidth="1"/>
    <col min="9" max="9" width="14.7109375" style="0" customWidth="1"/>
    <col min="10" max="10" width="9.140625" style="58" customWidth="1"/>
  </cols>
  <sheetData>
    <row r="1" spans="1:9" ht="15.75">
      <c r="A1" s="391" t="s">
        <v>162</v>
      </c>
      <c r="B1" s="391"/>
      <c r="C1" s="391"/>
      <c r="D1" s="391"/>
      <c r="E1" s="391"/>
      <c r="F1" s="391"/>
      <c r="G1" s="391"/>
      <c r="H1" s="391"/>
      <c r="I1" s="391"/>
    </row>
    <row r="3" spans="1:10" s="71" customFormat="1" ht="12.75">
      <c r="A3" s="137" t="s">
        <v>204</v>
      </c>
      <c r="B3" s="396" t="s">
        <v>241</v>
      </c>
      <c r="C3" s="397"/>
      <c r="D3" s="397"/>
      <c r="E3" s="397"/>
      <c r="F3" s="397"/>
      <c r="G3" s="397"/>
      <c r="H3" s="397"/>
      <c r="I3" s="398"/>
      <c r="J3" s="137" t="s">
        <v>188</v>
      </c>
    </row>
    <row r="4" spans="1:10" s="54" customFormat="1" ht="16.5" customHeight="1">
      <c r="A4" s="133" t="s">
        <v>163</v>
      </c>
      <c r="B4" s="393" t="s">
        <v>164</v>
      </c>
      <c r="C4" s="394"/>
      <c r="D4" s="394"/>
      <c r="E4" s="394"/>
      <c r="F4" s="394"/>
      <c r="G4" s="394"/>
      <c r="H4" s="394"/>
      <c r="I4" s="395"/>
      <c r="J4" s="133">
        <v>1</v>
      </c>
    </row>
    <row r="5" spans="1:10" s="54" customFormat="1" ht="16.5" customHeight="1">
      <c r="A5" s="133" t="s">
        <v>165</v>
      </c>
      <c r="B5" s="393" t="s">
        <v>166</v>
      </c>
      <c r="C5" s="394"/>
      <c r="D5" s="394"/>
      <c r="E5" s="394"/>
      <c r="F5" s="394"/>
      <c r="G5" s="394"/>
      <c r="H5" s="394"/>
      <c r="I5" s="395"/>
      <c r="J5" s="133">
        <v>2</v>
      </c>
    </row>
    <row r="6" spans="1:10" s="54" customFormat="1" ht="16.5" customHeight="1">
      <c r="A6" s="133" t="s">
        <v>167</v>
      </c>
      <c r="B6" s="393" t="s">
        <v>535</v>
      </c>
      <c r="C6" s="394"/>
      <c r="D6" s="394"/>
      <c r="E6" s="394"/>
      <c r="F6" s="394"/>
      <c r="G6" s="394"/>
      <c r="H6" s="394"/>
      <c r="I6" s="395"/>
      <c r="J6" s="133">
        <v>8</v>
      </c>
    </row>
    <row r="7" spans="1:10" s="54" customFormat="1" ht="16.5" customHeight="1">
      <c r="A7" s="133" t="s">
        <v>168</v>
      </c>
      <c r="B7" s="393" t="s">
        <v>169</v>
      </c>
      <c r="C7" s="394"/>
      <c r="D7" s="394"/>
      <c r="E7" s="394"/>
      <c r="F7" s="394"/>
      <c r="G7" s="394"/>
      <c r="H7" s="394"/>
      <c r="I7" s="395"/>
      <c r="J7" s="133">
        <v>10</v>
      </c>
    </row>
    <row r="8" spans="1:10" s="54" customFormat="1" ht="16.5" customHeight="1">
      <c r="A8" s="133" t="s">
        <v>205</v>
      </c>
      <c r="B8" s="393" t="s">
        <v>173</v>
      </c>
      <c r="C8" s="394"/>
      <c r="D8" s="394"/>
      <c r="E8" s="394"/>
      <c r="F8" s="394"/>
      <c r="G8" s="394"/>
      <c r="H8" s="394"/>
      <c r="I8" s="395"/>
      <c r="J8" s="133">
        <v>11</v>
      </c>
    </row>
    <row r="9" spans="1:10" s="54" customFormat="1" ht="16.5" customHeight="1">
      <c r="A9" s="133" t="s">
        <v>206</v>
      </c>
      <c r="B9" s="393" t="s">
        <v>170</v>
      </c>
      <c r="C9" s="394"/>
      <c r="D9" s="394"/>
      <c r="E9" s="394"/>
      <c r="F9" s="394"/>
      <c r="G9" s="394"/>
      <c r="H9" s="394"/>
      <c r="I9" s="395"/>
      <c r="J9" s="133">
        <v>12</v>
      </c>
    </row>
    <row r="10" spans="1:10" s="54" customFormat="1" ht="16.5" customHeight="1">
      <c r="A10" s="133" t="s">
        <v>207</v>
      </c>
      <c r="B10" s="393" t="s">
        <v>171</v>
      </c>
      <c r="C10" s="394"/>
      <c r="D10" s="394"/>
      <c r="E10" s="394"/>
      <c r="F10" s="394"/>
      <c r="G10" s="394"/>
      <c r="H10" s="394"/>
      <c r="I10" s="395"/>
      <c r="J10" s="133">
        <v>13</v>
      </c>
    </row>
    <row r="11" spans="1:10" s="54" customFormat="1" ht="16.5" customHeight="1">
      <c r="A11" s="133" t="s">
        <v>208</v>
      </c>
      <c r="B11" s="393" t="s">
        <v>172</v>
      </c>
      <c r="C11" s="394"/>
      <c r="D11" s="394"/>
      <c r="E11" s="394"/>
      <c r="F11" s="394"/>
      <c r="G11" s="394"/>
      <c r="H11" s="394"/>
      <c r="I11" s="395"/>
      <c r="J11" s="133">
        <v>14</v>
      </c>
    </row>
    <row r="12" spans="1:10" s="54" customFormat="1" ht="16.5" customHeight="1">
      <c r="A12" s="133" t="s">
        <v>209</v>
      </c>
      <c r="B12" s="393" t="s">
        <v>174</v>
      </c>
      <c r="C12" s="394"/>
      <c r="D12" s="394"/>
      <c r="E12" s="394"/>
      <c r="F12" s="394"/>
      <c r="G12" s="394"/>
      <c r="H12" s="394"/>
      <c r="I12" s="395"/>
      <c r="J12" s="133">
        <v>15</v>
      </c>
    </row>
    <row r="13" spans="1:10" s="54" customFormat="1" ht="16.5" customHeight="1">
      <c r="A13" s="133" t="s">
        <v>210</v>
      </c>
      <c r="B13" s="393" t="s">
        <v>264</v>
      </c>
      <c r="C13" s="400"/>
      <c r="D13" s="400"/>
      <c r="E13" s="400"/>
      <c r="F13" s="400"/>
      <c r="G13" s="400"/>
      <c r="H13" s="400"/>
      <c r="I13" s="401"/>
      <c r="J13" s="133">
        <v>16</v>
      </c>
    </row>
    <row r="14" spans="1:10" s="54" customFormat="1" ht="16.5" customHeight="1">
      <c r="A14" s="133" t="s">
        <v>211</v>
      </c>
      <c r="B14" s="393" t="s">
        <v>175</v>
      </c>
      <c r="C14" s="394"/>
      <c r="D14" s="394"/>
      <c r="E14" s="394"/>
      <c r="F14" s="394"/>
      <c r="G14" s="394"/>
      <c r="H14" s="394"/>
      <c r="I14" s="395"/>
      <c r="J14" s="133">
        <v>17</v>
      </c>
    </row>
    <row r="15" spans="1:10" s="54" customFormat="1" ht="16.5" customHeight="1">
      <c r="A15" s="133" t="s">
        <v>212</v>
      </c>
      <c r="B15" s="393" t="s">
        <v>176</v>
      </c>
      <c r="C15" s="394"/>
      <c r="D15" s="394"/>
      <c r="E15" s="394"/>
      <c r="F15" s="394"/>
      <c r="G15" s="394"/>
      <c r="H15" s="394"/>
      <c r="I15" s="395"/>
      <c r="J15" s="133">
        <v>18</v>
      </c>
    </row>
    <row r="16" spans="1:10" s="54" customFormat="1" ht="16.5" customHeight="1">
      <c r="A16" s="133" t="s">
        <v>213</v>
      </c>
      <c r="B16" s="393" t="s">
        <v>177</v>
      </c>
      <c r="C16" s="394"/>
      <c r="D16" s="394"/>
      <c r="E16" s="394"/>
      <c r="F16" s="394"/>
      <c r="G16" s="394"/>
      <c r="H16" s="394"/>
      <c r="I16" s="395"/>
      <c r="J16" s="133">
        <v>19</v>
      </c>
    </row>
    <row r="17" spans="1:10" s="54" customFormat="1" ht="16.5" customHeight="1">
      <c r="A17" s="133" t="s">
        <v>214</v>
      </c>
      <c r="B17" s="393" t="s">
        <v>178</v>
      </c>
      <c r="C17" s="394"/>
      <c r="D17" s="394"/>
      <c r="E17" s="394"/>
      <c r="F17" s="394"/>
      <c r="G17" s="394"/>
      <c r="H17" s="394"/>
      <c r="I17" s="395"/>
      <c r="J17" s="133">
        <v>20</v>
      </c>
    </row>
    <row r="18" spans="1:10" s="54" customFormat="1" ht="16.5" customHeight="1">
      <c r="A18" s="133" t="s">
        <v>215</v>
      </c>
      <c r="B18" s="393" t="s">
        <v>179</v>
      </c>
      <c r="C18" s="394"/>
      <c r="D18" s="394"/>
      <c r="E18" s="394"/>
      <c r="F18" s="394"/>
      <c r="G18" s="394"/>
      <c r="H18" s="394"/>
      <c r="I18" s="395"/>
      <c r="J18" s="133">
        <v>21</v>
      </c>
    </row>
    <row r="19" spans="1:10" s="54" customFormat="1" ht="16.5" customHeight="1">
      <c r="A19" s="133" t="s">
        <v>216</v>
      </c>
      <c r="B19" s="393" t="s">
        <v>180</v>
      </c>
      <c r="C19" s="394"/>
      <c r="D19" s="394"/>
      <c r="E19" s="394"/>
      <c r="F19" s="394"/>
      <c r="G19" s="394"/>
      <c r="H19" s="394"/>
      <c r="I19" s="395"/>
      <c r="J19" s="133">
        <v>22</v>
      </c>
    </row>
    <row r="20" spans="1:10" s="54" customFormat="1" ht="16.5" customHeight="1">
      <c r="A20" s="133" t="s">
        <v>217</v>
      </c>
      <c r="B20" s="393" t="s">
        <v>181</v>
      </c>
      <c r="C20" s="394"/>
      <c r="D20" s="394"/>
      <c r="E20" s="394"/>
      <c r="F20" s="394"/>
      <c r="G20" s="394"/>
      <c r="H20" s="394"/>
      <c r="I20" s="395"/>
      <c r="J20" s="133">
        <v>23</v>
      </c>
    </row>
    <row r="21" spans="1:10" s="54" customFormat="1" ht="16.5" customHeight="1">
      <c r="A21" s="133" t="s">
        <v>218</v>
      </c>
      <c r="B21" s="393" t="s">
        <v>182</v>
      </c>
      <c r="C21" s="394"/>
      <c r="D21" s="394"/>
      <c r="E21" s="394"/>
      <c r="F21" s="394"/>
      <c r="G21" s="394"/>
      <c r="H21" s="394"/>
      <c r="I21" s="395"/>
      <c r="J21" s="133">
        <v>24</v>
      </c>
    </row>
    <row r="22" spans="1:10" s="54" customFormat="1" ht="16.5" customHeight="1">
      <c r="A22" s="133" t="s">
        <v>219</v>
      </c>
      <c r="B22" s="393" t="s">
        <v>183</v>
      </c>
      <c r="C22" s="394"/>
      <c r="D22" s="394"/>
      <c r="E22" s="394"/>
      <c r="F22" s="394"/>
      <c r="G22" s="394"/>
      <c r="H22" s="394"/>
      <c r="I22" s="395"/>
      <c r="J22" s="133">
        <v>25</v>
      </c>
    </row>
    <row r="23" spans="1:10" s="54" customFormat="1" ht="16.5" customHeight="1">
      <c r="A23" s="133" t="s">
        <v>220</v>
      </c>
      <c r="B23" s="393" t="s">
        <v>184</v>
      </c>
      <c r="C23" s="394"/>
      <c r="D23" s="394"/>
      <c r="E23" s="394"/>
      <c r="F23" s="394"/>
      <c r="G23" s="394"/>
      <c r="H23" s="394"/>
      <c r="I23" s="395"/>
      <c r="J23" s="133">
        <v>26</v>
      </c>
    </row>
    <row r="24" spans="1:10" s="54" customFormat="1" ht="16.5" customHeight="1">
      <c r="A24" s="133" t="s">
        <v>221</v>
      </c>
      <c r="B24" s="393" t="s">
        <v>185</v>
      </c>
      <c r="C24" s="394"/>
      <c r="D24" s="394"/>
      <c r="E24" s="394"/>
      <c r="F24" s="394"/>
      <c r="G24" s="394"/>
      <c r="H24" s="394"/>
      <c r="I24" s="395"/>
      <c r="J24" s="133">
        <v>27</v>
      </c>
    </row>
    <row r="25" spans="1:10" s="54" customFormat="1" ht="16.5" customHeight="1">
      <c r="A25" s="133" t="s">
        <v>222</v>
      </c>
      <c r="B25" s="393" t="s">
        <v>186</v>
      </c>
      <c r="C25" s="394"/>
      <c r="D25" s="394"/>
      <c r="E25" s="394"/>
      <c r="F25" s="394"/>
      <c r="G25" s="394"/>
      <c r="H25" s="394"/>
      <c r="I25" s="395"/>
      <c r="J25" s="133">
        <v>28</v>
      </c>
    </row>
    <row r="26" spans="1:10" s="54" customFormat="1" ht="16.5" customHeight="1">
      <c r="A26" s="133" t="s">
        <v>223</v>
      </c>
      <c r="B26" s="393" t="s">
        <v>187</v>
      </c>
      <c r="C26" s="394"/>
      <c r="D26" s="394"/>
      <c r="E26" s="394"/>
      <c r="F26" s="394"/>
      <c r="G26" s="394"/>
      <c r="H26" s="394"/>
      <c r="I26" s="395"/>
      <c r="J26" s="133">
        <v>29</v>
      </c>
    </row>
    <row r="27" spans="1:10" s="54" customFormat="1" ht="16.5" customHeight="1">
      <c r="A27" s="133" t="s">
        <v>224</v>
      </c>
      <c r="B27" s="393" t="s">
        <v>189</v>
      </c>
      <c r="C27" s="394"/>
      <c r="D27" s="394"/>
      <c r="E27" s="394"/>
      <c r="F27" s="394"/>
      <c r="G27" s="394"/>
      <c r="H27" s="394"/>
      <c r="I27" s="395"/>
      <c r="J27" s="133">
        <v>30</v>
      </c>
    </row>
    <row r="28" spans="1:10" s="54" customFormat="1" ht="16.5" customHeight="1">
      <c r="A28" s="133" t="s">
        <v>225</v>
      </c>
      <c r="B28" s="393" t="s">
        <v>246</v>
      </c>
      <c r="C28" s="394"/>
      <c r="D28" s="394"/>
      <c r="E28" s="394"/>
      <c r="F28" s="394"/>
      <c r="G28" s="394"/>
      <c r="H28" s="394"/>
      <c r="I28" s="395"/>
      <c r="J28" s="133">
        <v>31</v>
      </c>
    </row>
    <row r="29" spans="1:10" s="54" customFormat="1" ht="16.5" customHeight="1">
      <c r="A29" s="133" t="s">
        <v>226</v>
      </c>
      <c r="B29" s="393" t="s">
        <v>247</v>
      </c>
      <c r="C29" s="394"/>
      <c r="D29" s="394"/>
      <c r="E29" s="394"/>
      <c r="F29" s="394"/>
      <c r="G29" s="394"/>
      <c r="H29" s="394"/>
      <c r="I29" s="395"/>
      <c r="J29" s="133">
        <v>32</v>
      </c>
    </row>
    <row r="30" spans="1:10" s="54" customFormat="1" ht="16.5" customHeight="1">
      <c r="A30" s="133" t="s">
        <v>227</v>
      </c>
      <c r="B30" s="393" t="s">
        <v>190</v>
      </c>
      <c r="C30" s="394"/>
      <c r="D30" s="394"/>
      <c r="E30" s="394"/>
      <c r="F30" s="394"/>
      <c r="G30" s="394"/>
      <c r="H30" s="394"/>
      <c r="I30" s="395"/>
      <c r="J30" s="133">
        <v>33</v>
      </c>
    </row>
    <row r="31" spans="1:10" s="54" customFormat="1" ht="16.5" customHeight="1">
      <c r="A31" s="133" t="s">
        <v>228</v>
      </c>
      <c r="B31" s="393" t="s">
        <v>191</v>
      </c>
      <c r="C31" s="394"/>
      <c r="D31" s="394"/>
      <c r="E31" s="394"/>
      <c r="F31" s="394"/>
      <c r="G31" s="394"/>
      <c r="H31" s="394"/>
      <c r="I31" s="395"/>
      <c r="J31" s="133">
        <v>34</v>
      </c>
    </row>
    <row r="32" spans="1:10" s="54" customFormat="1" ht="16.5" customHeight="1">
      <c r="A32" s="133" t="s">
        <v>229</v>
      </c>
      <c r="B32" s="393" t="s">
        <v>192</v>
      </c>
      <c r="C32" s="394"/>
      <c r="D32" s="394"/>
      <c r="E32" s="394"/>
      <c r="F32" s="394"/>
      <c r="G32" s="394"/>
      <c r="H32" s="394"/>
      <c r="I32" s="395"/>
      <c r="J32" s="133">
        <v>35</v>
      </c>
    </row>
    <row r="33" spans="1:10" s="54" customFormat="1" ht="16.5" customHeight="1">
      <c r="A33" s="133" t="s">
        <v>230</v>
      </c>
      <c r="B33" s="393" t="s">
        <v>193</v>
      </c>
      <c r="C33" s="394"/>
      <c r="D33" s="394"/>
      <c r="E33" s="394"/>
      <c r="F33" s="394"/>
      <c r="G33" s="394"/>
      <c r="H33" s="394"/>
      <c r="I33" s="395"/>
      <c r="J33" s="133">
        <v>36</v>
      </c>
    </row>
    <row r="34" spans="1:10" s="54" customFormat="1" ht="16.5" customHeight="1">
      <c r="A34" s="133" t="s">
        <v>231</v>
      </c>
      <c r="B34" s="393" t="s">
        <v>194</v>
      </c>
      <c r="C34" s="394"/>
      <c r="D34" s="394"/>
      <c r="E34" s="394"/>
      <c r="F34" s="394"/>
      <c r="G34" s="394"/>
      <c r="H34" s="394"/>
      <c r="I34" s="395"/>
      <c r="J34" s="133">
        <v>37</v>
      </c>
    </row>
    <row r="35" spans="1:10" s="54" customFormat="1" ht="16.5" customHeight="1">
      <c r="A35" s="133" t="s">
        <v>232</v>
      </c>
      <c r="B35" s="393" t="s">
        <v>195</v>
      </c>
      <c r="C35" s="394"/>
      <c r="D35" s="394"/>
      <c r="E35" s="394"/>
      <c r="F35" s="394"/>
      <c r="G35" s="394"/>
      <c r="H35" s="394"/>
      <c r="I35" s="395"/>
      <c r="J35" s="133">
        <v>38</v>
      </c>
    </row>
    <row r="36" spans="1:10" s="54" customFormat="1" ht="16.5" customHeight="1">
      <c r="A36" s="133" t="s">
        <v>233</v>
      </c>
      <c r="B36" s="393" t="s">
        <v>196</v>
      </c>
      <c r="C36" s="394"/>
      <c r="D36" s="394"/>
      <c r="E36" s="394"/>
      <c r="F36" s="394"/>
      <c r="G36" s="394"/>
      <c r="H36" s="394"/>
      <c r="I36" s="395"/>
      <c r="J36" s="133">
        <v>39</v>
      </c>
    </row>
    <row r="37" spans="1:10" s="54" customFormat="1" ht="16.5" customHeight="1">
      <c r="A37" s="133" t="s">
        <v>234</v>
      </c>
      <c r="B37" s="393" t="s">
        <v>197</v>
      </c>
      <c r="C37" s="394"/>
      <c r="D37" s="394"/>
      <c r="E37" s="394"/>
      <c r="F37" s="394"/>
      <c r="G37" s="394"/>
      <c r="H37" s="394"/>
      <c r="I37" s="395"/>
      <c r="J37" s="133">
        <v>40</v>
      </c>
    </row>
    <row r="38" spans="1:10" s="54" customFormat="1" ht="16.5" customHeight="1">
      <c r="A38" s="133" t="s">
        <v>235</v>
      </c>
      <c r="B38" s="393" t="s">
        <v>198</v>
      </c>
      <c r="C38" s="394"/>
      <c r="D38" s="394"/>
      <c r="E38" s="394"/>
      <c r="F38" s="394"/>
      <c r="G38" s="394"/>
      <c r="H38" s="394"/>
      <c r="I38" s="395"/>
      <c r="J38" s="133">
        <v>41</v>
      </c>
    </row>
    <row r="39" spans="1:10" s="54" customFormat="1" ht="16.5" customHeight="1">
      <c r="A39" s="133" t="s">
        <v>236</v>
      </c>
      <c r="B39" s="393" t="s">
        <v>199</v>
      </c>
      <c r="C39" s="394"/>
      <c r="D39" s="394"/>
      <c r="E39" s="394"/>
      <c r="F39" s="394"/>
      <c r="G39" s="394"/>
      <c r="H39" s="394"/>
      <c r="I39" s="395"/>
      <c r="J39" s="133">
        <v>42</v>
      </c>
    </row>
    <row r="40" spans="1:10" s="54" customFormat="1" ht="16.5" customHeight="1">
      <c r="A40" s="133" t="s">
        <v>237</v>
      </c>
      <c r="B40" s="393" t="s">
        <v>200</v>
      </c>
      <c r="C40" s="394"/>
      <c r="D40" s="394"/>
      <c r="E40" s="394"/>
      <c r="F40" s="394"/>
      <c r="G40" s="394"/>
      <c r="H40" s="394"/>
      <c r="I40" s="395"/>
      <c r="J40" s="133">
        <v>43</v>
      </c>
    </row>
    <row r="41" spans="1:10" s="54" customFormat="1" ht="16.5" customHeight="1">
      <c r="A41" s="133" t="s">
        <v>238</v>
      </c>
      <c r="B41" s="393" t="s">
        <v>201</v>
      </c>
      <c r="C41" s="394"/>
      <c r="D41" s="394"/>
      <c r="E41" s="394"/>
      <c r="F41" s="394"/>
      <c r="G41" s="394"/>
      <c r="H41" s="394"/>
      <c r="I41" s="395"/>
      <c r="J41" s="133">
        <v>44</v>
      </c>
    </row>
    <row r="42" spans="1:10" s="54" customFormat="1" ht="16.5" customHeight="1">
      <c r="A42" s="133" t="s">
        <v>239</v>
      </c>
      <c r="B42" s="393" t="s">
        <v>202</v>
      </c>
      <c r="C42" s="394"/>
      <c r="D42" s="394"/>
      <c r="E42" s="394"/>
      <c r="F42" s="394"/>
      <c r="G42" s="394"/>
      <c r="H42" s="394"/>
      <c r="I42" s="395"/>
      <c r="J42" s="133">
        <v>45</v>
      </c>
    </row>
    <row r="43" spans="1:10" s="54" customFormat="1" ht="16.5" customHeight="1">
      <c r="A43" s="133" t="s">
        <v>240</v>
      </c>
      <c r="B43" s="393" t="s">
        <v>203</v>
      </c>
      <c r="C43" s="394"/>
      <c r="D43" s="394"/>
      <c r="E43" s="394"/>
      <c r="F43" s="394"/>
      <c r="G43" s="394"/>
      <c r="H43" s="394"/>
      <c r="I43" s="395"/>
      <c r="J43" s="133">
        <v>46</v>
      </c>
    </row>
    <row r="44" spans="1:10" s="54" customFormat="1" ht="29.25" customHeight="1">
      <c r="A44" s="133" t="s">
        <v>245</v>
      </c>
      <c r="B44" s="399" t="s">
        <v>583</v>
      </c>
      <c r="C44" s="400"/>
      <c r="D44" s="400"/>
      <c r="E44" s="400"/>
      <c r="F44" s="400"/>
      <c r="G44" s="400"/>
      <c r="H44" s="400"/>
      <c r="I44" s="401"/>
      <c r="J44" s="133">
        <v>47</v>
      </c>
    </row>
    <row r="45" spans="1:10" s="54" customFormat="1" ht="19.5" customHeight="1">
      <c r="A45" s="133" t="s">
        <v>265</v>
      </c>
      <c r="B45" s="399" t="s">
        <v>584</v>
      </c>
      <c r="C45" s="400"/>
      <c r="D45" s="400"/>
      <c r="E45" s="400"/>
      <c r="F45" s="400"/>
      <c r="G45" s="400"/>
      <c r="H45" s="400"/>
      <c r="I45" s="401"/>
      <c r="J45" s="133">
        <v>48</v>
      </c>
    </row>
    <row r="46" spans="1:10" s="54" customFormat="1" ht="14.25">
      <c r="A46" s="135"/>
      <c r="B46" s="132"/>
      <c r="C46" s="132"/>
      <c r="D46" s="132"/>
      <c r="E46" s="132"/>
      <c r="F46" s="132"/>
      <c r="G46" s="132"/>
      <c r="H46" s="132"/>
      <c r="I46" s="132"/>
      <c r="J46" s="134"/>
    </row>
    <row r="47" spans="1:10" s="54" customFormat="1" ht="14.25">
      <c r="A47" s="136"/>
      <c r="J47" s="136"/>
    </row>
    <row r="48" spans="1:10" s="54" customFormat="1" ht="14.25">
      <c r="A48" s="136"/>
      <c r="J48" s="136"/>
    </row>
    <row r="49" spans="1:10" s="54" customFormat="1" ht="14.25">
      <c r="A49" s="136"/>
      <c r="J49" s="136"/>
    </row>
  </sheetData>
  <sheetProtection/>
  <mergeCells count="44">
    <mergeCell ref="B4:I4"/>
    <mergeCell ref="B33:I33"/>
    <mergeCell ref="A1:I1"/>
    <mergeCell ref="B13:I13"/>
    <mergeCell ref="B26:I26"/>
    <mergeCell ref="B25:I25"/>
    <mergeCell ref="B24:I24"/>
    <mergeCell ref="B23:I23"/>
    <mergeCell ref="B22:I22"/>
    <mergeCell ref="B20:I20"/>
    <mergeCell ref="B19:I19"/>
    <mergeCell ref="B44:I44"/>
    <mergeCell ref="B45:I45"/>
    <mergeCell ref="B32:I32"/>
    <mergeCell ref="B21:I21"/>
    <mergeCell ref="B27:I27"/>
    <mergeCell ref="B28:I28"/>
    <mergeCell ref="B29:I29"/>
    <mergeCell ref="B35:I35"/>
    <mergeCell ref="B36:I36"/>
    <mergeCell ref="B43:I43"/>
    <mergeCell ref="B42:I42"/>
    <mergeCell ref="B41:I41"/>
    <mergeCell ref="B40:I40"/>
    <mergeCell ref="B34:I34"/>
    <mergeCell ref="B37:I37"/>
    <mergeCell ref="B38:I38"/>
    <mergeCell ref="B39:I39"/>
    <mergeCell ref="B5:I5"/>
    <mergeCell ref="B3:I3"/>
    <mergeCell ref="B31:I31"/>
    <mergeCell ref="B30:I30"/>
    <mergeCell ref="B8:I8"/>
    <mergeCell ref="B7:I7"/>
    <mergeCell ref="B6:I6"/>
    <mergeCell ref="B11:I11"/>
    <mergeCell ref="B10:I10"/>
    <mergeCell ref="B9:I9"/>
    <mergeCell ref="B14:I14"/>
    <mergeCell ref="B12:I12"/>
    <mergeCell ref="B18:I18"/>
    <mergeCell ref="B17:I17"/>
    <mergeCell ref="B16:I16"/>
    <mergeCell ref="B15:I15"/>
  </mergeCells>
  <printOptions/>
  <pageMargins left="0.65" right="0.39" top="0.63" bottom="0.59" header="0.5" footer="0.5"/>
  <pageSetup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2:L52"/>
  <sheetViews>
    <sheetView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9" width="15.7109375" style="13" customWidth="1"/>
    <col min="10" max="10" width="8.7109375" style="148" customWidth="1"/>
    <col min="11" max="11" width="9.140625" style="13" customWidth="1"/>
    <col min="12" max="12" width="9.57421875" style="13" bestFit="1" customWidth="1"/>
    <col min="13" max="16384" width="9.140625" style="13" customWidth="1"/>
  </cols>
  <sheetData>
    <row r="2" spans="2:10" ht="15" customHeight="1">
      <c r="B2" s="412" t="s">
        <v>57</v>
      </c>
      <c r="C2" s="412"/>
      <c r="D2" s="412"/>
      <c r="E2" s="412"/>
      <c r="F2" s="412"/>
      <c r="G2" s="412"/>
      <c r="H2" s="412"/>
      <c r="I2" s="412"/>
      <c r="J2" s="154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58</v>
      </c>
      <c r="C6" s="11" t="s">
        <v>6</v>
      </c>
      <c r="D6" s="11" t="s">
        <v>7</v>
      </c>
      <c r="E6" s="9"/>
      <c r="F6" s="9"/>
      <c r="G6" s="9"/>
      <c r="H6" s="9"/>
      <c r="I6" s="9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4247040</v>
      </c>
      <c r="H7" s="20">
        <f>SUM(H8:H11)</f>
        <v>4247040</v>
      </c>
      <c r="I7" s="20">
        <f>SUM(I8:I11)</f>
        <v>4229208.33</v>
      </c>
      <c r="J7" s="160">
        <f>IF(H7=0,"",I7/H7*100)</f>
        <v>99.58013887319169</v>
      </c>
    </row>
    <row r="8" spans="2:12" ht="12.75" customHeight="1">
      <c r="B8" s="14"/>
      <c r="C8" s="15"/>
      <c r="D8" s="15"/>
      <c r="E8" s="16">
        <v>611100</v>
      </c>
      <c r="F8" s="26" t="s">
        <v>128</v>
      </c>
      <c r="G8" s="88">
        <v>3491500</v>
      </c>
      <c r="H8" s="88">
        <v>3454950</v>
      </c>
      <c r="I8" s="88">
        <v>3437309.86</v>
      </c>
      <c r="J8" s="161">
        <f>IF(H8=0,"",I8/H8*100)</f>
        <v>99.48942415953921</v>
      </c>
      <c r="K8" s="118"/>
      <c r="L8" s="95"/>
    </row>
    <row r="9" spans="2:12" ht="12.75" customHeight="1">
      <c r="B9" s="14"/>
      <c r="C9" s="15"/>
      <c r="D9" s="15"/>
      <c r="E9" s="16">
        <v>611200</v>
      </c>
      <c r="F9" s="15" t="s">
        <v>129</v>
      </c>
      <c r="G9" s="88">
        <v>727700</v>
      </c>
      <c r="H9" s="88">
        <v>765630</v>
      </c>
      <c r="I9" s="88">
        <v>765621.47</v>
      </c>
      <c r="J9" s="161">
        <f aca="true" t="shared" si="0" ref="J9:J44">IF(H9=0,"",I9/H9*100)</f>
        <v>99.99888588482688</v>
      </c>
      <c r="K9" s="366"/>
      <c r="L9" s="95"/>
    </row>
    <row r="10" spans="2:12" ht="12.75" customHeight="1">
      <c r="B10" s="14"/>
      <c r="C10" s="15"/>
      <c r="D10" s="15"/>
      <c r="E10" s="16">
        <v>611200</v>
      </c>
      <c r="F10" s="26" t="s">
        <v>462</v>
      </c>
      <c r="G10" s="88">
        <v>27840</v>
      </c>
      <c r="H10" s="88">
        <v>26460</v>
      </c>
      <c r="I10" s="88">
        <v>26277</v>
      </c>
      <c r="J10" s="161">
        <f t="shared" si="0"/>
        <v>99.30839002267574</v>
      </c>
      <c r="K10" s="95"/>
      <c r="L10" s="95"/>
    </row>
    <row r="11" spans="2:11" ht="12.75" customHeight="1">
      <c r="B11" s="14"/>
      <c r="C11" s="15"/>
      <c r="D11" s="15"/>
      <c r="E11" s="16"/>
      <c r="F11" s="26"/>
      <c r="G11" s="88"/>
      <c r="H11" s="88"/>
      <c r="I11" s="88"/>
      <c r="J11" s="161">
        <f t="shared" si="0"/>
      </c>
      <c r="K11" s="119"/>
    </row>
    <row r="12" spans="2:11" ht="12.75" customHeight="1">
      <c r="B12" s="14"/>
      <c r="C12" s="15"/>
      <c r="D12" s="15"/>
      <c r="E12" s="16"/>
      <c r="F12" s="15"/>
      <c r="G12" s="115"/>
      <c r="H12" s="115"/>
      <c r="I12" s="115"/>
      <c r="J12" s="161">
        <f t="shared" si="0"/>
      </c>
      <c r="K12" s="119"/>
    </row>
    <row r="13" spans="2:11" s="1" customFormat="1" ht="12.75" customHeight="1">
      <c r="B13" s="17"/>
      <c r="C13" s="12"/>
      <c r="D13" s="12"/>
      <c r="E13" s="9">
        <v>612000</v>
      </c>
      <c r="F13" s="12" t="s">
        <v>91</v>
      </c>
      <c r="G13" s="115">
        <f>G14+G15</f>
        <v>536100</v>
      </c>
      <c r="H13" s="115">
        <f>H14+H15</f>
        <v>536100</v>
      </c>
      <c r="I13" s="115">
        <f>I14+I15</f>
        <v>527414.12</v>
      </c>
      <c r="J13" s="160">
        <f t="shared" si="0"/>
        <v>98.37980227569483</v>
      </c>
      <c r="K13" s="120"/>
    </row>
    <row r="14" spans="2:11" ht="12.75" customHeight="1">
      <c r="B14" s="14"/>
      <c r="C14" s="15"/>
      <c r="D14" s="15"/>
      <c r="E14" s="16">
        <v>612100</v>
      </c>
      <c r="F14" s="18" t="s">
        <v>8</v>
      </c>
      <c r="G14" s="88">
        <v>536100</v>
      </c>
      <c r="H14" s="88">
        <v>536100</v>
      </c>
      <c r="I14" s="88">
        <v>527414.12</v>
      </c>
      <c r="J14" s="161">
        <f t="shared" si="0"/>
        <v>98.37980227569483</v>
      </c>
      <c r="K14" s="118"/>
    </row>
    <row r="15" spans="2:11" ht="12.75" customHeight="1">
      <c r="B15" s="14"/>
      <c r="C15" s="15"/>
      <c r="D15" s="15"/>
      <c r="E15" s="16"/>
      <c r="F15" s="26"/>
      <c r="G15" s="88"/>
      <c r="H15" s="88"/>
      <c r="I15" s="88"/>
      <c r="J15" s="161">
        <f t="shared" si="0"/>
      </c>
      <c r="K15" s="119"/>
    </row>
    <row r="16" spans="2:10" ht="12.75" customHeight="1">
      <c r="B16" s="14"/>
      <c r="C16" s="15"/>
      <c r="D16" s="15"/>
      <c r="E16" s="16"/>
      <c r="F16" s="15"/>
      <c r="G16" s="115"/>
      <c r="H16" s="115"/>
      <c r="I16" s="115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115">
        <f>SUM(G18:G27)</f>
        <v>917300</v>
      </c>
      <c r="H17" s="115">
        <f>SUM(H18:H27)</f>
        <v>918040</v>
      </c>
      <c r="I17" s="115">
        <f>SUM(I18:I27)</f>
        <v>848382.52</v>
      </c>
      <c r="J17" s="160">
        <f t="shared" si="0"/>
        <v>92.4123698313799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88">
        <v>11500</v>
      </c>
      <c r="H18" s="88">
        <v>14700</v>
      </c>
      <c r="I18" s="88">
        <v>14251.92</v>
      </c>
      <c r="J18" s="161">
        <f t="shared" si="0"/>
        <v>96.95183673469387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88">
        <v>100000</v>
      </c>
      <c r="H19" s="88">
        <v>100000</v>
      </c>
      <c r="I19" s="88">
        <v>94648.69</v>
      </c>
      <c r="J19" s="161">
        <f t="shared" si="0"/>
        <v>94.64869</v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88">
        <v>95000</v>
      </c>
      <c r="H20" s="88">
        <v>95000</v>
      </c>
      <c r="I20" s="88">
        <v>92215.06</v>
      </c>
      <c r="J20" s="161">
        <f t="shared" si="0"/>
        <v>97.06848421052632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88">
        <v>215000</v>
      </c>
      <c r="H21" s="88">
        <v>208000</v>
      </c>
      <c r="I21" s="88">
        <v>173525.83</v>
      </c>
      <c r="J21" s="161">
        <f t="shared" si="0"/>
        <v>83.42587980769231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88">
        <v>130000</v>
      </c>
      <c r="H22" s="88">
        <v>130000</v>
      </c>
      <c r="I22" s="88">
        <v>112181.92</v>
      </c>
      <c r="J22" s="161">
        <f t="shared" si="0"/>
        <v>86.29378461538462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88">
        <v>27000</v>
      </c>
      <c r="H23" s="88">
        <v>27000</v>
      </c>
      <c r="I23" s="88">
        <v>27000</v>
      </c>
      <c r="J23" s="161">
        <f t="shared" si="0"/>
        <v>100</v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88">
        <v>117000</v>
      </c>
      <c r="H24" s="88">
        <v>119800</v>
      </c>
      <c r="I24" s="88">
        <v>114775.83</v>
      </c>
      <c r="J24" s="161">
        <f t="shared" si="0"/>
        <v>95.8062020033389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88">
        <v>16000</v>
      </c>
      <c r="H25" s="88">
        <v>16000</v>
      </c>
      <c r="I25" s="88">
        <v>14973.84</v>
      </c>
      <c r="J25" s="161">
        <f t="shared" si="0"/>
        <v>93.5865</v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88">
        <v>175000</v>
      </c>
      <c r="H26" s="88">
        <v>176000</v>
      </c>
      <c r="I26" s="88">
        <v>173527.7</v>
      </c>
      <c r="J26" s="161">
        <f t="shared" si="0"/>
        <v>98.5952840909091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124">
        <v>30800</v>
      </c>
      <c r="H27" s="124">
        <v>31540</v>
      </c>
      <c r="I27" s="124">
        <v>31281.73</v>
      </c>
      <c r="J27" s="161">
        <f t="shared" si="0"/>
        <v>99.18113506658212</v>
      </c>
      <c r="K27" s="95"/>
      <c r="L27" s="95"/>
    </row>
    <row r="28" spans="2:10" s="1" customFormat="1" ht="12.75" customHeight="1">
      <c r="B28" s="17"/>
      <c r="C28" s="12"/>
      <c r="D28" s="12"/>
      <c r="E28" s="62"/>
      <c r="F28" s="12"/>
      <c r="G28" s="88"/>
      <c r="H28" s="88"/>
      <c r="I28" s="88"/>
      <c r="J28" s="161">
        <f t="shared" si="0"/>
      </c>
    </row>
    <row r="29" spans="2:10" ht="12.75" customHeight="1">
      <c r="B29" s="14"/>
      <c r="C29" s="15"/>
      <c r="D29" s="31"/>
      <c r="E29" s="64"/>
      <c r="F29" s="61"/>
      <c r="G29" s="88"/>
      <c r="H29" s="88"/>
      <c r="I29" s="88"/>
      <c r="J29" s="161">
        <f t="shared" si="0"/>
      </c>
    </row>
    <row r="30" spans="2:10" ht="12.75" customHeight="1">
      <c r="B30" s="14"/>
      <c r="C30" s="15"/>
      <c r="D30" s="15"/>
      <c r="E30" s="63"/>
      <c r="F30" s="15"/>
      <c r="G30" s="88"/>
      <c r="H30" s="88"/>
      <c r="I30" s="88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88"/>
      <c r="H31" s="88"/>
      <c r="I31" s="88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88"/>
      <c r="H32" s="88"/>
      <c r="I32" s="88"/>
      <c r="J32" s="161">
        <f t="shared" si="0"/>
      </c>
    </row>
    <row r="33" spans="2:10" ht="12.75" customHeight="1">
      <c r="B33" s="14"/>
      <c r="C33" s="15"/>
      <c r="D33" s="15"/>
      <c r="E33" s="16"/>
      <c r="F33" s="15"/>
      <c r="G33" s="88"/>
      <c r="H33" s="88"/>
      <c r="I33" s="88"/>
      <c r="J33" s="161">
        <f t="shared" si="0"/>
      </c>
    </row>
    <row r="34" spans="2:10" ht="12.75" customHeight="1">
      <c r="B34" s="14"/>
      <c r="C34" s="15"/>
      <c r="D34" s="15"/>
      <c r="E34" s="16"/>
      <c r="F34" s="19"/>
      <c r="G34" s="88"/>
      <c r="H34" s="88"/>
      <c r="I34" s="88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SUM(G37:G38)</f>
        <v>100000</v>
      </c>
      <c r="H36" s="115">
        <f>SUM(H37:H38)</f>
        <v>100000</v>
      </c>
      <c r="I36" s="115">
        <f>SUM(I37:I38)</f>
        <v>91973.69</v>
      </c>
      <c r="J36" s="160">
        <f t="shared" si="0"/>
        <v>91.97368999999999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88">
        <v>0</v>
      </c>
      <c r="H37" s="88">
        <v>0</v>
      </c>
      <c r="I37" s="88">
        <v>0</v>
      </c>
      <c r="J37" s="161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88">
        <v>100000</v>
      </c>
      <c r="H38" s="88">
        <v>100000</v>
      </c>
      <c r="I38" s="88">
        <v>91973.69</v>
      </c>
      <c r="J38" s="161">
        <f t="shared" si="0"/>
        <v>91.97368999999999</v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20"/>
      <c r="H40" s="20"/>
      <c r="I40" s="20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115">
        <v>204</v>
      </c>
      <c r="H41" s="115">
        <v>204</v>
      </c>
      <c r="I41" s="115">
        <v>197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5800440</v>
      </c>
      <c r="H42" s="20">
        <f>H7+H13+H17+H36</f>
        <v>5801180</v>
      </c>
      <c r="I42" s="20">
        <f>I7+I13+I17+I36</f>
        <v>5696978.660000001</v>
      </c>
      <c r="J42" s="160">
        <f t="shared" si="0"/>
        <v>98.20379060811769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>
        <f aca="true" t="shared" si="1" ref="G43:I44">G42</f>
        <v>5800440</v>
      </c>
      <c r="H43" s="20">
        <f t="shared" si="1"/>
        <v>5801180</v>
      </c>
      <c r="I43" s="20">
        <f t="shared" si="1"/>
        <v>5696978.660000001</v>
      </c>
      <c r="J43" s="160">
        <f t="shared" si="0"/>
        <v>98.20379060811769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20">
        <f t="shared" si="1"/>
        <v>5800440</v>
      </c>
      <c r="H44" s="20">
        <f t="shared" si="1"/>
        <v>5801180</v>
      </c>
      <c r="I44" s="20">
        <f t="shared" si="1"/>
        <v>5696978.660000001</v>
      </c>
      <c r="J44" s="160">
        <f t="shared" si="0"/>
        <v>98.20379060811769</v>
      </c>
    </row>
    <row r="45" spans="2:10" ht="12.75" customHeight="1" thickBot="1">
      <c r="B45" s="21"/>
      <c r="C45" s="22"/>
      <c r="D45" s="22"/>
      <c r="E45" s="23"/>
      <c r="F45" s="22"/>
      <c r="G45" s="22"/>
      <c r="H45" s="22"/>
      <c r="I45" s="22"/>
      <c r="J45" s="164"/>
    </row>
    <row r="47" ht="12.75">
      <c r="B47" s="87"/>
    </row>
    <row r="48" ht="12.75">
      <c r="B48" s="87"/>
    </row>
    <row r="49" ht="12.75">
      <c r="B49" s="87"/>
    </row>
    <row r="50" ht="12.75">
      <c r="B50" s="87"/>
    </row>
    <row r="51" ht="12.75">
      <c r="B51" s="87"/>
    </row>
    <row r="52" ht="12.75">
      <c r="B52" s="87"/>
    </row>
  </sheetData>
  <sheetProtection/>
  <mergeCells count="2">
    <mergeCell ref="B2:I2"/>
    <mergeCell ref="F3:G3"/>
  </mergeCells>
  <printOptions/>
  <pageMargins left="0.2755905511811024" right="0.2755905511811024" top="0.5905511811023623" bottom="0.52" header="0.5118110236220472" footer="0.5118110236220472"/>
  <pageSetup fitToHeight="1" fitToWidth="1" horizontalDpi="180" verticalDpi="180" orientation="portrait" paperSize="9" scale="78" r:id="rId1"/>
  <headerFooter alignWithMargins="0">
    <oddFooter>&amp;R18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2:L45"/>
  <sheetViews>
    <sheetView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4" t="s">
        <v>59</v>
      </c>
      <c r="C2" s="414"/>
      <c r="D2" s="414"/>
      <c r="E2" s="414"/>
      <c r="F2" s="414"/>
      <c r="G2" s="414"/>
      <c r="H2" s="37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60</v>
      </c>
      <c r="C6" s="11" t="s">
        <v>6</v>
      </c>
      <c r="D6" s="11" t="s">
        <v>7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47820</v>
      </c>
      <c r="H7" s="20">
        <f>SUM(H8:H11)</f>
        <v>47820</v>
      </c>
      <c r="I7" s="20">
        <f>SUM(I8:I11)</f>
        <v>46283.68</v>
      </c>
      <c r="J7" s="160">
        <f>IF(H7=0,"",I7/H7*100)</f>
        <v>96.78728565453784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46">
        <v>38800</v>
      </c>
      <c r="H8" s="46">
        <v>38800</v>
      </c>
      <c r="I8" s="46">
        <v>38207.68</v>
      </c>
      <c r="J8" s="161">
        <f>IF(H8=0,"",I8/H8*100)</f>
        <v>98.47340206185568</v>
      </c>
    </row>
    <row r="9" spans="2:12" ht="12.75" customHeight="1">
      <c r="B9" s="14"/>
      <c r="C9" s="15"/>
      <c r="D9" s="15"/>
      <c r="E9" s="16">
        <v>611200</v>
      </c>
      <c r="F9" s="15" t="s">
        <v>129</v>
      </c>
      <c r="G9" s="46">
        <v>6100</v>
      </c>
      <c r="H9" s="46">
        <v>6100</v>
      </c>
      <c r="I9" s="124">
        <v>6100</v>
      </c>
      <c r="J9" s="161">
        <f aca="true" t="shared" si="0" ref="J9:J42">IF(H9=0,"",I9/H9*100)</f>
        <v>100</v>
      </c>
      <c r="L9" s="148"/>
    </row>
    <row r="10" spans="2:12" ht="12.75" customHeight="1">
      <c r="B10" s="14"/>
      <c r="C10" s="15"/>
      <c r="D10" s="15"/>
      <c r="E10" s="16">
        <v>611200</v>
      </c>
      <c r="F10" s="26" t="s">
        <v>460</v>
      </c>
      <c r="G10" s="88">
        <v>2920</v>
      </c>
      <c r="H10" s="88">
        <v>2920</v>
      </c>
      <c r="I10" s="88">
        <f>1959+17</f>
        <v>1976</v>
      </c>
      <c r="J10" s="161">
        <f t="shared" si="0"/>
        <v>67.67123287671232</v>
      </c>
      <c r="L10" s="94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4200</v>
      </c>
      <c r="H13" s="20">
        <f>H14+H15</f>
        <v>4200</v>
      </c>
      <c r="I13" s="20">
        <f>I14+I15</f>
        <v>4011.84</v>
      </c>
      <c r="J13" s="160">
        <f t="shared" si="0"/>
        <v>95.52000000000001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46">
        <v>4200</v>
      </c>
      <c r="H14" s="46">
        <v>4200</v>
      </c>
      <c r="I14" s="46">
        <v>4011.84</v>
      </c>
      <c r="J14" s="161">
        <f t="shared" si="0"/>
        <v>95.52000000000001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28550</v>
      </c>
      <c r="H17" s="51">
        <f>SUM(H18:H27)</f>
        <v>28110</v>
      </c>
      <c r="I17" s="51">
        <f>SUM(I18:I27)</f>
        <v>26193.2</v>
      </c>
      <c r="J17" s="160">
        <f t="shared" si="0"/>
        <v>93.18107435076486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5">
        <v>1500</v>
      </c>
      <c r="H18" s="45">
        <v>1500</v>
      </c>
      <c r="I18" s="45">
        <v>918.9</v>
      </c>
      <c r="J18" s="161">
        <f t="shared" si="0"/>
        <v>61.260000000000005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5">
        <v>0</v>
      </c>
      <c r="H19" s="45">
        <v>0</v>
      </c>
      <c r="I19" s="45">
        <v>0</v>
      </c>
      <c r="J19" s="161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5">
        <v>2500</v>
      </c>
      <c r="H20" s="45">
        <v>2500</v>
      </c>
      <c r="I20" s="45">
        <v>2490.81</v>
      </c>
      <c r="J20" s="161">
        <f t="shared" si="0"/>
        <v>99.6324</v>
      </c>
    </row>
    <row r="21" spans="2:12" ht="12.75" customHeight="1">
      <c r="B21" s="14"/>
      <c r="C21" s="15"/>
      <c r="D21" s="15"/>
      <c r="E21" s="16">
        <v>613400</v>
      </c>
      <c r="F21" s="15" t="s">
        <v>94</v>
      </c>
      <c r="G21" s="45">
        <v>300</v>
      </c>
      <c r="H21" s="45">
        <v>1660</v>
      </c>
      <c r="I21" s="88">
        <v>1655.7</v>
      </c>
      <c r="J21" s="161">
        <f t="shared" si="0"/>
        <v>99.7409638554217</v>
      </c>
      <c r="L21" s="95"/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45">
        <v>500</v>
      </c>
      <c r="H22" s="45">
        <v>500</v>
      </c>
      <c r="I22" s="45">
        <v>0</v>
      </c>
      <c r="J22" s="161">
        <f t="shared" si="0"/>
        <v>0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45">
        <v>0</v>
      </c>
      <c r="H23" s="45">
        <v>0</v>
      </c>
      <c r="I23" s="45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45">
        <v>500</v>
      </c>
      <c r="H24" s="45">
        <v>1000</v>
      </c>
      <c r="I24" s="45">
        <v>685.8</v>
      </c>
      <c r="J24" s="161">
        <f t="shared" si="0"/>
        <v>68.58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45">
        <v>500</v>
      </c>
      <c r="H25" s="45">
        <v>500</v>
      </c>
      <c r="I25" s="45">
        <v>0</v>
      </c>
      <c r="J25" s="161">
        <f t="shared" si="0"/>
        <v>0</v>
      </c>
    </row>
    <row r="26" spans="2:12" ht="12.75" customHeight="1">
      <c r="B26" s="14"/>
      <c r="C26" s="15"/>
      <c r="D26" s="15"/>
      <c r="E26" s="16">
        <v>613900</v>
      </c>
      <c r="F26" s="15" t="s">
        <v>96</v>
      </c>
      <c r="G26" s="88">
        <v>20000</v>
      </c>
      <c r="H26" s="88">
        <v>18410</v>
      </c>
      <c r="I26" s="88">
        <v>18407.08</v>
      </c>
      <c r="J26" s="161">
        <f t="shared" si="0"/>
        <v>99.9841390548615</v>
      </c>
      <c r="L26" s="95"/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116">
        <v>2750</v>
      </c>
      <c r="H27" s="116">
        <v>2040</v>
      </c>
      <c r="I27" s="116">
        <v>2034.91</v>
      </c>
      <c r="J27" s="161">
        <f t="shared" si="0"/>
        <v>99.75049019607843</v>
      </c>
      <c r="L27" s="95"/>
    </row>
    <row r="28" spans="2:10" s="1" customFormat="1" ht="12.75" customHeight="1">
      <c r="B28" s="17"/>
      <c r="C28" s="12"/>
      <c r="D28" s="12"/>
      <c r="E28" s="62"/>
      <c r="F28" s="12"/>
      <c r="G28" s="46"/>
      <c r="H28" s="46"/>
      <c r="I28" s="46"/>
      <c r="J28" s="161">
        <f t="shared" si="0"/>
      </c>
    </row>
    <row r="29" spans="2:10" ht="12.75" customHeight="1">
      <c r="B29" s="14"/>
      <c r="C29" s="15"/>
      <c r="D29" s="31"/>
      <c r="E29" s="64"/>
      <c r="F29" s="61"/>
      <c r="G29" s="46"/>
      <c r="H29" s="46"/>
      <c r="I29" s="46"/>
      <c r="J29" s="161">
        <f t="shared" si="0"/>
      </c>
    </row>
    <row r="30" spans="2:10" ht="12.75" customHeight="1">
      <c r="B30" s="14"/>
      <c r="C30" s="15"/>
      <c r="D30" s="15"/>
      <c r="E30" s="63"/>
      <c r="F30" s="15"/>
      <c r="G30" s="46"/>
      <c r="H30" s="46"/>
      <c r="I30" s="46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46"/>
      <c r="H31" s="46"/>
      <c r="I31" s="46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46"/>
      <c r="H32" s="46"/>
      <c r="I32" s="46"/>
      <c r="J32" s="161">
        <f t="shared" si="0"/>
      </c>
    </row>
    <row r="33" spans="2:10" ht="12.75" customHeight="1">
      <c r="B33" s="14"/>
      <c r="C33" s="15"/>
      <c r="D33" s="15"/>
      <c r="E33" s="16"/>
      <c r="F33" s="15"/>
      <c r="G33" s="46"/>
      <c r="H33" s="46"/>
      <c r="I33" s="46"/>
      <c r="J33" s="161">
        <f t="shared" si="0"/>
      </c>
    </row>
    <row r="34" spans="2:10" ht="12.75" customHeight="1">
      <c r="B34" s="14"/>
      <c r="C34" s="15"/>
      <c r="D34" s="15"/>
      <c r="E34" s="16"/>
      <c r="F34" s="19"/>
      <c r="G34" s="46"/>
      <c r="H34" s="46"/>
      <c r="I34" s="46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20">
        <f>SUM(G37:G38)</f>
        <v>2000</v>
      </c>
      <c r="H36" s="20">
        <f>SUM(H37:H38)</f>
        <v>2000</v>
      </c>
      <c r="I36" s="20">
        <f>SUM(I37:I38)</f>
        <v>1985.85</v>
      </c>
      <c r="J36" s="160">
        <f t="shared" si="0"/>
        <v>99.29249999999999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46">
        <v>0</v>
      </c>
      <c r="H37" s="46">
        <v>0</v>
      </c>
      <c r="I37" s="46">
        <v>0</v>
      </c>
      <c r="J37" s="161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46">
        <v>2000</v>
      </c>
      <c r="H38" s="46">
        <v>2000</v>
      </c>
      <c r="I38" s="46">
        <v>1985.85</v>
      </c>
      <c r="J38" s="161">
        <f t="shared" si="0"/>
        <v>99.29249999999999</v>
      </c>
    </row>
    <row r="39" spans="2:10" ht="12.75" customHeight="1">
      <c r="B39" s="14"/>
      <c r="C39" s="15"/>
      <c r="D39" s="15"/>
      <c r="E39" s="16"/>
      <c r="F39" s="15"/>
      <c r="G39" s="46"/>
      <c r="H39" s="46"/>
      <c r="I39" s="46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20">
        <v>2</v>
      </c>
      <c r="H41" s="20">
        <v>2</v>
      </c>
      <c r="I41" s="20">
        <v>2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82570</v>
      </c>
      <c r="H42" s="20">
        <f>H7+H13+H17+H36</f>
        <v>82130</v>
      </c>
      <c r="I42" s="20">
        <f>I7+I13+I17+I36</f>
        <v>78474.57</v>
      </c>
      <c r="J42" s="160">
        <f t="shared" si="0"/>
        <v>95.54921465968587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/>
      <c r="H43" s="20"/>
      <c r="I43" s="20"/>
      <c r="J43" s="163"/>
    </row>
    <row r="44" spans="2:10" s="1" customFormat="1" ht="12.75" customHeight="1">
      <c r="B44" s="17"/>
      <c r="C44" s="12"/>
      <c r="D44" s="12"/>
      <c r="E44" s="9"/>
      <c r="F44" s="12" t="s">
        <v>20</v>
      </c>
      <c r="G44" s="45"/>
      <c r="H44" s="45"/>
      <c r="I44" s="45"/>
      <c r="J44" s="162"/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</sheetData>
  <sheetProtection/>
  <mergeCells count="2">
    <mergeCell ref="B2:G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77" r:id="rId1"/>
  <headerFooter alignWithMargins="0">
    <oddFooter>&amp;R19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2:N53"/>
  <sheetViews>
    <sheetView zoomScalePageLayoutView="0" workbookViewId="0" topLeftCell="D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2" t="s">
        <v>125</v>
      </c>
      <c r="C2" s="412"/>
      <c r="D2" s="412"/>
      <c r="E2" s="412"/>
      <c r="F2" s="412"/>
      <c r="G2" s="412"/>
      <c r="H2" s="11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60</v>
      </c>
      <c r="C6" s="11" t="s">
        <v>61</v>
      </c>
      <c r="D6" s="11" t="s">
        <v>53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1120930</v>
      </c>
      <c r="H7" s="20">
        <f>SUM(H8:H11)</f>
        <v>1120930</v>
      </c>
      <c r="I7" s="20">
        <f>SUM(I8:I11)</f>
        <v>1084873.02</v>
      </c>
      <c r="J7" s="160">
        <f>IF(H7=0,"",I7/H7*100)</f>
        <v>96.78329779736468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124">
        <v>917930</v>
      </c>
      <c r="H8" s="124">
        <v>917930</v>
      </c>
      <c r="I8" s="124">
        <v>892584.62</v>
      </c>
      <c r="J8" s="161">
        <f>IF(H8=0,"",I8/H8*100)</f>
        <v>97.23885481463728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124">
        <v>185200</v>
      </c>
      <c r="H9" s="124">
        <v>185200</v>
      </c>
      <c r="I9" s="124">
        <v>175645.4</v>
      </c>
      <c r="J9" s="161">
        <f aca="true" t="shared" si="0" ref="J9:J43">IF(H9=0,"",I9/H9*100)</f>
        <v>94.84092872570194</v>
      </c>
    </row>
    <row r="10" spans="2:12" ht="12.75" customHeight="1">
      <c r="B10" s="14"/>
      <c r="C10" s="15"/>
      <c r="D10" s="15"/>
      <c r="E10" s="16">
        <v>611200</v>
      </c>
      <c r="F10" s="26" t="s">
        <v>557</v>
      </c>
      <c r="G10" s="88">
        <v>17800</v>
      </c>
      <c r="H10" s="88">
        <v>17800</v>
      </c>
      <c r="I10" s="88">
        <v>16643</v>
      </c>
      <c r="J10" s="161">
        <f t="shared" si="0"/>
        <v>93.5</v>
      </c>
      <c r="L10" s="94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96400</v>
      </c>
      <c r="H13" s="20">
        <f>H14+H15</f>
        <v>96400</v>
      </c>
      <c r="I13" s="20">
        <f>I14+I15</f>
        <v>93721.38</v>
      </c>
      <c r="J13" s="160">
        <f t="shared" si="0"/>
        <v>97.22134854771784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124">
        <v>96400</v>
      </c>
      <c r="H14" s="124">
        <v>96400</v>
      </c>
      <c r="I14" s="124">
        <v>93721.38</v>
      </c>
      <c r="J14" s="161">
        <f t="shared" si="0"/>
        <v>97.22134854771784</v>
      </c>
    </row>
    <row r="15" spans="2:14" ht="12.75" customHeight="1">
      <c r="B15" s="14"/>
      <c r="C15" s="15"/>
      <c r="D15" s="15"/>
      <c r="E15" s="16"/>
      <c r="F15" s="15"/>
      <c r="G15" s="46"/>
      <c r="H15" s="46"/>
      <c r="I15" s="46"/>
      <c r="J15" s="161">
        <f t="shared" si="0"/>
      </c>
      <c r="N15" s="95"/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337100</v>
      </c>
      <c r="H17" s="51">
        <f>SUM(H18:H27)</f>
        <v>337620</v>
      </c>
      <c r="I17" s="51">
        <f>SUM(I18:I27)</f>
        <v>337432.80999999994</v>
      </c>
      <c r="J17" s="160">
        <f t="shared" si="0"/>
        <v>99.94455600971504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6">
        <v>5500</v>
      </c>
      <c r="H18" s="46">
        <v>5340</v>
      </c>
      <c r="I18" s="46">
        <v>5333.1</v>
      </c>
      <c r="J18" s="161">
        <f t="shared" si="0"/>
        <v>99.87078651685394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16000</v>
      </c>
      <c r="H19" s="46">
        <v>16570</v>
      </c>
      <c r="I19" s="46">
        <v>16547.17</v>
      </c>
      <c r="J19" s="161">
        <f t="shared" si="0"/>
        <v>99.86222088111043</v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6">
        <v>140000</v>
      </c>
      <c r="H20" s="46">
        <v>133330</v>
      </c>
      <c r="I20" s="46">
        <v>133322.34</v>
      </c>
      <c r="J20" s="161">
        <f t="shared" si="0"/>
        <v>99.99425485637141</v>
      </c>
    </row>
    <row r="21" spans="2:11" ht="12.75" customHeight="1">
      <c r="B21" s="14"/>
      <c r="C21" s="15"/>
      <c r="D21" s="15"/>
      <c r="E21" s="16">
        <v>613400</v>
      </c>
      <c r="F21" s="15" t="s">
        <v>94</v>
      </c>
      <c r="G21" s="124">
        <v>27000</v>
      </c>
      <c r="H21" s="124">
        <v>29650</v>
      </c>
      <c r="I21" s="124">
        <v>29644.7</v>
      </c>
      <c r="J21" s="161">
        <f t="shared" si="0"/>
        <v>99.98212478920743</v>
      </c>
      <c r="K21" s="87"/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46">
        <v>10000</v>
      </c>
      <c r="H22" s="46">
        <v>10410</v>
      </c>
      <c r="I22" s="46">
        <v>10383.49</v>
      </c>
      <c r="J22" s="161">
        <f t="shared" si="0"/>
        <v>99.74534101825168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124">
        <v>0</v>
      </c>
      <c r="H23" s="124">
        <v>0</v>
      </c>
      <c r="I23" s="124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124">
        <v>10000</v>
      </c>
      <c r="H24" s="124">
        <v>10400</v>
      </c>
      <c r="I24" s="124">
        <v>10395.59</v>
      </c>
      <c r="J24" s="161">
        <f t="shared" si="0"/>
        <v>99.95759615384615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124">
        <v>3200</v>
      </c>
      <c r="H25" s="124">
        <v>2020</v>
      </c>
      <c r="I25" s="124">
        <v>2018.55</v>
      </c>
      <c r="J25" s="161">
        <f t="shared" si="0"/>
        <v>99.92821782178217</v>
      </c>
    </row>
    <row r="26" spans="2:11" ht="12.75" customHeight="1">
      <c r="B26" s="14"/>
      <c r="C26" s="15"/>
      <c r="D26" s="15"/>
      <c r="E26" s="16">
        <v>613900</v>
      </c>
      <c r="F26" s="15" t="s">
        <v>96</v>
      </c>
      <c r="G26" s="124">
        <v>110000</v>
      </c>
      <c r="H26" s="124">
        <v>114020</v>
      </c>
      <c r="I26" s="124">
        <v>113909.83</v>
      </c>
      <c r="J26" s="161">
        <f t="shared" si="0"/>
        <v>99.90337660059639</v>
      </c>
      <c r="K26" s="367"/>
    </row>
    <row r="27" spans="2:11" ht="12.75" customHeight="1">
      <c r="B27" s="14"/>
      <c r="C27" s="15"/>
      <c r="D27" s="15"/>
      <c r="E27" s="16">
        <v>613900</v>
      </c>
      <c r="F27" s="26" t="s">
        <v>143</v>
      </c>
      <c r="G27" s="124">
        <v>15400</v>
      </c>
      <c r="H27" s="124">
        <v>15880</v>
      </c>
      <c r="I27" s="124">
        <v>15878.04</v>
      </c>
      <c r="J27" s="161">
        <f t="shared" si="0"/>
        <v>99.98765743073048</v>
      </c>
      <c r="K27" s="95"/>
    </row>
    <row r="28" spans="2:10" s="1" customFormat="1" ht="12.75" customHeight="1">
      <c r="B28" s="17"/>
      <c r="C28" s="12"/>
      <c r="D28" s="12"/>
      <c r="E28" s="62"/>
      <c r="F28" s="12"/>
      <c r="G28" s="124"/>
      <c r="H28" s="124"/>
      <c r="I28" s="124"/>
      <c r="J28" s="161">
        <f t="shared" si="0"/>
      </c>
    </row>
    <row r="29" spans="2:10" ht="12.75" customHeight="1">
      <c r="B29" s="14"/>
      <c r="C29" s="15"/>
      <c r="D29" s="31"/>
      <c r="E29" s="64"/>
      <c r="F29" s="61"/>
      <c r="G29" s="124"/>
      <c r="H29" s="124"/>
      <c r="I29" s="124"/>
      <c r="J29" s="161">
        <f t="shared" si="0"/>
      </c>
    </row>
    <row r="30" spans="2:10" ht="12.75" customHeight="1">
      <c r="B30" s="14"/>
      <c r="C30" s="15"/>
      <c r="D30" s="15"/>
      <c r="E30" s="63"/>
      <c r="F30" s="15"/>
      <c r="G30" s="124"/>
      <c r="H30" s="124"/>
      <c r="I30" s="124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124"/>
      <c r="H31" s="124"/>
      <c r="I31" s="124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124"/>
      <c r="H32" s="124"/>
      <c r="I32" s="124"/>
      <c r="J32" s="161">
        <f t="shared" si="0"/>
      </c>
    </row>
    <row r="33" spans="2:10" ht="12.75" customHeight="1">
      <c r="B33" s="14"/>
      <c r="C33" s="15"/>
      <c r="D33" s="15"/>
      <c r="E33" s="16"/>
      <c r="F33" s="15"/>
      <c r="G33" s="124"/>
      <c r="H33" s="124"/>
      <c r="I33" s="124"/>
      <c r="J33" s="161">
        <f t="shared" si="0"/>
      </c>
    </row>
    <row r="34" spans="2:10" ht="12.75" customHeight="1">
      <c r="B34" s="14"/>
      <c r="C34" s="15"/>
      <c r="D34" s="15"/>
      <c r="E34" s="16"/>
      <c r="F34" s="19"/>
      <c r="G34" s="124"/>
      <c r="H34" s="124"/>
      <c r="I34" s="124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G37+G38</f>
        <v>5000</v>
      </c>
      <c r="H36" s="115">
        <f>H37+H38</f>
        <v>5000</v>
      </c>
      <c r="I36" s="115">
        <f>I37+I38</f>
        <v>4975.5</v>
      </c>
      <c r="J36" s="160">
        <f t="shared" si="0"/>
        <v>99.51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124">
        <v>0</v>
      </c>
      <c r="H37" s="124">
        <v>0</v>
      </c>
      <c r="I37" s="124">
        <v>0</v>
      </c>
      <c r="J37" s="161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124">
        <v>5000</v>
      </c>
      <c r="H38" s="124">
        <v>5000</v>
      </c>
      <c r="I38" s="124">
        <v>4975.5</v>
      </c>
      <c r="J38" s="161">
        <f t="shared" si="0"/>
        <v>99.51</v>
      </c>
    </row>
    <row r="39" spans="2:10" ht="12.75" customHeight="1">
      <c r="B39" s="14"/>
      <c r="C39" s="15"/>
      <c r="D39" s="15"/>
      <c r="E39" s="16"/>
      <c r="F39" s="15"/>
      <c r="G39" s="46"/>
      <c r="H39" s="46"/>
      <c r="I39" s="46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142">
        <v>45</v>
      </c>
      <c r="H41" s="142">
        <v>45</v>
      </c>
      <c r="I41" s="142">
        <v>44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1559430</v>
      </c>
      <c r="H42" s="20">
        <f>H7+H13+H17+H36</f>
        <v>1559950</v>
      </c>
      <c r="I42" s="20">
        <f>I7+I13+I17+I36</f>
        <v>1521002.71</v>
      </c>
      <c r="J42" s="160">
        <f t="shared" si="0"/>
        <v>97.50329882368024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>
        <f>G42</f>
        <v>1559430</v>
      </c>
      <c r="H43" s="20">
        <f>H42</f>
        <v>1559950</v>
      </c>
      <c r="I43" s="20">
        <f>I42</f>
        <v>1521002.71</v>
      </c>
      <c r="J43" s="160">
        <f t="shared" si="0"/>
        <v>97.50329882368024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45"/>
      <c r="H44" s="45"/>
      <c r="I44" s="45"/>
      <c r="J44" s="162"/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7" ht="12.75">
      <c r="B47" s="87"/>
    </row>
    <row r="48" ht="12.75">
      <c r="B48" s="87"/>
    </row>
    <row r="49" ht="12.75">
      <c r="B49" s="87"/>
    </row>
    <row r="50" ht="12.75">
      <c r="B50" s="87"/>
    </row>
    <row r="51" ht="12.75">
      <c r="B51" s="87"/>
    </row>
    <row r="52" ht="12.75">
      <c r="B52" s="87"/>
    </row>
    <row r="53" ht="12.75">
      <c r="B53" s="87"/>
    </row>
  </sheetData>
  <sheetProtection/>
  <mergeCells count="2">
    <mergeCell ref="B2:G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77" r:id="rId1"/>
  <headerFooter alignWithMargins="0">
    <oddFooter>&amp;R20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/>
  <dimension ref="B2:L48"/>
  <sheetViews>
    <sheetView view="pageBreakPreview" zoomScale="60"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2" t="s">
        <v>154</v>
      </c>
      <c r="C2" s="412"/>
      <c r="D2" s="412"/>
      <c r="E2" s="412"/>
      <c r="F2" s="412"/>
      <c r="G2" s="412"/>
      <c r="H2" s="11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60</v>
      </c>
      <c r="C6" s="11" t="s">
        <v>62</v>
      </c>
      <c r="D6" s="11" t="s">
        <v>7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32400</v>
      </c>
      <c r="H7" s="20">
        <f>SUM(H8:H11)</f>
        <v>32400</v>
      </c>
      <c r="I7" s="20">
        <f>SUM(I8:I11)</f>
        <v>31437.52</v>
      </c>
      <c r="J7" s="160">
        <f>IF(H7=0,"",I7/H7*100)</f>
        <v>97.02938271604938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124">
        <v>25700</v>
      </c>
      <c r="H8" s="124">
        <v>25700</v>
      </c>
      <c r="I8" s="124">
        <v>25499.52</v>
      </c>
      <c r="J8" s="161">
        <f>IF(H8=0,"",I8/H8*100)</f>
        <v>99.21992217898833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124">
        <v>3600</v>
      </c>
      <c r="H9" s="124">
        <v>3600</v>
      </c>
      <c r="I9" s="124">
        <v>3498</v>
      </c>
      <c r="J9" s="161">
        <f aca="true" t="shared" si="0" ref="J9:J43">IF(H9=0,"",I9/H9*100)</f>
        <v>97.16666666666667</v>
      </c>
    </row>
    <row r="10" spans="2:12" ht="12.75" customHeight="1">
      <c r="B10" s="14"/>
      <c r="C10" s="15"/>
      <c r="D10" s="15"/>
      <c r="E10" s="16">
        <v>611200</v>
      </c>
      <c r="F10" s="26" t="s">
        <v>460</v>
      </c>
      <c r="G10" s="88">
        <v>3100</v>
      </c>
      <c r="H10" s="88">
        <v>3100</v>
      </c>
      <c r="I10" s="88">
        <v>2440</v>
      </c>
      <c r="J10" s="161">
        <f t="shared" si="0"/>
        <v>78.70967741935485</v>
      </c>
      <c r="L10" s="94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2800</v>
      </c>
      <c r="H13" s="20">
        <f>H14+H15</f>
        <v>2800</v>
      </c>
      <c r="I13" s="20">
        <f>I14+I15</f>
        <v>2677.5</v>
      </c>
      <c r="J13" s="160">
        <f t="shared" si="0"/>
        <v>95.625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124">
        <v>2800</v>
      </c>
      <c r="H14" s="124">
        <v>2800</v>
      </c>
      <c r="I14" s="124">
        <v>2677.5</v>
      </c>
      <c r="J14" s="161">
        <f t="shared" si="0"/>
        <v>95.625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5790</v>
      </c>
      <c r="H17" s="51">
        <f>SUM(H18:H27)</f>
        <v>5110</v>
      </c>
      <c r="I17" s="51">
        <f>SUM(I18:I27)</f>
        <v>4478.92</v>
      </c>
      <c r="J17" s="160">
        <f t="shared" si="0"/>
        <v>87.65009784735813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6">
        <v>500</v>
      </c>
      <c r="H18" s="46">
        <v>430</v>
      </c>
      <c r="I18" s="46">
        <v>86.96</v>
      </c>
      <c r="J18" s="161">
        <f t="shared" si="0"/>
        <v>20.223255813953486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0</v>
      </c>
      <c r="H19" s="46">
        <v>0</v>
      </c>
      <c r="I19" s="46">
        <v>0</v>
      </c>
      <c r="J19" s="161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6">
        <v>750</v>
      </c>
      <c r="H20" s="46">
        <v>850</v>
      </c>
      <c r="I20" s="124">
        <v>846.58</v>
      </c>
      <c r="J20" s="161">
        <f t="shared" si="0"/>
        <v>99.59764705882354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6">
        <v>300</v>
      </c>
      <c r="H21" s="46">
        <v>300</v>
      </c>
      <c r="I21" s="46">
        <v>115.49</v>
      </c>
      <c r="J21" s="161">
        <f t="shared" si="0"/>
        <v>38.49666666666666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46">
        <v>0</v>
      </c>
      <c r="H22" s="46">
        <v>0</v>
      </c>
      <c r="I22" s="46">
        <v>0</v>
      </c>
      <c r="J22" s="161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46">
        <v>0</v>
      </c>
      <c r="H23" s="46">
        <v>0</v>
      </c>
      <c r="I23" s="46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46">
        <v>0</v>
      </c>
      <c r="H24" s="46">
        <v>0</v>
      </c>
      <c r="I24" s="46">
        <v>0</v>
      </c>
      <c r="J24" s="161">
        <f t="shared" si="0"/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46">
        <v>0</v>
      </c>
      <c r="H25" s="46">
        <v>0</v>
      </c>
      <c r="I25" s="46">
        <v>0</v>
      </c>
      <c r="J25" s="161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46">
        <v>1500</v>
      </c>
      <c r="H26" s="46">
        <v>1500</v>
      </c>
      <c r="I26" s="46">
        <v>1405.9</v>
      </c>
      <c r="J26" s="161">
        <f t="shared" si="0"/>
        <v>93.72666666666667</v>
      </c>
    </row>
    <row r="27" spans="2:12" ht="12.75" customHeight="1">
      <c r="B27" s="14"/>
      <c r="C27" s="15"/>
      <c r="D27" s="15"/>
      <c r="E27" s="16">
        <v>613900</v>
      </c>
      <c r="F27" s="26" t="s">
        <v>144</v>
      </c>
      <c r="G27" s="46">
        <v>2740</v>
      </c>
      <c r="H27" s="46">
        <v>2030</v>
      </c>
      <c r="I27" s="46">
        <v>2023.99</v>
      </c>
      <c r="J27" s="161">
        <f t="shared" si="0"/>
        <v>99.7039408866995</v>
      </c>
      <c r="L27" s="95"/>
    </row>
    <row r="28" spans="2:10" s="1" customFormat="1" ht="12.75" customHeight="1">
      <c r="B28" s="17"/>
      <c r="C28" s="12"/>
      <c r="D28" s="12"/>
      <c r="E28" s="62"/>
      <c r="F28" s="12"/>
      <c r="G28" s="46"/>
      <c r="H28" s="46"/>
      <c r="I28" s="46"/>
      <c r="J28" s="161">
        <f t="shared" si="0"/>
      </c>
    </row>
    <row r="29" spans="2:10" ht="12.75" customHeight="1">
      <c r="B29" s="14"/>
      <c r="C29" s="15"/>
      <c r="D29" s="31"/>
      <c r="E29" s="64"/>
      <c r="F29" s="61"/>
      <c r="G29" s="46"/>
      <c r="H29" s="46"/>
      <c r="I29" s="46"/>
      <c r="J29" s="161">
        <f t="shared" si="0"/>
      </c>
    </row>
    <row r="30" spans="2:10" ht="12.75" customHeight="1">
      <c r="B30" s="14"/>
      <c r="C30" s="15"/>
      <c r="D30" s="15"/>
      <c r="E30" s="63"/>
      <c r="F30" s="15"/>
      <c r="G30" s="46"/>
      <c r="H30" s="46"/>
      <c r="I30" s="46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46"/>
      <c r="H31" s="46"/>
      <c r="I31" s="46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46"/>
      <c r="H32" s="46"/>
      <c r="I32" s="46"/>
      <c r="J32" s="161">
        <f t="shared" si="0"/>
      </c>
    </row>
    <row r="33" spans="2:10" ht="12.75" customHeight="1">
      <c r="B33" s="14"/>
      <c r="C33" s="15"/>
      <c r="D33" s="15"/>
      <c r="E33" s="16"/>
      <c r="F33" s="15"/>
      <c r="G33" s="46"/>
      <c r="H33" s="46"/>
      <c r="I33" s="46"/>
      <c r="J33" s="161">
        <f t="shared" si="0"/>
      </c>
    </row>
    <row r="34" spans="2:10" ht="12.75" customHeight="1">
      <c r="B34" s="14"/>
      <c r="C34" s="15"/>
      <c r="D34" s="15"/>
      <c r="E34" s="16"/>
      <c r="F34" s="19"/>
      <c r="G34" s="46"/>
      <c r="H34" s="46"/>
      <c r="I34" s="46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20">
        <f>SUM(G37:G38)</f>
        <v>1000</v>
      </c>
      <c r="H36" s="20">
        <f>SUM(H37:H38)</f>
        <v>1000</v>
      </c>
      <c r="I36" s="20">
        <f>SUM(I37:I38)</f>
        <v>933.68</v>
      </c>
      <c r="J36" s="160">
        <f t="shared" si="0"/>
        <v>93.368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46">
        <v>0</v>
      </c>
      <c r="H37" s="46">
        <v>0</v>
      </c>
      <c r="I37" s="46">
        <v>0</v>
      </c>
      <c r="J37" s="161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46">
        <v>1000</v>
      </c>
      <c r="H38" s="46">
        <v>1000</v>
      </c>
      <c r="I38" s="46">
        <v>933.68</v>
      </c>
      <c r="J38" s="161">
        <f t="shared" si="0"/>
        <v>93.368</v>
      </c>
    </row>
    <row r="39" spans="2:10" ht="12.75" customHeight="1">
      <c r="B39" s="14"/>
      <c r="C39" s="15"/>
      <c r="D39" s="15"/>
      <c r="E39" s="16"/>
      <c r="F39" s="15"/>
      <c r="G39" s="46"/>
      <c r="H39" s="46"/>
      <c r="I39" s="46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115">
        <v>1</v>
      </c>
      <c r="H41" s="115">
        <v>1</v>
      </c>
      <c r="I41" s="115">
        <v>1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41990</v>
      </c>
      <c r="H42" s="20">
        <f>H7+H13+H17+H36</f>
        <v>41310</v>
      </c>
      <c r="I42" s="20">
        <f>I7+I13+I17+I36</f>
        <v>39527.62</v>
      </c>
      <c r="J42" s="160">
        <f t="shared" si="0"/>
        <v>95.68535463568143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>
        <f>G42</f>
        <v>41990</v>
      </c>
      <c r="H43" s="20">
        <f>H42</f>
        <v>41310</v>
      </c>
      <c r="I43" s="20">
        <f>I42</f>
        <v>39527.62</v>
      </c>
      <c r="J43" s="160">
        <f t="shared" si="0"/>
        <v>95.68535463568143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45"/>
      <c r="H44" s="45"/>
      <c r="I44" s="45"/>
      <c r="J44" s="162"/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7" ht="12.75">
      <c r="B47" s="87"/>
    </row>
    <row r="48" ht="12.75">
      <c r="B48" s="87"/>
    </row>
  </sheetData>
  <sheetProtection/>
  <mergeCells count="2">
    <mergeCell ref="B2:G2"/>
    <mergeCell ref="F3:G3"/>
  </mergeCells>
  <printOptions/>
  <pageMargins left="0.17" right="0.17" top="0.5905511811023623" bottom="0.52" header="0.5118110236220472" footer="0.5118110236220472"/>
  <pageSetup horizontalDpi="180" verticalDpi="180" orientation="portrait" paperSize="9" scale="79" r:id="rId1"/>
  <headerFooter alignWithMargins="0">
    <oddFooter>&amp;R21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3"/>
  <dimension ref="B2:L47"/>
  <sheetViews>
    <sheetView view="pageBreakPreview" zoomScale="60" zoomScalePageLayoutView="0" workbookViewId="0" topLeftCell="C1">
      <selection activeCell="G4" sqref="G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2" t="s">
        <v>153</v>
      </c>
      <c r="C2" s="412"/>
      <c r="D2" s="412"/>
      <c r="E2" s="412"/>
      <c r="F2" s="412"/>
      <c r="G2" s="412"/>
      <c r="H2" s="11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60</v>
      </c>
      <c r="C6" s="11" t="s">
        <v>62</v>
      </c>
      <c r="D6" s="11" t="s">
        <v>46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42520</v>
      </c>
      <c r="H7" s="20">
        <f>SUM(H8:H11)</f>
        <v>42520</v>
      </c>
      <c r="I7" s="20">
        <f>SUM(I8:I11)</f>
        <v>40853.64</v>
      </c>
      <c r="J7" s="160">
        <f>IF(H7=0,"",I7/H7*100)</f>
        <v>96.08099717779868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46">
        <v>34700</v>
      </c>
      <c r="H8" s="46">
        <v>34700</v>
      </c>
      <c r="I8" s="46">
        <v>34501.64</v>
      </c>
      <c r="J8" s="161">
        <f>IF(H8=0,"",I8/H8*100)</f>
        <v>99.42835734870317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46">
        <v>5500</v>
      </c>
      <c r="H9" s="46">
        <v>5500</v>
      </c>
      <c r="I9" s="46">
        <v>5350</v>
      </c>
      <c r="J9" s="161">
        <f aca="true" t="shared" si="0" ref="J9:J44">IF(H9=0,"",I9/H9*100)</f>
        <v>97.27272727272728</v>
      </c>
    </row>
    <row r="10" spans="2:12" ht="12.75" customHeight="1">
      <c r="B10" s="14"/>
      <c r="C10" s="15"/>
      <c r="D10" s="15"/>
      <c r="E10" s="16">
        <v>611200</v>
      </c>
      <c r="F10" s="26" t="s">
        <v>460</v>
      </c>
      <c r="G10" s="88">
        <v>2320</v>
      </c>
      <c r="H10" s="88">
        <v>2320</v>
      </c>
      <c r="I10" s="88">
        <v>1002</v>
      </c>
      <c r="J10" s="161">
        <f t="shared" si="0"/>
        <v>43.189655172413794</v>
      </c>
      <c r="L10" s="94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3800</v>
      </c>
      <c r="H13" s="20">
        <f>H14+H15</f>
        <v>3800</v>
      </c>
      <c r="I13" s="20">
        <f>I14+I15</f>
        <v>3622.71</v>
      </c>
      <c r="J13" s="160">
        <f t="shared" si="0"/>
        <v>95.33447368421054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46">
        <v>3800</v>
      </c>
      <c r="H14" s="46">
        <v>3800</v>
      </c>
      <c r="I14" s="46">
        <v>3622.71</v>
      </c>
      <c r="J14" s="161">
        <f t="shared" si="0"/>
        <v>95.33447368421054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5290</v>
      </c>
      <c r="H17" s="51">
        <f>SUM(H18:H27)</f>
        <v>4800</v>
      </c>
      <c r="I17" s="51">
        <f>SUM(I18:I27)</f>
        <v>3529.48</v>
      </c>
      <c r="J17" s="160">
        <f t="shared" si="0"/>
        <v>73.53083333333333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6">
        <v>800</v>
      </c>
      <c r="H18" s="46">
        <v>800</v>
      </c>
      <c r="I18" s="46">
        <v>97</v>
      </c>
      <c r="J18" s="161">
        <f t="shared" si="0"/>
        <v>12.125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0</v>
      </c>
      <c r="H19" s="46">
        <v>0</v>
      </c>
      <c r="I19" s="46">
        <v>0</v>
      </c>
      <c r="J19" s="161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6">
        <v>950</v>
      </c>
      <c r="H20" s="46">
        <v>950</v>
      </c>
      <c r="I20" s="46">
        <v>729.5</v>
      </c>
      <c r="J20" s="161">
        <f t="shared" si="0"/>
        <v>76.78947368421053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6">
        <v>300</v>
      </c>
      <c r="H21" s="46">
        <v>750</v>
      </c>
      <c r="I21" s="124">
        <v>454.37</v>
      </c>
      <c r="J21" s="161">
        <f t="shared" si="0"/>
        <v>60.58266666666666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46">
        <v>0</v>
      </c>
      <c r="H22" s="46">
        <v>0</v>
      </c>
      <c r="I22" s="46">
        <v>0</v>
      </c>
      <c r="J22" s="161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46">
        <v>0</v>
      </c>
      <c r="H23" s="46">
        <v>0</v>
      </c>
      <c r="I23" s="46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46">
        <v>0</v>
      </c>
      <c r="H24" s="46">
        <v>50</v>
      </c>
      <c r="I24" s="46">
        <v>40.95</v>
      </c>
      <c r="J24" s="161">
        <f t="shared" si="0"/>
        <v>81.9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46">
        <v>0</v>
      </c>
      <c r="H25" s="46">
        <v>0</v>
      </c>
      <c r="I25" s="46">
        <v>0</v>
      </c>
      <c r="J25" s="161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124">
        <v>500</v>
      </c>
      <c r="H26" s="124">
        <v>200</v>
      </c>
      <c r="I26" s="124">
        <v>162.52</v>
      </c>
      <c r="J26" s="161">
        <f t="shared" si="0"/>
        <v>81.26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46">
        <v>2740</v>
      </c>
      <c r="H27" s="46">
        <v>2050</v>
      </c>
      <c r="I27" s="46">
        <v>2045.14</v>
      </c>
      <c r="J27" s="161">
        <f t="shared" si="0"/>
        <v>99.7629268292683</v>
      </c>
      <c r="K27" s="95"/>
      <c r="L27" s="95"/>
    </row>
    <row r="28" spans="2:10" s="1" customFormat="1" ht="12.75" customHeight="1">
      <c r="B28" s="17"/>
      <c r="C28" s="12"/>
      <c r="D28" s="12"/>
      <c r="E28" s="62"/>
      <c r="F28" s="12"/>
      <c r="G28" s="46"/>
      <c r="H28" s="46"/>
      <c r="I28" s="46"/>
      <c r="J28" s="161">
        <f t="shared" si="0"/>
      </c>
    </row>
    <row r="29" spans="2:10" ht="12.75" customHeight="1">
      <c r="B29" s="14"/>
      <c r="C29" s="15"/>
      <c r="D29" s="31"/>
      <c r="E29" s="64"/>
      <c r="F29" s="61"/>
      <c r="G29" s="46"/>
      <c r="H29" s="46"/>
      <c r="I29" s="46"/>
      <c r="J29" s="161">
        <f t="shared" si="0"/>
      </c>
    </row>
    <row r="30" spans="2:10" ht="12.75" customHeight="1">
      <c r="B30" s="14"/>
      <c r="C30" s="15"/>
      <c r="D30" s="15"/>
      <c r="E30" s="63"/>
      <c r="F30" s="15"/>
      <c r="G30" s="46"/>
      <c r="H30" s="46"/>
      <c r="I30" s="46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46"/>
      <c r="H31" s="46"/>
      <c r="I31" s="46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46"/>
      <c r="H32" s="46"/>
      <c r="I32" s="46"/>
      <c r="J32" s="161">
        <f t="shared" si="0"/>
      </c>
    </row>
    <row r="33" spans="2:10" ht="12.75" customHeight="1">
      <c r="B33" s="14"/>
      <c r="C33" s="15"/>
      <c r="D33" s="15"/>
      <c r="E33" s="16"/>
      <c r="F33" s="15"/>
      <c r="G33" s="46"/>
      <c r="H33" s="46"/>
      <c r="I33" s="46"/>
      <c r="J33" s="161">
        <f t="shared" si="0"/>
      </c>
    </row>
    <row r="34" spans="2:10" ht="12.75" customHeight="1">
      <c r="B34" s="14"/>
      <c r="C34" s="15"/>
      <c r="D34" s="15"/>
      <c r="E34" s="16"/>
      <c r="F34" s="19"/>
      <c r="G34" s="46"/>
      <c r="H34" s="46"/>
      <c r="I34" s="46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20">
        <f>SUM(G37:G38)</f>
        <v>500</v>
      </c>
      <c r="H36" s="20">
        <f>SUM(H37:H38)</f>
        <v>500</v>
      </c>
      <c r="I36" s="20">
        <f>SUM(I37:I38)</f>
        <v>499.59</v>
      </c>
      <c r="J36" s="160">
        <f t="shared" si="0"/>
        <v>99.91799999999999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46">
        <v>0</v>
      </c>
      <c r="H37" s="46">
        <v>0</v>
      </c>
      <c r="I37" s="46">
        <v>0</v>
      </c>
      <c r="J37" s="161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46">
        <v>500</v>
      </c>
      <c r="H38" s="46">
        <v>500</v>
      </c>
      <c r="I38" s="46">
        <v>499.59</v>
      </c>
      <c r="J38" s="161">
        <f t="shared" si="0"/>
        <v>99.91799999999999</v>
      </c>
    </row>
    <row r="39" spans="2:10" ht="12.75" customHeight="1">
      <c r="B39" s="14"/>
      <c r="C39" s="15"/>
      <c r="D39" s="15"/>
      <c r="E39" s="16"/>
      <c r="F39" s="15"/>
      <c r="G39" s="46"/>
      <c r="H39" s="46"/>
      <c r="I39" s="46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20">
        <v>2</v>
      </c>
      <c r="H41" s="20">
        <v>2</v>
      </c>
      <c r="I41" s="20">
        <v>2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52110</v>
      </c>
      <c r="H42" s="20">
        <f>H7+H13+H17+H36</f>
        <v>51620</v>
      </c>
      <c r="I42" s="20">
        <f>I7+I13+I17+I36</f>
        <v>48505.42</v>
      </c>
      <c r="J42" s="160">
        <f t="shared" si="0"/>
        <v>93.96633087950407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>
        <f>G42</f>
        <v>52110</v>
      </c>
      <c r="H43" s="20">
        <f>H42</f>
        <v>51620</v>
      </c>
      <c r="I43" s="20">
        <f>I42</f>
        <v>48505.42</v>
      </c>
      <c r="J43" s="160">
        <f t="shared" si="0"/>
        <v>93.96633087950407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20">
        <f>G43+'12'!G43+'11'!G43+'10'!G42</f>
        <v>1736100</v>
      </c>
      <c r="H44" s="20">
        <f>H43+'12'!H43+'11'!H43+'10'!H42</f>
        <v>1735010</v>
      </c>
      <c r="I44" s="20">
        <f>I43+'12'!I43+'11'!I43+'10'!I42</f>
        <v>1687510.32</v>
      </c>
      <c r="J44" s="160">
        <f t="shared" si="0"/>
        <v>97.26228206177487</v>
      </c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7" ht="12.75">
      <c r="B47" s="87"/>
    </row>
  </sheetData>
  <sheetProtection/>
  <mergeCells count="2">
    <mergeCell ref="B2:G2"/>
    <mergeCell ref="F3:G3"/>
  </mergeCells>
  <printOptions/>
  <pageMargins left="0.21" right="0.17" top="0.5905511811023623" bottom="0.56" header="0.5118110236220472" footer="0.5118110236220472"/>
  <pageSetup horizontalDpi="180" verticalDpi="180" orientation="portrait" paperSize="9" scale="79" r:id="rId1"/>
  <headerFooter alignWithMargins="0">
    <oddFooter>&amp;R22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5"/>
  <dimension ref="B2:M48"/>
  <sheetViews>
    <sheetView view="pageBreakPreview" zoomScale="60" zoomScalePageLayoutView="0" workbookViewId="0" topLeftCell="A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2" t="s">
        <v>126</v>
      </c>
      <c r="C2" s="412"/>
      <c r="D2" s="412"/>
      <c r="E2" s="412"/>
      <c r="F2" s="412"/>
      <c r="G2" s="412"/>
      <c r="H2" s="11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60</v>
      </c>
      <c r="C6" s="11" t="s">
        <v>127</v>
      </c>
      <c r="D6" s="11" t="s">
        <v>7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60600</v>
      </c>
      <c r="H7" s="20">
        <f>SUM(H8:H11)</f>
        <v>60600</v>
      </c>
      <c r="I7" s="20">
        <f>SUM(I8:I11)</f>
        <v>55659.86</v>
      </c>
      <c r="J7" s="160">
        <f>IF(H7=0,"",I7/H7*100)</f>
        <v>91.84795379537954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46">
        <v>48100</v>
      </c>
      <c r="H8" s="46">
        <v>48100</v>
      </c>
      <c r="I8" s="46">
        <v>47683.86</v>
      </c>
      <c r="J8" s="161">
        <f>IF(H8=0,"",I8/H8*100)</f>
        <v>99.13484407484407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46">
        <v>6500</v>
      </c>
      <c r="H9" s="46">
        <v>6500</v>
      </c>
      <c r="I9" s="46">
        <v>5598</v>
      </c>
      <c r="J9" s="161">
        <f aca="true" t="shared" si="0" ref="J9:J44">IF(H9=0,"",I9/H9*100)</f>
        <v>86.12307692307692</v>
      </c>
    </row>
    <row r="10" spans="2:12" ht="12.75" customHeight="1">
      <c r="B10" s="14"/>
      <c r="C10" s="15"/>
      <c r="D10" s="15"/>
      <c r="E10" s="16">
        <v>611200</v>
      </c>
      <c r="F10" s="26" t="s">
        <v>459</v>
      </c>
      <c r="G10" s="88">
        <v>6000</v>
      </c>
      <c r="H10" s="88">
        <v>6000</v>
      </c>
      <c r="I10" s="88">
        <v>2378</v>
      </c>
      <c r="J10" s="161">
        <f t="shared" si="0"/>
        <v>39.63333333333333</v>
      </c>
      <c r="L10" s="94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5200</v>
      </c>
      <c r="H13" s="20">
        <f>H14+H15</f>
        <v>5200</v>
      </c>
      <c r="I13" s="20">
        <f>I14+I15</f>
        <v>5006.77</v>
      </c>
      <c r="J13" s="160">
        <f t="shared" si="0"/>
        <v>96.28403846153847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46">
        <v>5200</v>
      </c>
      <c r="H14" s="46">
        <v>5200</v>
      </c>
      <c r="I14" s="46">
        <v>5006.77</v>
      </c>
      <c r="J14" s="161">
        <f t="shared" si="0"/>
        <v>96.28403846153847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13940</v>
      </c>
      <c r="H17" s="51">
        <f>SUM(H18:H27)</f>
        <v>9640</v>
      </c>
      <c r="I17" s="51">
        <f>SUM(I18:I27)</f>
        <v>7658.16</v>
      </c>
      <c r="J17" s="160">
        <f t="shared" si="0"/>
        <v>79.44149377593361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6">
        <v>1900</v>
      </c>
      <c r="H18" s="46">
        <v>1900</v>
      </c>
      <c r="I18" s="46">
        <v>1576.73</v>
      </c>
      <c r="J18" s="161">
        <f t="shared" si="0"/>
        <v>82.9857894736842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0</v>
      </c>
      <c r="H19" s="46">
        <v>0</v>
      </c>
      <c r="I19" s="46">
        <v>0</v>
      </c>
      <c r="J19" s="161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6">
        <v>1600</v>
      </c>
      <c r="H20" s="46">
        <v>1600</v>
      </c>
      <c r="I20" s="46">
        <v>1314.21</v>
      </c>
      <c r="J20" s="161">
        <f t="shared" si="0"/>
        <v>82.138125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6">
        <v>900</v>
      </c>
      <c r="H21" s="46">
        <v>900</v>
      </c>
      <c r="I21" s="46">
        <v>660.84</v>
      </c>
      <c r="J21" s="161">
        <f t="shared" si="0"/>
        <v>73.42666666666668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46">
        <v>0</v>
      </c>
      <c r="H22" s="46">
        <v>0</v>
      </c>
      <c r="I22" s="46">
        <v>0</v>
      </c>
      <c r="J22" s="161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46">
        <v>0</v>
      </c>
      <c r="H23" s="46">
        <v>0</v>
      </c>
      <c r="I23" s="46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46">
        <v>400</v>
      </c>
      <c r="H24" s="46">
        <v>400</v>
      </c>
      <c r="I24" s="46">
        <v>0</v>
      </c>
      <c r="J24" s="161">
        <f t="shared" si="0"/>
        <v>0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46">
        <v>0</v>
      </c>
      <c r="H25" s="46">
        <v>0</v>
      </c>
      <c r="I25" s="46">
        <v>0</v>
      </c>
      <c r="J25" s="161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124">
        <v>1000</v>
      </c>
      <c r="H26" s="124">
        <v>1000</v>
      </c>
      <c r="I26" s="124">
        <v>270.77</v>
      </c>
      <c r="J26" s="161">
        <f t="shared" si="0"/>
        <v>27.076999999999995</v>
      </c>
    </row>
    <row r="27" spans="2:11" ht="12.75" customHeight="1">
      <c r="B27" s="14"/>
      <c r="C27" s="15"/>
      <c r="D27" s="15"/>
      <c r="E27" s="16">
        <v>613900</v>
      </c>
      <c r="F27" s="26" t="s">
        <v>144</v>
      </c>
      <c r="G27" s="124">
        <v>8140</v>
      </c>
      <c r="H27" s="124">
        <v>3840</v>
      </c>
      <c r="I27" s="124">
        <v>3835.61</v>
      </c>
      <c r="J27" s="161">
        <f t="shared" si="0"/>
        <v>99.88567708333333</v>
      </c>
      <c r="K27" s="95"/>
    </row>
    <row r="28" spans="2:10" s="1" customFormat="1" ht="12.75" customHeight="1">
      <c r="B28" s="17"/>
      <c r="C28" s="12"/>
      <c r="D28" s="12"/>
      <c r="E28" s="62"/>
      <c r="F28" s="12"/>
      <c r="G28" s="46"/>
      <c r="H28" s="46"/>
      <c r="I28" s="46"/>
      <c r="J28" s="161">
        <f t="shared" si="0"/>
      </c>
    </row>
    <row r="29" spans="2:10" ht="12.75" customHeight="1">
      <c r="B29" s="14"/>
      <c r="C29" s="15"/>
      <c r="D29" s="31"/>
      <c r="E29" s="64"/>
      <c r="F29" s="61"/>
      <c r="G29" s="46"/>
      <c r="H29" s="46"/>
      <c r="I29" s="46"/>
      <c r="J29" s="161">
        <f t="shared" si="0"/>
      </c>
    </row>
    <row r="30" spans="2:10" ht="12.75" customHeight="1">
      <c r="B30" s="14"/>
      <c r="C30" s="15"/>
      <c r="D30" s="15"/>
      <c r="E30" s="63"/>
      <c r="F30" s="15"/>
      <c r="G30" s="46"/>
      <c r="H30" s="46"/>
      <c r="I30" s="46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46"/>
      <c r="H31" s="46"/>
      <c r="I31" s="46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46"/>
      <c r="H32" s="46"/>
      <c r="I32" s="46"/>
      <c r="J32" s="161">
        <f t="shared" si="0"/>
      </c>
    </row>
    <row r="33" spans="2:10" ht="12.75" customHeight="1">
      <c r="B33" s="14"/>
      <c r="C33" s="15"/>
      <c r="D33" s="15"/>
      <c r="E33" s="16"/>
      <c r="F33" s="15"/>
      <c r="G33" s="46"/>
      <c r="H33" s="46"/>
      <c r="I33" s="46"/>
      <c r="J33" s="161">
        <f t="shared" si="0"/>
      </c>
    </row>
    <row r="34" spans="2:10" ht="12.75" customHeight="1">
      <c r="B34" s="14"/>
      <c r="C34" s="15"/>
      <c r="D34" s="15"/>
      <c r="E34" s="16"/>
      <c r="F34" s="19"/>
      <c r="G34" s="46"/>
      <c r="H34" s="46"/>
      <c r="I34" s="46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20">
        <f>G37+G38</f>
        <v>0</v>
      </c>
      <c r="H36" s="20">
        <f>H37+H38</f>
        <v>0</v>
      </c>
      <c r="I36" s="20">
        <f>I37+I38</f>
        <v>0</v>
      </c>
      <c r="J36" s="160">
        <f t="shared" si="0"/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46">
        <v>0</v>
      </c>
      <c r="H37" s="46">
        <v>0</v>
      </c>
      <c r="I37" s="46">
        <v>0</v>
      </c>
      <c r="J37" s="161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124">
        <v>0</v>
      </c>
      <c r="H38" s="124">
        <v>0</v>
      </c>
      <c r="I38" s="124">
        <v>0</v>
      </c>
      <c r="J38" s="161">
        <f t="shared" si="0"/>
      </c>
    </row>
    <row r="39" spans="2:10" ht="12.75" customHeight="1">
      <c r="B39" s="14"/>
      <c r="C39" s="15"/>
      <c r="D39" s="15"/>
      <c r="E39" s="16"/>
      <c r="F39" s="15"/>
      <c r="G39" s="46"/>
      <c r="H39" s="46"/>
      <c r="I39" s="46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61">
        <f t="shared" si="0"/>
      </c>
    </row>
    <row r="41" spans="2:13" s="1" customFormat="1" ht="12.75" customHeight="1">
      <c r="B41" s="17"/>
      <c r="C41" s="12"/>
      <c r="D41" s="12"/>
      <c r="E41" s="9"/>
      <c r="F41" s="12" t="s">
        <v>18</v>
      </c>
      <c r="G41" s="20">
        <v>2</v>
      </c>
      <c r="H41" s="20">
        <v>2</v>
      </c>
      <c r="I41" s="20">
        <v>2</v>
      </c>
      <c r="J41" s="161"/>
      <c r="M41" s="96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79740</v>
      </c>
      <c r="H42" s="20">
        <f>H7+H13+H17+H36</f>
        <v>75440</v>
      </c>
      <c r="I42" s="20">
        <f>I7+I13+I17+I36</f>
        <v>68324.79000000001</v>
      </c>
      <c r="J42" s="160">
        <f t="shared" si="0"/>
        <v>90.56838547189821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>
        <f>G42</f>
        <v>79740</v>
      </c>
      <c r="H43" s="20">
        <f>H42</f>
        <v>75440</v>
      </c>
      <c r="I43" s="20">
        <f>I42</f>
        <v>68324.79000000001</v>
      </c>
      <c r="J43" s="160">
        <f t="shared" si="0"/>
        <v>90.56838547189821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20">
        <f>G43+'13'!G43+'12'!G43+'11'!G43+'10'!G42</f>
        <v>1815840</v>
      </c>
      <c r="H44" s="20">
        <f>H43+'13'!H43+'12'!H43+'11'!H43+'10'!H42</f>
        <v>1810450</v>
      </c>
      <c r="I44" s="20">
        <f>I43+'13'!I43+'12'!I43+'11'!I43+'10'!I42</f>
        <v>1755835.11</v>
      </c>
      <c r="J44" s="160">
        <f t="shared" si="0"/>
        <v>96.98335275760171</v>
      </c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7" ht="12.75">
      <c r="B47" s="87"/>
    </row>
    <row r="48" ht="12.75">
      <c r="B48" s="87"/>
    </row>
  </sheetData>
  <sheetProtection/>
  <mergeCells count="2">
    <mergeCell ref="B2:G2"/>
    <mergeCell ref="F3:G3"/>
  </mergeCells>
  <printOptions/>
  <pageMargins left="0.17" right="0.17" top="0.5905511811023623" bottom="0.5905511811023623" header="0.5118110236220472" footer="0.5118110236220472"/>
  <pageSetup horizontalDpi="180" verticalDpi="180" orientation="portrait" paperSize="9" scale="79" r:id="rId1"/>
  <headerFooter alignWithMargins="0">
    <oddFooter>&amp;R23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8"/>
  <dimension ref="B2:L47"/>
  <sheetViews>
    <sheetView view="pageBreakPreview" zoomScale="60" zoomScalePageLayoutView="0" workbookViewId="0" topLeftCell="B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2" t="s">
        <v>106</v>
      </c>
      <c r="C2" s="412"/>
      <c r="D2" s="412"/>
      <c r="E2" s="412"/>
      <c r="F2" s="412"/>
      <c r="G2" s="412"/>
      <c r="H2" s="11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142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63</v>
      </c>
      <c r="C6" s="11" t="s">
        <v>6</v>
      </c>
      <c r="D6" s="11" t="s">
        <v>7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190580</v>
      </c>
      <c r="H7" s="20">
        <f>SUM(H8:H11)</f>
        <v>190580</v>
      </c>
      <c r="I7" s="20">
        <f>SUM(I8:I11)</f>
        <v>181351.51</v>
      </c>
      <c r="J7" s="160">
        <f>IF(H7=0,"",I7/H7*100)</f>
        <v>95.1576818134117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124">
        <v>151800</v>
      </c>
      <c r="H8" s="124">
        <v>151800</v>
      </c>
      <c r="I8" s="124">
        <v>146717.51</v>
      </c>
      <c r="J8" s="161">
        <f>IF(H8=0,"",I8/H8*100)</f>
        <v>96.6518511198946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124">
        <v>29500</v>
      </c>
      <c r="H9" s="124">
        <v>29500</v>
      </c>
      <c r="I9" s="124">
        <v>27847</v>
      </c>
      <c r="J9" s="161">
        <f aca="true" t="shared" si="0" ref="J9:J41">IF(H9=0,"",I9/H9*100)</f>
        <v>94.39661016949152</v>
      </c>
    </row>
    <row r="10" spans="2:12" ht="12.75" customHeight="1">
      <c r="B10" s="14"/>
      <c r="C10" s="15"/>
      <c r="D10" s="15"/>
      <c r="E10" s="16">
        <v>611200</v>
      </c>
      <c r="F10" s="26" t="s">
        <v>463</v>
      </c>
      <c r="G10" s="88">
        <v>9280</v>
      </c>
      <c r="H10" s="88">
        <v>9280</v>
      </c>
      <c r="I10" s="88">
        <v>6787</v>
      </c>
      <c r="J10" s="161">
        <f t="shared" si="0"/>
        <v>73.13577586206897</v>
      </c>
      <c r="L10" s="94"/>
    </row>
    <row r="11" spans="2:10" ht="12.75" customHeight="1">
      <c r="B11" s="14"/>
      <c r="C11" s="15"/>
      <c r="D11" s="15"/>
      <c r="E11" s="16"/>
      <c r="F11" s="26"/>
      <c r="G11" s="124"/>
      <c r="H11" s="124"/>
      <c r="I11" s="124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115"/>
      <c r="H12" s="115"/>
      <c r="I12" s="115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115">
        <f>G14+G15</f>
        <v>16200</v>
      </c>
      <c r="H13" s="115">
        <f>H14+H15</f>
        <v>16200</v>
      </c>
      <c r="I13" s="115">
        <f>I14+I15</f>
        <v>15405.35</v>
      </c>
      <c r="J13" s="160">
        <f t="shared" si="0"/>
        <v>95.09475308641976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124">
        <v>16200</v>
      </c>
      <c r="H14" s="124">
        <v>16200</v>
      </c>
      <c r="I14" s="124">
        <v>15405.35</v>
      </c>
      <c r="J14" s="161">
        <f t="shared" si="0"/>
        <v>95.09475308641976</v>
      </c>
    </row>
    <row r="15" spans="2:10" ht="12.75" customHeight="1">
      <c r="B15" s="14"/>
      <c r="C15" s="15"/>
      <c r="D15" s="15"/>
      <c r="E15" s="16"/>
      <c r="F15" s="15"/>
      <c r="G15" s="124"/>
      <c r="H15" s="124"/>
      <c r="I15" s="124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SUM(G18:G28)</f>
        <v>134630</v>
      </c>
      <c r="H17" s="51">
        <f>SUM(H18:H28)</f>
        <v>132760</v>
      </c>
      <c r="I17" s="51">
        <f>SUM(I18:I28)</f>
        <v>30224.28</v>
      </c>
      <c r="J17" s="160">
        <f t="shared" si="0"/>
        <v>22.76610424826755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6">
        <v>3500</v>
      </c>
      <c r="H18" s="46">
        <v>3500</v>
      </c>
      <c r="I18" s="46">
        <v>2693.77</v>
      </c>
      <c r="J18" s="161">
        <f t="shared" si="0"/>
        <v>76.96485714285714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0</v>
      </c>
      <c r="H19" s="46">
        <v>0</v>
      </c>
      <c r="I19" s="46">
        <v>0</v>
      </c>
      <c r="J19" s="161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6">
        <v>3500</v>
      </c>
      <c r="H20" s="46">
        <v>3500</v>
      </c>
      <c r="I20" s="46">
        <v>3155.62</v>
      </c>
      <c r="J20" s="161">
        <f t="shared" si="0"/>
        <v>90.16057142857143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6">
        <v>100</v>
      </c>
      <c r="H21" s="46">
        <v>100</v>
      </c>
      <c r="I21" s="46">
        <v>0</v>
      </c>
      <c r="J21" s="161">
        <f t="shared" si="0"/>
        <v>0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46">
        <v>1150</v>
      </c>
      <c r="H22" s="46">
        <v>1150</v>
      </c>
      <c r="I22" s="46">
        <v>1108.31</v>
      </c>
      <c r="J22" s="161">
        <f t="shared" si="0"/>
        <v>96.37478260869565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46">
        <v>0</v>
      </c>
      <c r="H23" s="46">
        <v>0</v>
      </c>
      <c r="I23" s="46">
        <v>0</v>
      </c>
      <c r="J23" s="161">
        <f t="shared" si="0"/>
      </c>
    </row>
    <row r="24" spans="2:10" ht="12.75" customHeight="1">
      <c r="B24" s="14"/>
      <c r="C24" s="15"/>
      <c r="D24" s="15"/>
      <c r="E24" s="126">
        <v>613700</v>
      </c>
      <c r="F24" s="19" t="s">
        <v>12</v>
      </c>
      <c r="G24" s="124">
        <v>1000</v>
      </c>
      <c r="H24" s="124">
        <v>1020</v>
      </c>
      <c r="I24" s="124">
        <v>1016.63</v>
      </c>
      <c r="J24" s="161">
        <f t="shared" si="0"/>
        <v>99.66960784313726</v>
      </c>
    </row>
    <row r="25" spans="2:12" ht="12.75" customHeight="1">
      <c r="B25" s="14"/>
      <c r="C25" s="15"/>
      <c r="D25" s="15"/>
      <c r="E25" s="16">
        <v>613800</v>
      </c>
      <c r="F25" s="15" t="s">
        <v>95</v>
      </c>
      <c r="G25" s="46">
        <v>400</v>
      </c>
      <c r="H25" s="46">
        <v>400</v>
      </c>
      <c r="I25" s="46">
        <v>351.15</v>
      </c>
      <c r="J25" s="161">
        <f t="shared" si="0"/>
        <v>87.7875</v>
      </c>
      <c r="L25" s="87"/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124">
        <v>15000</v>
      </c>
      <c r="H26" s="124">
        <v>15000</v>
      </c>
      <c r="I26" s="124">
        <v>13812.3</v>
      </c>
      <c r="J26" s="161">
        <f t="shared" si="0"/>
        <v>92.082</v>
      </c>
    </row>
    <row r="27" spans="2:11" ht="12.75" customHeight="1">
      <c r="B27" s="14"/>
      <c r="C27" s="15"/>
      <c r="D27" s="15"/>
      <c r="E27" s="16">
        <v>613900</v>
      </c>
      <c r="F27" s="26" t="s">
        <v>143</v>
      </c>
      <c r="G27" s="46">
        <v>9980</v>
      </c>
      <c r="H27" s="46">
        <v>8090</v>
      </c>
      <c r="I27" s="46">
        <v>8086.5</v>
      </c>
      <c r="J27" s="161">
        <f t="shared" si="0"/>
        <v>99.95673671199012</v>
      </c>
      <c r="K27" s="95"/>
    </row>
    <row r="28" spans="2:10" ht="12.75" customHeight="1">
      <c r="B28" s="14"/>
      <c r="C28" s="15"/>
      <c r="D28" s="15"/>
      <c r="E28" s="16">
        <v>613900</v>
      </c>
      <c r="F28" s="26" t="s">
        <v>558</v>
      </c>
      <c r="G28" s="46">
        <v>100000</v>
      </c>
      <c r="H28" s="46">
        <v>100000</v>
      </c>
      <c r="I28" s="46">
        <v>0</v>
      </c>
      <c r="J28" s="161">
        <f t="shared" si="0"/>
        <v>0</v>
      </c>
    </row>
    <row r="29" spans="2:10" ht="12.75" customHeight="1">
      <c r="B29" s="14"/>
      <c r="C29" s="15"/>
      <c r="D29" s="15"/>
      <c r="E29" s="16"/>
      <c r="F29" s="15"/>
      <c r="G29" s="20"/>
      <c r="H29" s="20"/>
      <c r="I29" s="20"/>
      <c r="J29" s="161">
        <f t="shared" si="0"/>
      </c>
    </row>
    <row r="30" spans="2:10" s="1" customFormat="1" ht="12.75" customHeight="1">
      <c r="B30" s="17"/>
      <c r="C30" s="12"/>
      <c r="D30" s="12"/>
      <c r="E30" s="9">
        <v>614000</v>
      </c>
      <c r="F30" s="12" t="s">
        <v>132</v>
      </c>
      <c r="G30" s="20">
        <f>SUM(G31:G31)</f>
        <v>500000</v>
      </c>
      <c r="H30" s="20">
        <f>SUM(H31:H31)</f>
        <v>281000</v>
      </c>
      <c r="I30" s="20">
        <f>SUM(I31:I31)</f>
        <v>160704</v>
      </c>
      <c r="J30" s="160">
        <f t="shared" si="0"/>
        <v>57.19003558718862</v>
      </c>
    </row>
    <row r="31" spans="2:10" s="1" customFormat="1" ht="12.75" customHeight="1">
      <c r="B31" s="17"/>
      <c r="C31" s="12"/>
      <c r="D31" s="82"/>
      <c r="E31" s="138">
        <v>614500</v>
      </c>
      <c r="F31" s="122" t="s">
        <v>41</v>
      </c>
      <c r="G31" s="124">
        <v>500000</v>
      </c>
      <c r="H31" s="124">
        <v>281000</v>
      </c>
      <c r="I31" s="124">
        <v>160704</v>
      </c>
      <c r="J31" s="161">
        <f t="shared" si="0"/>
        <v>57.19003558718862</v>
      </c>
    </row>
    <row r="32" spans="2:10" ht="12.75" customHeight="1">
      <c r="B32" s="14"/>
      <c r="C32" s="15"/>
      <c r="D32" s="15"/>
      <c r="E32" s="16"/>
      <c r="F32" s="26"/>
      <c r="G32" s="124"/>
      <c r="H32" s="124"/>
      <c r="I32" s="124"/>
      <c r="J32" s="161">
        <f t="shared" si="0"/>
      </c>
    </row>
    <row r="33" spans="2:10" ht="12.75" customHeight="1">
      <c r="B33" s="17"/>
      <c r="C33" s="12"/>
      <c r="D33" s="12"/>
      <c r="E33" s="9">
        <v>821000</v>
      </c>
      <c r="F33" s="12" t="s">
        <v>15</v>
      </c>
      <c r="G33" s="115">
        <f>SUM(G34:G35)</f>
        <v>1660</v>
      </c>
      <c r="H33" s="115">
        <f>SUM(H34:H35)</f>
        <v>1660</v>
      </c>
      <c r="I33" s="115">
        <f>SUM(I34:I35)</f>
        <v>1652</v>
      </c>
      <c r="J33" s="160">
        <f t="shared" si="0"/>
        <v>99.51807228915662</v>
      </c>
    </row>
    <row r="34" spans="2:10" ht="12.75" customHeight="1">
      <c r="B34" s="14"/>
      <c r="C34" s="15"/>
      <c r="D34" s="15"/>
      <c r="E34" s="16">
        <v>821200</v>
      </c>
      <c r="F34" s="15" t="s">
        <v>16</v>
      </c>
      <c r="G34" s="124">
        <v>0</v>
      </c>
      <c r="H34" s="124">
        <v>0</v>
      </c>
      <c r="I34" s="124">
        <v>0</v>
      </c>
      <c r="J34" s="161">
        <f t="shared" si="0"/>
      </c>
    </row>
    <row r="35" spans="2:10" ht="12.75" customHeight="1">
      <c r="B35" s="14"/>
      <c r="C35" s="15"/>
      <c r="D35" s="15"/>
      <c r="E35" s="16">
        <v>821300</v>
      </c>
      <c r="F35" s="15" t="s">
        <v>17</v>
      </c>
      <c r="G35" s="124">
        <v>1660</v>
      </c>
      <c r="H35" s="124">
        <v>1660</v>
      </c>
      <c r="I35" s="124">
        <v>1652</v>
      </c>
      <c r="J35" s="161">
        <f t="shared" si="0"/>
        <v>99.51807228915662</v>
      </c>
    </row>
    <row r="36" spans="2:10" s="1" customFormat="1" ht="12.75" customHeight="1">
      <c r="B36" s="14"/>
      <c r="C36" s="15"/>
      <c r="D36" s="15"/>
      <c r="E36" s="16"/>
      <c r="F36" s="15"/>
      <c r="G36" s="46"/>
      <c r="H36" s="46"/>
      <c r="I36" s="46"/>
      <c r="J36" s="161">
        <f t="shared" si="0"/>
      </c>
    </row>
    <row r="37" spans="2:10" ht="12.75" customHeight="1">
      <c r="B37" s="14"/>
      <c r="C37" s="15"/>
      <c r="D37" s="15"/>
      <c r="E37" s="16"/>
      <c r="F37" s="15"/>
      <c r="G37" s="46"/>
      <c r="H37" s="46"/>
      <c r="I37" s="46"/>
      <c r="J37" s="161">
        <f t="shared" si="0"/>
      </c>
    </row>
    <row r="38" spans="2:10" ht="12.75" customHeight="1">
      <c r="B38" s="17"/>
      <c r="C38" s="12"/>
      <c r="D38" s="12"/>
      <c r="E38" s="9"/>
      <c r="F38" s="12" t="s">
        <v>18</v>
      </c>
      <c r="G38" s="115">
        <v>8</v>
      </c>
      <c r="H38" s="115">
        <v>8</v>
      </c>
      <c r="I38" s="115">
        <v>8</v>
      </c>
      <c r="J38" s="161"/>
    </row>
    <row r="39" spans="2:10" ht="12.75" customHeight="1">
      <c r="B39" s="17"/>
      <c r="C39" s="12"/>
      <c r="D39" s="12"/>
      <c r="E39" s="9"/>
      <c r="F39" s="12" t="s">
        <v>40</v>
      </c>
      <c r="G39" s="20">
        <f>G7+G13+G17+G30+G33</f>
        <v>843070</v>
      </c>
      <c r="H39" s="20">
        <f>H7+H13+H17+H30+H33</f>
        <v>622200</v>
      </c>
      <c r="I39" s="20">
        <f>I7+I13+I17+I30+I33</f>
        <v>389337.14</v>
      </c>
      <c r="J39" s="160">
        <f t="shared" si="0"/>
        <v>62.574275152684024</v>
      </c>
    </row>
    <row r="40" spans="2:10" ht="12.75" customHeight="1">
      <c r="B40" s="17"/>
      <c r="C40" s="12"/>
      <c r="D40" s="12"/>
      <c r="E40" s="9"/>
      <c r="F40" s="12" t="s">
        <v>19</v>
      </c>
      <c r="G40" s="20">
        <f aca="true" t="shared" si="1" ref="G40:I41">G39</f>
        <v>843070</v>
      </c>
      <c r="H40" s="20">
        <f t="shared" si="1"/>
        <v>622200</v>
      </c>
      <c r="I40" s="20">
        <f t="shared" si="1"/>
        <v>389337.14</v>
      </c>
      <c r="J40" s="160">
        <f t="shared" si="0"/>
        <v>62.574275152684024</v>
      </c>
    </row>
    <row r="41" spans="2:10" s="1" customFormat="1" ht="12.75" customHeight="1">
      <c r="B41" s="17"/>
      <c r="C41" s="12"/>
      <c r="D41" s="12"/>
      <c r="E41" s="9"/>
      <c r="F41" s="12" t="s">
        <v>20</v>
      </c>
      <c r="G41" s="20">
        <f t="shared" si="1"/>
        <v>843070</v>
      </c>
      <c r="H41" s="20">
        <f t="shared" si="1"/>
        <v>622200</v>
      </c>
      <c r="I41" s="20">
        <f t="shared" si="1"/>
        <v>389337.14</v>
      </c>
      <c r="J41" s="160">
        <f t="shared" si="0"/>
        <v>62.574275152684024</v>
      </c>
    </row>
    <row r="42" spans="2:10" s="1" customFormat="1" ht="12.75" customHeight="1" thickBot="1">
      <c r="B42" s="21"/>
      <c r="C42" s="22"/>
      <c r="D42" s="22"/>
      <c r="E42" s="23"/>
      <c r="F42" s="22"/>
      <c r="G42" s="47"/>
      <c r="H42" s="47"/>
      <c r="I42" s="47"/>
      <c r="J42" s="164"/>
    </row>
    <row r="43" spans="2:10" s="1" customFormat="1" ht="12.75" customHeight="1">
      <c r="B43" s="13"/>
      <c r="C43" s="13"/>
      <c r="D43" s="13"/>
      <c r="E43" s="24"/>
      <c r="F43" s="13"/>
      <c r="G43" s="95"/>
      <c r="H43" s="95"/>
      <c r="I43" s="95"/>
      <c r="J43" s="148"/>
    </row>
    <row r="44" spans="2:10" s="1" customFormat="1" ht="12.75" customHeight="1">
      <c r="B44" s="87"/>
      <c r="C44" s="13"/>
      <c r="D44" s="13"/>
      <c r="E44" s="24"/>
      <c r="F44" s="13"/>
      <c r="G44" s="95"/>
      <c r="H44" s="95"/>
      <c r="I44" s="95"/>
      <c r="J44" s="148"/>
    </row>
    <row r="45" ht="12.75" customHeight="1">
      <c r="B45" s="87"/>
    </row>
    <row r="46" ht="12.75">
      <c r="B46" s="87"/>
    </row>
    <row r="47" ht="12.75">
      <c r="B47" s="87"/>
    </row>
  </sheetData>
  <sheetProtection/>
  <mergeCells count="2">
    <mergeCell ref="B2:G2"/>
    <mergeCell ref="F3:G3"/>
  </mergeCells>
  <printOptions/>
  <pageMargins left="0.38" right="0.1968503937007874" top="0.5905511811023623" bottom="0.52" header="0.5118110236220472" footer="0.5118110236220472"/>
  <pageSetup horizontalDpi="180" verticalDpi="180" orientation="portrait" paperSize="9" scale="78" r:id="rId1"/>
  <headerFooter alignWithMargins="0">
    <oddFooter>&amp;R24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2:M55"/>
  <sheetViews>
    <sheetView zoomScalePageLayoutView="0" workbookViewId="0" topLeftCell="C4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9" width="15.7109375" style="13" customWidth="1"/>
    <col min="10" max="10" width="8.7109375" style="148" customWidth="1"/>
    <col min="11" max="16384" width="9.140625" style="13" customWidth="1"/>
  </cols>
  <sheetData>
    <row r="2" spans="2:10" ht="15" customHeight="1">
      <c r="B2" s="414" t="s">
        <v>65</v>
      </c>
      <c r="C2" s="414"/>
      <c r="D2" s="414"/>
      <c r="E2" s="414"/>
      <c r="F2" s="414"/>
      <c r="G2" s="414"/>
      <c r="H2" s="414"/>
      <c r="I2" s="414"/>
      <c r="J2" s="155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64</v>
      </c>
      <c r="C6" s="11" t="s">
        <v>6</v>
      </c>
      <c r="D6" s="11" t="s">
        <v>7</v>
      </c>
      <c r="E6" s="9"/>
      <c r="F6" s="9"/>
      <c r="G6" s="9"/>
      <c r="H6" s="9"/>
      <c r="I6" s="9"/>
      <c r="J6" s="159"/>
    </row>
    <row r="7" spans="2:10" s="2" customFormat="1" ht="12.75" customHeight="1">
      <c r="B7" s="10"/>
      <c r="C7" s="11"/>
      <c r="D7" s="11"/>
      <c r="E7" s="9">
        <v>600000</v>
      </c>
      <c r="F7" s="27" t="s">
        <v>49</v>
      </c>
      <c r="G7" s="25">
        <f>G8</f>
        <v>0</v>
      </c>
      <c r="H7" s="25">
        <f>H8</f>
        <v>0</v>
      </c>
      <c r="I7" s="25">
        <f>I8</f>
        <v>0</v>
      </c>
      <c r="J7" s="160">
        <f>IF(H7=0,"",I7/H7*100)</f>
      </c>
    </row>
    <row r="8" spans="2:10" s="2" customFormat="1" ht="12.75" customHeight="1">
      <c r="B8" s="10"/>
      <c r="C8" s="11"/>
      <c r="D8" s="11"/>
      <c r="E8" s="59">
        <v>600000</v>
      </c>
      <c r="F8" s="60" t="s">
        <v>36</v>
      </c>
      <c r="G8" s="88">
        <v>0</v>
      </c>
      <c r="H8" s="88">
        <v>0</v>
      </c>
      <c r="I8" s="88">
        <v>0</v>
      </c>
      <c r="J8" s="161">
        <f>IF(H8=0,"",I8/H8*100)</f>
      </c>
    </row>
    <row r="9" spans="2:10" s="2" customFormat="1" ht="12.75" customHeight="1">
      <c r="B9" s="10"/>
      <c r="C9" s="11"/>
      <c r="D9" s="11"/>
      <c r="E9" s="9"/>
      <c r="F9" s="9"/>
      <c r="G9" s="88"/>
      <c r="H9" s="88"/>
      <c r="I9" s="88"/>
      <c r="J9" s="161">
        <f>IF(G9=0,"",I9/G9*100)</f>
      </c>
    </row>
    <row r="10" spans="2:10" s="1" customFormat="1" ht="12.75" customHeight="1">
      <c r="B10" s="17"/>
      <c r="C10" s="12"/>
      <c r="D10" s="12"/>
      <c r="E10" s="9">
        <v>611000</v>
      </c>
      <c r="F10" s="12" t="s">
        <v>92</v>
      </c>
      <c r="G10" s="20">
        <f>SUM(G11:G14)</f>
        <v>299770</v>
      </c>
      <c r="H10" s="20">
        <f>SUM(H11:H14)</f>
        <v>299770</v>
      </c>
      <c r="I10" s="20">
        <f>SUM(I11:I14)</f>
        <v>292705.28</v>
      </c>
      <c r="J10" s="160">
        <f>IF(H10=0,"",I10/H10*100)</f>
        <v>97.64328651966508</v>
      </c>
    </row>
    <row r="11" spans="2:10" ht="12.75" customHeight="1">
      <c r="B11" s="14"/>
      <c r="C11" s="15"/>
      <c r="D11" s="15"/>
      <c r="E11" s="16">
        <v>611100</v>
      </c>
      <c r="F11" s="26" t="s">
        <v>128</v>
      </c>
      <c r="G11" s="46">
        <v>240000</v>
      </c>
      <c r="H11" s="46">
        <v>240000</v>
      </c>
      <c r="I11" s="46">
        <v>239530.28</v>
      </c>
      <c r="J11" s="161">
        <f>IF(H11=0,"",I11/H11*100)</f>
        <v>99.80428333333333</v>
      </c>
    </row>
    <row r="12" spans="2:10" ht="12.75" customHeight="1">
      <c r="B12" s="14"/>
      <c r="C12" s="15"/>
      <c r="D12" s="15"/>
      <c r="E12" s="16">
        <v>611200</v>
      </c>
      <c r="F12" s="15" t="s">
        <v>129</v>
      </c>
      <c r="G12" s="88">
        <v>50200</v>
      </c>
      <c r="H12" s="88">
        <v>50200</v>
      </c>
      <c r="I12" s="88">
        <v>44979</v>
      </c>
      <c r="J12" s="161">
        <f aca="true" t="shared" si="0" ref="J12:J53">IF(H12=0,"",I12/H12*100)</f>
        <v>89.5996015936255</v>
      </c>
    </row>
    <row r="13" spans="2:12" ht="12.75" customHeight="1">
      <c r="B13" s="14"/>
      <c r="C13" s="15"/>
      <c r="D13" s="15"/>
      <c r="E13" s="16">
        <v>611200</v>
      </c>
      <c r="F13" s="26" t="s">
        <v>549</v>
      </c>
      <c r="G13" s="88">
        <v>9570</v>
      </c>
      <c r="H13" s="88">
        <v>9570</v>
      </c>
      <c r="I13" s="88">
        <v>8196</v>
      </c>
      <c r="J13" s="161">
        <f t="shared" si="0"/>
        <v>85.64263322884013</v>
      </c>
      <c r="L13" s="94"/>
    </row>
    <row r="14" spans="2:10" ht="12.75" customHeight="1">
      <c r="B14" s="14"/>
      <c r="C14" s="15"/>
      <c r="D14" s="15"/>
      <c r="E14" s="16"/>
      <c r="F14" s="26"/>
      <c r="G14" s="45"/>
      <c r="H14" s="45"/>
      <c r="I14" s="45"/>
      <c r="J14" s="161">
        <f t="shared" si="0"/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61">
        <f t="shared" si="0"/>
      </c>
    </row>
    <row r="16" spans="2:10" s="1" customFormat="1" ht="12.75" customHeight="1">
      <c r="B16" s="17"/>
      <c r="C16" s="12"/>
      <c r="D16" s="12"/>
      <c r="E16" s="9">
        <v>612000</v>
      </c>
      <c r="F16" s="12" t="s">
        <v>91</v>
      </c>
      <c r="G16" s="20">
        <f>G17+G18</f>
        <v>26300</v>
      </c>
      <c r="H16" s="20">
        <f>H17+H18</f>
        <v>26300</v>
      </c>
      <c r="I16" s="20">
        <f>I17+I18</f>
        <v>25221</v>
      </c>
      <c r="J16" s="160">
        <f t="shared" si="0"/>
        <v>95.89733840304181</v>
      </c>
    </row>
    <row r="17" spans="2:10" ht="12.75" customHeight="1">
      <c r="B17" s="14"/>
      <c r="C17" s="15"/>
      <c r="D17" s="15"/>
      <c r="E17" s="16">
        <v>612100</v>
      </c>
      <c r="F17" s="18" t="s">
        <v>8</v>
      </c>
      <c r="G17" s="45">
        <v>26300</v>
      </c>
      <c r="H17" s="45">
        <v>26300</v>
      </c>
      <c r="I17" s="45">
        <v>25221</v>
      </c>
      <c r="J17" s="161">
        <f t="shared" si="0"/>
        <v>95.89733840304181</v>
      </c>
    </row>
    <row r="18" spans="2:10" ht="12.75" customHeight="1">
      <c r="B18" s="14"/>
      <c r="C18" s="15"/>
      <c r="D18" s="15"/>
      <c r="E18" s="16"/>
      <c r="F18" s="15"/>
      <c r="G18" s="45"/>
      <c r="H18" s="45"/>
      <c r="I18" s="45"/>
      <c r="J18" s="161">
        <f t="shared" si="0"/>
      </c>
    </row>
    <row r="19" spans="2:10" ht="12.75" customHeight="1">
      <c r="B19" s="14"/>
      <c r="C19" s="15"/>
      <c r="D19" s="15"/>
      <c r="E19" s="16"/>
      <c r="F19" s="15"/>
      <c r="G19" s="45"/>
      <c r="H19" s="45"/>
      <c r="I19" s="45"/>
      <c r="J19" s="161">
        <f t="shared" si="0"/>
      </c>
    </row>
    <row r="20" spans="2:10" s="1" customFormat="1" ht="12.75" customHeight="1">
      <c r="B20" s="17"/>
      <c r="C20" s="12"/>
      <c r="D20" s="12"/>
      <c r="E20" s="9">
        <v>613000</v>
      </c>
      <c r="F20" s="12" t="s">
        <v>93</v>
      </c>
      <c r="G20" s="51">
        <f>SUM(G21:G31)</f>
        <v>125300</v>
      </c>
      <c r="H20" s="51">
        <f>SUM(H21:H31)</f>
        <v>129970</v>
      </c>
      <c r="I20" s="51">
        <f>SUM(I21:I31)</f>
        <v>125292.54000000001</v>
      </c>
      <c r="J20" s="160">
        <f t="shared" si="0"/>
        <v>96.4011233361545</v>
      </c>
    </row>
    <row r="21" spans="2:10" ht="12.75" customHeight="1">
      <c r="B21" s="14"/>
      <c r="C21" s="15"/>
      <c r="D21" s="15"/>
      <c r="E21" s="16">
        <v>613100</v>
      </c>
      <c r="F21" s="15" t="s">
        <v>9</v>
      </c>
      <c r="G21" s="45">
        <v>3500</v>
      </c>
      <c r="H21" s="45">
        <v>3500</v>
      </c>
      <c r="I21" s="45">
        <v>3296.76</v>
      </c>
      <c r="J21" s="161">
        <f t="shared" si="0"/>
        <v>94.19314285714286</v>
      </c>
    </row>
    <row r="22" spans="2:10" ht="12.75" customHeight="1">
      <c r="B22" s="14"/>
      <c r="C22" s="15"/>
      <c r="D22" s="15"/>
      <c r="E22" s="16">
        <v>613200</v>
      </c>
      <c r="F22" s="15" t="s">
        <v>10</v>
      </c>
      <c r="G22" s="45">
        <v>0</v>
      </c>
      <c r="H22" s="45">
        <v>0</v>
      </c>
      <c r="I22" s="45">
        <v>0</v>
      </c>
      <c r="J22" s="161">
        <f t="shared" si="0"/>
      </c>
    </row>
    <row r="23" spans="2:10" ht="12.75" customHeight="1">
      <c r="B23" s="14"/>
      <c r="C23" s="15"/>
      <c r="D23" s="15"/>
      <c r="E23" s="16">
        <v>613300</v>
      </c>
      <c r="F23" s="26" t="s">
        <v>130</v>
      </c>
      <c r="G23" s="45">
        <v>4500</v>
      </c>
      <c r="H23" s="45">
        <v>4500</v>
      </c>
      <c r="I23" s="45">
        <v>4279.08</v>
      </c>
      <c r="J23" s="161">
        <f t="shared" si="0"/>
        <v>95.09066666666666</v>
      </c>
    </row>
    <row r="24" spans="2:10" ht="12.75" customHeight="1">
      <c r="B24" s="14"/>
      <c r="C24" s="15"/>
      <c r="D24" s="15"/>
      <c r="E24" s="16">
        <v>613400</v>
      </c>
      <c r="F24" s="15" t="s">
        <v>94</v>
      </c>
      <c r="G24" s="45">
        <v>4000</v>
      </c>
      <c r="H24" s="45">
        <v>4000</v>
      </c>
      <c r="I24" s="45">
        <v>3742.46</v>
      </c>
      <c r="J24" s="161">
        <f t="shared" si="0"/>
        <v>93.5615</v>
      </c>
    </row>
    <row r="25" spans="2:10" ht="12.75" customHeight="1">
      <c r="B25" s="14"/>
      <c r="C25" s="15"/>
      <c r="D25" s="15"/>
      <c r="E25" s="16">
        <v>613500</v>
      </c>
      <c r="F25" s="15" t="s">
        <v>11</v>
      </c>
      <c r="G25" s="88">
        <v>800</v>
      </c>
      <c r="H25" s="88">
        <f>800+100</f>
        <v>900</v>
      </c>
      <c r="I25" s="88">
        <v>845.53</v>
      </c>
      <c r="J25" s="161">
        <f t="shared" si="0"/>
        <v>93.94777777777777</v>
      </c>
    </row>
    <row r="26" spans="2:10" ht="12.75" customHeight="1">
      <c r="B26" s="14"/>
      <c r="C26" s="15"/>
      <c r="D26" s="15"/>
      <c r="E26" s="16">
        <v>613600</v>
      </c>
      <c r="F26" s="26" t="s">
        <v>131</v>
      </c>
      <c r="G26" s="88">
        <v>0</v>
      </c>
      <c r="H26" s="88">
        <v>0</v>
      </c>
      <c r="I26" s="88">
        <v>0</v>
      </c>
      <c r="J26" s="161">
        <f t="shared" si="0"/>
      </c>
    </row>
    <row r="27" spans="2:10" ht="12.75" customHeight="1">
      <c r="B27" s="14"/>
      <c r="C27" s="15"/>
      <c r="D27" s="15"/>
      <c r="E27" s="16">
        <v>613700</v>
      </c>
      <c r="F27" s="15" t="s">
        <v>12</v>
      </c>
      <c r="G27" s="124">
        <v>2000</v>
      </c>
      <c r="H27" s="124">
        <v>3400</v>
      </c>
      <c r="I27" s="124">
        <v>1772.94</v>
      </c>
      <c r="J27" s="161">
        <f t="shared" si="0"/>
        <v>52.145294117647055</v>
      </c>
    </row>
    <row r="28" spans="2:10" ht="12.75" customHeight="1">
      <c r="B28" s="14"/>
      <c r="C28" s="15"/>
      <c r="D28" s="15"/>
      <c r="E28" s="16">
        <v>613800</v>
      </c>
      <c r="F28" s="15" t="s">
        <v>95</v>
      </c>
      <c r="G28" s="88">
        <v>8500</v>
      </c>
      <c r="H28" s="88">
        <v>8500</v>
      </c>
      <c r="I28" s="88">
        <v>6221.82</v>
      </c>
      <c r="J28" s="161">
        <f t="shared" si="0"/>
        <v>73.19788235294116</v>
      </c>
    </row>
    <row r="29" spans="2:12" ht="12.75" customHeight="1">
      <c r="B29" s="14"/>
      <c r="C29" s="15"/>
      <c r="D29" s="15"/>
      <c r="E29" s="16">
        <v>613900</v>
      </c>
      <c r="F29" s="15" t="s">
        <v>96</v>
      </c>
      <c r="G29" s="174">
        <v>17000</v>
      </c>
      <c r="H29" s="174">
        <v>20960</v>
      </c>
      <c r="I29" s="174">
        <f>19332.9+1593.42</f>
        <v>20926.32</v>
      </c>
      <c r="J29" s="161">
        <f t="shared" si="0"/>
        <v>99.83931297709924</v>
      </c>
      <c r="L29" s="148"/>
    </row>
    <row r="30" spans="2:12" ht="12.75" customHeight="1">
      <c r="B30" s="14"/>
      <c r="C30" s="15"/>
      <c r="D30" s="15"/>
      <c r="E30" s="66">
        <v>613900</v>
      </c>
      <c r="F30" s="26" t="s">
        <v>110</v>
      </c>
      <c r="G30" s="88">
        <v>75300</v>
      </c>
      <c r="H30" s="88">
        <v>74770</v>
      </c>
      <c r="I30" s="88">
        <f>76363.42-1593.42</f>
        <v>74770</v>
      </c>
      <c r="J30" s="161">
        <f t="shared" si="0"/>
        <v>100</v>
      </c>
      <c r="L30" s="148"/>
    </row>
    <row r="31" spans="2:12" ht="12.75" customHeight="1">
      <c r="B31" s="14"/>
      <c r="C31" s="15"/>
      <c r="D31" s="15"/>
      <c r="E31" s="16">
        <v>613900</v>
      </c>
      <c r="F31" s="26" t="s">
        <v>143</v>
      </c>
      <c r="G31" s="88">
        <v>9700</v>
      </c>
      <c r="H31" s="88">
        <v>9440</v>
      </c>
      <c r="I31" s="88">
        <v>9437.63</v>
      </c>
      <c r="J31" s="161">
        <f t="shared" si="0"/>
        <v>99.97489406779661</v>
      </c>
      <c r="L31" s="95"/>
    </row>
    <row r="32" spans="2:10" ht="12.75" customHeight="1">
      <c r="B32" s="14"/>
      <c r="C32" s="15"/>
      <c r="D32" s="15"/>
      <c r="E32" s="66"/>
      <c r="F32" s="15"/>
      <c r="G32" s="88"/>
      <c r="H32" s="88"/>
      <c r="I32" s="88"/>
      <c r="J32" s="161">
        <f t="shared" si="0"/>
      </c>
    </row>
    <row r="33" spans="2:10" s="1" customFormat="1" ht="12.75" customHeight="1">
      <c r="B33" s="17"/>
      <c r="C33" s="12"/>
      <c r="D33" s="32"/>
      <c r="E33" s="9">
        <v>614000</v>
      </c>
      <c r="F33" s="12" t="s">
        <v>132</v>
      </c>
      <c r="G33" s="115">
        <f>G34+G35</f>
        <v>416500</v>
      </c>
      <c r="H33" s="115">
        <f>H34+H35</f>
        <v>643500</v>
      </c>
      <c r="I33" s="115">
        <f>I34+I35</f>
        <v>627991.89</v>
      </c>
      <c r="J33" s="160">
        <f t="shared" si="0"/>
        <v>97.59003729603731</v>
      </c>
    </row>
    <row r="34" spans="2:12" ht="12.75" customHeight="1">
      <c r="B34" s="14"/>
      <c r="C34" s="15"/>
      <c r="D34" s="31"/>
      <c r="E34" s="16">
        <v>614100</v>
      </c>
      <c r="F34" s="61" t="s">
        <v>261</v>
      </c>
      <c r="G34" s="88">
        <v>350000</v>
      </c>
      <c r="H34" s="88">
        <v>310500</v>
      </c>
      <c r="I34" s="88">
        <v>300500</v>
      </c>
      <c r="J34" s="161">
        <f t="shared" si="0"/>
        <v>96.77938808373591</v>
      </c>
      <c r="K34" s="114"/>
      <c r="L34" s="87"/>
    </row>
    <row r="35" spans="2:12" ht="12.75" customHeight="1">
      <c r="B35" s="14"/>
      <c r="C35" s="15"/>
      <c r="D35" s="31"/>
      <c r="E35" s="64">
        <v>614800</v>
      </c>
      <c r="F35" s="61" t="s">
        <v>38</v>
      </c>
      <c r="G35" s="88">
        <v>66500</v>
      </c>
      <c r="H35" s="88">
        <v>333000</v>
      </c>
      <c r="I35" s="88">
        <v>327491.89</v>
      </c>
      <c r="J35" s="161">
        <f t="shared" si="0"/>
        <v>98.34591291291291</v>
      </c>
      <c r="K35" s="87"/>
      <c r="L35" s="95"/>
    </row>
    <row r="36" spans="2:10" ht="12.75" customHeight="1">
      <c r="B36" s="14"/>
      <c r="C36" s="15"/>
      <c r="D36" s="31"/>
      <c r="E36" s="109"/>
      <c r="F36" s="61"/>
      <c r="G36" s="88"/>
      <c r="H36" s="88"/>
      <c r="I36" s="88"/>
      <c r="J36" s="161">
        <f t="shared" si="0"/>
      </c>
    </row>
    <row r="37" spans="2:10" ht="12.75" customHeight="1">
      <c r="B37" s="14"/>
      <c r="C37" s="15"/>
      <c r="D37" s="15"/>
      <c r="E37" s="103">
        <v>616000</v>
      </c>
      <c r="F37" s="34" t="s">
        <v>135</v>
      </c>
      <c r="G37" s="175">
        <f>SUM(G38:G40)</f>
        <v>101400</v>
      </c>
      <c r="H37" s="175">
        <f>SUM(H38:H40)</f>
        <v>101960</v>
      </c>
      <c r="I37" s="175">
        <f>SUM(I38:I40)</f>
        <v>98613.86</v>
      </c>
      <c r="J37" s="160">
        <f t="shared" si="0"/>
        <v>96.71818360141232</v>
      </c>
    </row>
    <row r="38" spans="2:12" ht="12.75" customHeight="1">
      <c r="B38" s="14"/>
      <c r="C38" s="15"/>
      <c r="D38" s="15"/>
      <c r="E38" s="83">
        <v>616300</v>
      </c>
      <c r="F38" s="69" t="s">
        <v>257</v>
      </c>
      <c r="G38" s="88">
        <v>34100</v>
      </c>
      <c r="H38" s="88">
        <v>34100</v>
      </c>
      <c r="I38" s="88">
        <v>30774.9</v>
      </c>
      <c r="J38" s="161">
        <f t="shared" si="0"/>
        <v>90.24897360703812</v>
      </c>
      <c r="L38" s="95"/>
    </row>
    <row r="39" spans="2:13" ht="12.75" customHeight="1">
      <c r="B39" s="14"/>
      <c r="C39" s="15"/>
      <c r="D39" s="15"/>
      <c r="E39" s="83">
        <v>616300</v>
      </c>
      <c r="F39" s="69" t="s">
        <v>145</v>
      </c>
      <c r="G39" s="88">
        <v>23240</v>
      </c>
      <c r="H39" s="88">
        <f>23240+560</f>
        <v>23800</v>
      </c>
      <c r="I39" s="88">
        <v>23782.36</v>
      </c>
      <c r="J39" s="161">
        <f t="shared" si="0"/>
        <v>99.92588235294117</v>
      </c>
      <c r="L39" s="95"/>
      <c r="M39" s="95"/>
    </row>
    <row r="40" spans="2:10" ht="12.75" customHeight="1">
      <c r="B40" s="14"/>
      <c r="C40" s="15"/>
      <c r="D40" s="15"/>
      <c r="E40" s="83">
        <v>616300</v>
      </c>
      <c r="F40" s="69" t="s">
        <v>151</v>
      </c>
      <c r="G40" s="88">
        <v>44060</v>
      </c>
      <c r="H40" s="88">
        <v>44060</v>
      </c>
      <c r="I40" s="88">
        <v>44056.6</v>
      </c>
      <c r="J40" s="161">
        <f t="shared" si="0"/>
        <v>99.99228325011347</v>
      </c>
    </row>
    <row r="41" spans="2:12" ht="12.75" customHeight="1">
      <c r="B41" s="14"/>
      <c r="C41" s="15"/>
      <c r="D41" s="15"/>
      <c r="E41" s="16"/>
      <c r="F41" s="15"/>
      <c r="G41" s="115"/>
      <c r="H41" s="115"/>
      <c r="I41" s="115"/>
      <c r="J41" s="161">
        <f t="shared" si="0"/>
      </c>
      <c r="L41" s="95"/>
    </row>
    <row r="42" spans="2:10" ht="12.75" customHeight="1">
      <c r="B42" s="17"/>
      <c r="C42" s="12"/>
      <c r="D42" s="12"/>
      <c r="E42" s="9">
        <v>821000</v>
      </c>
      <c r="F42" s="12" t="s">
        <v>15</v>
      </c>
      <c r="G42" s="115">
        <f>SUM(G43:G44)</f>
        <v>2000</v>
      </c>
      <c r="H42" s="115">
        <f>SUM(H43:H44)</f>
        <v>4500</v>
      </c>
      <c r="I42" s="115">
        <f>SUM(I43:I44)</f>
        <v>3614.13</v>
      </c>
      <c r="J42" s="160">
        <f t="shared" si="0"/>
        <v>80.31400000000001</v>
      </c>
    </row>
    <row r="43" spans="2:10" ht="12.75" customHeight="1">
      <c r="B43" s="14"/>
      <c r="C43" s="15"/>
      <c r="D43" s="15"/>
      <c r="E43" s="16">
        <v>821200</v>
      </c>
      <c r="F43" s="15" t="s">
        <v>16</v>
      </c>
      <c r="G43" s="124">
        <v>0</v>
      </c>
      <c r="H43" s="124">
        <v>0</v>
      </c>
      <c r="I43" s="124">
        <v>0</v>
      </c>
      <c r="J43" s="161">
        <f t="shared" si="0"/>
      </c>
    </row>
    <row r="44" spans="2:10" s="1" customFormat="1" ht="12.75" customHeight="1">
      <c r="B44" s="14"/>
      <c r="C44" s="15"/>
      <c r="D44" s="15"/>
      <c r="E44" s="16">
        <v>821300</v>
      </c>
      <c r="F44" s="15" t="s">
        <v>17</v>
      </c>
      <c r="G44" s="124">
        <v>2000</v>
      </c>
      <c r="H44" s="124">
        <v>4500</v>
      </c>
      <c r="I44" s="124">
        <v>3614.13</v>
      </c>
      <c r="J44" s="161">
        <f t="shared" si="0"/>
        <v>80.31400000000001</v>
      </c>
    </row>
    <row r="45" spans="2:10" ht="12.75" customHeight="1">
      <c r="B45" s="14"/>
      <c r="C45" s="15"/>
      <c r="D45" s="15"/>
      <c r="E45" s="16"/>
      <c r="F45" s="15"/>
      <c r="G45" s="88"/>
      <c r="H45" s="88"/>
      <c r="I45" s="88"/>
      <c r="J45" s="161">
        <f t="shared" si="0"/>
      </c>
    </row>
    <row r="46" spans="2:10" ht="12.75" customHeight="1">
      <c r="B46" s="17"/>
      <c r="C46" s="12"/>
      <c r="D46" s="12"/>
      <c r="E46" s="9">
        <v>823000</v>
      </c>
      <c r="F46" s="12" t="s">
        <v>146</v>
      </c>
      <c r="G46" s="115">
        <f>SUM(G47:G48)</f>
        <v>1875670</v>
      </c>
      <c r="H46" s="115">
        <f>SUM(H47:H48)</f>
        <v>1752830</v>
      </c>
      <c r="I46" s="115">
        <f>SUM(I47:I48)</f>
        <v>1730769.25</v>
      </c>
      <c r="J46" s="160">
        <f t="shared" si="0"/>
        <v>98.74142101629936</v>
      </c>
    </row>
    <row r="47" spans="2:10" ht="12.75" customHeight="1">
      <c r="B47" s="14"/>
      <c r="C47" s="15"/>
      <c r="D47" s="15"/>
      <c r="E47" s="16">
        <v>823300</v>
      </c>
      <c r="F47" s="26" t="s">
        <v>248</v>
      </c>
      <c r="G47" s="124">
        <v>1730770</v>
      </c>
      <c r="H47" s="124">
        <v>1730770</v>
      </c>
      <c r="I47" s="124">
        <v>1730769.25</v>
      </c>
      <c r="J47" s="161">
        <f t="shared" si="0"/>
        <v>99.99995666668593</v>
      </c>
    </row>
    <row r="48" spans="2:10" ht="12.75" customHeight="1">
      <c r="B48" s="14"/>
      <c r="C48" s="15"/>
      <c r="D48" s="15"/>
      <c r="E48" s="16">
        <v>823300</v>
      </c>
      <c r="F48" s="26" t="s">
        <v>249</v>
      </c>
      <c r="G48" s="88">
        <v>144900</v>
      </c>
      <c r="H48" s="88">
        <v>22060</v>
      </c>
      <c r="I48" s="88">
        <v>0</v>
      </c>
      <c r="J48" s="161">
        <f t="shared" si="0"/>
        <v>0</v>
      </c>
    </row>
    <row r="49" spans="2:10" ht="12.75" customHeight="1">
      <c r="B49" s="14"/>
      <c r="C49" s="15"/>
      <c r="D49" s="15"/>
      <c r="E49" s="16"/>
      <c r="F49" s="15"/>
      <c r="G49" s="15"/>
      <c r="H49" s="15"/>
      <c r="I49" s="15"/>
      <c r="J49" s="161">
        <f t="shared" si="0"/>
      </c>
    </row>
    <row r="50" spans="2:10" ht="12.75" customHeight="1">
      <c r="B50" s="17"/>
      <c r="C50" s="12"/>
      <c r="D50" s="12"/>
      <c r="E50" s="9"/>
      <c r="F50" s="12" t="s">
        <v>18</v>
      </c>
      <c r="G50" s="12">
        <v>13</v>
      </c>
      <c r="H50" s="12">
        <v>13</v>
      </c>
      <c r="I50" s="12">
        <v>13</v>
      </c>
      <c r="J50" s="161"/>
    </row>
    <row r="51" spans="2:10" ht="12.75" customHeight="1">
      <c r="B51" s="17"/>
      <c r="C51" s="12"/>
      <c r="D51" s="12"/>
      <c r="E51" s="9"/>
      <c r="F51" s="12" t="s">
        <v>40</v>
      </c>
      <c r="G51" s="20">
        <f>G7+G10+G16+G20+G33+G37+G42+G46</f>
        <v>2846940</v>
      </c>
      <c r="H51" s="20">
        <f>H7+H10+H16+H20+H33+H37+H42+H46</f>
        <v>2958830</v>
      </c>
      <c r="I51" s="20">
        <f>I7+I10+I16+I20+I33+I37+I42+I46</f>
        <v>2904207.95</v>
      </c>
      <c r="J51" s="160">
        <f t="shared" si="0"/>
        <v>98.15393077669215</v>
      </c>
    </row>
    <row r="52" spans="2:10" s="1" customFormat="1" ht="12.75" customHeight="1">
      <c r="B52" s="17"/>
      <c r="C52" s="12"/>
      <c r="D52" s="12"/>
      <c r="E52" s="9"/>
      <c r="F52" s="12" t="s">
        <v>19</v>
      </c>
      <c r="G52" s="20">
        <f aca="true" t="shared" si="1" ref="G52:I53">G51</f>
        <v>2846940</v>
      </c>
      <c r="H52" s="20">
        <f t="shared" si="1"/>
        <v>2958830</v>
      </c>
      <c r="I52" s="20">
        <f t="shared" si="1"/>
        <v>2904207.95</v>
      </c>
      <c r="J52" s="160">
        <f t="shared" si="0"/>
        <v>98.15393077669215</v>
      </c>
    </row>
    <row r="53" spans="2:10" s="1" customFormat="1" ht="12.75" customHeight="1">
      <c r="B53" s="17"/>
      <c r="C53" s="12"/>
      <c r="D53" s="12"/>
      <c r="E53" s="9"/>
      <c r="F53" s="12" t="s">
        <v>20</v>
      </c>
      <c r="G53" s="20">
        <f t="shared" si="1"/>
        <v>2846940</v>
      </c>
      <c r="H53" s="20">
        <f t="shared" si="1"/>
        <v>2958830</v>
      </c>
      <c r="I53" s="20">
        <f t="shared" si="1"/>
        <v>2904207.95</v>
      </c>
      <c r="J53" s="160">
        <f t="shared" si="0"/>
        <v>98.15393077669215</v>
      </c>
    </row>
    <row r="54" spans="2:10" s="1" customFormat="1" ht="12.75" customHeight="1" thickBot="1">
      <c r="B54" s="21"/>
      <c r="C54" s="22"/>
      <c r="D54" s="22"/>
      <c r="E54" s="23"/>
      <c r="F54" s="22"/>
      <c r="G54" s="22"/>
      <c r="H54" s="22"/>
      <c r="I54" s="22"/>
      <c r="J54" s="164"/>
    </row>
    <row r="55" spans="2:10" s="1" customFormat="1" ht="12.75" customHeight="1">
      <c r="B55" s="13"/>
      <c r="C55" s="13"/>
      <c r="D55" s="13"/>
      <c r="E55" s="24"/>
      <c r="F55" s="13"/>
      <c r="G55" s="13"/>
      <c r="H55" s="13"/>
      <c r="I55" s="13"/>
      <c r="J55" s="148"/>
    </row>
    <row r="56" ht="12.75" customHeight="1"/>
  </sheetData>
  <sheetProtection/>
  <mergeCells count="2">
    <mergeCell ref="B2:I2"/>
    <mergeCell ref="F3:G3"/>
  </mergeCells>
  <printOptions/>
  <pageMargins left="0.2755905511811024" right="0.2755905511811024" top="0.5905511811023623" bottom="0.57" header="0.5118110236220472" footer="0.5118110236220472"/>
  <pageSetup fitToHeight="1" fitToWidth="1" horizontalDpi="180" verticalDpi="180" orientation="portrait" paperSize="9" scale="77" r:id="rId1"/>
  <headerFooter alignWithMargins="0">
    <oddFooter>&amp;R25</oddFooter>
  </headerFooter>
  <colBreaks count="1" manualBreakCount="1">
    <brk id="10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0"/>
  <dimension ref="B2:L52"/>
  <sheetViews>
    <sheetView view="pageBreakPreview" zoomScale="130" zoomScaleSheetLayoutView="130" zoomScalePageLayoutView="0" workbookViewId="0" topLeftCell="C1">
      <selection activeCell="K4" sqref="K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9" width="15.7109375" style="13" customWidth="1"/>
    <col min="10" max="10" width="8.7109375" style="148" customWidth="1"/>
    <col min="11" max="16384" width="9.140625" style="13" customWidth="1"/>
  </cols>
  <sheetData>
    <row r="2" spans="2:10" ht="15" customHeight="1">
      <c r="B2" s="414" t="s">
        <v>66</v>
      </c>
      <c r="C2" s="414"/>
      <c r="D2" s="414"/>
      <c r="E2" s="414"/>
      <c r="F2" s="414"/>
      <c r="G2" s="414"/>
      <c r="H2" s="414"/>
      <c r="I2" s="414"/>
      <c r="J2" s="154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67</v>
      </c>
      <c r="C6" s="11" t="s">
        <v>6</v>
      </c>
      <c r="D6" s="11" t="s">
        <v>7</v>
      </c>
      <c r="E6" s="9"/>
      <c r="F6" s="9"/>
      <c r="G6" s="9"/>
      <c r="H6" s="9"/>
      <c r="I6" s="9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196700</v>
      </c>
      <c r="H7" s="20">
        <f>SUM(H8:H11)</f>
        <v>196700</v>
      </c>
      <c r="I7" s="20">
        <f>SUM(I8:I11)</f>
        <v>191202.12</v>
      </c>
      <c r="J7" s="160">
        <f>IF(H7=0,"",I7/H7*100)</f>
        <v>97.20494153533299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88">
        <v>159800</v>
      </c>
      <c r="H8" s="88">
        <v>159800</v>
      </c>
      <c r="I8" s="88">
        <v>155071.62</v>
      </c>
      <c r="J8" s="161">
        <f>IF(H8=0,"",I8/H8*100)</f>
        <v>97.04106382978723</v>
      </c>
    </row>
    <row r="9" spans="2:12" ht="12.75" customHeight="1">
      <c r="B9" s="14"/>
      <c r="C9" s="15"/>
      <c r="D9" s="15"/>
      <c r="E9" s="16">
        <v>611200</v>
      </c>
      <c r="F9" s="15" t="s">
        <v>129</v>
      </c>
      <c r="G9" s="88">
        <v>30400</v>
      </c>
      <c r="H9" s="88">
        <v>27890</v>
      </c>
      <c r="I9" s="88">
        <v>27123</v>
      </c>
      <c r="J9" s="161">
        <f aca="true" t="shared" si="0" ref="J9:J44">IF(H9=0,"",I9/H9*100)</f>
        <v>97.24991036213697</v>
      </c>
      <c r="K9" s="95"/>
      <c r="L9" s="95"/>
    </row>
    <row r="10" spans="2:12" ht="12.75" customHeight="1">
      <c r="B10" s="14"/>
      <c r="C10" s="15"/>
      <c r="D10" s="15"/>
      <c r="E10" s="16">
        <v>611200</v>
      </c>
      <c r="F10" s="26" t="s">
        <v>463</v>
      </c>
      <c r="G10" s="88">
        <v>6500</v>
      </c>
      <c r="H10" s="88">
        <v>9010</v>
      </c>
      <c r="I10" s="88">
        <v>9007.5</v>
      </c>
      <c r="J10" s="161">
        <f t="shared" si="0"/>
        <v>99.97225305216426</v>
      </c>
      <c r="K10" s="95"/>
      <c r="L10" s="95"/>
    </row>
    <row r="11" spans="2:10" ht="12.75" customHeight="1">
      <c r="B11" s="14"/>
      <c r="C11" s="15"/>
      <c r="D11" s="15"/>
      <c r="E11" s="16"/>
      <c r="F11" s="26"/>
      <c r="G11" s="45"/>
      <c r="H11" s="45"/>
      <c r="I11" s="45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16900</v>
      </c>
      <c r="H13" s="20">
        <f>H14+H15</f>
        <v>16900</v>
      </c>
      <c r="I13" s="20">
        <f>I14+I15</f>
        <v>16282.52</v>
      </c>
      <c r="J13" s="160">
        <f t="shared" si="0"/>
        <v>96.34627218934911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88">
        <v>16900</v>
      </c>
      <c r="H14" s="88">
        <v>16900</v>
      </c>
      <c r="I14" s="88">
        <v>16282.52</v>
      </c>
      <c r="J14" s="161">
        <f t="shared" si="0"/>
        <v>96.34627218934911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51"/>
      <c r="H16" s="51"/>
      <c r="I16" s="51"/>
      <c r="J16" s="161">
        <f t="shared" si="0"/>
      </c>
    </row>
    <row r="17" spans="2:12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70200</v>
      </c>
      <c r="H17" s="51">
        <f>SUM(H18:H27)</f>
        <v>74030</v>
      </c>
      <c r="I17" s="51">
        <f>SUM(I18:I27)</f>
        <v>69908.94</v>
      </c>
      <c r="J17" s="160">
        <f t="shared" si="0"/>
        <v>94.43325678778874</v>
      </c>
      <c r="L17" s="368"/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5">
        <v>3000</v>
      </c>
      <c r="H18" s="45">
        <v>3000</v>
      </c>
      <c r="I18" s="45">
        <v>2063.51</v>
      </c>
      <c r="J18" s="161">
        <f t="shared" si="0"/>
        <v>68.78366666666668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5">
        <v>0</v>
      </c>
      <c r="H19" s="45">
        <v>0</v>
      </c>
      <c r="I19" s="45">
        <v>0</v>
      </c>
      <c r="J19" s="161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5">
        <v>15000</v>
      </c>
      <c r="H20" s="45">
        <v>16400</v>
      </c>
      <c r="I20" s="45">
        <v>16134.44</v>
      </c>
      <c r="J20" s="161">
        <f t="shared" si="0"/>
        <v>98.38073170731708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88">
        <v>600</v>
      </c>
      <c r="H21" s="88">
        <v>600</v>
      </c>
      <c r="I21" s="88">
        <v>454.9</v>
      </c>
      <c r="J21" s="161">
        <f t="shared" si="0"/>
        <v>75.81666666666666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88">
        <v>1200</v>
      </c>
      <c r="H22" s="88">
        <v>1200</v>
      </c>
      <c r="I22" s="88">
        <v>1099.17</v>
      </c>
      <c r="J22" s="161">
        <f t="shared" si="0"/>
        <v>91.59750000000001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88">
        <v>0</v>
      </c>
      <c r="H23" s="88">
        <v>0</v>
      </c>
      <c r="I23" s="88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88">
        <v>1000</v>
      </c>
      <c r="H24" s="88">
        <v>1000</v>
      </c>
      <c r="I24" s="88">
        <v>745.59</v>
      </c>
      <c r="J24" s="161">
        <f t="shared" si="0"/>
        <v>74.55900000000001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88">
        <v>400</v>
      </c>
      <c r="H25" s="88">
        <v>400</v>
      </c>
      <c r="I25" s="88">
        <v>376.35</v>
      </c>
      <c r="J25" s="161">
        <f t="shared" si="0"/>
        <v>94.0875</v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124">
        <v>41700</v>
      </c>
      <c r="H26" s="124">
        <v>41800</v>
      </c>
      <c r="I26" s="124">
        <v>39410.83</v>
      </c>
      <c r="J26" s="161">
        <f t="shared" si="0"/>
        <v>94.28428229665073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88">
        <v>7300</v>
      </c>
      <c r="H27" s="88">
        <v>9630</v>
      </c>
      <c r="I27" s="88">
        <v>9624.15</v>
      </c>
      <c r="J27" s="161">
        <f t="shared" si="0"/>
        <v>99.93925233644859</v>
      </c>
      <c r="L27" s="95"/>
    </row>
    <row r="28" spans="2:10" ht="12.75" customHeight="1">
      <c r="B28" s="14"/>
      <c r="C28" s="15"/>
      <c r="D28" s="15"/>
      <c r="E28" s="16"/>
      <c r="F28" s="15"/>
      <c r="G28" s="115"/>
      <c r="H28" s="115"/>
      <c r="I28" s="115"/>
      <c r="J28" s="161">
        <f t="shared" si="0"/>
      </c>
    </row>
    <row r="29" spans="2:10" s="1" customFormat="1" ht="12.75" customHeight="1">
      <c r="B29" s="17"/>
      <c r="C29" s="12"/>
      <c r="D29" s="12"/>
      <c r="E29" s="9">
        <v>614000</v>
      </c>
      <c r="F29" s="12" t="s">
        <v>132</v>
      </c>
      <c r="G29" s="115">
        <f>G30+G31</f>
        <v>1730000</v>
      </c>
      <c r="H29" s="115">
        <f>H30+H31</f>
        <v>1628000</v>
      </c>
      <c r="I29" s="115">
        <f>I30+I31</f>
        <v>1627947.72</v>
      </c>
      <c r="J29" s="160">
        <f t="shared" si="0"/>
        <v>99.9967886977887</v>
      </c>
    </row>
    <row r="30" spans="2:10" ht="12.75" customHeight="1">
      <c r="B30" s="14"/>
      <c r="C30" s="15"/>
      <c r="D30" s="31"/>
      <c r="E30" s="16">
        <v>614100</v>
      </c>
      <c r="F30" s="26" t="s">
        <v>149</v>
      </c>
      <c r="G30" s="124">
        <v>150000</v>
      </c>
      <c r="H30" s="124">
        <v>105000</v>
      </c>
      <c r="I30" s="124">
        <v>105000</v>
      </c>
      <c r="J30" s="161">
        <f t="shared" si="0"/>
        <v>100</v>
      </c>
    </row>
    <row r="31" spans="2:12" ht="12.75" customHeight="1">
      <c r="B31" s="14"/>
      <c r="C31" s="15"/>
      <c r="D31" s="15"/>
      <c r="E31" s="16">
        <v>614200</v>
      </c>
      <c r="F31" s="26" t="s">
        <v>31</v>
      </c>
      <c r="G31" s="124">
        <v>1580000</v>
      </c>
      <c r="H31" s="124">
        <v>1523000</v>
      </c>
      <c r="I31" s="124">
        <v>1522947.72</v>
      </c>
      <c r="J31" s="161">
        <f t="shared" si="0"/>
        <v>99.99656730137886</v>
      </c>
      <c r="L31" s="95"/>
    </row>
    <row r="32" spans="2:10" ht="12.75" customHeight="1">
      <c r="B32" s="14"/>
      <c r="C32" s="15"/>
      <c r="D32" s="15"/>
      <c r="E32" s="16"/>
      <c r="F32" s="15"/>
      <c r="G32" s="88"/>
      <c r="H32" s="88"/>
      <c r="I32" s="88"/>
      <c r="J32" s="161">
        <f t="shared" si="0"/>
      </c>
    </row>
    <row r="33" spans="2:10" ht="12.75" customHeight="1">
      <c r="B33" s="14"/>
      <c r="C33" s="15"/>
      <c r="D33" s="15"/>
      <c r="E33" s="9">
        <v>615000</v>
      </c>
      <c r="F33" s="12" t="s">
        <v>14</v>
      </c>
      <c r="G33" s="115">
        <f>SUM(G34:G34)</f>
        <v>28880</v>
      </c>
      <c r="H33" s="115">
        <f>SUM(H34:H34)</f>
        <v>28880</v>
      </c>
      <c r="I33" s="115">
        <f>SUM(I34:I34)</f>
        <v>28880</v>
      </c>
      <c r="J33" s="160">
        <f t="shared" si="0"/>
        <v>100</v>
      </c>
    </row>
    <row r="34" spans="2:10" ht="12.75" customHeight="1">
      <c r="B34" s="14"/>
      <c r="C34" s="15"/>
      <c r="D34" s="15"/>
      <c r="E34" s="59">
        <v>615100</v>
      </c>
      <c r="F34" s="18" t="s">
        <v>140</v>
      </c>
      <c r="G34" s="88">
        <v>28880</v>
      </c>
      <c r="H34" s="88">
        <v>28880</v>
      </c>
      <c r="I34" s="88">
        <v>28880</v>
      </c>
      <c r="J34" s="161">
        <f t="shared" si="0"/>
        <v>100</v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0"/>
      </c>
    </row>
    <row r="36" spans="2:10" ht="12.75" customHeight="1">
      <c r="B36" s="17"/>
      <c r="C36" s="12"/>
      <c r="D36" s="12"/>
      <c r="E36" s="9">
        <v>821000</v>
      </c>
      <c r="F36" s="12" t="s">
        <v>15</v>
      </c>
      <c r="G36" s="115">
        <f>G37+G38</f>
        <v>1500</v>
      </c>
      <c r="H36" s="115">
        <f>H37+H38</f>
        <v>0</v>
      </c>
      <c r="I36" s="115">
        <f>I37+I38</f>
        <v>0</v>
      </c>
      <c r="J36" s="161">
        <f t="shared" si="0"/>
      </c>
    </row>
    <row r="37" spans="2:11" s="1" customFormat="1" ht="12.75" customHeight="1">
      <c r="B37" s="14"/>
      <c r="C37" s="15"/>
      <c r="D37" s="15"/>
      <c r="E37" s="16">
        <v>821200</v>
      </c>
      <c r="F37" s="15" t="s">
        <v>16</v>
      </c>
      <c r="G37" s="88">
        <v>0</v>
      </c>
      <c r="H37" s="88">
        <v>0</v>
      </c>
      <c r="I37" s="88">
        <v>0</v>
      </c>
      <c r="J37" s="161">
        <f t="shared" si="0"/>
      </c>
      <c r="K37" s="1" t="s">
        <v>104</v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88">
        <v>1500</v>
      </c>
      <c r="H38" s="88">
        <v>0</v>
      </c>
      <c r="I38" s="88">
        <v>0</v>
      </c>
      <c r="J38" s="161">
        <f t="shared" si="0"/>
      </c>
    </row>
    <row r="39" spans="2:10" ht="12.75" customHeight="1">
      <c r="B39" s="14"/>
      <c r="C39" s="15"/>
      <c r="D39" s="15"/>
      <c r="E39" s="16"/>
      <c r="F39" s="15"/>
      <c r="G39" s="88"/>
      <c r="H39" s="88"/>
      <c r="I39" s="88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20"/>
      <c r="H40" s="20"/>
      <c r="I40" s="20"/>
      <c r="J40" s="161">
        <f t="shared" si="0"/>
      </c>
    </row>
    <row r="41" spans="2:10" ht="12.75" customHeight="1">
      <c r="B41" s="17"/>
      <c r="C41" s="12"/>
      <c r="D41" s="12"/>
      <c r="E41" s="9"/>
      <c r="F41" s="12" t="s">
        <v>18</v>
      </c>
      <c r="G41" s="115">
        <v>8</v>
      </c>
      <c r="H41" s="115">
        <v>8</v>
      </c>
      <c r="I41" s="115">
        <v>8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G7+G13+G17+G29+G33+G36</f>
        <v>2044180</v>
      </c>
      <c r="H42" s="20">
        <f>H7+H13+H17+H29+H33+H36</f>
        <v>1944510</v>
      </c>
      <c r="I42" s="20">
        <f>I7+I13+I17+I29+I33+I36</f>
        <v>1934221.2999999998</v>
      </c>
      <c r="J42" s="160">
        <f t="shared" si="0"/>
        <v>99.47088469588738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>
        <f aca="true" t="shared" si="1" ref="G43:I44">G42</f>
        <v>2044180</v>
      </c>
      <c r="H43" s="20">
        <f t="shared" si="1"/>
        <v>1944510</v>
      </c>
      <c r="I43" s="20">
        <f t="shared" si="1"/>
        <v>1934221.2999999998</v>
      </c>
      <c r="J43" s="160">
        <f t="shared" si="0"/>
        <v>99.47088469588738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20">
        <f t="shared" si="1"/>
        <v>2044180</v>
      </c>
      <c r="H44" s="20">
        <f t="shared" si="1"/>
        <v>1944510</v>
      </c>
      <c r="I44" s="20">
        <f t="shared" si="1"/>
        <v>1934221.2999999998</v>
      </c>
      <c r="J44" s="160">
        <f t="shared" si="0"/>
        <v>99.47088469588738</v>
      </c>
    </row>
    <row r="45" spans="2:10" s="1" customFormat="1" ht="12.75" customHeight="1" thickBot="1">
      <c r="B45" s="21"/>
      <c r="C45" s="22"/>
      <c r="D45" s="22"/>
      <c r="E45" s="23"/>
      <c r="F45" s="22"/>
      <c r="G45" s="22"/>
      <c r="H45" s="22"/>
      <c r="I45" s="22"/>
      <c r="J45" s="164"/>
    </row>
    <row r="46" ht="12.75" customHeight="1"/>
    <row r="48" spans="2:9" ht="12.75">
      <c r="B48" s="87"/>
      <c r="I48" s="95"/>
    </row>
    <row r="49" ht="12.75">
      <c r="B49" s="87"/>
    </row>
    <row r="50" ht="12.75">
      <c r="B50" s="87"/>
    </row>
    <row r="51" ht="12.75">
      <c r="B51" s="87"/>
    </row>
    <row r="52" ht="12.75">
      <c r="B52" s="87"/>
    </row>
  </sheetData>
  <sheetProtection/>
  <mergeCells count="2">
    <mergeCell ref="B2:I2"/>
    <mergeCell ref="F3:G3"/>
  </mergeCells>
  <printOptions/>
  <pageMargins left="0.2755905511811024" right="0.2755905511811024" top="0.5905511811023623" bottom="0.53" header="0.5118110236220472" footer="0.5118110236220472"/>
  <pageSetup horizontalDpi="180" verticalDpi="180" orientation="portrait" paperSize="9" scale="77" r:id="rId1"/>
  <headerFooter alignWithMargins="0">
    <oddFooter>&amp;R26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2:L50"/>
  <sheetViews>
    <sheetView zoomScaleSheetLayoutView="100"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2" t="s">
        <v>107</v>
      </c>
      <c r="C2" s="412"/>
      <c r="D2" s="412"/>
      <c r="E2" s="412"/>
      <c r="F2" s="412"/>
      <c r="G2" s="412"/>
      <c r="H2" s="11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68</v>
      </c>
      <c r="C6" s="11" t="s">
        <v>6</v>
      </c>
      <c r="D6" s="11" t="s">
        <v>7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245720</v>
      </c>
      <c r="H7" s="20">
        <f>SUM(H8:H11)</f>
        <v>245720</v>
      </c>
      <c r="I7" s="20">
        <f>SUM(I8:I11)</f>
        <v>234714.92</v>
      </c>
      <c r="J7" s="160">
        <f>IF(H7=0,"",I7/H7*100)</f>
        <v>95.52129252808075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124">
        <v>202100</v>
      </c>
      <c r="H8" s="124">
        <v>202100</v>
      </c>
      <c r="I8" s="124">
        <v>194500.92</v>
      </c>
      <c r="J8" s="161">
        <f>IF(H8=0,"",I8/H8*100)</f>
        <v>96.23994062345375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124">
        <v>37500</v>
      </c>
      <c r="H9" s="124">
        <v>37500</v>
      </c>
      <c r="I9" s="124">
        <v>35128</v>
      </c>
      <c r="J9" s="161">
        <f aca="true" t="shared" si="0" ref="J9:J45">IF(H9=0,"",I9/H9*100)</f>
        <v>93.67466666666667</v>
      </c>
    </row>
    <row r="10" spans="2:12" ht="12.75" customHeight="1">
      <c r="B10" s="14"/>
      <c r="C10" s="15"/>
      <c r="D10" s="15"/>
      <c r="E10" s="16">
        <v>611200</v>
      </c>
      <c r="F10" s="26" t="s">
        <v>463</v>
      </c>
      <c r="G10" s="88">
        <v>6120</v>
      </c>
      <c r="H10" s="88">
        <v>6120</v>
      </c>
      <c r="I10" s="88">
        <v>5086</v>
      </c>
      <c r="J10" s="161">
        <f t="shared" si="0"/>
        <v>83.10457516339869</v>
      </c>
      <c r="L10" s="94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21400</v>
      </c>
      <c r="H13" s="20">
        <f>H14+H15</f>
        <v>21400</v>
      </c>
      <c r="I13" s="20">
        <f>I14+I15</f>
        <v>20422.6</v>
      </c>
      <c r="J13" s="160">
        <f t="shared" si="0"/>
        <v>95.43271028037383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124">
        <v>21400</v>
      </c>
      <c r="H14" s="124">
        <v>21400</v>
      </c>
      <c r="I14" s="124">
        <v>20422.6</v>
      </c>
      <c r="J14" s="161">
        <f t="shared" si="0"/>
        <v>95.43271028037383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SUM(G18:G28)</f>
        <v>528600</v>
      </c>
      <c r="H17" s="51">
        <f>SUM(H18:H28)</f>
        <v>528310</v>
      </c>
      <c r="I17" s="51">
        <f>SUM(I18:I28)</f>
        <v>479306.25</v>
      </c>
      <c r="J17" s="160">
        <f t="shared" si="0"/>
        <v>90.7244326247847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6">
        <v>1800</v>
      </c>
      <c r="H18" s="46">
        <v>1800</v>
      </c>
      <c r="I18" s="46">
        <v>449</v>
      </c>
      <c r="J18" s="161">
        <f t="shared" si="0"/>
        <v>24.944444444444443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0</v>
      </c>
      <c r="H19" s="46">
        <v>0</v>
      </c>
      <c r="I19" s="46">
        <v>0</v>
      </c>
      <c r="J19" s="161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6">
        <v>5000</v>
      </c>
      <c r="H20" s="46">
        <v>5000</v>
      </c>
      <c r="I20" s="46">
        <v>4770.98</v>
      </c>
      <c r="J20" s="161">
        <f t="shared" si="0"/>
        <v>95.41959999999999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6">
        <v>0</v>
      </c>
      <c r="H21" s="46">
        <v>0</v>
      </c>
      <c r="I21" s="46">
        <v>0</v>
      </c>
      <c r="J21" s="161">
        <f t="shared" si="0"/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124">
        <v>1200</v>
      </c>
      <c r="H22" s="124">
        <v>1350</v>
      </c>
      <c r="I22" s="124">
        <v>1296.99</v>
      </c>
      <c r="J22" s="161">
        <f t="shared" si="0"/>
        <v>96.07333333333334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124">
        <v>0</v>
      </c>
      <c r="H23" s="124">
        <v>0</v>
      </c>
      <c r="I23" s="124">
        <v>0</v>
      </c>
      <c r="J23" s="161">
        <f t="shared" si="0"/>
      </c>
    </row>
    <row r="24" spans="2:12" ht="12.75" customHeight="1">
      <c r="B24" s="14"/>
      <c r="C24" s="15"/>
      <c r="D24" s="15"/>
      <c r="E24" s="66">
        <v>613700</v>
      </c>
      <c r="F24" s="15" t="s">
        <v>12</v>
      </c>
      <c r="G24" s="124">
        <v>1500</v>
      </c>
      <c r="H24" s="124">
        <v>1760</v>
      </c>
      <c r="I24" s="124">
        <v>1753.6</v>
      </c>
      <c r="J24" s="161">
        <f t="shared" si="0"/>
        <v>99.63636363636364</v>
      </c>
      <c r="L24" s="95"/>
    </row>
    <row r="25" spans="2:10" ht="12.75" customHeight="1">
      <c r="B25" s="14"/>
      <c r="C25" s="15"/>
      <c r="D25" s="31"/>
      <c r="E25" s="16">
        <v>613700</v>
      </c>
      <c r="F25" s="65" t="s">
        <v>13</v>
      </c>
      <c r="G25" s="124">
        <v>500000</v>
      </c>
      <c r="H25" s="124">
        <v>500000</v>
      </c>
      <c r="I25" s="124">
        <v>453340.55</v>
      </c>
      <c r="J25" s="161">
        <f t="shared" si="0"/>
        <v>90.66811</v>
      </c>
    </row>
    <row r="26" spans="2:10" ht="12.75" customHeight="1">
      <c r="B26" s="14"/>
      <c r="C26" s="15"/>
      <c r="D26" s="15"/>
      <c r="E26" s="63">
        <v>613800</v>
      </c>
      <c r="F26" s="15" t="s">
        <v>95</v>
      </c>
      <c r="G26" s="124">
        <v>400</v>
      </c>
      <c r="H26" s="124">
        <v>400</v>
      </c>
      <c r="I26" s="124">
        <v>0</v>
      </c>
      <c r="J26" s="161">
        <f t="shared" si="0"/>
        <v>0</v>
      </c>
    </row>
    <row r="27" spans="2:11" ht="12.75" customHeight="1">
      <c r="B27" s="14"/>
      <c r="C27" s="15"/>
      <c r="D27" s="15"/>
      <c r="E27" s="16">
        <v>613900</v>
      </c>
      <c r="F27" s="15" t="s">
        <v>96</v>
      </c>
      <c r="G27" s="124">
        <v>10500</v>
      </c>
      <c r="H27" s="124">
        <v>10350</v>
      </c>
      <c r="I27" s="124">
        <v>10051.4</v>
      </c>
      <c r="J27" s="161">
        <f t="shared" si="0"/>
        <v>97.11497584541063</v>
      </c>
      <c r="K27" s="114"/>
    </row>
    <row r="28" spans="2:12" ht="12.75" customHeight="1">
      <c r="B28" s="14"/>
      <c r="C28" s="15"/>
      <c r="D28" s="15"/>
      <c r="E28" s="16">
        <v>613900</v>
      </c>
      <c r="F28" s="26" t="s">
        <v>143</v>
      </c>
      <c r="G28" s="124">
        <v>8200</v>
      </c>
      <c r="H28" s="124">
        <v>7650</v>
      </c>
      <c r="I28" s="124">
        <v>7643.73</v>
      </c>
      <c r="J28" s="161">
        <f t="shared" si="0"/>
        <v>99.91803921568628</v>
      </c>
      <c r="L28" s="95"/>
    </row>
    <row r="29" spans="2:10" ht="12.75" customHeight="1">
      <c r="B29" s="14"/>
      <c r="C29" s="15"/>
      <c r="D29" s="15"/>
      <c r="E29" s="16"/>
      <c r="F29" s="15"/>
      <c r="G29" s="124"/>
      <c r="H29" s="124"/>
      <c r="I29" s="124"/>
      <c r="J29" s="161">
        <f t="shared" si="0"/>
      </c>
    </row>
    <row r="30" spans="2:10" s="1" customFormat="1" ht="12.75" customHeight="1">
      <c r="B30" s="17"/>
      <c r="C30" s="12"/>
      <c r="D30" s="12"/>
      <c r="E30" s="9">
        <v>614000</v>
      </c>
      <c r="F30" s="12" t="s">
        <v>132</v>
      </c>
      <c r="G30" s="115">
        <f>SUM(G31:G32)</f>
        <v>100000</v>
      </c>
      <c r="H30" s="115">
        <f>SUM(H31:H32)</f>
        <v>100000</v>
      </c>
      <c r="I30" s="115">
        <f>SUM(I31:I32)</f>
        <v>100000</v>
      </c>
      <c r="J30" s="160">
        <f t="shared" si="0"/>
        <v>100</v>
      </c>
    </row>
    <row r="31" spans="2:10" ht="12.75" customHeight="1">
      <c r="B31" s="14"/>
      <c r="C31" s="15"/>
      <c r="D31" s="31"/>
      <c r="E31" s="63">
        <v>614100</v>
      </c>
      <c r="F31" s="72" t="s">
        <v>105</v>
      </c>
      <c r="G31" s="124">
        <v>100000</v>
      </c>
      <c r="H31" s="124">
        <v>100000</v>
      </c>
      <c r="I31" s="124">
        <v>100000</v>
      </c>
      <c r="J31" s="161">
        <f t="shared" si="0"/>
        <v>100</v>
      </c>
    </row>
    <row r="32" spans="2:10" ht="12.75" customHeight="1">
      <c r="B32" s="14"/>
      <c r="C32" s="15"/>
      <c r="D32" s="15"/>
      <c r="E32" s="16">
        <v>614100</v>
      </c>
      <c r="F32" s="26" t="s">
        <v>152</v>
      </c>
      <c r="G32" s="124">
        <v>0</v>
      </c>
      <c r="H32" s="124">
        <v>0</v>
      </c>
      <c r="I32" s="124">
        <v>0</v>
      </c>
      <c r="J32" s="161">
        <f t="shared" si="0"/>
      </c>
    </row>
    <row r="33" spans="2:10" ht="12.75" customHeight="1">
      <c r="B33" s="14"/>
      <c r="C33" s="15"/>
      <c r="D33" s="15"/>
      <c r="E33" s="16"/>
      <c r="F33" s="15"/>
      <c r="G33" s="124"/>
      <c r="H33" s="124"/>
      <c r="I33" s="124"/>
      <c r="J33" s="161">
        <f t="shared" si="0"/>
      </c>
    </row>
    <row r="34" spans="2:10" ht="12.75" customHeight="1">
      <c r="B34" s="14"/>
      <c r="C34" s="15"/>
      <c r="D34" s="15"/>
      <c r="E34" s="9"/>
      <c r="F34" s="12"/>
      <c r="G34" s="115"/>
      <c r="H34" s="115"/>
      <c r="I34" s="115"/>
      <c r="J34" s="161">
        <f t="shared" si="0"/>
      </c>
    </row>
    <row r="35" spans="2:10" ht="12.75" customHeight="1">
      <c r="B35" s="14"/>
      <c r="C35" s="15"/>
      <c r="D35" s="15"/>
      <c r="E35" s="16"/>
      <c r="F35" s="26"/>
      <c r="G35" s="124"/>
      <c r="H35" s="124"/>
      <c r="I35" s="124"/>
      <c r="J35" s="161">
        <f t="shared" si="0"/>
      </c>
    </row>
    <row r="36" spans="2:10" ht="12.75" customHeight="1">
      <c r="B36" s="14"/>
      <c r="C36" s="15"/>
      <c r="D36" s="15"/>
      <c r="E36" s="16"/>
      <c r="F36" s="15"/>
      <c r="G36" s="124"/>
      <c r="H36" s="124"/>
      <c r="I36" s="124"/>
      <c r="J36" s="161">
        <f t="shared" si="0"/>
      </c>
    </row>
    <row r="37" spans="2:10" s="1" customFormat="1" ht="12.75" customHeight="1">
      <c r="B37" s="17"/>
      <c r="C37" s="12"/>
      <c r="D37" s="12"/>
      <c r="E37" s="9">
        <v>821000</v>
      </c>
      <c r="F37" s="12" t="s">
        <v>15</v>
      </c>
      <c r="G37" s="115">
        <f>SUM(G38:G40)</f>
        <v>841500</v>
      </c>
      <c r="H37" s="115">
        <f>SUM(H38:H40)</f>
        <v>841500</v>
      </c>
      <c r="I37" s="115">
        <f>SUM(I38:I40)</f>
        <v>841470.99</v>
      </c>
      <c r="J37" s="160">
        <f t="shared" si="0"/>
        <v>99.99655258467023</v>
      </c>
    </row>
    <row r="38" spans="2:10" ht="12.75" customHeight="1">
      <c r="B38" s="14"/>
      <c r="C38" s="15"/>
      <c r="D38" s="15"/>
      <c r="E38" s="16">
        <v>821200</v>
      </c>
      <c r="F38" s="15" t="s">
        <v>16</v>
      </c>
      <c r="G38" s="124">
        <v>0</v>
      </c>
      <c r="H38" s="124">
        <v>0</v>
      </c>
      <c r="I38" s="124">
        <v>0</v>
      </c>
      <c r="J38" s="161">
        <f t="shared" si="0"/>
      </c>
    </row>
    <row r="39" spans="2:10" ht="12.75" customHeight="1">
      <c r="B39" s="14"/>
      <c r="C39" s="15"/>
      <c r="D39" s="15"/>
      <c r="E39" s="16">
        <v>821300</v>
      </c>
      <c r="F39" s="15" t="s">
        <v>17</v>
      </c>
      <c r="G39" s="124">
        <v>1500</v>
      </c>
      <c r="H39" s="124">
        <v>1500</v>
      </c>
      <c r="I39" s="124">
        <v>1486.24</v>
      </c>
      <c r="J39" s="161">
        <f t="shared" si="0"/>
        <v>99.08266666666667</v>
      </c>
    </row>
    <row r="40" spans="2:12" ht="12.75" customHeight="1">
      <c r="B40" s="14"/>
      <c r="C40" s="15"/>
      <c r="D40" s="15"/>
      <c r="E40" s="126">
        <v>821600</v>
      </c>
      <c r="F40" s="117" t="s">
        <v>30</v>
      </c>
      <c r="G40" s="124">
        <v>840000</v>
      </c>
      <c r="H40" s="124">
        <v>840000</v>
      </c>
      <c r="I40" s="124">
        <v>839984.75</v>
      </c>
      <c r="J40" s="161">
        <f t="shared" si="0"/>
        <v>99.99818452380951</v>
      </c>
      <c r="L40" s="95"/>
    </row>
    <row r="41" spans="2:10" ht="12.75" customHeight="1">
      <c r="B41" s="14"/>
      <c r="C41" s="15"/>
      <c r="D41" s="15"/>
      <c r="E41" s="16"/>
      <c r="F41" s="15"/>
      <c r="G41" s="115"/>
      <c r="H41" s="115"/>
      <c r="I41" s="115"/>
      <c r="J41" s="161">
        <f t="shared" si="0"/>
      </c>
    </row>
    <row r="42" spans="2:10" s="1" customFormat="1" ht="12.75" customHeight="1">
      <c r="B42" s="17"/>
      <c r="C42" s="12"/>
      <c r="D42" s="12"/>
      <c r="E42" s="9"/>
      <c r="F42" s="12" t="s">
        <v>18</v>
      </c>
      <c r="G42" s="115">
        <v>10</v>
      </c>
      <c r="H42" s="115">
        <v>10</v>
      </c>
      <c r="I42" s="115">
        <v>10</v>
      </c>
      <c r="J42" s="161"/>
    </row>
    <row r="43" spans="2:10" s="1" customFormat="1" ht="12.75" customHeight="1">
      <c r="B43" s="17"/>
      <c r="C43" s="12"/>
      <c r="D43" s="12"/>
      <c r="E43" s="9"/>
      <c r="F43" s="12" t="s">
        <v>40</v>
      </c>
      <c r="G43" s="20">
        <f>G7+G13+G17+G30+G37</f>
        <v>1737220</v>
      </c>
      <c r="H43" s="20">
        <f>H7+H13+H17+H30+H37</f>
        <v>1736930</v>
      </c>
      <c r="I43" s="20">
        <f>I7+I13+I17+I30+I37</f>
        <v>1675914.76</v>
      </c>
      <c r="J43" s="160">
        <f t="shared" si="0"/>
        <v>96.48717910336053</v>
      </c>
    </row>
    <row r="44" spans="2:10" s="1" customFormat="1" ht="12.75" customHeight="1">
      <c r="B44" s="17"/>
      <c r="C44" s="12"/>
      <c r="D44" s="12"/>
      <c r="E44" s="9"/>
      <c r="F44" s="12" t="s">
        <v>19</v>
      </c>
      <c r="G44" s="20">
        <f aca="true" t="shared" si="1" ref="G44:I45">G43</f>
        <v>1737220</v>
      </c>
      <c r="H44" s="20">
        <f t="shared" si="1"/>
        <v>1736930</v>
      </c>
      <c r="I44" s="20">
        <f t="shared" si="1"/>
        <v>1675914.76</v>
      </c>
      <c r="J44" s="160">
        <f t="shared" si="0"/>
        <v>96.48717910336053</v>
      </c>
    </row>
    <row r="45" spans="2:10" s="1" customFormat="1" ht="12.75" customHeight="1">
      <c r="B45" s="17"/>
      <c r="C45" s="12"/>
      <c r="D45" s="12"/>
      <c r="E45" s="9"/>
      <c r="F45" s="12" t="s">
        <v>20</v>
      </c>
      <c r="G45" s="20">
        <f t="shared" si="1"/>
        <v>1737220</v>
      </c>
      <c r="H45" s="20">
        <f t="shared" si="1"/>
        <v>1736930</v>
      </c>
      <c r="I45" s="20">
        <f t="shared" si="1"/>
        <v>1675914.76</v>
      </c>
      <c r="J45" s="160">
        <f t="shared" si="0"/>
        <v>96.48717910336053</v>
      </c>
    </row>
    <row r="46" spans="2:10" ht="12.75" customHeight="1" thickBot="1">
      <c r="B46" s="21"/>
      <c r="C46" s="22"/>
      <c r="D46" s="22"/>
      <c r="E46" s="23"/>
      <c r="F46" s="22"/>
      <c r="G46" s="47"/>
      <c r="H46" s="47"/>
      <c r="I46" s="47"/>
      <c r="J46" s="164"/>
    </row>
    <row r="48" ht="12.75">
      <c r="B48" s="87"/>
    </row>
    <row r="49" ht="12.75">
      <c r="B49" s="87"/>
    </row>
    <row r="50" ht="12.75">
      <c r="B50" s="87"/>
    </row>
  </sheetData>
  <sheetProtection/>
  <mergeCells count="2">
    <mergeCell ref="B2:G2"/>
    <mergeCell ref="F3:G3"/>
  </mergeCells>
  <printOptions/>
  <pageMargins left="0.2755905511811024" right="0.2755905511811024" top="0.5905511811023623" bottom="0.54" header="0.5118110236220472" footer="0.5118110236220472"/>
  <pageSetup fitToHeight="1" fitToWidth="1" horizontalDpi="180" verticalDpi="180" orientation="portrait" paperSize="9" scale="77" r:id="rId1"/>
  <headerFooter alignWithMargins="0">
    <oddFooter>&amp;R27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Z310"/>
  <sheetViews>
    <sheetView zoomScalePageLayoutView="0" workbookViewId="0" topLeftCell="A1">
      <selection activeCell="F15" sqref="F15"/>
    </sheetView>
  </sheetViews>
  <sheetFormatPr defaultColWidth="9.140625" defaultRowHeight="15" customHeight="1"/>
  <cols>
    <col min="1" max="1" width="50.00390625" style="0" customWidth="1"/>
    <col min="2" max="2" width="17.421875" style="0" customWidth="1"/>
    <col min="3" max="3" width="17.140625" style="0" customWidth="1"/>
    <col min="4" max="4" width="9.7109375" style="0" customWidth="1"/>
    <col min="5" max="5" width="6.421875" style="0" customWidth="1"/>
    <col min="7" max="8" width="15.7109375" style="0" customWidth="1"/>
    <col min="9" max="9" width="8.7109375" style="0" customWidth="1"/>
  </cols>
  <sheetData>
    <row r="1" spans="1:26" ht="15" customHeight="1">
      <c r="A1" s="402"/>
      <c r="B1" s="402"/>
      <c r="C1" s="402"/>
      <c r="D1" s="402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15" customHeight="1">
      <c r="A2" s="402"/>
      <c r="B2" s="402"/>
      <c r="C2" s="402"/>
      <c r="D2" s="402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15" customHeight="1">
      <c r="A3" s="402"/>
      <c r="B3" s="402"/>
      <c r="C3" s="402"/>
      <c r="D3" s="402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15" customHeight="1">
      <c r="A4" s="402"/>
      <c r="B4" s="402"/>
      <c r="C4" s="402"/>
      <c r="D4" s="402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9" customHeight="1">
      <c r="A5" s="386"/>
      <c r="B5" s="386"/>
      <c r="C5" s="386"/>
      <c r="D5" s="386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18.75" customHeight="1">
      <c r="A6" s="391" t="s">
        <v>542</v>
      </c>
      <c r="B6" s="391"/>
      <c r="C6" s="391"/>
      <c r="D6" s="3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ht="15" customHeight="1">
      <c r="A7" s="403" t="s">
        <v>590</v>
      </c>
      <c r="B7" s="403"/>
      <c r="C7" s="403"/>
      <c r="D7" s="403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10.5" customHeight="1">
      <c r="A8" s="54"/>
      <c r="B8" s="53"/>
      <c r="C8" s="53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15" customHeight="1">
      <c r="A9" s="275"/>
      <c r="B9" s="71"/>
      <c r="C9" s="7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spans="1:26" ht="6.75" customHeight="1">
      <c r="A10" s="55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26" ht="15" customHeight="1">
      <c r="A11" s="55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5.75" customHeight="1">
      <c r="A12" s="404"/>
      <c r="B12" s="404"/>
      <c r="C12" s="404"/>
      <c r="D12" s="404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26" ht="10.5" customHeight="1">
      <c r="A13" s="73"/>
      <c r="B13" s="73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28.5" customHeight="1">
      <c r="A14" s="289" t="s">
        <v>241</v>
      </c>
      <c r="B14" s="284" t="s">
        <v>398</v>
      </c>
      <c r="C14" s="284" t="s">
        <v>585</v>
      </c>
      <c r="D14" s="284" t="s">
        <v>399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s="281" customFormat="1" ht="12.75" customHeight="1">
      <c r="A15" s="285">
        <v>1</v>
      </c>
      <c r="B15" s="286">
        <v>2</v>
      </c>
      <c r="C15" s="286">
        <v>3</v>
      </c>
      <c r="D15" s="285">
        <v>4</v>
      </c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</row>
    <row r="16" spans="1:26" ht="15" customHeight="1">
      <c r="A16" s="283" t="s">
        <v>421</v>
      </c>
      <c r="B16" s="292">
        <f>B17+B25+B26+B27+B28</f>
        <v>37584540</v>
      </c>
      <c r="C16" s="292">
        <f>C17+C25+C26+C27+C28</f>
        <v>38995254.98</v>
      </c>
      <c r="D16" s="311">
        <f>IF(B16=0,,C16/B16*100)</f>
        <v>103.75344484726965</v>
      </c>
      <c r="E16" s="278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5" customHeight="1">
      <c r="A17" s="279" t="s">
        <v>416</v>
      </c>
      <c r="B17" s="288">
        <f>SUM(B18:B24)</f>
        <v>27864990</v>
      </c>
      <c r="C17" s="288">
        <f>SUM(C18:C24)</f>
        <v>30005692.72</v>
      </c>
      <c r="D17" s="312">
        <f aca="true" t="shared" si="0" ref="D17:D47">IF(B17=0,,C17/B17*100)</f>
        <v>107.68240979092403</v>
      </c>
      <c r="E17" s="278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5" customHeight="1">
      <c r="A18" s="280" t="s">
        <v>401</v>
      </c>
      <c r="B18" s="302">
        <f>'prihodi-1'!D6</f>
        <v>1485350</v>
      </c>
      <c r="C18" s="302">
        <f>'prihodi-1'!E6</f>
        <v>1806009.75</v>
      </c>
      <c r="D18" s="321">
        <f t="shared" si="0"/>
        <v>121.58816103948564</v>
      </c>
      <c r="E18" s="278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5" ht="15" customHeight="1">
      <c r="A19" s="280" t="s">
        <v>402</v>
      </c>
      <c r="B19" s="302">
        <f>'prihodi-1'!D14</f>
        <v>7750</v>
      </c>
      <c r="C19" s="302">
        <f>'prihodi-1'!E14</f>
        <v>6715.74</v>
      </c>
      <c r="D19" s="313">
        <f t="shared" si="0"/>
        <v>86.65470967741935</v>
      </c>
      <c r="E19" s="278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ht="15" customHeight="1">
      <c r="A20" s="280" t="s">
        <v>403</v>
      </c>
      <c r="B20" s="302">
        <f>'prihodi-1'!D18</f>
        <v>214400</v>
      </c>
      <c r="C20" s="302">
        <f>'prihodi-1'!E18</f>
        <v>261846.15999999997</v>
      </c>
      <c r="D20" s="321">
        <f t="shared" si="0"/>
        <v>122.12973880597013</v>
      </c>
      <c r="E20" s="278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ht="15" customHeight="1">
      <c r="A21" s="280" t="s">
        <v>404</v>
      </c>
      <c r="B21" s="303">
        <f>'prihodi-1'!D26</f>
        <v>5600</v>
      </c>
      <c r="C21" s="303">
        <f>'prihodi-1'!E26</f>
        <v>5814.61</v>
      </c>
      <c r="D21" s="314">
        <f t="shared" si="0"/>
        <v>103.83232142857142</v>
      </c>
      <c r="E21" s="278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</row>
    <row r="22" spans="1:25" ht="15" customHeight="1">
      <c r="A22" s="280" t="s">
        <v>405</v>
      </c>
      <c r="B22" s="303">
        <f>'prihodi-1'!D36</f>
        <v>1950150</v>
      </c>
      <c r="C22" s="303">
        <f>'prihodi-1'!E36</f>
        <v>2174133.6</v>
      </c>
      <c r="D22" s="314">
        <f t="shared" si="0"/>
        <v>111.4854549650027</v>
      </c>
      <c r="E22" s="278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:25" ht="15" customHeight="1">
      <c r="A23" s="280" t="s">
        <v>406</v>
      </c>
      <c r="B23" s="303">
        <f>'prihodi-1'!D45</f>
        <v>24197460</v>
      </c>
      <c r="C23" s="303">
        <f>'prihodi-1'!E45</f>
        <v>25747102.3</v>
      </c>
      <c r="D23" s="314">
        <f t="shared" si="0"/>
        <v>106.40415274991672</v>
      </c>
      <c r="E23" s="278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ht="15" customHeight="1">
      <c r="A24" s="280" t="s">
        <v>407</v>
      </c>
      <c r="B24" s="303">
        <f>'prihodi-1'!D49</f>
        <v>4280</v>
      </c>
      <c r="C24" s="303">
        <f>'prihodi-1'!E49</f>
        <v>4070.5600000000004</v>
      </c>
      <c r="D24" s="314">
        <f t="shared" si="0"/>
        <v>95.10654205607477</v>
      </c>
      <c r="E24" s="278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</row>
    <row r="25" spans="1:26" ht="15" customHeight="1">
      <c r="A25" s="279" t="s">
        <v>408</v>
      </c>
      <c r="B25" s="288">
        <f>'prihodi-2'!D6</f>
        <v>2909040</v>
      </c>
      <c r="C25" s="288">
        <f>'prihodi-2'!E6</f>
        <v>2885002.6</v>
      </c>
      <c r="D25" s="312">
        <f t="shared" si="0"/>
        <v>99.17369991474851</v>
      </c>
      <c r="E25" s="278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5" customHeight="1">
      <c r="A26" s="279" t="s">
        <v>538</v>
      </c>
      <c r="B26" s="288">
        <f>'prihodi-4'!D7</f>
        <v>5744860</v>
      </c>
      <c r="C26" s="288">
        <f>'prihodi-4'!E7</f>
        <v>5524569.01</v>
      </c>
      <c r="D26" s="312">
        <f t="shared" si="0"/>
        <v>96.16542457083375</v>
      </c>
      <c r="E26" s="278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5" customHeight="1">
      <c r="A27" s="279" t="s">
        <v>539</v>
      </c>
      <c r="B27" s="288">
        <f>'prihodi-4'!D40</f>
        <v>1064450</v>
      </c>
      <c r="C27" s="288">
        <f>'prihodi-4'!E40</f>
        <v>576669.04</v>
      </c>
      <c r="D27" s="312">
        <f t="shared" si="0"/>
        <v>54.17530555686035</v>
      </c>
      <c r="E27" s="278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5" customHeight="1">
      <c r="A28" s="279" t="s">
        <v>420</v>
      </c>
      <c r="B28" s="288">
        <f>'prihodi-5'!D22</f>
        <v>1200</v>
      </c>
      <c r="C28" s="288">
        <f>'prihodi-5'!E22</f>
        <v>3321.61</v>
      </c>
      <c r="D28" s="312">
        <f t="shared" si="0"/>
        <v>276.80083333333334</v>
      </c>
      <c r="E28" s="278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5" ht="15" customHeight="1">
      <c r="A29" s="283" t="s">
        <v>417</v>
      </c>
      <c r="B29" s="292">
        <f>B30+B31</f>
        <v>34186840</v>
      </c>
      <c r="C29" s="292">
        <f>C30+C31</f>
        <v>32794464.75</v>
      </c>
      <c r="D29" s="315">
        <f t="shared" si="0"/>
        <v>95.92716012945333</v>
      </c>
      <c r="E29" s="278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</row>
    <row r="30" spans="1:25" s="71" customFormat="1" ht="15" customHeight="1">
      <c r="A30" s="287" t="s">
        <v>409</v>
      </c>
      <c r="B30" s="288">
        <f>'rashodi-1'!F8+'rashodi-1'!F14+'rashodi-1'!F19+'rashodi-1'!F22+'rashodi-1'!F40</f>
        <v>33794280</v>
      </c>
      <c r="C30" s="288">
        <f>'rashodi-1'!G8+'rashodi-1'!G14+'rashodi-1'!G19+'rashodi-1'!G22+'rashodi-1'!G40</f>
        <v>32406332.11</v>
      </c>
      <c r="D30" s="312">
        <f t="shared" si="0"/>
        <v>95.89295025667064</v>
      </c>
      <c r="E30" s="290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</row>
    <row r="31" spans="1:25" s="71" customFormat="1" ht="15" customHeight="1">
      <c r="A31" s="287" t="s">
        <v>410</v>
      </c>
      <c r="B31" s="288">
        <f>SUM(B32:B33)</f>
        <v>392560</v>
      </c>
      <c r="C31" s="288">
        <f>SUM(C32:C33)</f>
        <v>388132.64</v>
      </c>
      <c r="D31" s="312">
        <f t="shared" si="0"/>
        <v>98.87218259629101</v>
      </c>
      <c r="E31" s="290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</row>
    <row r="32" spans="1:26" ht="15" customHeight="1">
      <c r="A32" s="280" t="s">
        <v>534</v>
      </c>
      <c r="B32" s="302">
        <f>'rashodi-2'!F17</f>
        <v>274380</v>
      </c>
      <c r="C32" s="302">
        <f>'rashodi-2'!G17</f>
        <v>274380</v>
      </c>
      <c r="D32" s="321">
        <f t="shared" si="0"/>
        <v>100</v>
      </c>
      <c r="E32" s="278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5" ht="15" customHeight="1" thickBot="1">
      <c r="A33" s="295" t="s">
        <v>411</v>
      </c>
      <c r="B33" s="304">
        <f>'rashodi-2'!F22</f>
        <v>118180</v>
      </c>
      <c r="C33" s="304">
        <f>'rashodi-2'!G22</f>
        <v>113752.64000000001</v>
      </c>
      <c r="D33" s="316">
        <f t="shared" si="0"/>
        <v>96.25371467253343</v>
      </c>
      <c r="E33" s="278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</row>
    <row r="34" spans="1:25" ht="15" customHeight="1" thickBot="1" thickTop="1">
      <c r="A34" s="293" t="s">
        <v>414</v>
      </c>
      <c r="B34" s="294">
        <f>B16-B29</f>
        <v>3397700</v>
      </c>
      <c r="C34" s="294">
        <f>C16-C29</f>
        <v>6200790.229999997</v>
      </c>
      <c r="D34" s="317">
        <f t="shared" si="0"/>
        <v>182.4996388733554</v>
      </c>
      <c r="E34" s="278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</row>
    <row r="35" spans="1:25" ht="15" customHeight="1" thickTop="1">
      <c r="A35" s="283" t="s">
        <v>412</v>
      </c>
      <c r="B35" s="292">
        <f>'prihodi-5'!D28</f>
        <v>0</v>
      </c>
      <c r="C35" s="292">
        <f>'prihodi-5'!E28</f>
        <v>8240</v>
      </c>
      <c r="D35" s="315">
        <f t="shared" si="0"/>
        <v>0</v>
      </c>
      <c r="E35" s="278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</row>
    <row r="36" spans="1:25" ht="15" customHeight="1" thickBot="1">
      <c r="A36" s="300" t="s">
        <v>413</v>
      </c>
      <c r="B36" s="301">
        <f>'rashodi-2'!F29</f>
        <v>1479000</v>
      </c>
      <c r="C36" s="301">
        <f>'rashodi-2'!G29</f>
        <v>1367892.12</v>
      </c>
      <c r="D36" s="318">
        <f t="shared" si="0"/>
        <v>92.48763488843814</v>
      </c>
      <c r="E36" s="278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ht="15" customHeight="1" thickBot="1" thickTop="1">
      <c r="A37" s="296" t="s">
        <v>415</v>
      </c>
      <c r="B37" s="297">
        <f>B35-B36</f>
        <v>-1479000</v>
      </c>
      <c r="C37" s="297">
        <f>C35-C36</f>
        <v>-1359652.12</v>
      </c>
      <c r="D37" s="319">
        <f t="shared" si="0"/>
        <v>91.93050169033131</v>
      </c>
      <c r="E37" s="278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ht="24.75" customHeight="1" thickBot="1" thickTop="1">
      <c r="A38" s="293" t="s">
        <v>441</v>
      </c>
      <c r="B38" s="294">
        <f>B34+B37</f>
        <v>1918700</v>
      </c>
      <c r="C38" s="294">
        <f>C34+C37</f>
        <v>4841138.109999997</v>
      </c>
      <c r="D38" s="317">
        <f t="shared" si="0"/>
        <v>252.31344712565783</v>
      </c>
      <c r="E38" s="278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" ht="15" customHeight="1" thickTop="1">
      <c r="A39" s="283" t="s">
        <v>418</v>
      </c>
      <c r="B39" s="292">
        <f>0</f>
        <v>0</v>
      </c>
      <c r="C39" s="292">
        <f>0</f>
        <v>0</v>
      </c>
      <c r="D39" s="315">
        <f t="shared" si="0"/>
        <v>0</v>
      </c>
      <c r="E39" s="278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26.25" customHeight="1">
      <c r="A40" s="241" t="s">
        <v>419</v>
      </c>
      <c r="B40" s="292">
        <f>B41</f>
        <v>1828680</v>
      </c>
      <c r="C40" s="292">
        <f>C41</f>
        <v>1801677.56</v>
      </c>
      <c r="D40" s="315">
        <f t="shared" si="0"/>
        <v>98.52339173611567</v>
      </c>
      <c r="E40" s="27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6" ht="15" customHeight="1" thickBot="1">
      <c r="A41" s="280" t="s">
        <v>422</v>
      </c>
      <c r="B41" s="302">
        <f>'rashodi-2'!F35</f>
        <v>1828680</v>
      </c>
      <c r="C41" s="302">
        <f>'rashodi-2'!G35</f>
        <v>1801677.56</v>
      </c>
      <c r="D41" s="321">
        <f t="shared" si="0"/>
        <v>98.52339173611567</v>
      </c>
      <c r="E41" s="278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5" ht="15" customHeight="1" thickBot="1" thickTop="1">
      <c r="A42" s="296" t="s">
        <v>423</v>
      </c>
      <c r="B42" s="297">
        <f>B39-B40</f>
        <v>-1828680</v>
      </c>
      <c r="C42" s="297">
        <f>C39-C40</f>
        <v>-1801677.56</v>
      </c>
      <c r="D42" s="319">
        <f t="shared" si="0"/>
        <v>98.52339173611567</v>
      </c>
      <c r="E42" s="278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:25" ht="15" customHeight="1" thickBot="1" thickTop="1">
      <c r="A43" s="296" t="s">
        <v>424</v>
      </c>
      <c r="B43" s="297">
        <f>B38+B42</f>
        <v>90020</v>
      </c>
      <c r="C43" s="297">
        <f>C38+C42</f>
        <v>3039460.5499999966</v>
      </c>
      <c r="D43" s="319">
        <f t="shared" si="0"/>
        <v>3376.428071539654</v>
      </c>
      <c r="E43" s="278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</row>
    <row r="44" spans="1:25" ht="15" customHeight="1" thickBot="1" thickTop="1">
      <c r="A44" s="296" t="s">
        <v>425</v>
      </c>
      <c r="B44" s="297">
        <f>B43</f>
        <v>90020</v>
      </c>
      <c r="C44" s="297">
        <f>C43</f>
        <v>3039460.5499999966</v>
      </c>
      <c r="D44" s="319">
        <f t="shared" si="0"/>
        <v>3376.428071539654</v>
      </c>
      <c r="E44" s="278"/>
      <c r="F44" s="35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</row>
    <row r="45" spans="1:25" ht="15" customHeight="1" thickTop="1">
      <c r="A45" s="298"/>
      <c r="B45" s="299"/>
      <c r="C45" s="299"/>
      <c r="D45" s="320"/>
      <c r="E45" s="278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</row>
    <row r="46" spans="1:25" ht="15" customHeight="1">
      <c r="A46" s="283" t="s">
        <v>400</v>
      </c>
      <c r="B46" s="292">
        <f>B16+B35+B39</f>
        <v>37584540</v>
      </c>
      <c r="C46" s="292">
        <f>C16+C35+C39</f>
        <v>39003494.98</v>
      </c>
      <c r="D46" s="315">
        <f t="shared" si="0"/>
        <v>103.77536875534462</v>
      </c>
      <c r="E46" s="278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</row>
    <row r="47" spans="1:25" ht="15" customHeight="1">
      <c r="A47" s="283" t="s">
        <v>426</v>
      </c>
      <c r="B47" s="292">
        <f>B29+B36+B40+B44</f>
        <v>37584540</v>
      </c>
      <c r="C47" s="292">
        <f>C29+C36+C40+C44</f>
        <v>39003494.98</v>
      </c>
      <c r="D47" s="315">
        <f t="shared" si="0"/>
        <v>103.77536875534462</v>
      </c>
      <c r="E47" s="278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:26" ht="15" customHeight="1">
      <c r="A48" s="56"/>
      <c r="D48" s="11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5" customHeight="1">
      <c r="A49" s="55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6:26" ht="9.75" customHeight="1"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4.25" customHeight="1">
      <c r="A51" s="402"/>
      <c r="B51" s="402"/>
      <c r="C51" s="402"/>
      <c r="D51" s="40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25.5" customHeight="1">
      <c r="A52" s="402"/>
      <c r="B52" s="402"/>
      <c r="C52" s="402"/>
      <c r="D52" s="40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6:26" ht="15" customHeight="1"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5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5" customHeight="1">
      <c r="A55" s="92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5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5" customHeight="1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5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5" customHeight="1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5" customHeight="1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5" customHeight="1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5" customHeight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5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5" customHeight="1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5" customHeight="1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5" customHeight="1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ht="1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ht="15" customHeight="1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spans="1:26" ht="15" customHeight="1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ht="15" customHeight="1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5" customHeight="1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5" customHeight="1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5" customHeight="1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5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5" customHeight="1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5" customHeight="1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5" customHeight="1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5" customHeight="1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5" customHeight="1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5" customHeight="1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5" customHeight="1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5" customHeight="1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5" customHeight="1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5" customHeight="1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5" customHeight="1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5" customHeight="1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5" customHeight="1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5" customHeight="1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5" customHeight="1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5" customHeight="1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5" customHeight="1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ht="15" customHeight="1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1:26" ht="15" customHeight="1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5" customHeight="1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5" customHeight="1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15" customHeight="1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5" customHeight="1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5" customHeight="1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5" customHeight="1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5" customHeight="1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5" customHeight="1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5" customHeight="1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5" customHeight="1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5" customHeight="1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ht="15" customHeight="1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ht="15" customHeight="1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6" ht="15" customHeight="1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ht="15" customHeight="1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ht="15" customHeight="1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ht="15" customHeight="1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ht="15" customHeight="1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1:26" ht="15" customHeight="1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ht="15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ht="15" customHeight="1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ht="15" customHeight="1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ht="15" customHeight="1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ht="15" customHeight="1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ht="15" customHeight="1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1:26" ht="15" customHeight="1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1:26" ht="15" customHeight="1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1:26" ht="15" customHeight="1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1:26" ht="15" customHeight="1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1:26" ht="15" customHeight="1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1:26" ht="15" customHeight="1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1:26" ht="15" customHeight="1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15" customHeight="1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15" customHeight="1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ht="15" customHeight="1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1:26" ht="15" customHeight="1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1:26" ht="15" customHeight="1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1:26" ht="15" customHeight="1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1:26" ht="15" customHeight="1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1:26" ht="15" customHeight="1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1:26" ht="15" customHeight="1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ht="15" customHeight="1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1:26" ht="15" customHeight="1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1:26" ht="15" customHeight="1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1:26" ht="15" customHeight="1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6" ht="15" customHeight="1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6" ht="15" customHeight="1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6" ht="15" customHeight="1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1:26" ht="15" customHeight="1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1:26" ht="15" customHeight="1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1:26" ht="15" customHeight="1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1:26" ht="15" customHeight="1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1:26" ht="15" customHeight="1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1:26" ht="15" customHeight="1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1:26" ht="15" customHeight="1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1:26" ht="15" customHeight="1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1:26" ht="15" customHeight="1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1:26" ht="15" customHeight="1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1:26" ht="15" customHeight="1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1:26" ht="15" customHeight="1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1:26" ht="15" customHeight="1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1:26" ht="15" customHeight="1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1:26" ht="15" customHeight="1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6:26" ht="15" customHeight="1"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6:26" ht="15" customHeight="1"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6:26" ht="15" customHeight="1"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6:26" ht="15" customHeight="1"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6:26" ht="15" customHeight="1"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6:26" ht="15" customHeight="1"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6:26" ht="15" customHeight="1"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6:26" ht="15" customHeight="1"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6:26" ht="15" customHeight="1"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6:26" ht="15" customHeight="1"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6:26" ht="15" customHeight="1"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6:26" ht="15" customHeight="1"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6:26" ht="15" customHeight="1"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6:26" ht="15" customHeight="1"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6:26" ht="15" customHeight="1"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6:26" ht="15" customHeight="1"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6:26" ht="15" customHeight="1"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6:26" ht="15" customHeight="1"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6:26" ht="15" customHeight="1"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6:26" ht="15" customHeight="1"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6:26" ht="15" customHeight="1"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6:26" ht="15" customHeight="1"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6:26" ht="15" customHeight="1"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6:26" ht="15" customHeight="1"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6:26" ht="15" customHeight="1"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6:26" ht="15" customHeight="1"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6:26" ht="15" customHeight="1"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6:26" ht="15" customHeight="1"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6:26" ht="15" customHeight="1"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6:26" ht="15" customHeight="1"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6:26" ht="15" customHeight="1"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6:26" ht="15" customHeight="1"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6:26" ht="15" customHeight="1"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6:26" ht="15" customHeight="1"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6:26" ht="15" customHeight="1"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6:26" ht="15" customHeight="1"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6:26" ht="15" customHeight="1"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6:26" ht="15" customHeight="1"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6:26" ht="15" customHeight="1"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6:26" ht="15" customHeight="1"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6:26" ht="15" customHeight="1"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6:26" ht="15" customHeight="1"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6:26" ht="15" customHeight="1"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6:26" ht="15" customHeight="1"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6:26" ht="15" customHeight="1"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6:26" ht="15" customHeight="1"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6:26" ht="15" customHeight="1"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6:26" ht="15" customHeight="1"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6:26" ht="15" customHeight="1"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6:26" ht="15" customHeight="1"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6:26" ht="15" customHeight="1"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6:26" ht="15" customHeight="1"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6:26" ht="15" customHeight="1"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6:26" ht="15" customHeight="1"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6:26" ht="15" customHeight="1"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6:26" ht="15" customHeight="1"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6:26" ht="15" customHeight="1"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6:26" ht="15" customHeight="1"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6:26" ht="15" customHeight="1"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6:26" ht="15" customHeight="1"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6:26" ht="15" customHeight="1"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6:26" ht="15" customHeight="1"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6:26" ht="15" customHeight="1"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6:26" ht="15" customHeight="1"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6:26" ht="15" customHeight="1"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6:26" ht="15" customHeight="1"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6:26" ht="15" customHeight="1"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6:26" ht="15" customHeight="1"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6:26" ht="15" customHeight="1"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6:26" ht="15" customHeight="1"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6:26" ht="15" customHeight="1"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6:26" ht="15" customHeight="1"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6:26" ht="15" customHeight="1"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6:26" ht="15" customHeight="1"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6:26" ht="15" customHeight="1"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6:26" ht="15" customHeight="1"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6:26" ht="15" customHeight="1"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6:26" ht="15" customHeight="1"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6:26" ht="15" customHeight="1"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6:26" ht="15" customHeight="1"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6:26" ht="15" customHeight="1"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6:26" ht="15" customHeight="1"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6:26" ht="15" customHeight="1"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6:26" ht="15" customHeight="1"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6:26" ht="15" customHeight="1"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6:26" ht="15" customHeight="1"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6:26" ht="15" customHeight="1"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6:26" ht="15" customHeight="1"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6:26" ht="15" customHeight="1"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6:26" ht="15" customHeight="1"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6:26" ht="15" customHeight="1"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6:26" ht="15" customHeight="1"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6:26" ht="15" customHeight="1"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6:26" ht="15" customHeight="1"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6:26" ht="15" customHeight="1"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6:26" ht="15" customHeight="1"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6:26" ht="15" customHeight="1"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6:26" ht="15" customHeight="1"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6:26" ht="15" customHeight="1"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6:26" ht="15" customHeight="1"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6:26" ht="15" customHeight="1"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6:26" ht="15" customHeight="1"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6:26" ht="15" customHeight="1"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6:26" ht="15" customHeight="1"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6:26" ht="15" customHeight="1"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6:26" ht="15" customHeight="1"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6:26" ht="15" customHeight="1"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6:26" ht="15" customHeight="1"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6:26" ht="15" customHeight="1"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6:26" ht="15" customHeight="1"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6:26" ht="15" customHeight="1"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6:26" ht="15" customHeight="1"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6:26" ht="15" customHeight="1"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6:26" ht="15" customHeight="1"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6:26" ht="15" customHeight="1"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6:26" ht="15" customHeight="1"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6:26" ht="15" customHeight="1"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6:26" ht="15" customHeight="1"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6:26" ht="15" customHeight="1"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6:26" ht="15" customHeight="1"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6:26" ht="15" customHeight="1"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6:26" ht="15" customHeight="1"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6:26" ht="15" customHeight="1"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6:26" ht="15" customHeight="1"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6:26" ht="15" customHeight="1"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6:26" ht="15" customHeight="1"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6:26" ht="15" customHeight="1"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6:26" ht="15" customHeight="1"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6:26" ht="15" customHeight="1"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6:26" ht="15" customHeight="1"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6:26" ht="15" customHeight="1"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6:26" ht="15" customHeight="1"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6:26" ht="15" customHeight="1"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6:26" ht="15" customHeight="1"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6:26" ht="15" customHeight="1"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6:26" ht="15" customHeight="1"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6:26" ht="15" customHeight="1"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</sheetData>
  <sheetProtection/>
  <mergeCells count="5">
    <mergeCell ref="A1:D5"/>
    <mergeCell ref="A51:D52"/>
    <mergeCell ref="A6:D6"/>
    <mergeCell ref="A7:D7"/>
    <mergeCell ref="A12:D12"/>
  </mergeCells>
  <printOptions/>
  <pageMargins left="0.52" right="0.31" top="0.52" bottom="0.5" header="0.5" footer="0.5"/>
  <pageSetup horizontalDpi="600" verticalDpi="600" orientation="portrait" paperSize="9" r:id="rId1"/>
  <headerFooter alignWithMargins="0">
    <oddFooter>&amp;R1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2:L49"/>
  <sheetViews>
    <sheetView zoomScaleSheetLayoutView="100"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9" width="15.7109375" style="13" customWidth="1"/>
    <col min="10" max="10" width="8.7109375" style="148" customWidth="1"/>
    <col min="11" max="16384" width="9.140625" style="13" customWidth="1"/>
  </cols>
  <sheetData>
    <row r="2" spans="2:10" ht="15" customHeight="1">
      <c r="B2" s="414" t="s">
        <v>69</v>
      </c>
      <c r="C2" s="414"/>
      <c r="D2" s="414"/>
      <c r="E2" s="414"/>
      <c r="F2" s="414"/>
      <c r="G2" s="414"/>
      <c r="H2" s="414"/>
      <c r="I2" s="414"/>
      <c r="J2" s="155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70</v>
      </c>
      <c r="C6" s="11" t="s">
        <v>6</v>
      </c>
      <c r="D6" s="11" t="s">
        <v>7</v>
      </c>
      <c r="E6" s="9"/>
      <c r="F6" s="9"/>
      <c r="G6" s="9"/>
      <c r="H6" s="9"/>
      <c r="I6" s="9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455380</v>
      </c>
      <c r="H7" s="20">
        <f>SUM(H8:H11)</f>
        <v>455380</v>
      </c>
      <c r="I7" s="20">
        <f>SUM(I8:I11)</f>
        <v>447950.27</v>
      </c>
      <c r="J7" s="160">
        <f>IF(H7=0,"",I7/H7*100)</f>
        <v>98.3684549167728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88">
        <v>364400</v>
      </c>
      <c r="H8" s="88">
        <v>364400</v>
      </c>
      <c r="I8" s="88">
        <v>359362.27</v>
      </c>
      <c r="J8" s="161">
        <f>IF(H8=0,"",I8/H8*100)</f>
        <v>98.61752744237103</v>
      </c>
    </row>
    <row r="9" spans="2:12" ht="12.75" customHeight="1">
      <c r="B9" s="14"/>
      <c r="C9" s="15"/>
      <c r="D9" s="15"/>
      <c r="E9" s="16">
        <v>611200</v>
      </c>
      <c r="F9" s="15" t="s">
        <v>129</v>
      </c>
      <c r="G9" s="88">
        <v>83100</v>
      </c>
      <c r="H9" s="88">
        <v>82760</v>
      </c>
      <c r="I9" s="88">
        <v>80378</v>
      </c>
      <c r="J9" s="161">
        <f aca="true" t="shared" si="0" ref="J9:J44">IF(H9=0,"",I9/H9*100)</f>
        <v>97.12179797003382</v>
      </c>
      <c r="K9" s="95"/>
      <c r="L9" s="95"/>
    </row>
    <row r="10" spans="2:12" ht="12.75" customHeight="1">
      <c r="B10" s="14"/>
      <c r="C10" s="15"/>
      <c r="D10" s="15"/>
      <c r="E10" s="16">
        <v>611200</v>
      </c>
      <c r="F10" s="26" t="s">
        <v>463</v>
      </c>
      <c r="G10" s="88">
        <v>7880</v>
      </c>
      <c r="H10" s="88">
        <v>8220</v>
      </c>
      <c r="I10" s="88">
        <v>8210</v>
      </c>
      <c r="J10" s="161">
        <f t="shared" si="0"/>
        <v>99.87834549878345</v>
      </c>
      <c r="K10" s="95"/>
      <c r="L10" s="95"/>
    </row>
    <row r="11" spans="2:10" ht="12.75" customHeight="1">
      <c r="B11" s="14"/>
      <c r="C11" s="15"/>
      <c r="D11" s="15"/>
      <c r="E11" s="16"/>
      <c r="F11" s="26"/>
      <c r="G11" s="45"/>
      <c r="H11" s="45"/>
      <c r="I11" s="45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38600</v>
      </c>
      <c r="H13" s="20">
        <f>H14+H15</f>
        <v>38600</v>
      </c>
      <c r="I13" s="20">
        <f>I14+I15</f>
        <v>37733.05</v>
      </c>
      <c r="J13" s="160">
        <f t="shared" si="0"/>
        <v>97.75401554404147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45">
        <v>38600</v>
      </c>
      <c r="H14" s="45">
        <v>38600</v>
      </c>
      <c r="I14" s="45">
        <v>37733.05</v>
      </c>
      <c r="J14" s="161">
        <f t="shared" si="0"/>
        <v>97.75401554404147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51"/>
      <c r="H16" s="51"/>
      <c r="I16" s="51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75700</v>
      </c>
      <c r="H17" s="51">
        <f>SUM(H18:H27)</f>
        <v>77280</v>
      </c>
      <c r="I17" s="51">
        <f>SUM(I18:I27)</f>
        <v>74827.35</v>
      </c>
      <c r="J17" s="160">
        <f t="shared" si="0"/>
        <v>96.82628105590064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88">
        <v>3700</v>
      </c>
      <c r="H18" s="88">
        <v>3700</v>
      </c>
      <c r="I18" s="88">
        <v>2833.29</v>
      </c>
      <c r="J18" s="161">
        <f t="shared" si="0"/>
        <v>76.5754054054054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88">
        <v>0</v>
      </c>
      <c r="H19" s="88">
        <v>0</v>
      </c>
      <c r="I19" s="88">
        <v>0</v>
      </c>
      <c r="J19" s="161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88">
        <v>6200</v>
      </c>
      <c r="H20" s="88">
        <v>6200</v>
      </c>
      <c r="I20" s="88">
        <v>5396.64</v>
      </c>
      <c r="J20" s="161">
        <f t="shared" si="0"/>
        <v>87.0425806451613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88">
        <v>1500</v>
      </c>
      <c r="H21" s="88">
        <f>1500-420</f>
        <v>1080</v>
      </c>
      <c r="I21" s="88">
        <v>740.5</v>
      </c>
      <c r="J21" s="161">
        <f t="shared" si="0"/>
        <v>68.56481481481481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88">
        <v>4000</v>
      </c>
      <c r="H22" s="88">
        <f>4000+400</f>
        <v>4400</v>
      </c>
      <c r="I22" s="88">
        <v>4394.05</v>
      </c>
      <c r="J22" s="161">
        <f t="shared" si="0"/>
        <v>99.86477272727274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88">
        <v>5100</v>
      </c>
      <c r="H23" s="88">
        <v>5100</v>
      </c>
      <c r="I23" s="88">
        <v>5004</v>
      </c>
      <c r="J23" s="161">
        <f t="shared" si="0"/>
        <v>98.11764705882354</v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88">
        <v>8000</v>
      </c>
      <c r="H24" s="88">
        <v>8000</v>
      </c>
      <c r="I24" s="88">
        <v>7728.35</v>
      </c>
      <c r="J24" s="161">
        <f t="shared" si="0"/>
        <v>96.604375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88">
        <v>1000</v>
      </c>
      <c r="H25" s="88">
        <v>1000</v>
      </c>
      <c r="I25" s="88">
        <v>937.7</v>
      </c>
      <c r="J25" s="161">
        <f t="shared" si="0"/>
        <v>93.77000000000001</v>
      </c>
    </row>
    <row r="26" spans="2:12" ht="12.75" customHeight="1">
      <c r="B26" s="14"/>
      <c r="C26" s="15"/>
      <c r="D26" s="15"/>
      <c r="E26" s="16">
        <v>613900</v>
      </c>
      <c r="F26" s="15" t="s">
        <v>96</v>
      </c>
      <c r="G26" s="88">
        <v>38000</v>
      </c>
      <c r="H26" s="88">
        <v>38640</v>
      </c>
      <c r="I26" s="88">
        <v>38634.64</v>
      </c>
      <c r="J26" s="161">
        <f t="shared" si="0"/>
        <v>99.98612836438923</v>
      </c>
      <c r="K26" s="114"/>
      <c r="L26" s="95"/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88">
        <v>8200</v>
      </c>
      <c r="H27" s="88">
        <v>9160</v>
      </c>
      <c r="I27" s="88">
        <v>9158.18</v>
      </c>
      <c r="J27" s="161">
        <f t="shared" si="0"/>
        <v>99.98013100436681</v>
      </c>
      <c r="L27" s="95"/>
    </row>
    <row r="28" spans="2:10" ht="12.75" customHeight="1">
      <c r="B28" s="14"/>
      <c r="C28" s="15"/>
      <c r="D28" s="15"/>
      <c r="E28" s="16"/>
      <c r="F28" s="15"/>
      <c r="G28" s="115"/>
      <c r="H28" s="115"/>
      <c r="I28" s="115"/>
      <c r="J28" s="161">
        <f t="shared" si="0"/>
      </c>
    </row>
    <row r="29" spans="2:10" s="1" customFormat="1" ht="12.75" customHeight="1">
      <c r="B29" s="17"/>
      <c r="C29" s="12"/>
      <c r="D29" s="12"/>
      <c r="E29" s="9">
        <v>614000</v>
      </c>
      <c r="F29" s="12" t="s">
        <v>132</v>
      </c>
      <c r="G29" s="115">
        <f>SUM(G30:G34)</f>
        <v>1890000</v>
      </c>
      <c r="H29" s="115">
        <f>SUM(H30:H34)</f>
        <v>1780000</v>
      </c>
      <c r="I29" s="115">
        <f>SUM(I30:I34)</f>
        <v>1612500.82</v>
      </c>
      <c r="J29" s="160">
        <f t="shared" si="0"/>
        <v>90.58993370786517</v>
      </c>
    </row>
    <row r="30" spans="2:10" s="1" customFormat="1" ht="12.75" customHeight="1">
      <c r="B30" s="17"/>
      <c r="C30" s="12"/>
      <c r="D30" s="32"/>
      <c r="E30" s="59">
        <v>614100</v>
      </c>
      <c r="F30" s="18" t="s">
        <v>90</v>
      </c>
      <c r="G30" s="124">
        <v>100000</v>
      </c>
      <c r="H30" s="124">
        <v>100000</v>
      </c>
      <c r="I30" s="124">
        <v>99936.41</v>
      </c>
      <c r="J30" s="161">
        <f t="shared" si="0"/>
        <v>99.93641000000001</v>
      </c>
    </row>
    <row r="31" spans="2:10" s="1" customFormat="1" ht="12.75" customHeight="1">
      <c r="B31" s="17"/>
      <c r="C31" s="12"/>
      <c r="D31" s="32"/>
      <c r="E31" s="59">
        <v>614500</v>
      </c>
      <c r="F31" s="30" t="s">
        <v>25</v>
      </c>
      <c r="G31" s="124">
        <v>0</v>
      </c>
      <c r="H31" s="124">
        <v>0</v>
      </c>
      <c r="I31" s="124">
        <v>0</v>
      </c>
      <c r="J31" s="161">
        <f t="shared" si="0"/>
      </c>
    </row>
    <row r="32" spans="2:12" ht="12.75" customHeight="1">
      <c r="B32" s="14"/>
      <c r="C32" s="15"/>
      <c r="D32" s="15"/>
      <c r="E32" s="16">
        <v>614500</v>
      </c>
      <c r="F32" s="30" t="s">
        <v>453</v>
      </c>
      <c r="G32" s="124">
        <v>800000</v>
      </c>
      <c r="H32" s="124">
        <v>690000</v>
      </c>
      <c r="I32" s="124">
        <v>576920.68</v>
      </c>
      <c r="J32" s="161">
        <f t="shared" si="0"/>
        <v>83.6116927536232</v>
      </c>
      <c r="L32" s="95"/>
    </row>
    <row r="33" spans="2:12" ht="12.75" customHeight="1">
      <c r="B33" s="14"/>
      <c r="C33" s="15"/>
      <c r="D33" s="15"/>
      <c r="E33" s="16">
        <v>614500</v>
      </c>
      <c r="F33" s="30" t="s">
        <v>454</v>
      </c>
      <c r="G33" s="124">
        <v>190000</v>
      </c>
      <c r="H33" s="124">
        <v>190000</v>
      </c>
      <c r="I33" s="124">
        <v>179095.13</v>
      </c>
      <c r="J33" s="161">
        <f t="shared" si="0"/>
        <v>94.26059473684211</v>
      </c>
      <c r="L33" s="95"/>
    </row>
    <row r="34" spans="2:12" ht="12.75" customHeight="1">
      <c r="B34" s="14"/>
      <c r="C34" s="15"/>
      <c r="D34" s="15"/>
      <c r="E34" s="59">
        <v>614500</v>
      </c>
      <c r="F34" s="30" t="s">
        <v>455</v>
      </c>
      <c r="G34" s="124">
        <v>800000</v>
      </c>
      <c r="H34" s="124">
        <v>800000</v>
      </c>
      <c r="I34" s="124">
        <v>756548.6</v>
      </c>
      <c r="J34" s="161">
        <f t="shared" si="0"/>
        <v>94.568575</v>
      </c>
      <c r="L34" s="95"/>
    </row>
    <row r="35" spans="2:10" ht="12.75" customHeight="1">
      <c r="B35" s="14"/>
      <c r="C35" s="15"/>
      <c r="D35" s="15"/>
      <c r="E35" s="16"/>
      <c r="F35" s="26"/>
      <c r="G35" s="88"/>
      <c r="H35" s="88"/>
      <c r="I35" s="88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SUM(G37:G39)</f>
        <v>500</v>
      </c>
      <c r="H36" s="115">
        <f>SUM(H37:H39)</f>
        <v>520</v>
      </c>
      <c r="I36" s="115">
        <f>SUM(I37:I39)</f>
        <v>515</v>
      </c>
      <c r="J36" s="160">
        <f t="shared" si="0"/>
        <v>99.03846153846155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88">
        <v>0</v>
      </c>
      <c r="H37" s="88">
        <v>0</v>
      </c>
      <c r="I37" s="88">
        <v>0</v>
      </c>
      <c r="J37" s="161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88">
        <v>500</v>
      </c>
      <c r="H38" s="88">
        <f>500+20</f>
        <v>520</v>
      </c>
      <c r="I38" s="88">
        <v>515</v>
      </c>
      <c r="J38" s="161">
        <f t="shared" si="0"/>
        <v>99.03846153846155</v>
      </c>
    </row>
    <row r="39" spans="2:10" ht="12.75" customHeight="1">
      <c r="B39" s="14"/>
      <c r="C39" s="15"/>
      <c r="D39" s="15"/>
      <c r="E39" s="16"/>
      <c r="F39" s="26"/>
      <c r="G39" s="88"/>
      <c r="H39" s="88"/>
      <c r="I39" s="88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45"/>
      <c r="I40" s="45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20">
        <v>21</v>
      </c>
      <c r="H41" s="20">
        <v>21</v>
      </c>
      <c r="I41" s="20">
        <v>20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G7+G13+G17+G29+G36</f>
        <v>2460180</v>
      </c>
      <c r="H42" s="20">
        <f>H7+H13+H17+H29+H36</f>
        <v>2351780</v>
      </c>
      <c r="I42" s="20">
        <f>I7+I13+I17+I29+I36</f>
        <v>2173526.49</v>
      </c>
      <c r="J42" s="160">
        <f t="shared" si="0"/>
        <v>92.42048533451259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>
        <f aca="true" t="shared" si="1" ref="G43:I44">G42</f>
        <v>2460180</v>
      </c>
      <c r="H43" s="20">
        <f t="shared" si="1"/>
        <v>2351780</v>
      </c>
      <c r="I43" s="20">
        <f t="shared" si="1"/>
        <v>2173526.49</v>
      </c>
      <c r="J43" s="160">
        <f t="shared" si="0"/>
        <v>92.42048533451259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20">
        <f t="shared" si="1"/>
        <v>2460180</v>
      </c>
      <c r="H44" s="20">
        <f t="shared" si="1"/>
        <v>2351780</v>
      </c>
      <c r="I44" s="20">
        <f t="shared" si="1"/>
        <v>2173526.49</v>
      </c>
      <c r="J44" s="160">
        <f t="shared" si="0"/>
        <v>92.42048533451259</v>
      </c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7" ht="12.75">
      <c r="B47" s="87"/>
    </row>
    <row r="48" ht="12.75">
      <c r="B48" s="87"/>
    </row>
    <row r="49" ht="12.75">
      <c r="B49" s="87"/>
    </row>
  </sheetData>
  <sheetProtection/>
  <mergeCells count="2">
    <mergeCell ref="B2:I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77" r:id="rId1"/>
  <headerFooter alignWithMargins="0">
    <oddFooter>&amp;R28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3"/>
  <dimension ref="B2:L64"/>
  <sheetViews>
    <sheetView view="pageBreakPreview" zoomScaleSheetLayoutView="100" zoomScalePageLayoutView="0" workbookViewId="0" topLeftCell="A3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9" width="15.7109375" style="13" customWidth="1"/>
    <col min="10" max="10" width="8.7109375" style="148" customWidth="1"/>
    <col min="11" max="16384" width="9.140625" style="13" customWidth="1"/>
  </cols>
  <sheetData>
    <row r="2" spans="2:8" ht="15" customHeight="1">
      <c r="B2" s="414" t="s">
        <v>71</v>
      </c>
      <c r="C2" s="414"/>
      <c r="D2" s="414"/>
      <c r="E2" s="414"/>
      <c r="F2" s="414"/>
      <c r="G2" s="414"/>
      <c r="H2" s="37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72</v>
      </c>
      <c r="C6" s="11" t="s">
        <v>6</v>
      </c>
      <c r="D6" s="11" t="s">
        <v>7</v>
      </c>
      <c r="E6" s="9"/>
      <c r="F6" s="9"/>
      <c r="G6" s="9"/>
      <c r="H6" s="9"/>
      <c r="I6" s="9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240320</v>
      </c>
      <c r="H7" s="20">
        <f>SUM(H8:H11)</f>
        <v>240320</v>
      </c>
      <c r="I7" s="20">
        <f>SUM(I8:I11)</f>
        <v>235961.14</v>
      </c>
      <c r="J7" s="160">
        <f>IF(H7=0,"",I7/H7*100)</f>
        <v>98.18622669773636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46">
        <v>205500</v>
      </c>
      <c r="H8" s="46">
        <v>205500</v>
      </c>
      <c r="I8" s="46">
        <v>204566.14</v>
      </c>
      <c r="J8" s="161">
        <f>IF(H8=0,"",I8/H8*100)</f>
        <v>99.54556690997568</v>
      </c>
    </row>
    <row r="9" spans="2:12" ht="12.75" customHeight="1">
      <c r="B9" s="14"/>
      <c r="C9" s="15"/>
      <c r="D9" s="15"/>
      <c r="E9" s="16">
        <v>611200</v>
      </c>
      <c r="F9" s="15" t="s">
        <v>129</v>
      </c>
      <c r="G9" s="46">
        <v>32500</v>
      </c>
      <c r="H9" s="46">
        <v>32420</v>
      </c>
      <c r="I9" s="46">
        <v>28997</v>
      </c>
      <c r="J9" s="161">
        <f aca="true" t="shared" si="0" ref="J9:J55">IF(H9=0,"",I9/H9*100)</f>
        <v>89.44170265268353</v>
      </c>
      <c r="K9" s="95"/>
      <c r="L9" s="95"/>
    </row>
    <row r="10" spans="2:12" ht="12.75" customHeight="1">
      <c r="B10" s="14"/>
      <c r="C10" s="15"/>
      <c r="D10" s="15"/>
      <c r="E10" s="16">
        <v>611200</v>
      </c>
      <c r="F10" s="26" t="s">
        <v>460</v>
      </c>
      <c r="G10" s="88">
        <v>2320</v>
      </c>
      <c r="H10" s="88">
        <v>2400</v>
      </c>
      <c r="I10" s="88">
        <v>2398</v>
      </c>
      <c r="J10" s="161">
        <f t="shared" si="0"/>
        <v>99.91666666666667</v>
      </c>
      <c r="K10" s="95"/>
      <c r="L10" s="94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21800</v>
      </c>
      <c r="H13" s="20">
        <f>H14+H15</f>
        <v>21800</v>
      </c>
      <c r="I13" s="20">
        <f>I14+I15</f>
        <v>21479.47</v>
      </c>
      <c r="J13" s="160">
        <f t="shared" si="0"/>
        <v>98.52967889908257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46">
        <v>21800</v>
      </c>
      <c r="H14" s="46">
        <v>21800</v>
      </c>
      <c r="I14" s="46">
        <v>21479.47</v>
      </c>
      <c r="J14" s="161">
        <f t="shared" si="0"/>
        <v>98.52967889908257</v>
      </c>
    </row>
    <row r="15" spans="2:10" ht="12.75" customHeight="1">
      <c r="B15" s="14"/>
      <c r="C15" s="15"/>
      <c r="D15" s="15"/>
      <c r="E15" s="16"/>
      <c r="F15" s="15"/>
      <c r="G15" s="124"/>
      <c r="H15" s="124"/>
      <c r="I15" s="124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115"/>
      <c r="H16" s="115"/>
      <c r="I16" s="115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115">
        <f>SUM(G18:G29)</f>
        <v>107190</v>
      </c>
      <c r="H17" s="115">
        <f>SUM(H18:H29)</f>
        <v>108350</v>
      </c>
      <c r="I17" s="115">
        <f>SUM(I18:I29)</f>
        <v>107479.31999999999</v>
      </c>
      <c r="J17" s="160">
        <f t="shared" si="0"/>
        <v>99.19641901245961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124">
        <v>3500</v>
      </c>
      <c r="H18" s="124">
        <v>3500</v>
      </c>
      <c r="I18" s="124">
        <v>3400.13</v>
      </c>
      <c r="J18" s="161">
        <f t="shared" si="0"/>
        <v>97.14657142857142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124">
        <v>0</v>
      </c>
      <c r="H19" s="124">
        <v>0</v>
      </c>
      <c r="I19" s="124">
        <v>0</v>
      </c>
      <c r="J19" s="161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124">
        <v>4100</v>
      </c>
      <c r="H20" s="124">
        <v>3350</v>
      </c>
      <c r="I20" s="124">
        <v>3197.88</v>
      </c>
      <c r="J20" s="161">
        <f t="shared" si="0"/>
        <v>95.45910447761194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124">
        <v>23000</v>
      </c>
      <c r="H21" s="124">
        <v>25800</v>
      </c>
      <c r="I21" s="124">
        <v>25786.44</v>
      </c>
      <c r="J21" s="161">
        <f t="shared" si="0"/>
        <v>99.94744186046512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124">
        <v>2800</v>
      </c>
      <c r="H22" s="124">
        <v>3400</v>
      </c>
      <c r="I22" s="124">
        <v>3391.18</v>
      </c>
      <c r="J22" s="161">
        <f t="shared" si="0"/>
        <v>99.74058823529411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124">
        <v>0</v>
      </c>
      <c r="H23" s="124">
        <v>0</v>
      </c>
      <c r="I23" s="124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124">
        <v>1700</v>
      </c>
      <c r="H24" s="124">
        <v>2050</v>
      </c>
      <c r="I24" s="124">
        <v>2040.09</v>
      </c>
      <c r="J24" s="161">
        <f t="shared" si="0"/>
        <v>99.51658536585364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124">
        <v>350</v>
      </c>
      <c r="H25" s="124">
        <v>350</v>
      </c>
      <c r="I25" s="124">
        <v>305.15</v>
      </c>
      <c r="J25" s="161">
        <f t="shared" si="0"/>
        <v>87.18571428571428</v>
      </c>
    </row>
    <row r="26" spans="2:10" ht="12.75" customHeight="1">
      <c r="B26" s="14"/>
      <c r="C26" s="15"/>
      <c r="D26" s="15"/>
      <c r="E26" s="16">
        <v>613800</v>
      </c>
      <c r="F26" s="26" t="s">
        <v>116</v>
      </c>
      <c r="G26" s="124">
        <v>0</v>
      </c>
      <c r="H26" s="124">
        <v>0</v>
      </c>
      <c r="I26" s="124">
        <v>0</v>
      </c>
      <c r="J26" s="161">
        <f t="shared" si="0"/>
      </c>
    </row>
    <row r="27" spans="2:12" ht="12.75" customHeight="1">
      <c r="B27" s="14"/>
      <c r="C27" s="15"/>
      <c r="D27" s="15"/>
      <c r="E27" s="16">
        <v>613900</v>
      </c>
      <c r="F27" s="26" t="s">
        <v>96</v>
      </c>
      <c r="G27" s="124">
        <v>14000</v>
      </c>
      <c r="H27" s="124">
        <v>9470</v>
      </c>
      <c r="I27" s="124">
        <v>9293.22</v>
      </c>
      <c r="J27" s="161">
        <f t="shared" si="0"/>
        <v>98.13326293558605</v>
      </c>
      <c r="K27" s="95"/>
      <c r="L27" s="95"/>
    </row>
    <row r="28" spans="2:12" ht="12.75" customHeight="1">
      <c r="B28" s="14"/>
      <c r="C28" s="15"/>
      <c r="D28" s="15"/>
      <c r="E28" s="16">
        <v>613900</v>
      </c>
      <c r="F28" s="26" t="s">
        <v>109</v>
      </c>
      <c r="G28" s="124">
        <v>55000</v>
      </c>
      <c r="H28" s="124">
        <v>57240</v>
      </c>
      <c r="I28" s="124">
        <v>56876.7</v>
      </c>
      <c r="J28" s="161">
        <f t="shared" si="0"/>
        <v>99.3653039832285</v>
      </c>
      <c r="L28" s="95"/>
    </row>
    <row r="29" spans="2:12" ht="12.75" customHeight="1">
      <c r="B29" s="14"/>
      <c r="C29" s="15"/>
      <c r="D29" s="15"/>
      <c r="E29" s="16">
        <v>613900</v>
      </c>
      <c r="F29" s="26" t="s">
        <v>143</v>
      </c>
      <c r="G29" s="124">
        <v>2740</v>
      </c>
      <c r="H29" s="124">
        <v>3190</v>
      </c>
      <c r="I29" s="124">
        <v>3188.53</v>
      </c>
      <c r="J29" s="161">
        <f t="shared" si="0"/>
        <v>99.95391849529781</v>
      </c>
      <c r="L29" s="95"/>
    </row>
    <row r="30" spans="2:10" ht="12.75" customHeight="1">
      <c r="B30" s="14"/>
      <c r="C30" s="15"/>
      <c r="D30" s="15"/>
      <c r="E30" s="16"/>
      <c r="F30" s="15"/>
      <c r="G30" s="124"/>
      <c r="H30" s="124"/>
      <c r="I30" s="124"/>
      <c r="J30" s="161">
        <f t="shared" si="0"/>
      </c>
    </row>
    <row r="31" spans="2:10" s="1" customFormat="1" ht="12.75" customHeight="1">
      <c r="B31" s="17"/>
      <c r="C31" s="12"/>
      <c r="D31" s="12"/>
      <c r="E31" s="9">
        <v>614000</v>
      </c>
      <c r="F31" s="12" t="s">
        <v>132</v>
      </c>
      <c r="G31" s="115">
        <f>SUM(G32:G38)</f>
        <v>924000</v>
      </c>
      <c r="H31" s="115">
        <f>SUM(H32:H38)</f>
        <v>924000</v>
      </c>
      <c r="I31" s="115">
        <f>SUM(I32:I38)</f>
        <v>924000</v>
      </c>
      <c r="J31" s="160">
        <f t="shared" si="0"/>
        <v>100</v>
      </c>
    </row>
    <row r="32" spans="2:11" s="203" customFormat="1" ht="24.75" customHeight="1">
      <c r="B32" s="195"/>
      <c r="C32" s="196"/>
      <c r="D32" s="197"/>
      <c r="E32" s="198">
        <v>614100</v>
      </c>
      <c r="F32" s="199" t="s">
        <v>155</v>
      </c>
      <c r="G32" s="200">
        <v>205000</v>
      </c>
      <c r="H32" s="200">
        <v>178500</v>
      </c>
      <c r="I32" s="200">
        <v>178500</v>
      </c>
      <c r="J32" s="201">
        <f t="shared" si="0"/>
        <v>100</v>
      </c>
      <c r="K32" s="202"/>
    </row>
    <row r="33" spans="2:10" ht="12.75" customHeight="1">
      <c r="B33" s="14"/>
      <c r="C33" s="15"/>
      <c r="D33" s="15"/>
      <c r="E33" s="125">
        <v>614100</v>
      </c>
      <c r="F33" s="122" t="s">
        <v>26</v>
      </c>
      <c r="G33" s="200">
        <v>200000</v>
      </c>
      <c r="H33" s="200">
        <v>200000</v>
      </c>
      <c r="I33" s="200">
        <v>200000</v>
      </c>
      <c r="J33" s="201">
        <f t="shared" si="0"/>
        <v>100</v>
      </c>
    </row>
    <row r="34" spans="2:10" ht="12.75" customHeight="1">
      <c r="B34" s="14"/>
      <c r="C34" s="15"/>
      <c r="D34" s="15"/>
      <c r="E34" s="125">
        <v>614100</v>
      </c>
      <c r="F34" s="122" t="s">
        <v>456</v>
      </c>
      <c r="G34" s="200">
        <v>277000</v>
      </c>
      <c r="H34" s="200">
        <v>297500</v>
      </c>
      <c r="I34" s="200">
        <v>297500</v>
      </c>
      <c r="J34" s="201">
        <f t="shared" si="0"/>
        <v>100</v>
      </c>
    </row>
    <row r="35" spans="2:10" ht="12.75" customHeight="1">
      <c r="B35" s="14"/>
      <c r="C35" s="15"/>
      <c r="D35" s="15"/>
      <c r="E35" s="16">
        <v>614200</v>
      </c>
      <c r="F35" s="30" t="s">
        <v>39</v>
      </c>
      <c r="G35" s="200">
        <v>117000</v>
      </c>
      <c r="H35" s="200">
        <v>123000</v>
      </c>
      <c r="I35" s="200">
        <v>123000</v>
      </c>
      <c r="J35" s="201">
        <f t="shared" si="0"/>
        <v>100</v>
      </c>
    </row>
    <row r="36" spans="2:10" s="203" customFormat="1" ht="24.75" customHeight="1">
      <c r="B36" s="195"/>
      <c r="C36" s="196"/>
      <c r="D36" s="196"/>
      <c r="E36" s="198">
        <v>614200</v>
      </c>
      <c r="F36" s="204" t="s">
        <v>252</v>
      </c>
      <c r="G36" s="200">
        <v>15000</v>
      </c>
      <c r="H36" s="200">
        <v>15000</v>
      </c>
      <c r="I36" s="200">
        <v>15000</v>
      </c>
      <c r="J36" s="201">
        <f t="shared" si="0"/>
        <v>100</v>
      </c>
    </row>
    <row r="37" spans="2:10" ht="12.75" customHeight="1">
      <c r="B37" s="14"/>
      <c r="C37" s="15"/>
      <c r="D37" s="15"/>
      <c r="E37" s="59">
        <v>614300</v>
      </c>
      <c r="F37" s="30" t="s">
        <v>27</v>
      </c>
      <c r="G37" s="124">
        <v>30000</v>
      </c>
      <c r="H37" s="124">
        <v>30000</v>
      </c>
      <c r="I37" s="124">
        <v>30000</v>
      </c>
      <c r="J37" s="161">
        <f t="shared" si="0"/>
        <v>100</v>
      </c>
    </row>
    <row r="38" spans="2:11" ht="12.75" customHeight="1">
      <c r="B38" s="14"/>
      <c r="C38" s="15"/>
      <c r="D38" s="15"/>
      <c r="E38" s="59">
        <v>614300</v>
      </c>
      <c r="F38" s="30" t="s">
        <v>28</v>
      </c>
      <c r="G38" s="124">
        <v>80000</v>
      </c>
      <c r="H38" s="124">
        <v>80000</v>
      </c>
      <c r="I38" s="124">
        <v>80000</v>
      </c>
      <c r="J38" s="161">
        <f t="shared" si="0"/>
        <v>100</v>
      </c>
      <c r="K38" s="114"/>
    </row>
    <row r="39" spans="2:11" ht="12.75" customHeight="1">
      <c r="B39" s="14"/>
      <c r="C39" s="15"/>
      <c r="D39" s="15"/>
      <c r="E39" s="59"/>
      <c r="F39" s="30"/>
      <c r="G39" s="124"/>
      <c r="H39" s="124"/>
      <c r="I39" s="124"/>
      <c r="J39" s="161">
        <f t="shared" si="0"/>
      </c>
      <c r="K39" s="114"/>
    </row>
    <row r="40" spans="2:11" ht="12.75" customHeight="1">
      <c r="B40" s="14"/>
      <c r="C40" s="15"/>
      <c r="D40" s="15"/>
      <c r="E40" s="9">
        <v>615000</v>
      </c>
      <c r="F40" s="34" t="s">
        <v>14</v>
      </c>
      <c r="G40" s="115">
        <f>G41</f>
        <v>0</v>
      </c>
      <c r="H40" s="115">
        <f>H41</f>
        <v>0</v>
      </c>
      <c r="I40" s="115">
        <f>I41</f>
        <v>0</v>
      </c>
      <c r="J40" s="161">
        <f t="shared" si="0"/>
      </c>
      <c r="K40" s="114"/>
    </row>
    <row r="41" spans="2:11" ht="12.75" customHeight="1">
      <c r="B41" s="14"/>
      <c r="C41" s="15"/>
      <c r="D41" s="15"/>
      <c r="E41" s="16">
        <v>615100</v>
      </c>
      <c r="F41" s="69" t="s">
        <v>14</v>
      </c>
      <c r="G41" s="124">
        <v>0</v>
      </c>
      <c r="H41" s="124">
        <v>0</v>
      </c>
      <c r="I41" s="124">
        <v>0</v>
      </c>
      <c r="J41" s="161">
        <f t="shared" si="0"/>
      </c>
      <c r="K41" s="114"/>
    </row>
    <row r="42" spans="2:10" ht="12.75" customHeight="1">
      <c r="B42" s="14"/>
      <c r="C42" s="15"/>
      <c r="D42" s="15"/>
      <c r="E42" s="59"/>
      <c r="F42" s="30"/>
      <c r="G42" s="124"/>
      <c r="H42" s="124"/>
      <c r="I42" s="124"/>
      <c r="J42" s="161">
        <f t="shared" si="0"/>
      </c>
    </row>
    <row r="43" spans="2:10" ht="12.75" customHeight="1">
      <c r="B43" s="14"/>
      <c r="C43" s="15"/>
      <c r="D43" s="15"/>
      <c r="E43" s="9">
        <v>616000</v>
      </c>
      <c r="F43" s="34" t="s">
        <v>133</v>
      </c>
      <c r="G43" s="115">
        <f>G44</f>
        <v>16220</v>
      </c>
      <c r="H43" s="115">
        <f>H44</f>
        <v>16220</v>
      </c>
      <c r="I43" s="115">
        <f>I44</f>
        <v>15138.78</v>
      </c>
      <c r="J43" s="160">
        <f t="shared" si="0"/>
        <v>93.33403205918619</v>
      </c>
    </row>
    <row r="44" spans="2:10" ht="12.75" customHeight="1">
      <c r="B44" s="14"/>
      <c r="C44" s="15"/>
      <c r="D44" s="15"/>
      <c r="E44" s="16">
        <v>616300</v>
      </c>
      <c r="F44" s="69" t="s">
        <v>147</v>
      </c>
      <c r="G44" s="124">
        <v>16220</v>
      </c>
      <c r="H44" s="124">
        <v>16220</v>
      </c>
      <c r="I44" s="124">
        <v>15138.78</v>
      </c>
      <c r="J44" s="161">
        <f t="shared" si="0"/>
        <v>93.33403205918619</v>
      </c>
    </row>
    <row r="45" spans="2:10" ht="12.75" customHeight="1">
      <c r="B45" s="14"/>
      <c r="C45" s="15"/>
      <c r="D45" s="15"/>
      <c r="E45" s="16"/>
      <c r="F45" s="15"/>
      <c r="G45" s="88"/>
      <c r="H45" s="88"/>
      <c r="I45" s="88"/>
      <c r="J45" s="161">
        <f t="shared" si="0"/>
      </c>
    </row>
    <row r="46" spans="2:10" s="1" customFormat="1" ht="12.75" customHeight="1">
      <c r="B46" s="17"/>
      <c r="C46" s="12"/>
      <c r="D46" s="12"/>
      <c r="E46" s="9">
        <v>821000</v>
      </c>
      <c r="F46" s="12" t="s">
        <v>15</v>
      </c>
      <c r="G46" s="115">
        <f>SUM(G47:G48)</f>
        <v>107080</v>
      </c>
      <c r="H46" s="115">
        <f>SUM(H47:H48)</f>
        <v>107080</v>
      </c>
      <c r="I46" s="115">
        <f>SUM(I47:I48)</f>
        <v>106405.6</v>
      </c>
      <c r="J46" s="160">
        <f t="shared" si="0"/>
        <v>99.3701905117669</v>
      </c>
    </row>
    <row r="47" spans="2:10" ht="12.75" customHeight="1">
      <c r="B47" s="14"/>
      <c r="C47" s="15"/>
      <c r="D47" s="15"/>
      <c r="E47" s="16">
        <v>821200</v>
      </c>
      <c r="F47" s="15" t="s">
        <v>16</v>
      </c>
      <c r="G47" s="88">
        <v>106080</v>
      </c>
      <c r="H47" s="88">
        <v>106080</v>
      </c>
      <c r="I47" s="88">
        <v>105660.6</v>
      </c>
      <c r="J47" s="161">
        <f t="shared" si="0"/>
        <v>99.60463800904978</v>
      </c>
    </row>
    <row r="48" spans="2:10" ht="12.75" customHeight="1">
      <c r="B48" s="14"/>
      <c r="C48" s="15"/>
      <c r="D48" s="15"/>
      <c r="E48" s="16">
        <v>821300</v>
      </c>
      <c r="F48" s="15" t="s">
        <v>17</v>
      </c>
      <c r="G48" s="124">
        <v>1000</v>
      </c>
      <c r="H48" s="124">
        <v>1000</v>
      </c>
      <c r="I48" s="124">
        <v>745</v>
      </c>
      <c r="J48" s="161">
        <f t="shared" si="0"/>
        <v>74.5</v>
      </c>
    </row>
    <row r="49" spans="2:10" ht="12.75" customHeight="1">
      <c r="B49" s="14"/>
      <c r="C49" s="15"/>
      <c r="D49" s="15"/>
      <c r="E49" s="16"/>
      <c r="F49" s="15"/>
      <c r="G49" s="88"/>
      <c r="H49" s="88"/>
      <c r="I49" s="88"/>
      <c r="J49" s="161">
        <f t="shared" si="0"/>
      </c>
    </row>
    <row r="50" spans="2:10" ht="12.75" customHeight="1">
      <c r="B50" s="14"/>
      <c r="C50" s="15"/>
      <c r="D50" s="15"/>
      <c r="E50" s="9">
        <v>823000</v>
      </c>
      <c r="F50" s="12" t="s">
        <v>134</v>
      </c>
      <c r="G50" s="115">
        <f>G51</f>
        <v>75850</v>
      </c>
      <c r="H50" s="115">
        <f>H51</f>
        <v>75850</v>
      </c>
      <c r="I50" s="115">
        <f>I51</f>
        <v>70908.31</v>
      </c>
      <c r="J50" s="160">
        <f t="shared" si="0"/>
        <v>93.48491760052735</v>
      </c>
    </row>
    <row r="51" spans="2:10" ht="12.75" customHeight="1">
      <c r="B51" s="14"/>
      <c r="C51" s="15"/>
      <c r="D51" s="15"/>
      <c r="E51" s="16">
        <v>823300</v>
      </c>
      <c r="F51" s="26" t="s">
        <v>115</v>
      </c>
      <c r="G51" s="124">
        <v>75850</v>
      </c>
      <c r="H51" s="124">
        <v>75850</v>
      </c>
      <c r="I51" s="124">
        <v>70908.31</v>
      </c>
      <c r="J51" s="161">
        <f t="shared" si="0"/>
        <v>93.48491760052735</v>
      </c>
    </row>
    <row r="52" spans="2:10" ht="12.75" customHeight="1">
      <c r="B52" s="14"/>
      <c r="C52" s="15"/>
      <c r="D52" s="15"/>
      <c r="E52" s="16"/>
      <c r="F52" s="26"/>
      <c r="G52" s="88"/>
      <c r="H52" s="88"/>
      <c r="I52" s="88"/>
      <c r="J52" s="161">
        <f t="shared" si="0"/>
      </c>
    </row>
    <row r="53" spans="2:10" ht="12.75" customHeight="1">
      <c r="B53" s="14"/>
      <c r="C53" s="15"/>
      <c r="D53" s="15"/>
      <c r="E53" s="16"/>
      <c r="F53" s="15"/>
      <c r="G53" s="88"/>
      <c r="H53" s="88"/>
      <c r="I53" s="88"/>
      <c r="J53" s="161">
        <f t="shared" si="0"/>
      </c>
    </row>
    <row r="54" spans="2:10" s="1" customFormat="1" ht="12.75" customHeight="1">
      <c r="B54" s="17"/>
      <c r="C54" s="12"/>
      <c r="D54" s="12"/>
      <c r="E54" s="9"/>
      <c r="F54" s="12" t="s">
        <v>18</v>
      </c>
      <c r="G54" s="20">
        <v>9</v>
      </c>
      <c r="H54" s="20">
        <v>9</v>
      </c>
      <c r="I54" s="20">
        <v>9</v>
      </c>
      <c r="J54" s="161"/>
    </row>
    <row r="55" spans="2:10" s="1" customFormat="1" ht="12.75" customHeight="1">
      <c r="B55" s="17"/>
      <c r="C55" s="12"/>
      <c r="D55" s="12"/>
      <c r="E55" s="9"/>
      <c r="F55" s="12" t="s">
        <v>40</v>
      </c>
      <c r="G55" s="20">
        <f>G7+G13+G17+G31+G40+G43+G46+G50</f>
        <v>1492460</v>
      </c>
      <c r="H55" s="20">
        <f>H7+H13+H17+H31+H40+H43+H46+H50</f>
        <v>1493620</v>
      </c>
      <c r="I55" s="20">
        <f>I7+I13+I17+I31+I40+I43+I46+I50</f>
        <v>1481372.62</v>
      </c>
      <c r="J55" s="160">
        <f t="shared" si="0"/>
        <v>99.18002035323576</v>
      </c>
    </row>
    <row r="56" spans="2:10" s="1" customFormat="1" ht="12.75" customHeight="1">
      <c r="B56" s="17"/>
      <c r="C56" s="12"/>
      <c r="D56" s="12"/>
      <c r="E56" s="9"/>
      <c r="F56" s="12" t="s">
        <v>19</v>
      </c>
      <c r="G56" s="15"/>
      <c r="H56" s="15"/>
      <c r="I56" s="15"/>
      <c r="J56" s="162"/>
    </row>
    <row r="57" spans="2:10" s="1" customFormat="1" ht="12.75" customHeight="1">
      <c r="B57" s="17"/>
      <c r="C57" s="12"/>
      <c r="D57" s="12"/>
      <c r="E57" s="9"/>
      <c r="F57" s="12" t="s">
        <v>20</v>
      </c>
      <c r="G57" s="15"/>
      <c r="H57" s="15"/>
      <c r="I57" s="15"/>
      <c r="J57" s="162"/>
    </row>
    <row r="58" spans="2:10" ht="12.75" customHeight="1" thickBot="1">
      <c r="B58" s="21"/>
      <c r="C58" s="22"/>
      <c r="D58" s="22"/>
      <c r="E58" s="23"/>
      <c r="F58" s="22"/>
      <c r="G58" s="22"/>
      <c r="H58" s="22"/>
      <c r="I58" s="22"/>
      <c r="J58" s="164"/>
    </row>
    <row r="61" ht="12.75">
      <c r="B61" s="87"/>
    </row>
    <row r="62" ht="12.75">
      <c r="B62" s="87"/>
    </row>
    <row r="63" ht="12.75">
      <c r="B63" s="87"/>
    </row>
    <row r="64" ht="12.75">
      <c r="B64" s="87"/>
    </row>
  </sheetData>
  <sheetProtection/>
  <mergeCells count="2">
    <mergeCell ref="B2:G2"/>
    <mergeCell ref="F3:G3"/>
  </mergeCells>
  <printOptions/>
  <pageMargins left="0.2" right="0.2" top="0.5905511811023623" bottom="0.54" header="0.5118110236220472" footer="0.5118110236220472"/>
  <pageSetup horizontalDpi="180" verticalDpi="180" orientation="portrait" paperSize="9" scale="79" r:id="rId1"/>
  <headerFooter alignWithMargins="0">
    <oddFooter>&amp;R29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5"/>
  <dimension ref="B2:M60"/>
  <sheetViews>
    <sheetView view="pageBreakPreview" zoomScaleSheetLayoutView="100"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2" t="s">
        <v>97</v>
      </c>
      <c r="C2" s="412"/>
      <c r="D2" s="412"/>
      <c r="E2" s="412"/>
      <c r="F2" s="412"/>
      <c r="G2" s="412"/>
      <c r="H2" s="11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72</v>
      </c>
      <c r="C6" s="11" t="s">
        <v>61</v>
      </c>
      <c r="D6" s="11" t="s">
        <v>46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1168500</v>
      </c>
      <c r="H7" s="20">
        <f>SUM(H8:H11)</f>
        <v>1168500</v>
      </c>
      <c r="I7" s="20">
        <f>SUM(I8:I11)</f>
        <v>1119550.75</v>
      </c>
      <c r="J7" s="160">
        <f aca="true" t="shared" si="0" ref="J7:J42">IF(H7=0,"",I7/H7*100)</f>
        <v>95.81093281985451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46">
        <v>951600</v>
      </c>
      <c r="H8" s="46">
        <v>951600</v>
      </c>
      <c r="I8" s="46">
        <v>919146.75</v>
      </c>
      <c r="J8" s="161">
        <f>IF(H8=0,"",I8/H8*100)</f>
        <v>96.58961223203026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46">
        <v>211200</v>
      </c>
      <c r="H9" s="46">
        <v>211200</v>
      </c>
      <c r="I9" s="46">
        <v>196704</v>
      </c>
      <c r="J9" s="161">
        <f t="shared" si="0"/>
        <v>93.13636363636364</v>
      </c>
    </row>
    <row r="10" spans="2:12" ht="12.75" customHeight="1">
      <c r="B10" s="14"/>
      <c r="C10" s="15"/>
      <c r="D10" s="15"/>
      <c r="E10" s="16">
        <v>611200</v>
      </c>
      <c r="F10" s="26" t="s">
        <v>457</v>
      </c>
      <c r="G10" s="88">
        <v>5700</v>
      </c>
      <c r="H10" s="88">
        <v>5700</v>
      </c>
      <c r="I10" s="88">
        <v>3700</v>
      </c>
      <c r="J10" s="161">
        <f t="shared" si="0"/>
        <v>64.91228070175438</v>
      </c>
      <c r="L10" s="94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 t="shared" si="0"/>
      </c>
    </row>
    <row r="12" spans="2:12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  <c r="L12" s="87" t="s">
        <v>104</v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99500</v>
      </c>
      <c r="H13" s="20">
        <f>H14+H15</f>
        <v>99500</v>
      </c>
      <c r="I13" s="20">
        <f>I14+I15</f>
        <v>96510.41</v>
      </c>
      <c r="J13" s="160">
        <f t="shared" si="0"/>
        <v>96.99538693467336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46">
        <v>99500</v>
      </c>
      <c r="H14" s="46">
        <v>99500</v>
      </c>
      <c r="I14" s="46">
        <v>96510.41</v>
      </c>
      <c r="J14" s="161">
        <f t="shared" si="0"/>
        <v>96.99538693467336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191200</v>
      </c>
      <c r="H17" s="51">
        <f>SUM(H18:H27)</f>
        <v>188370</v>
      </c>
      <c r="I17" s="51">
        <f>SUM(I18:I27)</f>
        <v>177936.84000000003</v>
      </c>
      <c r="J17" s="160">
        <f t="shared" si="0"/>
        <v>94.46134734830387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6">
        <v>7000</v>
      </c>
      <c r="H18" s="46">
        <v>7000</v>
      </c>
      <c r="I18" s="46">
        <v>5590.2</v>
      </c>
      <c r="J18" s="161">
        <f t="shared" si="0"/>
        <v>79.86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78000</v>
      </c>
      <c r="H19" s="46">
        <v>77120</v>
      </c>
      <c r="I19" s="46">
        <v>75699.27</v>
      </c>
      <c r="J19" s="161">
        <f t="shared" si="0"/>
        <v>98.15776711618258</v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6">
        <v>8400</v>
      </c>
      <c r="H20" s="46">
        <v>8400</v>
      </c>
      <c r="I20" s="46">
        <v>5850.15</v>
      </c>
      <c r="J20" s="161">
        <f t="shared" si="0"/>
        <v>69.64464285714286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6">
        <v>22000</v>
      </c>
      <c r="H21" s="46">
        <v>24020</v>
      </c>
      <c r="I21" s="124">
        <v>24016.79</v>
      </c>
      <c r="J21" s="161">
        <f t="shared" si="0"/>
        <v>99.98663613655287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124">
        <v>2200</v>
      </c>
      <c r="H22" s="124">
        <v>2020</v>
      </c>
      <c r="I22" s="124">
        <v>2013.49</v>
      </c>
      <c r="J22" s="161">
        <f t="shared" si="0"/>
        <v>99.67772277227724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46">
        <v>0</v>
      </c>
      <c r="H23" s="46">
        <v>0</v>
      </c>
      <c r="I23" s="46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46">
        <v>14000</v>
      </c>
      <c r="H24" s="46">
        <v>15650</v>
      </c>
      <c r="I24" s="124">
        <v>15568.99</v>
      </c>
      <c r="J24" s="161">
        <f t="shared" si="0"/>
        <v>99.4823642172524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46">
        <v>0</v>
      </c>
      <c r="H25" s="46">
        <v>300</v>
      </c>
      <c r="I25" s="46">
        <v>295.15</v>
      </c>
      <c r="J25" s="161">
        <f t="shared" si="0"/>
        <v>98.38333333333333</v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124">
        <v>52000</v>
      </c>
      <c r="H26" s="124">
        <v>47060</v>
      </c>
      <c r="I26" s="124">
        <v>42112.05</v>
      </c>
      <c r="J26" s="161">
        <f t="shared" si="0"/>
        <v>89.48586910327242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116">
        <v>7600</v>
      </c>
      <c r="H27" s="116">
        <v>6800</v>
      </c>
      <c r="I27" s="116">
        <v>6790.75</v>
      </c>
      <c r="J27" s="161">
        <f t="shared" si="0"/>
        <v>99.86397058823529</v>
      </c>
      <c r="K27" s="95"/>
      <c r="L27" s="95"/>
    </row>
    <row r="28" spans="2:10" s="1" customFormat="1" ht="12.75" customHeight="1">
      <c r="B28" s="17"/>
      <c r="C28" s="12"/>
      <c r="D28" s="12"/>
      <c r="E28" s="9"/>
      <c r="F28" s="12"/>
      <c r="G28" s="46"/>
      <c r="H28" s="46"/>
      <c r="I28" s="46"/>
      <c r="J28" s="161">
        <f t="shared" si="0"/>
      </c>
    </row>
    <row r="29" spans="2:10" ht="12.75" customHeight="1">
      <c r="B29" s="14"/>
      <c r="C29" s="15"/>
      <c r="D29" s="31"/>
      <c r="E29" s="16"/>
      <c r="F29" s="30"/>
      <c r="G29" s="46"/>
      <c r="H29" s="46"/>
      <c r="I29" s="46"/>
      <c r="J29" s="161">
        <f t="shared" si="0"/>
      </c>
    </row>
    <row r="30" spans="2:10" ht="12.75" customHeight="1">
      <c r="B30" s="14"/>
      <c r="C30" s="15"/>
      <c r="D30" s="15"/>
      <c r="E30" s="63"/>
      <c r="F30" s="30"/>
      <c r="G30" s="46"/>
      <c r="H30" s="46"/>
      <c r="I30" s="46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46"/>
      <c r="H31" s="46"/>
      <c r="I31" s="46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46"/>
      <c r="H32" s="46"/>
      <c r="I32" s="46"/>
      <c r="J32" s="161">
        <f t="shared" si="0"/>
      </c>
    </row>
    <row r="33" spans="2:10" ht="12.75" customHeight="1">
      <c r="B33" s="14"/>
      <c r="C33" s="15"/>
      <c r="D33" s="15"/>
      <c r="E33" s="9"/>
      <c r="F33" s="12"/>
      <c r="G33" s="46"/>
      <c r="H33" s="46"/>
      <c r="I33" s="46"/>
      <c r="J33" s="161">
        <f t="shared" si="0"/>
      </c>
    </row>
    <row r="34" spans="2:10" ht="12.75" customHeight="1">
      <c r="B34" s="14"/>
      <c r="C34" s="15"/>
      <c r="D34" s="15"/>
      <c r="E34" s="16"/>
      <c r="F34" s="26"/>
      <c r="G34" s="46"/>
      <c r="H34" s="46"/>
      <c r="I34" s="46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20">
        <f>SUM(G37:G39)</f>
        <v>13000</v>
      </c>
      <c r="H36" s="20">
        <f>SUM(H37:H39)</f>
        <v>15030</v>
      </c>
      <c r="I36" s="20">
        <f>SUM(I37:I39)</f>
        <v>13122.380000000001</v>
      </c>
      <c r="J36" s="160">
        <f t="shared" si="0"/>
        <v>87.30791749833666</v>
      </c>
    </row>
    <row r="37" spans="2:11" ht="12.75" customHeight="1">
      <c r="B37" s="14"/>
      <c r="C37" s="15"/>
      <c r="D37" s="15"/>
      <c r="E37" s="16">
        <v>821200</v>
      </c>
      <c r="F37" s="15" t="s">
        <v>16</v>
      </c>
      <c r="G37" s="124">
        <v>10000</v>
      </c>
      <c r="H37" s="124">
        <v>10000</v>
      </c>
      <c r="I37" s="124">
        <v>8092.38</v>
      </c>
      <c r="J37" s="161">
        <f t="shared" si="0"/>
        <v>80.9238</v>
      </c>
      <c r="K37" s="87"/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124">
        <v>3000</v>
      </c>
      <c r="H38" s="124">
        <v>5030</v>
      </c>
      <c r="I38" s="124">
        <v>5030</v>
      </c>
      <c r="J38" s="161">
        <f t="shared" si="0"/>
        <v>100</v>
      </c>
    </row>
    <row r="39" spans="2:10" ht="12.75" customHeight="1">
      <c r="B39" s="14"/>
      <c r="C39" s="15"/>
      <c r="D39" s="15"/>
      <c r="E39" s="16"/>
      <c r="F39" s="26"/>
      <c r="G39" s="46"/>
      <c r="H39" s="46"/>
      <c r="I39" s="46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25" t="s">
        <v>263</v>
      </c>
      <c r="H41" s="25" t="s">
        <v>263</v>
      </c>
      <c r="I41" s="25" t="s">
        <v>572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1472200</v>
      </c>
      <c r="H42" s="20">
        <f>H7+H13+H17+H36</f>
        <v>1471400</v>
      </c>
      <c r="I42" s="20">
        <f>I7+I13+I17+I36</f>
        <v>1407120.38</v>
      </c>
      <c r="J42" s="160">
        <f t="shared" si="0"/>
        <v>95.63139730868559</v>
      </c>
    </row>
    <row r="43" spans="2:13" s="1" customFormat="1" ht="12.75" customHeight="1">
      <c r="B43" s="17"/>
      <c r="C43" s="12"/>
      <c r="D43" s="12"/>
      <c r="E43" s="9"/>
      <c r="F43" s="12" t="s">
        <v>19</v>
      </c>
      <c r="G43" s="20"/>
      <c r="H43" s="20"/>
      <c r="I43" s="20"/>
      <c r="J43" s="163"/>
      <c r="M43" s="1" t="s">
        <v>104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45"/>
      <c r="H44" s="45"/>
      <c r="I44" s="45"/>
      <c r="J44" s="162"/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7" ht="12.75">
      <c r="B47" s="87"/>
    </row>
    <row r="48" ht="12.75">
      <c r="B48" s="87"/>
    </row>
    <row r="49" ht="12.75">
      <c r="B49" s="87"/>
    </row>
    <row r="50" ht="12.75">
      <c r="B50" s="87"/>
    </row>
    <row r="51" ht="12.75">
      <c r="B51" s="87"/>
    </row>
    <row r="52" ht="12.75">
      <c r="B52" s="87"/>
    </row>
    <row r="53" ht="12.75">
      <c r="B53" s="87"/>
    </row>
    <row r="54" ht="12.75">
      <c r="B54" s="87"/>
    </row>
    <row r="55" ht="12.75">
      <c r="B55" s="87"/>
    </row>
    <row r="56" ht="12.75">
      <c r="B56" s="87"/>
    </row>
    <row r="57" ht="12.75">
      <c r="B57" s="87"/>
    </row>
    <row r="58" ht="12.75">
      <c r="B58" s="87"/>
    </row>
    <row r="59" ht="12.75">
      <c r="B59" s="87"/>
    </row>
    <row r="60" ht="12.75">
      <c r="B60" s="87"/>
    </row>
  </sheetData>
  <sheetProtection/>
  <mergeCells count="2">
    <mergeCell ref="B2:G2"/>
    <mergeCell ref="F3:G3"/>
  </mergeCells>
  <printOptions/>
  <pageMargins left="0.2755905511811024" right="0.2755905511811024" top="0.5905511811023623" bottom="0.52" header="0.5118110236220472" footer="0.5118110236220472"/>
  <pageSetup horizontalDpi="180" verticalDpi="180" orientation="portrait" paperSize="9" scale="77" r:id="rId1"/>
  <headerFooter alignWithMargins="0">
    <oddFooter>&amp;R30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B2:L51"/>
  <sheetViews>
    <sheetView zoomScaleSheetLayoutView="100"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9" width="15.7109375" style="13" customWidth="1"/>
    <col min="10" max="10" width="8.7109375" style="148" customWidth="1"/>
    <col min="11" max="16384" width="9.140625" style="13" customWidth="1"/>
  </cols>
  <sheetData>
    <row r="2" spans="2:8" ht="15" customHeight="1">
      <c r="B2" s="412" t="s">
        <v>243</v>
      </c>
      <c r="C2" s="412"/>
      <c r="D2" s="412"/>
      <c r="E2" s="412"/>
      <c r="F2" s="412"/>
      <c r="G2" s="412"/>
      <c r="H2" s="11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43" t="s">
        <v>72</v>
      </c>
      <c r="C6" s="144" t="s">
        <v>61</v>
      </c>
      <c r="D6" s="144" t="s">
        <v>53</v>
      </c>
      <c r="E6" s="9"/>
      <c r="F6" s="9"/>
      <c r="G6" s="9"/>
      <c r="H6" s="9"/>
      <c r="I6" s="9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1041940</v>
      </c>
      <c r="H7" s="20">
        <f>SUM(H8:H11)</f>
        <v>1041820</v>
      </c>
      <c r="I7" s="20">
        <f>SUM(I8:I11)</f>
        <v>1031474.64</v>
      </c>
      <c r="J7" s="160">
        <f>IF(H7=0,"",I7/H7*100)</f>
        <v>99.00699161083489</v>
      </c>
    </row>
    <row r="8" spans="2:11" ht="12.75" customHeight="1">
      <c r="B8" s="14"/>
      <c r="C8" s="15"/>
      <c r="D8" s="15"/>
      <c r="E8" s="16">
        <v>611100</v>
      </c>
      <c r="F8" s="26" t="s">
        <v>128</v>
      </c>
      <c r="G8" s="46">
        <v>839800</v>
      </c>
      <c r="H8" s="46">
        <v>844000</v>
      </c>
      <c r="I8" s="124">
        <v>843994.24</v>
      </c>
      <c r="J8" s="161">
        <f>IF(H8=0,"",I8/H8*100)</f>
        <v>99.99931753554502</v>
      </c>
      <c r="K8" s="95"/>
    </row>
    <row r="9" spans="2:12" ht="12.75" customHeight="1">
      <c r="B9" s="14"/>
      <c r="C9" s="15"/>
      <c r="D9" s="15"/>
      <c r="E9" s="16">
        <v>611200</v>
      </c>
      <c r="F9" s="15" t="s">
        <v>129</v>
      </c>
      <c r="G9" s="124">
        <v>197220</v>
      </c>
      <c r="H9" s="124">
        <v>192900</v>
      </c>
      <c r="I9" s="124">
        <v>183692.4</v>
      </c>
      <c r="J9" s="161">
        <f aca="true" t="shared" si="0" ref="J9:J42">IF(H9=0,"",I9/H9*100)</f>
        <v>95.2267496111975</v>
      </c>
      <c r="K9" s="95"/>
      <c r="L9" s="87"/>
    </row>
    <row r="10" spans="2:12" ht="12.75" customHeight="1">
      <c r="B10" s="14"/>
      <c r="C10" s="15"/>
      <c r="D10" s="15"/>
      <c r="E10" s="16">
        <v>611200</v>
      </c>
      <c r="F10" s="26" t="s">
        <v>457</v>
      </c>
      <c r="G10" s="88">
        <v>4920</v>
      </c>
      <c r="H10" s="88">
        <v>4920</v>
      </c>
      <c r="I10" s="88">
        <v>3788</v>
      </c>
      <c r="J10" s="161">
        <f t="shared" si="0"/>
        <v>76.99186991869918</v>
      </c>
      <c r="K10" s="95"/>
      <c r="L10" s="94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88500</v>
      </c>
      <c r="H13" s="20">
        <f>H14+H15</f>
        <v>88620</v>
      </c>
      <c r="I13" s="20">
        <f>I14+I15</f>
        <v>88619.43</v>
      </c>
      <c r="J13" s="160">
        <f t="shared" si="0"/>
        <v>99.99935680433309</v>
      </c>
    </row>
    <row r="14" spans="2:11" ht="12.75" customHeight="1">
      <c r="B14" s="14"/>
      <c r="C14" s="15"/>
      <c r="D14" s="15"/>
      <c r="E14" s="16">
        <v>612100</v>
      </c>
      <c r="F14" s="18" t="s">
        <v>8</v>
      </c>
      <c r="G14" s="46">
        <v>88500</v>
      </c>
      <c r="H14" s="46">
        <v>88620</v>
      </c>
      <c r="I14" s="124">
        <v>88619.43</v>
      </c>
      <c r="J14" s="161">
        <f t="shared" si="0"/>
        <v>99.99935680433309</v>
      </c>
      <c r="K14" s="95"/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147100</v>
      </c>
      <c r="H17" s="51">
        <f>SUM(H18:H27)</f>
        <v>146360</v>
      </c>
      <c r="I17" s="51">
        <f>SUM(I18:I27)</f>
        <v>141271.78</v>
      </c>
      <c r="J17" s="160">
        <f t="shared" si="0"/>
        <v>96.52349002459688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124">
        <v>5500</v>
      </c>
      <c r="H18" s="124">
        <v>5900</v>
      </c>
      <c r="I18" s="124">
        <v>5705.44</v>
      </c>
      <c r="J18" s="161">
        <f t="shared" si="0"/>
        <v>96.70237288135593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60000</v>
      </c>
      <c r="H19" s="46">
        <v>60000</v>
      </c>
      <c r="I19" s="46">
        <v>58053.78</v>
      </c>
      <c r="J19" s="161">
        <f t="shared" si="0"/>
        <v>96.7563</v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124">
        <v>12500</v>
      </c>
      <c r="H20" s="124">
        <v>11700</v>
      </c>
      <c r="I20" s="124">
        <v>10268.21</v>
      </c>
      <c r="J20" s="161">
        <f t="shared" si="0"/>
        <v>87.76247863247862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124">
        <v>27000</v>
      </c>
      <c r="H21" s="124">
        <v>27500</v>
      </c>
      <c r="I21" s="124">
        <v>27464.37</v>
      </c>
      <c r="J21" s="161">
        <f t="shared" si="0"/>
        <v>99.87043636363636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124">
        <v>800</v>
      </c>
      <c r="H22" s="124">
        <v>400</v>
      </c>
      <c r="I22" s="124">
        <v>141.71</v>
      </c>
      <c r="J22" s="161">
        <f t="shared" si="0"/>
        <v>35.4275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124">
        <v>0</v>
      </c>
      <c r="H23" s="124">
        <v>0</v>
      </c>
      <c r="I23" s="124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124">
        <v>24000</v>
      </c>
      <c r="H24" s="124">
        <v>24300</v>
      </c>
      <c r="I24" s="124">
        <v>24258.1</v>
      </c>
      <c r="J24" s="161">
        <f t="shared" si="0"/>
        <v>99.82757201646089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124">
        <v>0</v>
      </c>
      <c r="H25" s="124">
        <v>0</v>
      </c>
      <c r="I25" s="124">
        <v>0</v>
      </c>
      <c r="J25" s="161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124">
        <v>12000</v>
      </c>
      <c r="H26" s="124">
        <v>12000</v>
      </c>
      <c r="I26" s="124">
        <v>10822.41</v>
      </c>
      <c r="J26" s="161">
        <f t="shared" si="0"/>
        <v>90.18674999999999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177">
        <v>5300</v>
      </c>
      <c r="H27" s="177">
        <v>4560</v>
      </c>
      <c r="I27" s="177">
        <v>4557.76</v>
      </c>
      <c r="J27" s="161">
        <f t="shared" si="0"/>
        <v>99.95087719298246</v>
      </c>
      <c r="L27" s="95"/>
    </row>
    <row r="28" spans="2:10" s="1" customFormat="1" ht="12.75" customHeight="1">
      <c r="B28" s="17"/>
      <c r="C28" s="12"/>
      <c r="D28" s="12"/>
      <c r="E28" s="9"/>
      <c r="F28" s="12"/>
      <c r="G28" s="124"/>
      <c r="H28" s="124"/>
      <c r="I28" s="124"/>
      <c r="J28" s="161">
        <f t="shared" si="0"/>
      </c>
    </row>
    <row r="29" spans="2:10" ht="12.75" customHeight="1">
      <c r="B29" s="14"/>
      <c r="C29" s="15"/>
      <c r="D29" s="31"/>
      <c r="E29" s="16"/>
      <c r="F29" s="30"/>
      <c r="G29" s="124"/>
      <c r="H29" s="124"/>
      <c r="I29" s="124"/>
      <c r="J29" s="161">
        <f t="shared" si="0"/>
      </c>
    </row>
    <row r="30" spans="2:10" ht="12.75" customHeight="1">
      <c r="B30" s="14"/>
      <c r="C30" s="15"/>
      <c r="D30" s="15"/>
      <c r="E30" s="63"/>
      <c r="F30" s="30"/>
      <c r="G30" s="124"/>
      <c r="H30" s="124"/>
      <c r="I30" s="124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124"/>
      <c r="H31" s="124"/>
      <c r="I31" s="124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124"/>
      <c r="H32" s="124"/>
      <c r="I32" s="124"/>
      <c r="J32" s="161">
        <f t="shared" si="0"/>
      </c>
    </row>
    <row r="33" spans="2:10" ht="12.75" customHeight="1">
      <c r="B33" s="14"/>
      <c r="C33" s="15"/>
      <c r="D33" s="15"/>
      <c r="E33" s="9"/>
      <c r="F33" s="12"/>
      <c r="G33" s="124"/>
      <c r="H33" s="124"/>
      <c r="I33" s="124"/>
      <c r="J33" s="161">
        <f t="shared" si="0"/>
      </c>
    </row>
    <row r="34" spans="2:10" ht="12.75" customHeight="1">
      <c r="B34" s="14"/>
      <c r="C34" s="15"/>
      <c r="D34" s="15"/>
      <c r="E34" s="16"/>
      <c r="F34" s="26"/>
      <c r="G34" s="124"/>
      <c r="H34" s="124"/>
      <c r="I34" s="124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SUM(G37:G39)</f>
        <v>6000</v>
      </c>
      <c r="H36" s="115">
        <f>SUM(H37:H39)</f>
        <v>6000</v>
      </c>
      <c r="I36" s="115">
        <f>SUM(I37:I39)</f>
        <v>5999.25</v>
      </c>
      <c r="J36" s="160">
        <f t="shared" si="0"/>
        <v>99.9875</v>
      </c>
    </row>
    <row r="37" spans="2:11" ht="12.75" customHeight="1">
      <c r="B37" s="14"/>
      <c r="C37" s="15"/>
      <c r="D37" s="15"/>
      <c r="E37" s="126">
        <v>821200</v>
      </c>
      <c r="F37" s="19" t="s">
        <v>16</v>
      </c>
      <c r="G37" s="124">
        <v>0</v>
      </c>
      <c r="H37" s="124">
        <v>0</v>
      </c>
      <c r="I37" s="124">
        <v>0</v>
      </c>
      <c r="J37" s="161">
        <f t="shared" si="0"/>
      </c>
      <c r="K37" s="87"/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124">
        <v>6000</v>
      </c>
      <c r="H38" s="124">
        <v>6000</v>
      </c>
      <c r="I38" s="124">
        <v>5999.25</v>
      </c>
      <c r="J38" s="161">
        <f t="shared" si="0"/>
        <v>99.9875</v>
      </c>
    </row>
    <row r="39" spans="2:10" ht="12.75" customHeight="1">
      <c r="B39" s="14"/>
      <c r="C39" s="15"/>
      <c r="D39" s="15"/>
      <c r="E39" s="16"/>
      <c r="F39" s="26"/>
      <c r="G39" s="124"/>
      <c r="H39" s="124"/>
      <c r="I39" s="124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124"/>
      <c r="H40" s="124"/>
      <c r="I40" s="124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25" t="s">
        <v>464</v>
      </c>
      <c r="H41" s="25" t="s">
        <v>464</v>
      </c>
      <c r="I41" s="25" t="s">
        <v>573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1283540</v>
      </c>
      <c r="H42" s="20">
        <f>H7+H13+H17+H36</f>
        <v>1282800</v>
      </c>
      <c r="I42" s="20">
        <f>I7+I13+I17+I36</f>
        <v>1267365.1</v>
      </c>
      <c r="J42" s="160">
        <f t="shared" si="0"/>
        <v>98.79678048019957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/>
      <c r="H43" s="20"/>
      <c r="I43" s="20"/>
      <c r="J43" s="163"/>
    </row>
    <row r="44" spans="2:10" s="1" customFormat="1" ht="12.75" customHeight="1">
      <c r="B44" s="17"/>
      <c r="C44" s="12"/>
      <c r="D44" s="12"/>
      <c r="E44" s="9"/>
      <c r="F44" s="12" t="s">
        <v>20</v>
      </c>
      <c r="G44" s="45"/>
      <c r="H44" s="45"/>
      <c r="I44" s="45"/>
      <c r="J44" s="162"/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7" ht="12.75">
      <c r="B47" s="87"/>
    </row>
    <row r="48" ht="12.75">
      <c r="B48" s="87"/>
    </row>
    <row r="49" ht="12.75">
      <c r="B49" s="87"/>
    </row>
    <row r="50" ht="12.75">
      <c r="B50" s="87"/>
    </row>
    <row r="51" ht="12.75">
      <c r="B51" s="87"/>
    </row>
  </sheetData>
  <sheetProtection/>
  <mergeCells count="2">
    <mergeCell ref="B2:G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78" r:id="rId1"/>
  <headerFooter alignWithMargins="0">
    <oddFooter>&amp;R31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B2:L51"/>
  <sheetViews>
    <sheetView zoomScaleSheetLayoutView="100"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9" width="15.7109375" style="13" customWidth="1"/>
    <col min="10" max="10" width="8.7109375" style="148" customWidth="1"/>
    <col min="11" max="11" width="9.140625" style="13" customWidth="1"/>
    <col min="12" max="12" width="9.57421875" style="13" bestFit="1" customWidth="1"/>
    <col min="13" max="16384" width="9.140625" style="13" customWidth="1"/>
  </cols>
  <sheetData>
    <row r="2" spans="2:8" ht="15" customHeight="1">
      <c r="B2" s="412" t="s">
        <v>244</v>
      </c>
      <c r="C2" s="412"/>
      <c r="D2" s="412"/>
      <c r="E2" s="412"/>
      <c r="F2" s="412"/>
      <c r="G2" s="412"/>
      <c r="H2" s="11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43" t="s">
        <v>72</v>
      </c>
      <c r="C6" s="144" t="s">
        <v>61</v>
      </c>
      <c r="D6" s="144" t="s">
        <v>54</v>
      </c>
      <c r="E6" s="9"/>
      <c r="F6" s="9"/>
      <c r="G6" s="9"/>
      <c r="H6" s="9"/>
      <c r="I6" s="9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793900</v>
      </c>
      <c r="H7" s="20">
        <f>SUM(H8:H11)</f>
        <v>793140</v>
      </c>
      <c r="I7" s="20">
        <f>SUM(I8:I11)</f>
        <v>781387.8799999999</v>
      </c>
      <c r="J7" s="160">
        <f>IF(H7=0,"",I7/H7*100)</f>
        <v>98.51827924452175</v>
      </c>
    </row>
    <row r="8" spans="2:12" ht="12.75" customHeight="1">
      <c r="B8" s="14"/>
      <c r="C8" s="15"/>
      <c r="D8" s="15"/>
      <c r="E8" s="16">
        <v>611100</v>
      </c>
      <c r="F8" s="26" t="s">
        <v>128</v>
      </c>
      <c r="G8" s="46">
        <v>636900</v>
      </c>
      <c r="H8" s="46">
        <v>641690</v>
      </c>
      <c r="I8" s="124">
        <v>640482.08</v>
      </c>
      <c r="J8" s="161">
        <f>IF(H8=0,"",I8/H8*100)</f>
        <v>99.81175957237917</v>
      </c>
      <c r="K8" s="95"/>
      <c r="L8" s="95"/>
    </row>
    <row r="9" spans="2:12" ht="12.75" customHeight="1">
      <c r="B9" s="14"/>
      <c r="C9" s="15"/>
      <c r="D9" s="15"/>
      <c r="E9" s="16">
        <v>611200</v>
      </c>
      <c r="F9" s="15" t="s">
        <v>129</v>
      </c>
      <c r="G9" s="124">
        <v>152900</v>
      </c>
      <c r="H9" s="124">
        <v>147350</v>
      </c>
      <c r="I9" s="124">
        <v>137761.8</v>
      </c>
      <c r="J9" s="161">
        <f aca="true" t="shared" si="0" ref="J9:J43">IF(H9=0,"",I9/H9*100)</f>
        <v>93.49290804207668</v>
      </c>
      <c r="K9" s="95"/>
      <c r="L9" s="95"/>
    </row>
    <row r="10" spans="2:12" ht="12.75" customHeight="1">
      <c r="B10" s="14"/>
      <c r="C10" s="15"/>
      <c r="D10" s="15"/>
      <c r="E10" s="16">
        <v>611200</v>
      </c>
      <c r="F10" s="26" t="s">
        <v>459</v>
      </c>
      <c r="G10" s="88">
        <v>4100</v>
      </c>
      <c r="H10" s="88">
        <v>4100</v>
      </c>
      <c r="I10" s="88">
        <v>3144</v>
      </c>
      <c r="J10" s="161">
        <f t="shared" si="0"/>
        <v>76.6829268292683</v>
      </c>
      <c r="K10" s="95"/>
      <c r="L10" s="95"/>
    </row>
    <row r="11" spans="2:12" ht="12.75" customHeight="1">
      <c r="B11" s="14"/>
      <c r="C11" s="15"/>
      <c r="D11" s="15"/>
      <c r="E11" s="16"/>
      <c r="F11" s="26"/>
      <c r="G11" s="46"/>
      <c r="H11" s="46"/>
      <c r="I11" s="46"/>
      <c r="J11" s="161">
        <f t="shared" si="0"/>
      </c>
      <c r="L11" s="95"/>
    </row>
    <row r="12" spans="2:12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  <c r="L12" s="95"/>
    </row>
    <row r="13" spans="2:12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66400</v>
      </c>
      <c r="H13" s="20">
        <f>H14+H15</f>
        <v>67160</v>
      </c>
      <c r="I13" s="20">
        <f>I14+I15</f>
        <v>67156.4</v>
      </c>
      <c r="J13" s="160">
        <f t="shared" si="0"/>
        <v>99.99463966646813</v>
      </c>
      <c r="L13" s="95"/>
    </row>
    <row r="14" spans="2:12" ht="12.75" customHeight="1">
      <c r="B14" s="14"/>
      <c r="C14" s="15"/>
      <c r="D14" s="15"/>
      <c r="E14" s="16">
        <v>612100</v>
      </c>
      <c r="F14" s="18" t="s">
        <v>8</v>
      </c>
      <c r="G14" s="46">
        <v>66400</v>
      </c>
      <c r="H14" s="46">
        <v>67160</v>
      </c>
      <c r="I14" s="124">
        <v>67156.4</v>
      </c>
      <c r="J14" s="161">
        <f t="shared" si="0"/>
        <v>99.99463966646813</v>
      </c>
      <c r="K14" s="95"/>
      <c r="L14" s="95"/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151900</v>
      </c>
      <c r="H17" s="51">
        <f>SUM(H18:H27)</f>
        <v>151220</v>
      </c>
      <c r="I17" s="51">
        <f>SUM(I18:I27)</f>
        <v>139808.53</v>
      </c>
      <c r="J17" s="160">
        <f t="shared" si="0"/>
        <v>92.45372966538817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124">
        <v>4000</v>
      </c>
      <c r="H18" s="124">
        <v>4000</v>
      </c>
      <c r="I18" s="124">
        <v>2964.06</v>
      </c>
      <c r="J18" s="161">
        <f t="shared" si="0"/>
        <v>74.1015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53000</v>
      </c>
      <c r="H19" s="46">
        <v>50200</v>
      </c>
      <c r="I19" s="46">
        <v>46134.44</v>
      </c>
      <c r="J19" s="161">
        <f t="shared" si="0"/>
        <v>91.9012749003984</v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6">
        <v>8000</v>
      </c>
      <c r="H20" s="46">
        <v>8000</v>
      </c>
      <c r="I20" s="46">
        <v>7340.13</v>
      </c>
      <c r="J20" s="161">
        <f t="shared" si="0"/>
        <v>91.751625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6">
        <v>14000</v>
      </c>
      <c r="H21" s="46">
        <v>16000</v>
      </c>
      <c r="I21" s="124">
        <v>15513.44</v>
      </c>
      <c r="J21" s="161">
        <f t="shared" si="0"/>
        <v>96.959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124">
        <v>1800</v>
      </c>
      <c r="H22" s="124">
        <v>1800</v>
      </c>
      <c r="I22" s="124">
        <v>1786.14</v>
      </c>
      <c r="J22" s="161">
        <f t="shared" si="0"/>
        <v>99.23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124">
        <v>0</v>
      </c>
      <c r="H23" s="124">
        <v>0</v>
      </c>
      <c r="I23" s="124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124">
        <v>15000</v>
      </c>
      <c r="H24" s="124">
        <v>15650</v>
      </c>
      <c r="I24" s="124">
        <v>14527.3</v>
      </c>
      <c r="J24" s="161">
        <f t="shared" si="0"/>
        <v>92.82619808306708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124">
        <v>0</v>
      </c>
      <c r="H25" s="124">
        <v>0</v>
      </c>
      <c r="I25" s="124">
        <v>0</v>
      </c>
      <c r="J25" s="161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124">
        <v>51500</v>
      </c>
      <c r="H26" s="124">
        <v>51500</v>
      </c>
      <c r="I26" s="124">
        <v>47477.13</v>
      </c>
      <c r="J26" s="161">
        <f t="shared" si="0"/>
        <v>92.18860194174758</v>
      </c>
    </row>
    <row r="27" spans="2:11" ht="12.75" customHeight="1">
      <c r="B27" s="14"/>
      <c r="C27" s="15"/>
      <c r="D27" s="15"/>
      <c r="E27" s="16">
        <v>613900</v>
      </c>
      <c r="F27" s="26" t="s">
        <v>143</v>
      </c>
      <c r="G27" s="177">
        <v>4600</v>
      </c>
      <c r="H27" s="177">
        <v>4070</v>
      </c>
      <c r="I27" s="177">
        <v>4065.89</v>
      </c>
      <c r="J27" s="161">
        <f t="shared" si="0"/>
        <v>99.8990171990172</v>
      </c>
      <c r="K27" s="95"/>
    </row>
    <row r="28" spans="2:10" s="1" customFormat="1" ht="12.75" customHeight="1">
      <c r="B28" s="17"/>
      <c r="C28" s="12"/>
      <c r="D28" s="12"/>
      <c r="E28" s="9"/>
      <c r="F28" s="12"/>
      <c r="G28" s="124"/>
      <c r="H28" s="124"/>
      <c r="I28" s="124"/>
      <c r="J28" s="161">
        <f t="shared" si="0"/>
      </c>
    </row>
    <row r="29" spans="2:10" ht="12.75" customHeight="1">
      <c r="B29" s="14"/>
      <c r="C29" s="15"/>
      <c r="D29" s="31"/>
      <c r="E29" s="16"/>
      <c r="F29" s="30"/>
      <c r="G29" s="124"/>
      <c r="H29" s="124"/>
      <c r="I29" s="124"/>
      <c r="J29" s="161">
        <f t="shared" si="0"/>
      </c>
    </row>
    <row r="30" spans="2:10" ht="12.75" customHeight="1">
      <c r="B30" s="14"/>
      <c r="C30" s="15"/>
      <c r="D30" s="15"/>
      <c r="E30" s="63"/>
      <c r="F30" s="30"/>
      <c r="G30" s="124"/>
      <c r="H30" s="124"/>
      <c r="I30" s="124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124"/>
      <c r="H31" s="124"/>
      <c r="I31" s="124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124"/>
      <c r="H32" s="124"/>
      <c r="I32" s="124"/>
      <c r="J32" s="161">
        <f t="shared" si="0"/>
      </c>
    </row>
    <row r="33" spans="2:10" ht="12.75" customHeight="1">
      <c r="B33" s="14"/>
      <c r="C33" s="15"/>
      <c r="D33" s="15"/>
      <c r="E33" s="9"/>
      <c r="F33" s="12"/>
      <c r="G33" s="124"/>
      <c r="H33" s="124"/>
      <c r="I33" s="124"/>
      <c r="J33" s="161">
        <f t="shared" si="0"/>
      </c>
    </row>
    <row r="34" spans="2:10" ht="12.75" customHeight="1">
      <c r="B34" s="14"/>
      <c r="C34" s="15"/>
      <c r="D34" s="15"/>
      <c r="E34" s="16"/>
      <c r="F34" s="26"/>
      <c r="G34" s="124"/>
      <c r="H34" s="124"/>
      <c r="I34" s="124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SUM(G37:G39)</f>
        <v>5500</v>
      </c>
      <c r="H36" s="115">
        <f>SUM(H37:H39)</f>
        <v>5650</v>
      </c>
      <c r="I36" s="115">
        <f>SUM(I37:I39)</f>
        <v>5637.17</v>
      </c>
      <c r="J36" s="160">
        <f t="shared" si="0"/>
        <v>99.7729203539823</v>
      </c>
    </row>
    <row r="37" spans="2:11" ht="12.75" customHeight="1">
      <c r="B37" s="14"/>
      <c r="C37" s="15"/>
      <c r="D37" s="15"/>
      <c r="E37" s="126">
        <v>821200</v>
      </c>
      <c r="F37" s="19" t="s">
        <v>16</v>
      </c>
      <c r="G37" s="124">
        <v>0</v>
      </c>
      <c r="H37" s="124">
        <v>0</v>
      </c>
      <c r="I37" s="124">
        <v>0</v>
      </c>
      <c r="J37" s="161">
        <f t="shared" si="0"/>
      </c>
      <c r="K37" s="87"/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124">
        <v>5500</v>
      </c>
      <c r="H38" s="124">
        <v>5650</v>
      </c>
      <c r="I38" s="124">
        <v>5637.17</v>
      </c>
      <c r="J38" s="161">
        <f t="shared" si="0"/>
        <v>99.7729203539823</v>
      </c>
    </row>
    <row r="39" spans="2:10" ht="12.75" customHeight="1">
      <c r="B39" s="14"/>
      <c r="C39" s="15"/>
      <c r="D39" s="15"/>
      <c r="E39" s="16"/>
      <c r="F39" s="26"/>
      <c r="G39" s="124"/>
      <c r="H39" s="124"/>
      <c r="I39" s="124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25" t="s">
        <v>547</v>
      </c>
      <c r="H41" s="25" t="s">
        <v>547</v>
      </c>
      <c r="I41" s="25" t="s">
        <v>574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1017700</v>
      </c>
      <c r="H42" s="20">
        <f>H7+H13+H17+H36</f>
        <v>1017170</v>
      </c>
      <c r="I42" s="20">
        <f>I7+I13+I17+I36</f>
        <v>993989.98</v>
      </c>
      <c r="J42" s="160">
        <f t="shared" si="0"/>
        <v>97.72112626208008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>
        <f>G42+'22'!G42+'21'!G42</f>
        <v>3773440</v>
      </c>
      <c r="H43" s="20">
        <f>H42+'22'!H42+'21'!H42</f>
        <v>3771370</v>
      </c>
      <c r="I43" s="20">
        <f>I42+'22'!I42+'21'!I42</f>
        <v>3668475.46</v>
      </c>
      <c r="J43" s="160">
        <f t="shared" si="0"/>
        <v>97.27169331038853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45"/>
      <c r="H44" s="45"/>
      <c r="I44" s="45"/>
      <c r="J44" s="162"/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7" ht="12.75">
      <c r="B47" s="87"/>
    </row>
    <row r="48" ht="12.75">
      <c r="B48" s="87"/>
    </row>
    <row r="49" ht="12.75">
      <c r="B49" s="87"/>
    </row>
    <row r="50" ht="12.75">
      <c r="B50" s="87"/>
    </row>
    <row r="51" ht="12.75">
      <c r="B51" s="87"/>
    </row>
  </sheetData>
  <sheetProtection/>
  <mergeCells count="2">
    <mergeCell ref="B2:G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78" r:id="rId1"/>
  <headerFooter alignWithMargins="0">
    <oddFooter>&amp;R32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B2:L54"/>
  <sheetViews>
    <sheetView zoomScaleSheetLayoutView="100"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4" t="s">
        <v>73</v>
      </c>
      <c r="C2" s="414"/>
      <c r="D2" s="414"/>
      <c r="E2" s="414"/>
      <c r="F2" s="414"/>
      <c r="G2" s="414"/>
      <c r="H2" s="37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72</v>
      </c>
      <c r="C6" s="11" t="s">
        <v>74</v>
      </c>
      <c r="D6" s="11" t="s">
        <v>7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1012410</v>
      </c>
      <c r="H7" s="20">
        <f>SUM(H8:H11)</f>
        <v>1012410</v>
      </c>
      <c r="I7" s="20">
        <f>SUM(I8:I11)</f>
        <v>961368.2</v>
      </c>
      <c r="J7" s="160">
        <f>IF(H7=0,"",I7/H7*100)</f>
        <v>94.9583864244723</v>
      </c>
    </row>
    <row r="8" spans="2:11" ht="12.75" customHeight="1">
      <c r="B8" s="14"/>
      <c r="C8" s="15"/>
      <c r="D8" s="15"/>
      <c r="E8" s="16">
        <v>611100</v>
      </c>
      <c r="F8" s="26" t="s">
        <v>128</v>
      </c>
      <c r="G8" s="124">
        <v>826400</v>
      </c>
      <c r="H8" s="124">
        <v>826400</v>
      </c>
      <c r="I8" s="124">
        <v>794733.11</v>
      </c>
      <c r="J8" s="161">
        <f>IF(H8=0,"",I8/H8*100)</f>
        <v>96.1680917231365</v>
      </c>
      <c r="K8" s="114"/>
    </row>
    <row r="9" spans="2:11" ht="12.75" customHeight="1">
      <c r="B9" s="14"/>
      <c r="C9" s="15"/>
      <c r="D9" s="15"/>
      <c r="E9" s="16">
        <v>611200</v>
      </c>
      <c r="F9" s="15" t="s">
        <v>129</v>
      </c>
      <c r="G9" s="124">
        <v>181130</v>
      </c>
      <c r="H9" s="124">
        <v>180740</v>
      </c>
      <c r="I9" s="124">
        <v>161367.09</v>
      </c>
      <c r="J9" s="161">
        <f aca="true" t="shared" si="0" ref="J9:J42">IF(H9=0,"",I9/H9*100)</f>
        <v>89.28133783335177</v>
      </c>
      <c r="K9" s="95"/>
    </row>
    <row r="10" spans="2:12" ht="12.75" customHeight="1">
      <c r="B10" s="14"/>
      <c r="C10" s="15"/>
      <c r="D10" s="15"/>
      <c r="E10" s="16">
        <v>611200</v>
      </c>
      <c r="F10" s="26" t="s">
        <v>457</v>
      </c>
      <c r="G10" s="88">
        <v>4880</v>
      </c>
      <c r="H10" s="88">
        <v>5270</v>
      </c>
      <c r="I10" s="88">
        <v>5268</v>
      </c>
      <c r="J10" s="161">
        <f t="shared" si="0"/>
        <v>99.96204933586338</v>
      </c>
      <c r="K10" s="95"/>
      <c r="L10" s="94"/>
    </row>
    <row r="11" spans="2:10" ht="12.75" customHeight="1">
      <c r="B11" s="14"/>
      <c r="C11" s="15"/>
      <c r="D11" s="15"/>
      <c r="E11" s="16"/>
      <c r="F11" s="26"/>
      <c r="G11" s="124"/>
      <c r="H11" s="124"/>
      <c r="I11" s="124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115"/>
      <c r="H12" s="115"/>
      <c r="I12" s="115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115">
        <f>G14+G15</f>
        <v>86350</v>
      </c>
      <c r="H13" s="115">
        <f>H14+H15</f>
        <v>86350</v>
      </c>
      <c r="I13" s="115">
        <f>I14+I15</f>
        <v>83446.97</v>
      </c>
      <c r="J13" s="160">
        <f t="shared" si="0"/>
        <v>96.63806601042269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124">
        <v>86350</v>
      </c>
      <c r="H14" s="124">
        <v>86350</v>
      </c>
      <c r="I14" s="124">
        <v>83446.97</v>
      </c>
      <c r="J14" s="161">
        <f t="shared" si="0"/>
        <v>96.63806601042269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116050</v>
      </c>
      <c r="H17" s="51">
        <f>SUM(H18:H27)</f>
        <v>114610</v>
      </c>
      <c r="I17" s="51">
        <f>SUM(I18:I27)</f>
        <v>99543.73999999999</v>
      </c>
      <c r="J17" s="160">
        <f t="shared" si="0"/>
        <v>86.85432335747316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124">
        <v>5500</v>
      </c>
      <c r="H18" s="124">
        <v>5500</v>
      </c>
      <c r="I18" s="124">
        <v>5423.4</v>
      </c>
      <c r="J18" s="161">
        <f t="shared" si="0"/>
        <v>98.60727272727271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124">
        <v>30000</v>
      </c>
      <c r="H19" s="124">
        <v>26940</v>
      </c>
      <c r="I19" s="124">
        <v>19189.05</v>
      </c>
      <c r="J19" s="161">
        <f t="shared" si="0"/>
        <v>71.22884187082406</v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124">
        <v>8500</v>
      </c>
      <c r="H20" s="124">
        <v>8500</v>
      </c>
      <c r="I20" s="124">
        <v>5727.84</v>
      </c>
      <c r="J20" s="161">
        <f t="shared" si="0"/>
        <v>67.38635294117647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124">
        <v>12000</v>
      </c>
      <c r="H21" s="124">
        <v>12000</v>
      </c>
      <c r="I21" s="124">
        <v>10726.23</v>
      </c>
      <c r="J21" s="161">
        <f t="shared" si="0"/>
        <v>89.38525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124">
        <v>700</v>
      </c>
      <c r="H22" s="124">
        <v>700</v>
      </c>
      <c r="I22" s="124">
        <v>433.85</v>
      </c>
      <c r="J22" s="161">
        <f t="shared" si="0"/>
        <v>61.97857142857143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124">
        <v>0</v>
      </c>
      <c r="H23" s="124">
        <v>0</v>
      </c>
      <c r="I23" s="124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124">
        <v>9000</v>
      </c>
      <c r="H24" s="124">
        <v>9000</v>
      </c>
      <c r="I24" s="124">
        <v>8634.42</v>
      </c>
      <c r="J24" s="161">
        <f t="shared" si="0"/>
        <v>95.938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124">
        <v>0</v>
      </c>
      <c r="H25" s="124">
        <v>0</v>
      </c>
      <c r="I25" s="124">
        <v>0</v>
      </c>
      <c r="J25" s="161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124">
        <v>44000</v>
      </c>
      <c r="H26" s="124">
        <v>44000</v>
      </c>
      <c r="I26" s="124">
        <v>41440.35</v>
      </c>
      <c r="J26" s="161">
        <f t="shared" si="0"/>
        <v>94.18261363636363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124">
        <v>6350</v>
      </c>
      <c r="H27" s="124">
        <v>7970</v>
      </c>
      <c r="I27" s="124">
        <v>7968.6</v>
      </c>
      <c r="J27" s="161">
        <f t="shared" si="0"/>
        <v>99.98243412797993</v>
      </c>
      <c r="L27" s="95"/>
    </row>
    <row r="28" spans="2:10" s="1" customFormat="1" ht="12.75" customHeight="1">
      <c r="B28" s="17"/>
      <c r="C28" s="12"/>
      <c r="D28" s="12"/>
      <c r="E28" s="9"/>
      <c r="F28" s="12"/>
      <c r="G28" s="124"/>
      <c r="H28" s="124"/>
      <c r="I28" s="124"/>
      <c r="J28" s="161">
        <f t="shared" si="0"/>
      </c>
    </row>
    <row r="29" spans="2:10" ht="12.75" customHeight="1">
      <c r="B29" s="14"/>
      <c r="C29" s="15"/>
      <c r="D29" s="31"/>
      <c r="E29" s="16"/>
      <c r="F29" s="30"/>
      <c r="G29" s="124"/>
      <c r="H29" s="124"/>
      <c r="I29" s="124"/>
      <c r="J29" s="161">
        <f t="shared" si="0"/>
      </c>
    </row>
    <row r="30" spans="2:10" ht="12.75" customHeight="1">
      <c r="B30" s="14"/>
      <c r="C30" s="15"/>
      <c r="D30" s="15"/>
      <c r="E30" s="63"/>
      <c r="F30" s="30"/>
      <c r="G30" s="124"/>
      <c r="H30" s="124"/>
      <c r="I30" s="124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124"/>
      <c r="H31" s="124"/>
      <c r="I31" s="124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124"/>
      <c r="H32" s="124"/>
      <c r="I32" s="124"/>
      <c r="J32" s="161">
        <f t="shared" si="0"/>
      </c>
    </row>
    <row r="33" spans="2:10" ht="12.75" customHeight="1">
      <c r="B33" s="14"/>
      <c r="C33" s="15"/>
      <c r="D33" s="15"/>
      <c r="E33" s="9"/>
      <c r="F33" s="12"/>
      <c r="G33" s="124"/>
      <c r="H33" s="124"/>
      <c r="I33" s="124"/>
      <c r="J33" s="161">
        <f t="shared" si="0"/>
      </c>
    </row>
    <row r="34" spans="2:10" ht="12.75" customHeight="1">
      <c r="B34" s="14"/>
      <c r="C34" s="15"/>
      <c r="D34" s="15"/>
      <c r="E34" s="16"/>
      <c r="F34" s="26"/>
      <c r="G34" s="124"/>
      <c r="H34" s="124"/>
      <c r="I34" s="124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SUM(G37:G39)</f>
        <v>27200</v>
      </c>
      <c r="H36" s="115">
        <f>SUM(H37:H39)</f>
        <v>27200</v>
      </c>
      <c r="I36" s="115">
        <f>SUM(I37:I39)</f>
        <v>23949.120000000003</v>
      </c>
      <c r="J36" s="160">
        <f t="shared" si="0"/>
        <v>88.04823529411766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124">
        <v>21600</v>
      </c>
      <c r="H37" s="124">
        <v>21600</v>
      </c>
      <c r="I37" s="124">
        <v>18723.56</v>
      </c>
      <c r="J37" s="161">
        <f t="shared" si="0"/>
        <v>86.68314814814816</v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124">
        <v>5600</v>
      </c>
      <c r="H38" s="124">
        <v>5600</v>
      </c>
      <c r="I38" s="124">
        <v>5225.56</v>
      </c>
      <c r="J38" s="161">
        <f t="shared" si="0"/>
        <v>93.31357142857144</v>
      </c>
    </row>
    <row r="39" spans="2:10" ht="12.75" customHeight="1">
      <c r="B39" s="14"/>
      <c r="C39" s="15"/>
      <c r="D39" s="15"/>
      <c r="E39" s="16"/>
      <c r="F39" s="26"/>
      <c r="G39" s="124"/>
      <c r="H39" s="124"/>
      <c r="I39" s="124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124"/>
      <c r="H40" s="124"/>
      <c r="I40" s="124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25" t="s">
        <v>465</v>
      </c>
      <c r="H41" s="25" t="s">
        <v>465</v>
      </c>
      <c r="I41" s="25" t="s">
        <v>575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1242010</v>
      </c>
      <c r="H42" s="20">
        <f>H7+H13+H17+H36</f>
        <v>1240570</v>
      </c>
      <c r="I42" s="20">
        <f>I7+I13+I17+I36</f>
        <v>1168308.03</v>
      </c>
      <c r="J42" s="160">
        <f t="shared" si="0"/>
        <v>94.17509934949257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/>
      <c r="H43" s="20"/>
      <c r="I43" s="20"/>
      <c r="J43" s="163"/>
    </row>
    <row r="44" spans="2:10" s="1" customFormat="1" ht="12.75" customHeight="1">
      <c r="B44" s="17"/>
      <c r="C44" s="12"/>
      <c r="D44" s="12"/>
      <c r="E44" s="9"/>
      <c r="F44" s="12" t="s">
        <v>20</v>
      </c>
      <c r="G44" s="45"/>
      <c r="H44" s="45"/>
      <c r="I44" s="45"/>
      <c r="J44" s="162"/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8" ht="12.75">
      <c r="B48" s="87"/>
    </row>
    <row r="49" ht="12.75">
      <c r="B49" s="87"/>
    </row>
    <row r="50" ht="12.75">
      <c r="B50" s="87"/>
    </row>
    <row r="51" ht="12.75">
      <c r="B51" s="87"/>
    </row>
    <row r="52" ht="12.75">
      <c r="B52" s="87"/>
    </row>
    <row r="53" ht="12.75">
      <c r="B53" s="87"/>
    </row>
    <row r="54" ht="12.75">
      <c r="B54" s="87"/>
    </row>
  </sheetData>
  <sheetProtection/>
  <mergeCells count="2">
    <mergeCell ref="B2:G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77" r:id="rId1"/>
  <headerFooter alignWithMargins="0">
    <oddFooter>&amp;R33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B2:L54"/>
  <sheetViews>
    <sheetView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9" width="15.7109375" style="13" customWidth="1"/>
    <col min="10" max="10" width="8.7109375" style="148" customWidth="1"/>
    <col min="11" max="16384" width="9.140625" style="13" customWidth="1"/>
  </cols>
  <sheetData>
    <row r="2" spans="2:10" ht="15" customHeight="1">
      <c r="B2" s="412" t="s">
        <v>98</v>
      </c>
      <c r="C2" s="412"/>
      <c r="D2" s="412"/>
      <c r="E2" s="412"/>
      <c r="F2" s="412"/>
      <c r="G2" s="412"/>
      <c r="H2" s="412"/>
      <c r="I2" s="412"/>
      <c r="J2" s="154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72</v>
      </c>
      <c r="C6" s="11" t="s">
        <v>74</v>
      </c>
      <c r="D6" s="11" t="s">
        <v>46</v>
      </c>
      <c r="E6" s="9"/>
      <c r="F6" s="9"/>
      <c r="G6" s="9"/>
      <c r="H6" s="9"/>
      <c r="I6" s="9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2037360</v>
      </c>
      <c r="H7" s="20">
        <f>SUM(H8:H11)</f>
        <v>2037360</v>
      </c>
      <c r="I7" s="20">
        <f>SUM(I8:I11)</f>
        <v>1984455.67</v>
      </c>
      <c r="J7" s="160">
        <f>IF(H7=0,"",I7/H7*100)</f>
        <v>97.40329004201516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88">
        <v>1655200</v>
      </c>
      <c r="H8" s="88">
        <v>1655200</v>
      </c>
      <c r="I8" s="88">
        <v>1611146.77</v>
      </c>
      <c r="J8" s="161">
        <f>IF(H8=0,"",I8/H8*100)</f>
        <v>97.3384950459159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88">
        <v>363300</v>
      </c>
      <c r="H9" s="88">
        <v>363080</v>
      </c>
      <c r="I9" s="88">
        <v>354283.9</v>
      </c>
      <c r="J9" s="161">
        <f aca="true" t="shared" si="0" ref="J9:J42">IF(H9=0,"",I9/H9*100)</f>
        <v>97.57736586978078</v>
      </c>
    </row>
    <row r="10" spans="2:12" ht="12.75" customHeight="1">
      <c r="B10" s="14"/>
      <c r="C10" s="15"/>
      <c r="D10" s="15"/>
      <c r="E10" s="16">
        <v>611200</v>
      </c>
      <c r="F10" s="26" t="s">
        <v>466</v>
      </c>
      <c r="G10" s="88">
        <v>18860</v>
      </c>
      <c r="H10" s="88">
        <v>19080</v>
      </c>
      <c r="I10" s="88">
        <v>19025</v>
      </c>
      <c r="J10" s="161">
        <f t="shared" si="0"/>
        <v>99.71174004192872</v>
      </c>
      <c r="L10" s="94"/>
    </row>
    <row r="11" spans="2:10" ht="12.75" customHeight="1">
      <c r="B11" s="14"/>
      <c r="C11" s="15"/>
      <c r="D11" s="15"/>
      <c r="E11" s="16"/>
      <c r="F11" s="26"/>
      <c r="G11" s="88"/>
      <c r="H11" s="88"/>
      <c r="I11" s="88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115"/>
      <c r="H12" s="115"/>
      <c r="I12" s="115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115">
        <f>G14+G15</f>
        <v>172800</v>
      </c>
      <c r="H13" s="115">
        <f>H14+H15</f>
        <v>172800</v>
      </c>
      <c r="I13" s="115">
        <f>I14+I15</f>
        <v>170643.02</v>
      </c>
      <c r="J13" s="160">
        <f t="shared" si="0"/>
        <v>98.75174768518518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88">
        <v>172800</v>
      </c>
      <c r="H14" s="88">
        <v>172800</v>
      </c>
      <c r="I14" s="88">
        <v>170643.02</v>
      </c>
      <c r="J14" s="161">
        <f t="shared" si="0"/>
        <v>98.75174768518518</v>
      </c>
    </row>
    <row r="15" spans="2:10" ht="12.75" customHeight="1">
      <c r="B15" s="14"/>
      <c r="C15" s="15"/>
      <c r="D15" s="15"/>
      <c r="E15" s="16"/>
      <c r="F15" s="15"/>
      <c r="G15" s="88"/>
      <c r="H15" s="88"/>
      <c r="I15" s="88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51"/>
      <c r="H16" s="51"/>
      <c r="I16" s="51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234250</v>
      </c>
      <c r="H17" s="51">
        <f>SUM(H18:H27)</f>
        <v>229100</v>
      </c>
      <c r="I17" s="51">
        <f>SUM(I18:I27)</f>
        <v>226063.12000000002</v>
      </c>
      <c r="J17" s="160">
        <f t="shared" si="0"/>
        <v>98.67443037974685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5">
        <v>10000</v>
      </c>
      <c r="H18" s="45">
        <v>11200</v>
      </c>
      <c r="I18" s="88">
        <v>10642.84</v>
      </c>
      <c r="J18" s="161">
        <f t="shared" si="0"/>
        <v>95.02535714285715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5">
        <v>70000</v>
      </c>
      <c r="H19" s="45">
        <v>71400</v>
      </c>
      <c r="I19" s="45">
        <v>71321.35</v>
      </c>
      <c r="J19" s="161">
        <f t="shared" si="0"/>
        <v>99.88984593837536</v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5">
        <v>13500</v>
      </c>
      <c r="H20" s="45">
        <v>11300</v>
      </c>
      <c r="I20" s="45">
        <v>10455.85</v>
      </c>
      <c r="J20" s="161">
        <f t="shared" si="0"/>
        <v>92.52964601769912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88">
        <v>20000</v>
      </c>
      <c r="H21" s="88">
        <v>20000</v>
      </c>
      <c r="I21" s="88">
        <v>19453.1</v>
      </c>
      <c r="J21" s="161">
        <f t="shared" si="0"/>
        <v>97.26549999999999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88">
        <v>1200</v>
      </c>
      <c r="H22" s="88">
        <v>1200</v>
      </c>
      <c r="I22" s="88">
        <v>1083.77</v>
      </c>
      <c r="J22" s="161">
        <f t="shared" si="0"/>
        <v>90.31416666666667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88">
        <v>0</v>
      </c>
      <c r="H23" s="88">
        <v>0</v>
      </c>
      <c r="I23" s="88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88">
        <v>22000</v>
      </c>
      <c r="H24" s="88">
        <v>16950</v>
      </c>
      <c r="I24" s="88">
        <v>16853.03</v>
      </c>
      <c r="J24" s="161">
        <f t="shared" si="0"/>
        <v>99.42790560471975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88">
        <v>0</v>
      </c>
      <c r="H25" s="88">
        <v>0</v>
      </c>
      <c r="I25" s="88">
        <v>0</v>
      </c>
      <c r="J25" s="161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88">
        <v>75000</v>
      </c>
      <c r="H26" s="88">
        <v>73300</v>
      </c>
      <c r="I26" s="88">
        <v>72569.83</v>
      </c>
      <c r="J26" s="161">
        <f t="shared" si="0"/>
        <v>99.00386084583901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177">
        <v>22550</v>
      </c>
      <c r="H27" s="177">
        <v>23750</v>
      </c>
      <c r="I27" s="177">
        <v>23683.35</v>
      </c>
      <c r="J27" s="161">
        <f t="shared" si="0"/>
        <v>99.71936842105262</v>
      </c>
      <c r="L27" s="95"/>
    </row>
    <row r="28" spans="2:10" s="1" customFormat="1" ht="12.75" customHeight="1">
      <c r="B28" s="17"/>
      <c r="C28" s="12"/>
      <c r="D28" s="12"/>
      <c r="E28" s="9"/>
      <c r="F28" s="12"/>
      <c r="G28" s="88"/>
      <c r="H28" s="88"/>
      <c r="I28" s="88"/>
      <c r="J28" s="161">
        <f t="shared" si="0"/>
      </c>
    </row>
    <row r="29" spans="2:10" ht="12.75" customHeight="1">
      <c r="B29" s="14"/>
      <c r="C29" s="15"/>
      <c r="D29" s="31"/>
      <c r="E29" s="16"/>
      <c r="F29" s="30"/>
      <c r="G29" s="88"/>
      <c r="H29" s="88"/>
      <c r="I29" s="88"/>
      <c r="J29" s="161">
        <f t="shared" si="0"/>
      </c>
    </row>
    <row r="30" spans="2:10" ht="12.75" customHeight="1">
      <c r="B30" s="14"/>
      <c r="C30" s="15"/>
      <c r="D30" s="15"/>
      <c r="E30" s="63"/>
      <c r="F30" s="30"/>
      <c r="G30" s="88"/>
      <c r="H30" s="88"/>
      <c r="I30" s="88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88"/>
      <c r="H31" s="88"/>
      <c r="I31" s="88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88"/>
      <c r="H32" s="88"/>
      <c r="I32" s="88"/>
      <c r="J32" s="161">
        <f t="shared" si="0"/>
      </c>
    </row>
    <row r="33" spans="2:10" ht="12.75" customHeight="1">
      <c r="B33" s="14"/>
      <c r="C33" s="15"/>
      <c r="D33" s="15"/>
      <c r="E33" s="9"/>
      <c r="F33" s="12"/>
      <c r="G33" s="88"/>
      <c r="H33" s="88"/>
      <c r="I33" s="88"/>
      <c r="J33" s="161">
        <f t="shared" si="0"/>
      </c>
    </row>
    <row r="34" spans="2:10" ht="12.75" customHeight="1">
      <c r="B34" s="14"/>
      <c r="C34" s="15"/>
      <c r="D34" s="15"/>
      <c r="E34" s="16"/>
      <c r="F34" s="26"/>
      <c r="G34" s="88"/>
      <c r="H34" s="88"/>
      <c r="I34" s="88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SUM(G37:G39)</f>
        <v>35000</v>
      </c>
      <c r="H36" s="115">
        <f>SUM(H37:H39)</f>
        <v>41050</v>
      </c>
      <c r="I36" s="115">
        <f>SUM(I37:I39)</f>
        <v>6029.98</v>
      </c>
      <c r="J36" s="160">
        <f t="shared" si="0"/>
        <v>14.689354445797806</v>
      </c>
    </row>
    <row r="37" spans="2:11" ht="12.75" customHeight="1">
      <c r="B37" s="14"/>
      <c r="C37" s="15"/>
      <c r="D37" s="15"/>
      <c r="E37" s="16">
        <v>821200</v>
      </c>
      <c r="F37" s="15" t="s">
        <v>16</v>
      </c>
      <c r="G37" s="88">
        <v>35000</v>
      </c>
      <c r="H37" s="88">
        <v>41050</v>
      </c>
      <c r="I37" s="88">
        <v>6029.98</v>
      </c>
      <c r="J37" s="161">
        <f t="shared" si="0"/>
        <v>14.689354445797806</v>
      </c>
      <c r="K37" s="87"/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88">
        <v>0</v>
      </c>
      <c r="H38" s="88">
        <v>0</v>
      </c>
      <c r="I38" s="88">
        <v>0</v>
      </c>
      <c r="J38" s="161">
        <f t="shared" si="0"/>
      </c>
    </row>
    <row r="39" spans="2:10" ht="12.75" customHeight="1">
      <c r="B39" s="14"/>
      <c r="C39" s="15"/>
      <c r="D39" s="15"/>
      <c r="E39" s="16"/>
      <c r="F39" s="26"/>
      <c r="G39" s="88"/>
      <c r="H39" s="88"/>
      <c r="I39" s="88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115"/>
      <c r="H40" s="115"/>
      <c r="I40" s="115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25" t="s">
        <v>559</v>
      </c>
      <c r="H41" s="25" t="s">
        <v>559</v>
      </c>
      <c r="I41" s="25" t="s">
        <v>576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2479410</v>
      </c>
      <c r="H42" s="20">
        <f>H7+H13+H17+H36</f>
        <v>2480310</v>
      </c>
      <c r="I42" s="20">
        <f>I7+I13+I17+I36</f>
        <v>2387191.79</v>
      </c>
      <c r="J42" s="160">
        <f t="shared" si="0"/>
        <v>96.24570275489758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/>
      <c r="H43" s="20"/>
      <c r="I43" s="20"/>
      <c r="J43" s="163"/>
    </row>
    <row r="44" spans="2:10" s="1" customFormat="1" ht="12.75" customHeight="1">
      <c r="B44" s="17"/>
      <c r="C44" s="12"/>
      <c r="D44" s="12"/>
      <c r="E44" s="9"/>
      <c r="F44" s="12" t="s">
        <v>20</v>
      </c>
      <c r="G44" s="45"/>
      <c r="H44" s="45"/>
      <c r="I44" s="45"/>
      <c r="J44" s="162"/>
    </row>
    <row r="45" spans="2:10" ht="12.75" customHeight="1" thickBot="1">
      <c r="B45" s="21"/>
      <c r="C45" s="22"/>
      <c r="D45" s="22"/>
      <c r="E45" s="23"/>
      <c r="F45" s="22"/>
      <c r="G45" s="22"/>
      <c r="H45" s="22"/>
      <c r="I45" s="22"/>
      <c r="J45" s="164"/>
    </row>
    <row r="48" ht="12.75">
      <c r="B48" s="87"/>
    </row>
    <row r="49" ht="12.75">
      <c r="B49" s="87"/>
    </row>
    <row r="50" ht="12.75">
      <c r="B50" s="87"/>
    </row>
    <row r="51" ht="12.75">
      <c r="B51" s="87"/>
    </row>
    <row r="52" ht="12.75">
      <c r="B52" s="87"/>
    </row>
    <row r="53" ht="12.75">
      <c r="B53" s="87"/>
    </row>
    <row r="54" ht="12.75">
      <c r="B54" s="87"/>
    </row>
  </sheetData>
  <sheetProtection/>
  <mergeCells count="2">
    <mergeCell ref="B2:I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77" r:id="rId1"/>
  <headerFooter alignWithMargins="0">
    <oddFooter>&amp;R34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B2:L57"/>
  <sheetViews>
    <sheetView zoomScalePageLayoutView="0" workbookViewId="0" topLeftCell="B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2" t="s">
        <v>99</v>
      </c>
      <c r="C2" s="412"/>
      <c r="D2" s="412"/>
      <c r="E2" s="412"/>
      <c r="F2" s="412"/>
      <c r="G2" s="412"/>
      <c r="H2" s="11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72</v>
      </c>
      <c r="C6" s="11" t="s">
        <v>74</v>
      </c>
      <c r="D6" s="11" t="s">
        <v>53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596420</v>
      </c>
      <c r="H7" s="20">
        <f>SUM(H8:H11)</f>
        <v>596420</v>
      </c>
      <c r="I7" s="20">
        <f>SUM(I8:I11)</f>
        <v>565297.89</v>
      </c>
      <c r="J7" s="160">
        <f>IF(H7=0,"",I7/H7*100)</f>
        <v>94.78184668522182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46">
        <v>494400</v>
      </c>
      <c r="H8" s="46">
        <v>494400</v>
      </c>
      <c r="I8" s="46">
        <v>474442.64</v>
      </c>
      <c r="J8" s="161">
        <f>IF(H8=0,"",I8/H8*100)</f>
        <v>95.96331715210357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46">
        <v>99330</v>
      </c>
      <c r="H9" s="46">
        <v>99330</v>
      </c>
      <c r="I9" s="46">
        <v>89014</v>
      </c>
      <c r="J9" s="161">
        <f aca="true" t="shared" si="0" ref="J9:J42">IF(H9=0,"",I9/H9*100)</f>
        <v>89.61441659116078</v>
      </c>
    </row>
    <row r="10" spans="2:12" ht="12.75" customHeight="1">
      <c r="B10" s="14"/>
      <c r="C10" s="15"/>
      <c r="D10" s="15"/>
      <c r="E10" s="16">
        <v>611200</v>
      </c>
      <c r="F10" s="26" t="s">
        <v>460</v>
      </c>
      <c r="G10" s="88">
        <v>2690</v>
      </c>
      <c r="H10" s="88">
        <v>2690</v>
      </c>
      <c r="I10" s="88">
        <v>1841.25</v>
      </c>
      <c r="J10" s="161">
        <f t="shared" si="0"/>
        <v>68.44795539033457</v>
      </c>
      <c r="L10" s="94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52100</v>
      </c>
      <c r="H13" s="20">
        <f>H14+H15</f>
        <v>52100</v>
      </c>
      <c r="I13" s="20">
        <f>I14+I15</f>
        <v>49816.47</v>
      </c>
      <c r="J13" s="160">
        <f t="shared" si="0"/>
        <v>95.61702495201536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46">
        <v>52100</v>
      </c>
      <c r="H14" s="46">
        <v>52100</v>
      </c>
      <c r="I14" s="46">
        <v>49816.47</v>
      </c>
      <c r="J14" s="161">
        <f t="shared" si="0"/>
        <v>95.61702495201536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56160</v>
      </c>
      <c r="H17" s="51">
        <f>SUM(H18:H27)</f>
        <v>57970</v>
      </c>
      <c r="I17" s="51">
        <f>SUM(I18:I27)</f>
        <v>56305.49999999999</v>
      </c>
      <c r="J17" s="160">
        <f t="shared" si="0"/>
        <v>97.12868725202691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6">
        <v>3000</v>
      </c>
      <c r="H18" s="46">
        <v>2920</v>
      </c>
      <c r="I18" s="46">
        <v>2910.24</v>
      </c>
      <c r="J18" s="161">
        <f t="shared" si="0"/>
        <v>99.66575342465752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23000</v>
      </c>
      <c r="H19" s="46">
        <v>23000</v>
      </c>
      <c r="I19" s="46">
        <v>22179.26</v>
      </c>
      <c r="J19" s="161">
        <f t="shared" si="0"/>
        <v>96.4315652173913</v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6">
        <v>3100</v>
      </c>
      <c r="H20" s="46">
        <v>3480</v>
      </c>
      <c r="I20" s="124">
        <v>3446.78</v>
      </c>
      <c r="J20" s="161">
        <f t="shared" si="0"/>
        <v>99.04540229885058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6">
        <v>8000</v>
      </c>
      <c r="H21" s="46">
        <v>8500</v>
      </c>
      <c r="I21" s="46">
        <v>8499.81</v>
      </c>
      <c r="J21" s="161">
        <f t="shared" si="0"/>
        <v>99.99776470588235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46">
        <v>0</v>
      </c>
      <c r="H22" s="46">
        <v>0</v>
      </c>
      <c r="I22" s="46">
        <v>0</v>
      </c>
      <c r="J22" s="161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46">
        <v>0</v>
      </c>
      <c r="H23" s="46">
        <v>0</v>
      </c>
      <c r="I23" s="46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124">
        <v>8500</v>
      </c>
      <c r="H24" s="124">
        <v>9900</v>
      </c>
      <c r="I24" s="124">
        <v>9167.88</v>
      </c>
      <c r="J24" s="161">
        <f t="shared" si="0"/>
        <v>92.60484848484847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124">
        <v>0</v>
      </c>
      <c r="H25" s="124">
        <v>0</v>
      </c>
      <c r="I25" s="124">
        <v>0</v>
      </c>
      <c r="J25" s="161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124">
        <v>7800</v>
      </c>
      <c r="H26" s="124">
        <v>7800</v>
      </c>
      <c r="I26" s="124">
        <v>7739.5</v>
      </c>
      <c r="J26" s="161">
        <f t="shared" si="0"/>
        <v>99.22435897435898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177">
        <v>2760</v>
      </c>
      <c r="H27" s="177">
        <v>2370</v>
      </c>
      <c r="I27" s="177">
        <v>2362.03</v>
      </c>
      <c r="J27" s="161">
        <f t="shared" si="0"/>
        <v>99.66371308016878</v>
      </c>
      <c r="K27" s="95"/>
      <c r="L27" s="95"/>
    </row>
    <row r="28" spans="2:10" s="1" customFormat="1" ht="12.75" customHeight="1">
      <c r="B28" s="17"/>
      <c r="C28" s="12"/>
      <c r="D28" s="12"/>
      <c r="E28" s="9"/>
      <c r="F28" s="12"/>
      <c r="G28" s="124"/>
      <c r="H28" s="124"/>
      <c r="I28" s="124"/>
      <c r="J28" s="161">
        <f t="shared" si="0"/>
      </c>
    </row>
    <row r="29" spans="2:10" ht="12.75" customHeight="1">
      <c r="B29" s="14"/>
      <c r="C29" s="15"/>
      <c r="D29" s="31"/>
      <c r="E29" s="16"/>
      <c r="F29" s="30"/>
      <c r="G29" s="124"/>
      <c r="H29" s="124"/>
      <c r="I29" s="124"/>
      <c r="J29" s="161">
        <f t="shared" si="0"/>
      </c>
    </row>
    <row r="30" spans="2:10" ht="12.75" customHeight="1">
      <c r="B30" s="14"/>
      <c r="C30" s="15"/>
      <c r="D30" s="15"/>
      <c r="E30" s="63"/>
      <c r="F30" s="30"/>
      <c r="G30" s="124"/>
      <c r="H30" s="124"/>
      <c r="I30" s="124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124"/>
      <c r="H31" s="124"/>
      <c r="I31" s="124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124"/>
      <c r="H32" s="124"/>
      <c r="I32" s="124"/>
      <c r="J32" s="161">
        <f t="shared" si="0"/>
      </c>
    </row>
    <row r="33" spans="2:10" ht="12.75" customHeight="1">
      <c r="B33" s="14"/>
      <c r="C33" s="15"/>
      <c r="D33" s="15"/>
      <c r="E33" s="9"/>
      <c r="F33" s="12"/>
      <c r="G33" s="124"/>
      <c r="H33" s="124"/>
      <c r="I33" s="124"/>
      <c r="J33" s="161">
        <f t="shared" si="0"/>
      </c>
    </row>
    <row r="34" spans="2:10" ht="12.75" customHeight="1">
      <c r="B34" s="14"/>
      <c r="C34" s="15"/>
      <c r="D34" s="15"/>
      <c r="E34" s="16"/>
      <c r="F34" s="26"/>
      <c r="G34" s="124"/>
      <c r="H34" s="124"/>
      <c r="I34" s="124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SUM(G37:G39)</f>
        <v>10000</v>
      </c>
      <c r="H36" s="115">
        <f>SUM(H37:H39)</f>
        <v>7800</v>
      </c>
      <c r="I36" s="115">
        <f>SUM(I37:I39)</f>
        <v>7337.76</v>
      </c>
      <c r="J36" s="160">
        <f t="shared" si="0"/>
        <v>94.07384615384615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124">
        <v>10000</v>
      </c>
      <c r="H37" s="124">
        <v>7800</v>
      </c>
      <c r="I37" s="124">
        <v>7337.76</v>
      </c>
      <c r="J37" s="161">
        <f t="shared" si="0"/>
        <v>94.07384615384615</v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124">
        <v>0</v>
      </c>
      <c r="H38" s="124">
        <v>0</v>
      </c>
      <c r="I38" s="124">
        <v>0</v>
      </c>
      <c r="J38" s="161">
        <f t="shared" si="0"/>
      </c>
    </row>
    <row r="39" spans="2:10" ht="12.75" customHeight="1">
      <c r="B39" s="14"/>
      <c r="C39" s="15"/>
      <c r="D39" s="15"/>
      <c r="E39" s="16"/>
      <c r="F39" s="26"/>
      <c r="G39" s="124"/>
      <c r="H39" s="124"/>
      <c r="I39" s="124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25" t="s">
        <v>548</v>
      </c>
      <c r="H41" s="25" t="s">
        <v>548</v>
      </c>
      <c r="I41" s="25" t="s">
        <v>577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714680</v>
      </c>
      <c r="H42" s="20">
        <f>H7+H13+H17+H36</f>
        <v>714290</v>
      </c>
      <c r="I42" s="20">
        <f>I7+I13+I17+I36</f>
        <v>678757.62</v>
      </c>
      <c r="J42" s="160">
        <f t="shared" si="0"/>
        <v>95.02549664702012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/>
      <c r="H43" s="20"/>
      <c r="I43" s="20"/>
      <c r="J43" s="163"/>
    </row>
    <row r="44" spans="2:10" s="1" customFormat="1" ht="12.75" customHeight="1">
      <c r="B44" s="17"/>
      <c r="C44" s="12"/>
      <c r="D44" s="12"/>
      <c r="E44" s="9"/>
      <c r="F44" s="12" t="s">
        <v>20</v>
      </c>
      <c r="G44" s="45"/>
      <c r="H44" s="45"/>
      <c r="I44" s="45"/>
      <c r="J44" s="162"/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7" ht="12.75">
      <c r="B47" s="87"/>
    </row>
    <row r="48" ht="12.75">
      <c r="B48" s="87"/>
    </row>
    <row r="49" ht="12.75">
      <c r="B49" s="87"/>
    </row>
    <row r="50" ht="12.75">
      <c r="B50" s="87"/>
    </row>
    <row r="51" ht="12.75">
      <c r="B51" s="87"/>
    </row>
    <row r="52" ht="12.75">
      <c r="B52" s="87"/>
    </row>
    <row r="53" ht="12.75">
      <c r="B53" s="87"/>
    </row>
    <row r="54" ht="12.75">
      <c r="B54" s="87"/>
    </row>
    <row r="55" ht="12.75">
      <c r="B55" s="87"/>
    </row>
    <row r="56" ht="12.75">
      <c r="B56" s="87"/>
    </row>
    <row r="57" ht="12.75">
      <c r="B57" s="87"/>
    </row>
  </sheetData>
  <sheetProtection/>
  <mergeCells count="2">
    <mergeCell ref="B2:G2"/>
    <mergeCell ref="F3:G3"/>
  </mergeCells>
  <printOptions/>
  <pageMargins left="0.2755905511811024" right="0.2755905511811024" top="0.5905511811023623" bottom="0.52" header="0.5118110236220472" footer="0.5118110236220472"/>
  <pageSetup fitToHeight="1" fitToWidth="1" horizontalDpi="180" verticalDpi="180" orientation="portrait" paperSize="9" scale="77" r:id="rId1"/>
  <headerFooter alignWithMargins="0">
    <oddFooter>&amp;R35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B2:L52"/>
  <sheetViews>
    <sheetView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2" t="s">
        <v>100</v>
      </c>
      <c r="C2" s="412"/>
      <c r="D2" s="412"/>
      <c r="E2" s="412"/>
      <c r="F2" s="412"/>
      <c r="G2" s="412"/>
      <c r="H2" s="11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72</v>
      </c>
      <c r="C6" s="11" t="s">
        <v>74</v>
      </c>
      <c r="D6" s="11" t="s">
        <v>54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766340</v>
      </c>
      <c r="H7" s="20">
        <f>SUM(H8:H11)</f>
        <v>766340</v>
      </c>
      <c r="I7" s="20">
        <f>SUM(I8:I11)</f>
        <v>726560.23</v>
      </c>
      <c r="J7" s="160">
        <f>IF(H7=0,"",I7/H7*100)</f>
        <v>94.80912258266565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46">
        <v>633500</v>
      </c>
      <c r="H8" s="46">
        <v>633500</v>
      </c>
      <c r="I8" s="46">
        <v>613220.23</v>
      </c>
      <c r="J8" s="161">
        <f>IF(H8=0,"",I8/H8*100)</f>
        <v>96.79877348066299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124">
        <v>130120</v>
      </c>
      <c r="H9" s="124">
        <v>130120</v>
      </c>
      <c r="I9" s="124">
        <v>111244</v>
      </c>
      <c r="J9" s="161">
        <f aca="true" t="shared" si="0" ref="J9:J42">IF(H9=0,"",I9/H9*100)</f>
        <v>85.49339071626191</v>
      </c>
    </row>
    <row r="10" spans="2:12" ht="12.75" customHeight="1">
      <c r="B10" s="14"/>
      <c r="C10" s="15"/>
      <c r="D10" s="15"/>
      <c r="E10" s="16">
        <v>611200</v>
      </c>
      <c r="F10" s="26" t="s">
        <v>460</v>
      </c>
      <c r="G10" s="88">
        <v>2720</v>
      </c>
      <c r="H10" s="88">
        <v>2720</v>
      </c>
      <c r="I10" s="88">
        <v>2096</v>
      </c>
      <c r="J10" s="161">
        <f t="shared" si="0"/>
        <v>77.05882352941177</v>
      </c>
      <c r="L10" s="94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66400</v>
      </c>
      <c r="H13" s="20">
        <f>H14+H15</f>
        <v>66400</v>
      </c>
      <c r="I13" s="20">
        <f>I14+I15</f>
        <v>64382.55</v>
      </c>
      <c r="J13" s="160">
        <f t="shared" si="0"/>
        <v>96.961671686747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46">
        <v>66400</v>
      </c>
      <c r="H14" s="46">
        <v>66400</v>
      </c>
      <c r="I14" s="46">
        <v>64382.55</v>
      </c>
      <c r="J14" s="161">
        <f t="shared" si="0"/>
        <v>96.961671686747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62400</v>
      </c>
      <c r="H17" s="51">
        <f>SUM(H18:H27)</f>
        <v>61900</v>
      </c>
      <c r="I17" s="51">
        <f>SUM(I18:I27)</f>
        <v>56148.6</v>
      </c>
      <c r="J17" s="160">
        <f t="shared" si="0"/>
        <v>90.70856219709208</v>
      </c>
    </row>
    <row r="18" spans="2:12" ht="12.75" customHeight="1">
      <c r="B18" s="14"/>
      <c r="C18" s="15"/>
      <c r="D18" s="15"/>
      <c r="E18" s="16">
        <v>613100</v>
      </c>
      <c r="F18" s="15" t="s">
        <v>9</v>
      </c>
      <c r="G18" s="46">
        <v>3100</v>
      </c>
      <c r="H18" s="46">
        <v>3520</v>
      </c>
      <c r="I18" s="124">
        <v>3512.71</v>
      </c>
      <c r="J18" s="161">
        <f t="shared" si="0"/>
        <v>99.79289772727273</v>
      </c>
      <c r="L18" s="95"/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28000</v>
      </c>
      <c r="H19" s="46">
        <v>28000</v>
      </c>
      <c r="I19" s="46">
        <v>23088.28</v>
      </c>
      <c r="J19" s="161">
        <f t="shared" si="0"/>
        <v>82.45814285714286</v>
      </c>
    </row>
    <row r="20" spans="2:12" ht="12.75" customHeight="1">
      <c r="B20" s="14"/>
      <c r="C20" s="15"/>
      <c r="D20" s="15"/>
      <c r="E20" s="16">
        <v>613300</v>
      </c>
      <c r="F20" s="26" t="s">
        <v>130</v>
      </c>
      <c r="G20" s="124">
        <v>2400</v>
      </c>
      <c r="H20" s="124">
        <v>2770</v>
      </c>
      <c r="I20" s="124">
        <v>2767.76</v>
      </c>
      <c r="J20" s="161">
        <f t="shared" si="0"/>
        <v>99.91913357400722</v>
      </c>
      <c r="L20" s="95"/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124">
        <v>8500</v>
      </c>
      <c r="H21" s="124">
        <v>9310</v>
      </c>
      <c r="I21" s="124">
        <v>9147.39</v>
      </c>
      <c r="J21" s="161">
        <f t="shared" si="0"/>
        <v>98.25338345864661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124">
        <v>0</v>
      </c>
      <c r="H22" s="124">
        <v>0</v>
      </c>
      <c r="I22" s="124">
        <v>0</v>
      </c>
      <c r="J22" s="161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124">
        <v>0</v>
      </c>
      <c r="H23" s="124">
        <v>0</v>
      </c>
      <c r="I23" s="124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124">
        <v>7000</v>
      </c>
      <c r="H24" s="124">
        <v>6350</v>
      </c>
      <c r="I24" s="124">
        <v>6249.46</v>
      </c>
      <c r="J24" s="161">
        <f t="shared" si="0"/>
        <v>98.41669291338583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124">
        <v>0</v>
      </c>
      <c r="H25" s="124">
        <v>0</v>
      </c>
      <c r="I25" s="124">
        <v>0</v>
      </c>
      <c r="J25" s="161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124">
        <v>10000</v>
      </c>
      <c r="H26" s="124">
        <v>9050</v>
      </c>
      <c r="I26" s="124">
        <v>8489.38</v>
      </c>
      <c r="J26" s="161">
        <f t="shared" si="0"/>
        <v>93.80530386740331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124">
        <v>3400</v>
      </c>
      <c r="H27" s="124">
        <v>2900</v>
      </c>
      <c r="I27" s="124">
        <v>2893.62</v>
      </c>
      <c r="J27" s="161">
        <f t="shared" si="0"/>
        <v>99.77999999999999</v>
      </c>
      <c r="K27" s="95"/>
      <c r="L27" s="95"/>
    </row>
    <row r="28" spans="2:10" s="1" customFormat="1" ht="12.75" customHeight="1">
      <c r="B28" s="17"/>
      <c r="C28" s="12"/>
      <c r="D28" s="12"/>
      <c r="E28" s="9"/>
      <c r="F28" s="12"/>
      <c r="G28" s="124"/>
      <c r="H28" s="124"/>
      <c r="I28" s="124"/>
      <c r="J28" s="161">
        <f t="shared" si="0"/>
      </c>
    </row>
    <row r="29" spans="2:10" ht="12.75" customHeight="1">
      <c r="B29" s="14"/>
      <c r="C29" s="15"/>
      <c r="D29" s="31"/>
      <c r="E29" s="16"/>
      <c r="F29" s="30"/>
      <c r="G29" s="124"/>
      <c r="H29" s="124"/>
      <c r="I29" s="124"/>
      <c r="J29" s="161">
        <f t="shared" si="0"/>
      </c>
    </row>
    <row r="30" spans="2:10" ht="12.75" customHeight="1">
      <c r="B30" s="14"/>
      <c r="C30" s="15"/>
      <c r="D30" s="15"/>
      <c r="E30" s="63"/>
      <c r="F30" s="30"/>
      <c r="G30" s="124"/>
      <c r="H30" s="124"/>
      <c r="I30" s="124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124"/>
      <c r="H31" s="124"/>
      <c r="I31" s="124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124"/>
      <c r="H32" s="124"/>
      <c r="I32" s="124"/>
      <c r="J32" s="161">
        <f t="shared" si="0"/>
      </c>
    </row>
    <row r="33" spans="2:10" ht="12.75" customHeight="1">
      <c r="B33" s="14"/>
      <c r="C33" s="15"/>
      <c r="D33" s="15"/>
      <c r="E33" s="9"/>
      <c r="F33" s="12"/>
      <c r="G33" s="124"/>
      <c r="H33" s="124"/>
      <c r="I33" s="124"/>
      <c r="J33" s="161">
        <f t="shared" si="0"/>
      </c>
    </row>
    <row r="34" spans="2:10" ht="12.75" customHeight="1">
      <c r="B34" s="14"/>
      <c r="C34" s="15"/>
      <c r="D34" s="15"/>
      <c r="E34" s="16"/>
      <c r="F34" s="26"/>
      <c r="G34" s="124"/>
      <c r="H34" s="124"/>
      <c r="I34" s="124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SUM(G37:G39)</f>
        <v>12000</v>
      </c>
      <c r="H36" s="115">
        <f>SUM(H37:H39)</f>
        <v>12000</v>
      </c>
      <c r="I36" s="115">
        <f>SUM(I37:I39)</f>
        <v>11561.54</v>
      </c>
      <c r="J36" s="160">
        <f t="shared" si="0"/>
        <v>96.34616666666668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124">
        <v>3000</v>
      </c>
      <c r="H37" s="124">
        <v>1300</v>
      </c>
      <c r="I37" s="124">
        <v>1300</v>
      </c>
      <c r="J37" s="161">
        <f t="shared" si="0"/>
        <v>100</v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124">
        <v>9000</v>
      </c>
      <c r="H38" s="124">
        <v>10700</v>
      </c>
      <c r="I38" s="124">
        <v>10261.54</v>
      </c>
      <c r="J38" s="161">
        <f t="shared" si="0"/>
        <v>95.90224299065422</v>
      </c>
    </row>
    <row r="39" spans="2:10" ht="12.75" customHeight="1">
      <c r="B39" s="14"/>
      <c r="C39" s="15"/>
      <c r="D39" s="15"/>
      <c r="E39" s="16"/>
      <c r="F39" s="26"/>
      <c r="G39" s="124"/>
      <c r="H39" s="124"/>
      <c r="I39" s="124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25" t="s">
        <v>545</v>
      </c>
      <c r="H41" s="25" t="s">
        <v>545</v>
      </c>
      <c r="I41" s="25" t="s">
        <v>578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907140</v>
      </c>
      <c r="H42" s="20">
        <f>H7+H13+H17+H36</f>
        <v>906640</v>
      </c>
      <c r="I42" s="20">
        <f>I7+I13+I17+I36</f>
        <v>858652.92</v>
      </c>
      <c r="J42" s="160">
        <f t="shared" si="0"/>
        <v>94.7071516809318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/>
      <c r="H43" s="20"/>
      <c r="I43" s="20"/>
      <c r="J43" s="151"/>
    </row>
    <row r="44" spans="2:10" s="1" customFormat="1" ht="12.75" customHeight="1">
      <c r="B44" s="17"/>
      <c r="C44" s="12"/>
      <c r="D44" s="12"/>
      <c r="E44" s="9"/>
      <c r="F44" s="12" t="s">
        <v>20</v>
      </c>
      <c r="G44" s="45"/>
      <c r="H44" s="45"/>
      <c r="I44" s="45"/>
      <c r="J44" s="150"/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8" ht="12.75">
      <c r="B48" s="87"/>
    </row>
    <row r="49" ht="12.75">
      <c r="B49" s="87"/>
    </row>
    <row r="50" ht="12.75">
      <c r="B50" s="87"/>
    </row>
    <row r="51" ht="12.75">
      <c r="B51" s="87"/>
    </row>
    <row r="52" ht="12.75">
      <c r="B52" s="87"/>
    </row>
  </sheetData>
  <sheetProtection/>
  <mergeCells count="2">
    <mergeCell ref="B2:G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77" r:id="rId1"/>
  <headerFooter alignWithMargins="0">
    <oddFooter>&amp;R36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B2:L53"/>
  <sheetViews>
    <sheetView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4" t="s">
        <v>101</v>
      </c>
      <c r="C2" s="414"/>
      <c r="D2" s="414"/>
      <c r="E2" s="414"/>
      <c r="F2" s="414"/>
      <c r="G2" s="414"/>
      <c r="H2" s="37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72</v>
      </c>
      <c r="C6" s="11" t="s">
        <v>74</v>
      </c>
      <c r="D6" s="11" t="s">
        <v>75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839250</v>
      </c>
      <c r="H7" s="20">
        <f>SUM(H8:H11)</f>
        <v>839250</v>
      </c>
      <c r="I7" s="20">
        <f>SUM(I8:I11)</f>
        <v>794992.7</v>
      </c>
      <c r="J7" s="160">
        <f>IF(H7=0,"",I7/H7*100)</f>
        <v>94.72656538576109</v>
      </c>
    </row>
    <row r="8" spans="2:12" ht="12.75" customHeight="1">
      <c r="B8" s="14"/>
      <c r="C8" s="15"/>
      <c r="D8" s="15"/>
      <c r="E8" s="16">
        <v>611100</v>
      </c>
      <c r="F8" s="26" t="s">
        <v>128</v>
      </c>
      <c r="G8" s="124">
        <v>683600</v>
      </c>
      <c r="H8" s="124">
        <v>683600</v>
      </c>
      <c r="I8" s="124">
        <v>654365.7</v>
      </c>
      <c r="J8" s="161">
        <f>IF(H8=0,"",I8/H8*100)</f>
        <v>95.72347864248097</v>
      </c>
      <c r="K8" s="87"/>
      <c r="L8" s="95"/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124">
        <v>151630</v>
      </c>
      <c r="H9" s="124">
        <v>151630</v>
      </c>
      <c r="I9" s="124">
        <v>136831</v>
      </c>
      <c r="J9" s="161">
        <f aca="true" t="shared" si="0" ref="J9:J42">IF(H9=0,"",I9/H9*100)</f>
        <v>90.2400580360087</v>
      </c>
    </row>
    <row r="10" spans="2:12" ht="12.75" customHeight="1">
      <c r="B10" s="14"/>
      <c r="C10" s="15"/>
      <c r="D10" s="15"/>
      <c r="E10" s="16">
        <v>611200</v>
      </c>
      <c r="F10" s="26" t="s">
        <v>457</v>
      </c>
      <c r="G10" s="88">
        <v>4020</v>
      </c>
      <c r="H10" s="88">
        <v>4020</v>
      </c>
      <c r="I10" s="88">
        <v>3796</v>
      </c>
      <c r="J10" s="161">
        <f t="shared" si="0"/>
        <v>94.42786069651741</v>
      </c>
      <c r="L10" s="94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71300</v>
      </c>
      <c r="H13" s="20">
        <f>H14+H15</f>
        <v>71300</v>
      </c>
      <c r="I13" s="20">
        <f>I14+I15</f>
        <v>68708.41</v>
      </c>
      <c r="J13" s="160">
        <f t="shared" si="0"/>
        <v>96.36523141654979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124">
        <v>71300</v>
      </c>
      <c r="H14" s="124">
        <v>71300</v>
      </c>
      <c r="I14" s="124">
        <v>68708.41</v>
      </c>
      <c r="J14" s="161">
        <f t="shared" si="0"/>
        <v>96.36523141654979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99800</v>
      </c>
      <c r="H17" s="51">
        <f>SUM(H18:H27)</f>
        <v>94290</v>
      </c>
      <c r="I17" s="51">
        <f>SUM(I18:I27)</f>
        <v>84958.02</v>
      </c>
      <c r="J17" s="160">
        <f t="shared" si="0"/>
        <v>90.10289532293987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6">
        <v>3000</v>
      </c>
      <c r="H18" s="46">
        <v>3000</v>
      </c>
      <c r="I18" s="46">
        <v>2486.02</v>
      </c>
      <c r="J18" s="161">
        <f t="shared" si="0"/>
        <v>82.86733333333333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61000</v>
      </c>
      <c r="H19" s="46">
        <v>53850</v>
      </c>
      <c r="I19" s="46">
        <v>48561.67</v>
      </c>
      <c r="J19" s="161">
        <f t="shared" si="0"/>
        <v>90.17951717734447</v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6">
        <v>4400</v>
      </c>
      <c r="H20" s="46">
        <v>5900</v>
      </c>
      <c r="I20" s="124">
        <v>4902.74</v>
      </c>
      <c r="J20" s="161">
        <f t="shared" si="0"/>
        <v>83.09728813559322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6">
        <v>8600</v>
      </c>
      <c r="H21" s="46">
        <v>8600</v>
      </c>
      <c r="I21" s="46">
        <v>8167.54</v>
      </c>
      <c r="J21" s="161">
        <f t="shared" si="0"/>
        <v>94.9713953488372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124">
        <v>1000</v>
      </c>
      <c r="H22" s="124">
        <v>1150</v>
      </c>
      <c r="I22" s="124">
        <v>1117.47</v>
      </c>
      <c r="J22" s="161">
        <f t="shared" si="0"/>
        <v>97.1713043478261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124">
        <v>0</v>
      </c>
      <c r="H23" s="124">
        <v>0</v>
      </c>
      <c r="I23" s="124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124">
        <v>6500</v>
      </c>
      <c r="H24" s="124">
        <v>6500</v>
      </c>
      <c r="I24" s="124">
        <v>6304.12</v>
      </c>
      <c r="J24" s="161">
        <f t="shared" si="0"/>
        <v>96.98646153846153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124">
        <v>1100</v>
      </c>
      <c r="H25" s="124">
        <v>1100</v>
      </c>
      <c r="I25" s="124">
        <v>857.35</v>
      </c>
      <c r="J25" s="161">
        <f t="shared" si="0"/>
        <v>77.94090909090909</v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124">
        <v>9000</v>
      </c>
      <c r="H26" s="124">
        <v>9000</v>
      </c>
      <c r="I26" s="124">
        <v>7372</v>
      </c>
      <c r="J26" s="161">
        <f t="shared" si="0"/>
        <v>81.91111111111111</v>
      </c>
    </row>
    <row r="27" spans="2:11" ht="12.75" customHeight="1">
      <c r="B27" s="14"/>
      <c r="C27" s="15"/>
      <c r="D27" s="15"/>
      <c r="E27" s="16">
        <v>613900</v>
      </c>
      <c r="F27" s="26" t="s">
        <v>143</v>
      </c>
      <c r="G27" s="177">
        <v>5200</v>
      </c>
      <c r="H27" s="177">
        <v>5190</v>
      </c>
      <c r="I27" s="177">
        <v>5189.11</v>
      </c>
      <c r="J27" s="161">
        <f t="shared" si="0"/>
        <v>99.98285163776492</v>
      </c>
      <c r="K27" s="95"/>
    </row>
    <row r="28" spans="2:10" s="1" customFormat="1" ht="12.75" customHeight="1">
      <c r="B28" s="17"/>
      <c r="C28" s="12"/>
      <c r="D28" s="12"/>
      <c r="E28" s="9"/>
      <c r="F28" s="12"/>
      <c r="G28" s="124"/>
      <c r="H28" s="124"/>
      <c r="I28" s="124"/>
      <c r="J28" s="161">
        <f t="shared" si="0"/>
      </c>
    </row>
    <row r="29" spans="2:10" ht="12.75" customHeight="1">
      <c r="B29" s="14"/>
      <c r="C29" s="15"/>
      <c r="D29" s="31"/>
      <c r="E29" s="16"/>
      <c r="F29" s="30"/>
      <c r="G29" s="124"/>
      <c r="H29" s="124"/>
      <c r="I29" s="124"/>
      <c r="J29" s="161">
        <f t="shared" si="0"/>
      </c>
    </row>
    <row r="30" spans="2:10" ht="12.75" customHeight="1">
      <c r="B30" s="14"/>
      <c r="C30" s="15"/>
      <c r="D30" s="15"/>
      <c r="E30" s="63"/>
      <c r="F30" s="30"/>
      <c r="G30" s="124"/>
      <c r="H30" s="124"/>
      <c r="I30" s="124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46"/>
      <c r="H31" s="46"/>
      <c r="I31" s="46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46"/>
      <c r="H32" s="46"/>
      <c r="I32" s="46"/>
      <c r="J32" s="161">
        <f t="shared" si="0"/>
      </c>
    </row>
    <row r="33" spans="2:10" ht="12.75" customHeight="1">
      <c r="B33" s="14"/>
      <c r="C33" s="15"/>
      <c r="D33" s="15"/>
      <c r="E33" s="9"/>
      <c r="F33" s="12"/>
      <c r="G33" s="46"/>
      <c r="H33" s="46"/>
      <c r="I33" s="46"/>
      <c r="J33" s="161">
        <f t="shared" si="0"/>
      </c>
    </row>
    <row r="34" spans="2:10" ht="12.75" customHeight="1">
      <c r="B34" s="14"/>
      <c r="C34" s="15"/>
      <c r="D34" s="15"/>
      <c r="E34" s="16"/>
      <c r="F34" s="26"/>
      <c r="G34" s="46"/>
      <c r="H34" s="46"/>
      <c r="I34" s="46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SUM(G37:G39)</f>
        <v>80660</v>
      </c>
      <c r="H36" s="115">
        <f>SUM(H37:H39)</f>
        <v>86160</v>
      </c>
      <c r="I36" s="115">
        <f>SUM(I37:I39)</f>
        <v>50118.61</v>
      </c>
      <c r="J36" s="160">
        <f t="shared" si="0"/>
        <v>58.169231662024146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124">
        <v>80660</v>
      </c>
      <c r="H37" s="124">
        <v>80660</v>
      </c>
      <c r="I37" s="124">
        <v>49638.91</v>
      </c>
      <c r="J37" s="161">
        <f t="shared" si="0"/>
        <v>61.540924869823954</v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124">
        <v>0</v>
      </c>
      <c r="H38" s="124">
        <v>5500</v>
      </c>
      <c r="I38" s="124">
        <v>479.7</v>
      </c>
      <c r="J38" s="161">
        <f t="shared" si="0"/>
        <v>8.721818181818183</v>
      </c>
    </row>
    <row r="39" spans="2:10" ht="12.75" customHeight="1">
      <c r="B39" s="14"/>
      <c r="C39" s="15"/>
      <c r="D39" s="15"/>
      <c r="E39" s="16"/>
      <c r="F39" s="26"/>
      <c r="G39" s="46"/>
      <c r="H39" s="46"/>
      <c r="I39" s="46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142" t="s">
        <v>545</v>
      </c>
      <c r="H41" s="142" t="s">
        <v>545</v>
      </c>
      <c r="I41" s="142" t="s">
        <v>579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1091010</v>
      </c>
      <c r="H42" s="20">
        <f>H7+H13+H17+H36</f>
        <v>1091000</v>
      </c>
      <c r="I42" s="20">
        <f>I7+I13+I17+I36</f>
        <v>998777.74</v>
      </c>
      <c r="J42" s="160">
        <f t="shared" si="0"/>
        <v>91.54699725022914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/>
      <c r="H43" s="20"/>
      <c r="I43" s="20"/>
      <c r="J43" s="163"/>
    </row>
    <row r="44" spans="2:10" s="1" customFormat="1" ht="12.75" customHeight="1">
      <c r="B44" s="17"/>
      <c r="C44" s="12"/>
      <c r="D44" s="12"/>
      <c r="E44" s="9"/>
      <c r="F44" s="12" t="s">
        <v>20</v>
      </c>
      <c r="G44" s="45"/>
      <c r="H44" s="45"/>
      <c r="I44" s="45"/>
      <c r="J44" s="162"/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7" ht="12.75">
      <c r="B47" s="87"/>
    </row>
    <row r="48" ht="12.75">
      <c r="B48" s="87"/>
    </row>
    <row r="49" ht="12.75">
      <c r="B49" s="87"/>
    </row>
    <row r="50" ht="12.75">
      <c r="B50" s="87"/>
    </row>
    <row r="51" ht="12.75">
      <c r="B51" s="87"/>
    </row>
    <row r="52" ht="12.75">
      <c r="B52" s="87"/>
    </row>
    <row r="53" ht="12.75">
      <c r="B53" s="87"/>
    </row>
  </sheetData>
  <sheetProtection/>
  <mergeCells count="2">
    <mergeCell ref="B2:G2"/>
    <mergeCell ref="F3:G3"/>
  </mergeCells>
  <printOptions/>
  <pageMargins left="0.2755905511811024" right="0.2755905511811024" top="0.5905511811023623" bottom="0.54" header="0.5118110236220472" footer="0.5118110236220472"/>
  <pageSetup fitToHeight="1" fitToWidth="1" horizontalDpi="180" verticalDpi="180" orientation="portrait" paperSize="9" scale="77" r:id="rId1"/>
  <headerFooter alignWithMargins="0">
    <oddFooter>&amp;R37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2:I55"/>
  <sheetViews>
    <sheetView zoomScalePageLayoutView="0" workbookViewId="0" topLeftCell="B1">
      <selection activeCell="E52" sqref="E52"/>
    </sheetView>
  </sheetViews>
  <sheetFormatPr defaultColWidth="9.140625" defaultRowHeight="12.75"/>
  <cols>
    <col min="1" max="1" width="0.42578125" style="0" hidden="1" customWidth="1"/>
    <col min="2" max="2" width="13.28125" style="58" customWidth="1"/>
    <col min="3" max="3" width="55.421875" style="0" customWidth="1"/>
    <col min="4" max="5" width="15.28125" style="0" customWidth="1"/>
    <col min="7" max="7" width="11.00390625" style="0" customWidth="1"/>
    <col min="8" max="8" width="15.7109375" style="0" customWidth="1"/>
    <col min="9" max="9" width="17.28125" style="0" customWidth="1"/>
    <col min="10" max="10" width="15.28125" style="0" customWidth="1"/>
  </cols>
  <sheetData>
    <row r="2" spans="2:6" ht="18.75" thickBot="1">
      <c r="B2" s="405" t="s">
        <v>0</v>
      </c>
      <c r="C2" s="405"/>
      <c r="D2" s="405"/>
      <c r="E2" s="406"/>
      <c r="F2" s="406"/>
    </row>
    <row r="3" spans="2:6" ht="76.5" customHeight="1">
      <c r="B3" s="89" t="s">
        <v>114</v>
      </c>
      <c r="C3" s="90" t="s">
        <v>5</v>
      </c>
      <c r="D3" s="147" t="s">
        <v>267</v>
      </c>
      <c r="E3" s="147" t="s">
        <v>586</v>
      </c>
      <c r="F3" s="44" t="s">
        <v>251</v>
      </c>
    </row>
    <row r="4" spans="2:6" ht="18" customHeight="1">
      <c r="B4" s="307">
        <v>1</v>
      </c>
      <c r="C4" s="308">
        <v>2</v>
      </c>
      <c r="D4" s="309">
        <v>3</v>
      </c>
      <c r="E4" s="309">
        <v>4</v>
      </c>
      <c r="F4" s="310">
        <v>5</v>
      </c>
    </row>
    <row r="5" spans="2:8" s="54" customFormat="1" ht="17.25" customHeight="1">
      <c r="B5" s="251">
        <v>710000</v>
      </c>
      <c r="C5" s="252" t="s">
        <v>113</v>
      </c>
      <c r="D5" s="253">
        <f>D6+D14+D18+D26+D36+D45+D49</f>
        <v>27864990</v>
      </c>
      <c r="E5" s="253">
        <f>E6+E14+E18+E26+E36+E45+E49</f>
        <v>30005692.72</v>
      </c>
      <c r="F5" s="254">
        <f>IF(D5=0,,E5/D5*100)</f>
        <v>107.68240979092403</v>
      </c>
      <c r="G5" s="255"/>
      <c r="H5" s="272"/>
    </row>
    <row r="6" spans="2:8" s="218" customFormat="1" ht="15" customHeight="1">
      <c r="B6" s="214">
        <v>711000</v>
      </c>
      <c r="C6" s="225" t="s">
        <v>118</v>
      </c>
      <c r="D6" s="223">
        <f>D7+D11</f>
        <v>1485350</v>
      </c>
      <c r="E6" s="223">
        <f>E7+E11</f>
        <v>1806009.75</v>
      </c>
      <c r="F6" s="224">
        <f aca="true" t="shared" si="0" ref="F6:F51">IF(D6=0,,E6/D6*100)</f>
        <v>121.58816103948564</v>
      </c>
      <c r="G6" s="217"/>
      <c r="H6" s="221"/>
    </row>
    <row r="7" spans="2:8" s="218" customFormat="1" ht="15" customHeight="1">
      <c r="B7" s="219">
        <v>711100</v>
      </c>
      <c r="C7" s="220" t="s">
        <v>269</v>
      </c>
      <c r="D7" s="215">
        <f>SUM(D8:D10)</f>
        <v>8650</v>
      </c>
      <c r="E7" s="215">
        <f>SUM(E8:E10)</f>
        <v>8379.41</v>
      </c>
      <c r="F7" s="216">
        <f t="shared" si="0"/>
        <v>96.87179190751445</v>
      </c>
      <c r="G7" s="217"/>
      <c r="H7" s="221"/>
    </row>
    <row r="8" spans="2:8" ht="15" customHeight="1">
      <c r="B8" s="213">
        <v>711111</v>
      </c>
      <c r="C8" s="235" t="s">
        <v>270</v>
      </c>
      <c r="D8" s="99">
        <v>8200</v>
      </c>
      <c r="E8" s="99">
        <v>8042.31</v>
      </c>
      <c r="F8" s="81">
        <f t="shared" si="0"/>
        <v>98.0769512195122</v>
      </c>
      <c r="G8" s="108"/>
      <c r="H8" s="111"/>
    </row>
    <row r="9" spans="2:8" ht="15" customHeight="1">
      <c r="B9" s="213">
        <v>711114</v>
      </c>
      <c r="C9" s="235" t="s">
        <v>587</v>
      </c>
      <c r="D9" s="99">
        <v>0</v>
      </c>
      <c r="E9" s="99">
        <v>45.84</v>
      </c>
      <c r="F9" s="81">
        <f>IF(D9=0,,E9/D9*100)</f>
        <v>0</v>
      </c>
      <c r="G9" s="108"/>
      <c r="H9" s="111"/>
    </row>
    <row r="10" spans="2:8" ht="15" customHeight="1">
      <c r="B10" s="213">
        <v>711115</v>
      </c>
      <c r="C10" s="235" t="s">
        <v>271</v>
      </c>
      <c r="D10" s="99">
        <v>450</v>
      </c>
      <c r="E10" s="99">
        <v>291.26</v>
      </c>
      <c r="F10" s="81">
        <f t="shared" si="0"/>
        <v>64.72444444444444</v>
      </c>
      <c r="G10" s="108"/>
      <c r="H10" s="111"/>
    </row>
    <row r="11" spans="2:8" s="218" customFormat="1" ht="15" customHeight="1">
      <c r="B11" s="219">
        <v>711200</v>
      </c>
      <c r="C11" s="220" t="s">
        <v>274</v>
      </c>
      <c r="D11" s="215">
        <f>SUM(D12:D13)</f>
        <v>1476700</v>
      </c>
      <c r="E11" s="215">
        <f>SUM(E12:E13)</f>
        <v>1797630.34</v>
      </c>
      <c r="F11" s="216">
        <f t="shared" si="0"/>
        <v>121.73294101713282</v>
      </c>
      <c r="G11" s="217"/>
      <c r="H11" s="221"/>
    </row>
    <row r="12" spans="2:8" ht="15" customHeight="1">
      <c r="B12" s="213">
        <v>711211</v>
      </c>
      <c r="C12" s="235" t="s">
        <v>272</v>
      </c>
      <c r="D12" s="99">
        <v>1430500</v>
      </c>
      <c r="E12" s="99">
        <v>1760079.61</v>
      </c>
      <c r="F12" s="81">
        <f t="shared" si="0"/>
        <v>123.03946941628803</v>
      </c>
      <c r="G12" s="108"/>
      <c r="H12" s="111"/>
    </row>
    <row r="13" spans="2:8" ht="15" customHeight="1">
      <c r="B13" s="213">
        <v>711212</v>
      </c>
      <c r="C13" s="235" t="s">
        <v>273</v>
      </c>
      <c r="D13" s="99">
        <v>46200</v>
      </c>
      <c r="E13" s="99">
        <v>37550.73</v>
      </c>
      <c r="F13" s="81">
        <f t="shared" si="0"/>
        <v>81.27863636363637</v>
      </c>
      <c r="G13" s="108"/>
      <c r="H13" s="111"/>
    </row>
    <row r="14" spans="2:8" s="218" customFormat="1" ht="15" customHeight="1">
      <c r="B14" s="214">
        <v>713000</v>
      </c>
      <c r="C14" s="222" t="s">
        <v>275</v>
      </c>
      <c r="D14" s="223">
        <f>D15</f>
        <v>7750</v>
      </c>
      <c r="E14" s="223">
        <f>E15</f>
        <v>6715.74</v>
      </c>
      <c r="F14" s="224">
        <f t="shared" si="0"/>
        <v>86.65470967741935</v>
      </c>
      <c r="G14" s="217"/>
      <c r="H14" s="221"/>
    </row>
    <row r="15" spans="2:7" s="218" customFormat="1" ht="15" customHeight="1">
      <c r="B15" s="219">
        <v>713100</v>
      </c>
      <c r="C15" s="249" t="s">
        <v>385</v>
      </c>
      <c r="D15" s="250">
        <f>SUM(D16:D17)</f>
        <v>7750</v>
      </c>
      <c r="E15" s="250">
        <f>SUM(E16:E17)</f>
        <v>6715.74</v>
      </c>
      <c r="F15" s="246">
        <f t="shared" si="0"/>
        <v>86.65470967741935</v>
      </c>
      <c r="G15" s="217"/>
    </row>
    <row r="16" spans="2:7" ht="15" customHeight="1">
      <c r="B16" s="213">
        <v>713111</v>
      </c>
      <c r="C16" s="235" t="s">
        <v>276</v>
      </c>
      <c r="D16" s="99">
        <v>7300</v>
      </c>
      <c r="E16" s="99">
        <v>6286.99</v>
      </c>
      <c r="F16" s="81">
        <f t="shared" si="0"/>
        <v>86.1231506849315</v>
      </c>
      <c r="G16" s="108"/>
    </row>
    <row r="17" spans="2:7" ht="15" customHeight="1">
      <c r="B17" s="213">
        <v>713113</v>
      </c>
      <c r="C17" s="235" t="s">
        <v>277</v>
      </c>
      <c r="D17" s="99">
        <v>450</v>
      </c>
      <c r="E17" s="99">
        <v>428.75</v>
      </c>
      <c r="F17" s="81">
        <f t="shared" si="0"/>
        <v>95.27777777777777</v>
      </c>
      <c r="G17" s="108"/>
    </row>
    <row r="18" spans="2:8" s="218" customFormat="1" ht="15" customHeight="1">
      <c r="B18" s="214">
        <v>714000</v>
      </c>
      <c r="C18" s="222" t="s">
        <v>119</v>
      </c>
      <c r="D18" s="223">
        <f>D19</f>
        <v>214400</v>
      </c>
      <c r="E18" s="223">
        <f>E19</f>
        <v>261846.15999999997</v>
      </c>
      <c r="F18" s="224">
        <f t="shared" si="0"/>
        <v>122.12973880597013</v>
      </c>
      <c r="G18" s="217"/>
      <c r="H18" s="217"/>
    </row>
    <row r="19" spans="2:7" s="218" customFormat="1" ht="15" customHeight="1">
      <c r="B19" s="219">
        <v>714100</v>
      </c>
      <c r="C19" s="249" t="s">
        <v>384</v>
      </c>
      <c r="D19" s="250">
        <f>SUM(D20:D25)</f>
        <v>214400</v>
      </c>
      <c r="E19" s="250">
        <f>SUM(E20:E25)</f>
        <v>261846.15999999997</v>
      </c>
      <c r="F19" s="246">
        <f t="shared" si="0"/>
        <v>122.12973880597013</v>
      </c>
      <c r="G19" s="217"/>
    </row>
    <row r="20" spans="2:8" ht="15" customHeight="1">
      <c r="B20" s="213">
        <v>714111</v>
      </c>
      <c r="C20" s="235" t="s">
        <v>278</v>
      </c>
      <c r="D20" s="99">
        <v>48250</v>
      </c>
      <c r="E20" s="99">
        <v>41112.78</v>
      </c>
      <c r="F20" s="81">
        <f t="shared" si="0"/>
        <v>85.20783419689118</v>
      </c>
      <c r="G20" s="108"/>
      <c r="H20" s="108"/>
    </row>
    <row r="21" spans="2:7" ht="15" customHeight="1">
      <c r="B21" s="213">
        <v>714112</v>
      </c>
      <c r="C21" s="235" t="s">
        <v>279</v>
      </c>
      <c r="D21" s="99">
        <v>12500</v>
      </c>
      <c r="E21" s="99">
        <v>8651.29</v>
      </c>
      <c r="F21" s="81">
        <f t="shared" si="0"/>
        <v>69.21032</v>
      </c>
      <c r="G21" s="108"/>
    </row>
    <row r="22" spans="2:7" ht="15" customHeight="1">
      <c r="B22" s="213">
        <v>714113</v>
      </c>
      <c r="C22" s="235" t="s">
        <v>280</v>
      </c>
      <c r="D22" s="99">
        <v>750</v>
      </c>
      <c r="E22" s="99">
        <v>425</v>
      </c>
      <c r="F22" s="81">
        <f t="shared" si="0"/>
        <v>56.666666666666664</v>
      </c>
      <c r="G22" s="108"/>
    </row>
    <row r="23" spans="2:7" ht="15" customHeight="1">
      <c r="B23" s="213">
        <v>714121</v>
      </c>
      <c r="C23" s="235" t="s">
        <v>281</v>
      </c>
      <c r="D23" s="99">
        <v>15900</v>
      </c>
      <c r="E23" s="99">
        <v>16390.91</v>
      </c>
      <c r="F23" s="81">
        <f t="shared" si="0"/>
        <v>103.08748427672955</v>
      </c>
      <c r="G23" s="108"/>
    </row>
    <row r="24" spans="2:7" ht="15" customHeight="1">
      <c r="B24" s="213">
        <v>714131</v>
      </c>
      <c r="C24" s="235" t="s">
        <v>282</v>
      </c>
      <c r="D24" s="99">
        <v>92300</v>
      </c>
      <c r="E24" s="99">
        <v>113695.79</v>
      </c>
      <c r="F24" s="81">
        <f t="shared" si="0"/>
        <v>123.1807042253521</v>
      </c>
      <c r="G24" s="108"/>
    </row>
    <row r="25" spans="2:7" ht="15" customHeight="1">
      <c r="B25" s="213">
        <v>714132</v>
      </c>
      <c r="C25" s="235" t="s">
        <v>283</v>
      </c>
      <c r="D25" s="99">
        <v>44700</v>
      </c>
      <c r="E25" s="99">
        <v>81570.39</v>
      </c>
      <c r="F25" s="81">
        <f t="shared" si="0"/>
        <v>182.48409395973155</v>
      </c>
      <c r="G25" s="108"/>
    </row>
    <row r="26" spans="2:8" s="218" customFormat="1" ht="25.5" customHeight="1">
      <c r="B26" s="214">
        <v>715000</v>
      </c>
      <c r="C26" s="225" t="s">
        <v>284</v>
      </c>
      <c r="D26" s="223">
        <f>D27+D32+D34</f>
        <v>5600</v>
      </c>
      <c r="E26" s="223">
        <f>E27+E32+E34</f>
        <v>5814.61</v>
      </c>
      <c r="F26" s="224">
        <f t="shared" si="0"/>
        <v>103.83232142857142</v>
      </c>
      <c r="G26" s="217"/>
      <c r="H26" s="221"/>
    </row>
    <row r="27" spans="2:7" s="218" customFormat="1" ht="26.25" customHeight="1">
      <c r="B27" s="219">
        <v>715100</v>
      </c>
      <c r="C27" s="237" t="s">
        <v>288</v>
      </c>
      <c r="D27" s="215">
        <f>SUM(D28:D31)</f>
        <v>4050</v>
      </c>
      <c r="E27" s="215">
        <f>SUM(E28:E31)</f>
        <v>4101.639999999999</v>
      </c>
      <c r="F27" s="216">
        <f t="shared" si="0"/>
        <v>101.27506172839504</v>
      </c>
      <c r="G27" s="217"/>
    </row>
    <row r="28" spans="2:7" ht="15" customHeight="1">
      <c r="B28" s="213">
        <v>715131</v>
      </c>
      <c r="C28" s="235" t="s">
        <v>285</v>
      </c>
      <c r="D28" s="99">
        <v>250</v>
      </c>
      <c r="E28" s="99">
        <v>219.81</v>
      </c>
      <c r="F28" s="81">
        <f t="shared" si="0"/>
        <v>87.924</v>
      </c>
      <c r="G28" s="108"/>
    </row>
    <row r="29" spans="2:7" ht="15" customHeight="1">
      <c r="B29" s="213">
        <v>715132</v>
      </c>
      <c r="C29" s="235" t="s">
        <v>566</v>
      </c>
      <c r="D29" s="99">
        <v>0</v>
      </c>
      <c r="E29" s="99">
        <v>109.71</v>
      </c>
      <c r="F29" s="81">
        <f>IF(D29=0,,E29/D29*100)</f>
        <v>0</v>
      </c>
      <c r="G29" s="108"/>
    </row>
    <row r="30" spans="2:7" ht="15" customHeight="1">
      <c r="B30" s="213">
        <v>715137</v>
      </c>
      <c r="C30" s="235" t="s">
        <v>286</v>
      </c>
      <c r="D30" s="99">
        <v>100</v>
      </c>
      <c r="E30" s="99">
        <v>40</v>
      </c>
      <c r="F30" s="81">
        <f t="shared" si="0"/>
        <v>40</v>
      </c>
      <c r="G30" s="108"/>
    </row>
    <row r="31" spans="2:7" ht="15" customHeight="1">
      <c r="B31" s="213">
        <v>715141</v>
      </c>
      <c r="C31" s="235" t="s">
        <v>287</v>
      </c>
      <c r="D31" s="99">
        <v>3700</v>
      </c>
      <c r="E31" s="99">
        <v>3732.12</v>
      </c>
      <c r="F31" s="81">
        <f t="shared" si="0"/>
        <v>100.86810810810812</v>
      </c>
      <c r="G31" s="108"/>
    </row>
    <row r="32" spans="2:7" s="218" customFormat="1" ht="15" customHeight="1">
      <c r="B32" s="219">
        <v>715200</v>
      </c>
      <c r="C32" s="236" t="s">
        <v>289</v>
      </c>
      <c r="D32" s="215">
        <f>D33</f>
        <v>1500</v>
      </c>
      <c r="E32" s="215">
        <f>E33</f>
        <v>1712.97</v>
      </c>
      <c r="F32" s="216">
        <f t="shared" si="0"/>
        <v>114.198</v>
      </c>
      <c r="G32" s="217"/>
    </row>
    <row r="33" spans="2:7" ht="15" customHeight="1">
      <c r="B33" s="213">
        <v>715211</v>
      </c>
      <c r="C33" s="235" t="s">
        <v>290</v>
      </c>
      <c r="D33" s="99">
        <v>1500</v>
      </c>
      <c r="E33" s="99">
        <v>1712.97</v>
      </c>
      <c r="F33" s="81">
        <f t="shared" si="0"/>
        <v>114.198</v>
      </c>
      <c r="G33" s="108"/>
    </row>
    <row r="34" spans="2:7" s="218" customFormat="1" ht="15" customHeight="1">
      <c r="B34" s="219">
        <v>715900</v>
      </c>
      <c r="C34" s="236" t="s">
        <v>291</v>
      </c>
      <c r="D34" s="215">
        <f>SUM(D35:D35)</f>
        <v>50</v>
      </c>
      <c r="E34" s="215">
        <f>SUM(E35:E35)</f>
        <v>0</v>
      </c>
      <c r="F34" s="216">
        <f t="shared" si="0"/>
        <v>0</v>
      </c>
      <c r="G34" s="217"/>
    </row>
    <row r="35" spans="2:7" ht="27" customHeight="1">
      <c r="B35" s="213">
        <v>715914</v>
      </c>
      <c r="C35" s="238" t="s">
        <v>292</v>
      </c>
      <c r="D35" s="99">
        <v>50</v>
      </c>
      <c r="E35" s="99">
        <v>0</v>
      </c>
      <c r="F35" s="81">
        <f t="shared" si="0"/>
        <v>0</v>
      </c>
      <c r="G35" s="108"/>
    </row>
    <row r="36" spans="2:8" s="218" customFormat="1" ht="15" customHeight="1">
      <c r="B36" s="214">
        <v>716000</v>
      </c>
      <c r="C36" s="222" t="s">
        <v>120</v>
      </c>
      <c r="D36" s="223">
        <f>D37</f>
        <v>1950150</v>
      </c>
      <c r="E36" s="223">
        <f>E37</f>
        <v>2174133.6</v>
      </c>
      <c r="F36" s="224">
        <f t="shared" si="0"/>
        <v>111.4854549650027</v>
      </c>
      <c r="G36" s="217"/>
      <c r="H36" s="217"/>
    </row>
    <row r="37" spans="2:8" s="218" customFormat="1" ht="15" customHeight="1">
      <c r="B37" s="219">
        <v>716100</v>
      </c>
      <c r="C37" s="236" t="s">
        <v>293</v>
      </c>
      <c r="D37" s="215">
        <f>SUM(D38:D44)</f>
        <v>1950150</v>
      </c>
      <c r="E37" s="215">
        <f>SUM(E38:E44)</f>
        <v>2174133.6</v>
      </c>
      <c r="F37" s="216">
        <f t="shared" si="0"/>
        <v>111.4854549650027</v>
      </c>
      <c r="G37" s="217"/>
      <c r="H37" s="217"/>
    </row>
    <row r="38" spans="2:8" ht="15" customHeight="1">
      <c r="B38" s="213">
        <v>716111</v>
      </c>
      <c r="C38" s="235" t="s">
        <v>295</v>
      </c>
      <c r="D38" s="99">
        <v>1425300</v>
      </c>
      <c r="E38" s="99">
        <v>1509709.42</v>
      </c>
      <c r="F38" s="81">
        <f t="shared" si="0"/>
        <v>105.92222128674665</v>
      </c>
      <c r="G38" s="108"/>
      <c r="H38" s="108"/>
    </row>
    <row r="39" spans="2:8" ht="15" customHeight="1">
      <c r="B39" s="213">
        <v>716112</v>
      </c>
      <c r="C39" s="235" t="s">
        <v>296</v>
      </c>
      <c r="D39" s="99">
        <v>46200</v>
      </c>
      <c r="E39" s="99">
        <v>64620.43</v>
      </c>
      <c r="F39" s="81">
        <f t="shared" si="0"/>
        <v>139.8710606060606</v>
      </c>
      <c r="G39" s="108"/>
      <c r="H39" s="108"/>
    </row>
    <row r="40" spans="2:8" ht="15" customHeight="1">
      <c r="B40" s="213">
        <v>716113</v>
      </c>
      <c r="C40" s="235" t="s">
        <v>297</v>
      </c>
      <c r="D40" s="99">
        <v>26010</v>
      </c>
      <c r="E40" s="99">
        <v>26513.57</v>
      </c>
      <c r="F40" s="81">
        <f t="shared" si="0"/>
        <v>101.93606305267204</v>
      </c>
      <c r="G40" s="108"/>
      <c r="H40" s="108"/>
    </row>
    <row r="41" spans="2:8" ht="15" customHeight="1">
      <c r="B41" s="213">
        <v>716114</v>
      </c>
      <c r="C41" s="235" t="s">
        <v>298</v>
      </c>
      <c r="D41" s="99">
        <v>340</v>
      </c>
      <c r="E41" s="99">
        <v>248.82</v>
      </c>
      <c r="F41" s="81">
        <f t="shared" si="0"/>
        <v>73.18235294117646</v>
      </c>
      <c r="G41" s="108"/>
      <c r="H41" s="108"/>
    </row>
    <row r="42" spans="2:8" ht="25.5" customHeight="1">
      <c r="B42" s="213">
        <v>716115</v>
      </c>
      <c r="C42" s="238" t="s">
        <v>299</v>
      </c>
      <c r="D42" s="99">
        <v>47500</v>
      </c>
      <c r="E42" s="99">
        <v>94879.93</v>
      </c>
      <c r="F42" s="81">
        <f t="shared" si="0"/>
        <v>199.74722105263157</v>
      </c>
      <c r="G42" s="108"/>
      <c r="H42" s="108"/>
    </row>
    <row r="43" spans="2:8" ht="15" customHeight="1">
      <c r="B43" s="213">
        <v>716116</v>
      </c>
      <c r="C43" s="235" t="s">
        <v>300</v>
      </c>
      <c r="D43" s="99">
        <v>235900</v>
      </c>
      <c r="E43" s="99">
        <v>274128.09</v>
      </c>
      <c r="F43" s="81">
        <f t="shared" si="0"/>
        <v>116.20520983467573</v>
      </c>
      <c r="G43" s="108"/>
      <c r="H43" s="108"/>
    </row>
    <row r="44" spans="2:8" ht="15" customHeight="1">
      <c r="B44" s="213">
        <v>716117</v>
      </c>
      <c r="C44" s="235" t="s">
        <v>294</v>
      </c>
      <c r="D44" s="99">
        <v>168900</v>
      </c>
      <c r="E44" s="99">
        <v>204033.34</v>
      </c>
      <c r="F44" s="81">
        <f t="shared" si="0"/>
        <v>120.80126702190645</v>
      </c>
      <c r="G44" s="108"/>
      <c r="H44" s="108"/>
    </row>
    <row r="45" spans="2:9" s="218" customFormat="1" ht="15" customHeight="1">
      <c r="B45" s="214">
        <v>717000</v>
      </c>
      <c r="C45" s="222" t="s">
        <v>121</v>
      </c>
      <c r="D45" s="223">
        <f>D46</f>
        <v>24197460</v>
      </c>
      <c r="E45" s="223">
        <f>E46</f>
        <v>25747102.3</v>
      </c>
      <c r="F45" s="224">
        <f t="shared" si="0"/>
        <v>106.40415274991672</v>
      </c>
      <c r="G45" s="217"/>
      <c r="H45" s="217"/>
      <c r="I45" s="217"/>
    </row>
    <row r="46" spans="2:9" s="218" customFormat="1" ht="15" customHeight="1">
      <c r="B46" s="219">
        <v>717100</v>
      </c>
      <c r="C46" s="236" t="s">
        <v>301</v>
      </c>
      <c r="D46" s="215">
        <f>SUM(D47:D48)</f>
        <v>24197460</v>
      </c>
      <c r="E46" s="215">
        <f>SUM(E47:E48)</f>
        <v>25747102.3</v>
      </c>
      <c r="F46" s="216">
        <f t="shared" si="0"/>
        <v>106.40415274991672</v>
      </c>
      <c r="G46" s="217"/>
      <c r="H46" s="217"/>
      <c r="I46" s="217"/>
    </row>
    <row r="47" spans="2:9" ht="15" customHeight="1">
      <c r="B47" s="213">
        <v>717121</v>
      </c>
      <c r="C47" s="235" t="s">
        <v>302</v>
      </c>
      <c r="D47" s="99">
        <v>23510700</v>
      </c>
      <c r="E47" s="99">
        <v>25049007.82</v>
      </c>
      <c r="F47" s="81">
        <f t="shared" si="0"/>
        <v>106.54301156494704</v>
      </c>
      <c r="G47" s="108"/>
      <c r="I47" s="108"/>
    </row>
    <row r="48" spans="2:9" ht="15" customHeight="1">
      <c r="B48" s="213">
        <v>717131</v>
      </c>
      <c r="C48" s="235" t="s">
        <v>303</v>
      </c>
      <c r="D48" s="99">
        <v>686760</v>
      </c>
      <c r="E48" s="99">
        <v>698094.48</v>
      </c>
      <c r="F48" s="81">
        <f t="shared" si="0"/>
        <v>101.65042809715183</v>
      </c>
      <c r="G48" s="108"/>
      <c r="I48" s="108"/>
    </row>
    <row r="49" spans="2:7" s="218" customFormat="1" ht="15" customHeight="1">
      <c r="B49" s="214">
        <v>719000</v>
      </c>
      <c r="C49" s="222" t="s">
        <v>122</v>
      </c>
      <c r="D49" s="223">
        <f>D50</f>
        <v>4280</v>
      </c>
      <c r="E49" s="223">
        <f>E50</f>
        <v>4070.5600000000004</v>
      </c>
      <c r="F49" s="224">
        <f t="shared" si="0"/>
        <v>95.10654205607477</v>
      </c>
      <c r="G49" s="217"/>
    </row>
    <row r="50" spans="2:7" s="218" customFormat="1" ht="15" customHeight="1">
      <c r="B50" s="219">
        <v>719100</v>
      </c>
      <c r="C50" s="236" t="s">
        <v>304</v>
      </c>
      <c r="D50" s="215">
        <f>D51+'prihodi-2'!D3+'prihodi-2'!D4</f>
        <v>4280</v>
      </c>
      <c r="E50" s="215">
        <f>E51+'prihodi-2'!E3+'prihodi-2'!E4</f>
        <v>4070.5600000000004</v>
      </c>
      <c r="F50" s="216">
        <f t="shared" si="0"/>
        <v>95.10654205607477</v>
      </c>
      <c r="G50" s="217"/>
    </row>
    <row r="51" spans="2:7" ht="15" customHeight="1" thickBot="1">
      <c r="B51" s="339">
        <v>719111</v>
      </c>
      <c r="C51" s="340" t="s">
        <v>304</v>
      </c>
      <c r="D51" s="341">
        <v>4100</v>
      </c>
      <c r="E51" s="341">
        <v>3896.51</v>
      </c>
      <c r="F51" s="342">
        <f t="shared" si="0"/>
        <v>95.03682926829269</v>
      </c>
      <c r="G51" s="108"/>
    </row>
    <row r="52" spans="4:5" ht="12.75">
      <c r="D52" s="338"/>
      <c r="E52" s="338"/>
    </row>
    <row r="53" spans="2:7" ht="12.75">
      <c r="B53"/>
      <c r="D53" s="108"/>
      <c r="E53" s="108"/>
      <c r="F53" s="189"/>
      <c r="G53" s="190"/>
    </row>
    <row r="54" spans="4:7" ht="12.75">
      <c r="D54" s="108"/>
      <c r="E54" s="108"/>
      <c r="F54" s="189"/>
      <c r="G54" s="190"/>
    </row>
    <row r="55" spans="6:7" ht="12.75">
      <c r="F55" s="189"/>
      <c r="G55" s="191"/>
    </row>
  </sheetData>
  <sheetProtection/>
  <mergeCells count="1">
    <mergeCell ref="B2:F2"/>
  </mergeCells>
  <printOptions/>
  <pageMargins left="0.44" right="0.3" top="0.34" bottom="0.61" header="0.29" footer="0.5"/>
  <pageSetup horizontalDpi="600" verticalDpi="600" orientation="portrait" paperSize="9" scale="90" r:id="rId1"/>
  <headerFooter alignWithMargins="0">
    <oddFooter>&amp;R2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B2:L54"/>
  <sheetViews>
    <sheetView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2" t="s">
        <v>102</v>
      </c>
      <c r="C2" s="412"/>
      <c r="D2" s="412"/>
      <c r="E2" s="412"/>
      <c r="F2" s="412"/>
      <c r="G2" s="412"/>
      <c r="H2" s="11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72</v>
      </c>
      <c r="C6" s="11" t="s">
        <v>74</v>
      </c>
      <c r="D6" s="11" t="s">
        <v>76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354450</v>
      </c>
      <c r="H7" s="20">
        <f>SUM(H8:H11)</f>
        <v>354450</v>
      </c>
      <c r="I7" s="20">
        <f>SUM(I8:I11)</f>
        <v>349327.03</v>
      </c>
      <c r="J7" s="160">
        <f>IF(H7=0,"",I7/H7*100)</f>
        <v>98.55467061644802</v>
      </c>
    </row>
    <row r="8" spans="2:11" ht="12.75" customHeight="1">
      <c r="B8" s="14"/>
      <c r="C8" s="15"/>
      <c r="D8" s="15"/>
      <c r="E8" s="16">
        <v>611100</v>
      </c>
      <c r="F8" s="26" t="s">
        <v>128</v>
      </c>
      <c r="G8" s="46">
        <v>276000</v>
      </c>
      <c r="H8" s="46">
        <v>280310</v>
      </c>
      <c r="I8" s="124">
        <v>280300.03</v>
      </c>
      <c r="J8" s="161">
        <f>IF(H8=0,"",I8/H8*100)</f>
        <v>99.9964432235739</v>
      </c>
      <c r="K8" s="95"/>
    </row>
    <row r="9" spans="2:11" ht="12.75" customHeight="1">
      <c r="B9" s="14"/>
      <c r="C9" s="15"/>
      <c r="D9" s="15"/>
      <c r="E9" s="16">
        <v>611200</v>
      </c>
      <c r="F9" s="15" t="s">
        <v>129</v>
      </c>
      <c r="G9" s="124">
        <v>76130</v>
      </c>
      <c r="H9" s="124">
        <v>71820</v>
      </c>
      <c r="I9" s="124">
        <v>67707</v>
      </c>
      <c r="J9" s="161">
        <f aca="true" t="shared" si="0" ref="J9:J42">IF(H9=0,"",I9/H9*100)</f>
        <v>94.27318295739349</v>
      </c>
      <c r="K9" s="95"/>
    </row>
    <row r="10" spans="2:12" ht="12.75" customHeight="1">
      <c r="B10" s="14"/>
      <c r="C10" s="15"/>
      <c r="D10" s="15"/>
      <c r="E10" s="16">
        <v>611200</v>
      </c>
      <c r="F10" s="26" t="s">
        <v>460</v>
      </c>
      <c r="G10" s="88">
        <v>2320</v>
      </c>
      <c r="H10" s="88">
        <v>2320</v>
      </c>
      <c r="I10" s="88">
        <v>1320</v>
      </c>
      <c r="J10" s="161">
        <f t="shared" si="0"/>
        <v>56.896551724137936</v>
      </c>
      <c r="K10" s="95"/>
      <c r="L10" s="94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30200</v>
      </c>
      <c r="H13" s="20">
        <f>H14+H15</f>
        <v>30200</v>
      </c>
      <c r="I13" s="20">
        <f>I14+I15</f>
        <v>29431.5</v>
      </c>
      <c r="J13" s="160">
        <f t="shared" si="0"/>
        <v>97.45529801324503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46">
        <v>30200</v>
      </c>
      <c r="H14" s="46">
        <v>30200</v>
      </c>
      <c r="I14" s="46">
        <v>29431.5</v>
      </c>
      <c r="J14" s="161">
        <f t="shared" si="0"/>
        <v>97.45529801324503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52840</v>
      </c>
      <c r="H17" s="51">
        <f>SUM(H18:H27)</f>
        <v>55290</v>
      </c>
      <c r="I17" s="51">
        <f>SUM(I18:I27)</f>
        <v>55114.509999999995</v>
      </c>
      <c r="J17" s="160">
        <f t="shared" si="0"/>
        <v>99.68260083197684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6">
        <v>4000</v>
      </c>
      <c r="H18" s="46">
        <v>3550</v>
      </c>
      <c r="I18" s="46">
        <v>3532.08</v>
      </c>
      <c r="J18" s="161">
        <f t="shared" si="0"/>
        <v>99.49521126760563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18000</v>
      </c>
      <c r="H19" s="46">
        <v>18580</v>
      </c>
      <c r="I19" s="46">
        <v>18573.31</v>
      </c>
      <c r="J19" s="161">
        <f t="shared" si="0"/>
        <v>99.96399354144242</v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6">
        <v>2800</v>
      </c>
      <c r="H20" s="46">
        <v>2800</v>
      </c>
      <c r="I20" s="46">
        <v>2755.81</v>
      </c>
      <c r="J20" s="161">
        <f t="shared" si="0"/>
        <v>98.42178571428572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6">
        <v>9300</v>
      </c>
      <c r="H21" s="46">
        <v>11130</v>
      </c>
      <c r="I21" s="46">
        <v>11095.4</v>
      </c>
      <c r="J21" s="161">
        <f t="shared" si="0"/>
        <v>99.6891284815813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46">
        <v>500</v>
      </c>
      <c r="H22" s="46">
        <v>400</v>
      </c>
      <c r="I22" s="46">
        <v>375.54</v>
      </c>
      <c r="J22" s="161">
        <f t="shared" si="0"/>
        <v>93.885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46">
        <v>0</v>
      </c>
      <c r="H23" s="46">
        <v>0</v>
      </c>
      <c r="I23" s="46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46">
        <v>6500</v>
      </c>
      <c r="H24" s="46">
        <v>5850</v>
      </c>
      <c r="I24" s="46">
        <v>5810.25</v>
      </c>
      <c r="J24" s="161">
        <f t="shared" si="0"/>
        <v>99.32051282051282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124">
        <v>0</v>
      </c>
      <c r="H25" s="124">
        <v>0</v>
      </c>
      <c r="I25" s="124">
        <v>0</v>
      </c>
      <c r="J25" s="161">
        <f t="shared" si="0"/>
      </c>
    </row>
    <row r="26" spans="2:12" ht="12.75" customHeight="1">
      <c r="B26" s="14"/>
      <c r="C26" s="15"/>
      <c r="D26" s="15"/>
      <c r="E26" s="16">
        <v>613900</v>
      </c>
      <c r="F26" s="15" t="s">
        <v>96</v>
      </c>
      <c r="G26" s="124">
        <v>9000</v>
      </c>
      <c r="H26" s="124">
        <v>10970</v>
      </c>
      <c r="I26" s="124">
        <v>10969.67</v>
      </c>
      <c r="J26" s="161">
        <f t="shared" si="0"/>
        <v>99.99699179580675</v>
      </c>
      <c r="L26" s="95"/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124">
        <v>2740</v>
      </c>
      <c r="H27" s="124">
        <v>2010</v>
      </c>
      <c r="I27" s="124">
        <v>2002.45</v>
      </c>
      <c r="J27" s="161">
        <f t="shared" si="0"/>
        <v>99.62437810945273</v>
      </c>
      <c r="L27" s="95"/>
    </row>
    <row r="28" spans="2:10" s="1" customFormat="1" ht="12.75" customHeight="1">
      <c r="B28" s="17"/>
      <c r="C28" s="12"/>
      <c r="D28" s="12"/>
      <c r="E28" s="9"/>
      <c r="F28" s="12"/>
      <c r="G28" s="124"/>
      <c r="H28" s="124"/>
      <c r="I28" s="124"/>
      <c r="J28" s="161">
        <f t="shared" si="0"/>
      </c>
    </row>
    <row r="29" spans="2:10" ht="12.75" customHeight="1">
      <c r="B29" s="14"/>
      <c r="C29" s="15"/>
      <c r="D29" s="31"/>
      <c r="E29" s="16"/>
      <c r="F29" s="30"/>
      <c r="G29" s="124"/>
      <c r="H29" s="124"/>
      <c r="I29" s="124"/>
      <c r="J29" s="161">
        <f t="shared" si="0"/>
      </c>
    </row>
    <row r="30" spans="2:10" ht="12.75" customHeight="1">
      <c r="B30" s="14"/>
      <c r="C30" s="15"/>
      <c r="D30" s="15"/>
      <c r="E30" s="63"/>
      <c r="F30" s="30"/>
      <c r="G30" s="124"/>
      <c r="H30" s="124"/>
      <c r="I30" s="124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124"/>
      <c r="H31" s="124"/>
      <c r="I31" s="124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124"/>
      <c r="H32" s="124"/>
      <c r="I32" s="124"/>
      <c r="J32" s="161">
        <f t="shared" si="0"/>
      </c>
    </row>
    <row r="33" spans="2:10" ht="12.75" customHeight="1">
      <c r="B33" s="14"/>
      <c r="C33" s="15"/>
      <c r="D33" s="15"/>
      <c r="E33" s="9"/>
      <c r="F33" s="12"/>
      <c r="G33" s="124"/>
      <c r="H33" s="124"/>
      <c r="I33" s="124"/>
      <c r="J33" s="161">
        <f t="shared" si="0"/>
      </c>
    </row>
    <row r="34" spans="2:10" ht="12.75" customHeight="1">
      <c r="B34" s="14"/>
      <c r="C34" s="15"/>
      <c r="D34" s="15"/>
      <c r="E34" s="16"/>
      <c r="F34" s="26"/>
      <c r="G34" s="124"/>
      <c r="H34" s="124"/>
      <c r="I34" s="124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SUM(G37:G39)</f>
        <v>54370</v>
      </c>
      <c r="H36" s="115">
        <f>SUM(H37:H39)</f>
        <v>54370</v>
      </c>
      <c r="I36" s="115">
        <f>SUM(I37:I39)</f>
        <v>53907.75</v>
      </c>
      <c r="J36" s="160">
        <f t="shared" si="0"/>
        <v>99.14980687879346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124">
        <v>40000</v>
      </c>
      <c r="H37" s="124">
        <v>40000</v>
      </c>
      <c r="I37" s="124">
        <v>39551.85</v>
      </c>
      <c r="J37" s="161">
        <f t="shared" si="0"/>
        <v>98.87962499999999</v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124">
        <v>14370</v>
      </c>
      <c r="H38" s="124">
        <v>14370</v>
      </c>
      <c r="I38" s="124">
        <v>14355.9</v>
      </c>
      <c r="J38" s="161">
        <f t="shared" si="0"/>
        <v>99.901878914405</v>
      </c>
    </row>
    <row r="39" spans="2:10" ht="12.75" customHeight="1">
      <c r="B39" s="14"/>
      <c r="C39" s="15"/>
      <c r="D39" s="15"/>
      <c r="E39" s="16"/>
      <c r="F39" s="26"/>
      <c r="G39" s="124"/>
      <c r="H39" s="124"/>
      <c r="I39" s="124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25" t="s">
        <v>467</v>
      </c>
      <c r="H41" s="25" t="s">
        <v>467</v>
      </c>
      <c r="I41" s="25" t="s">
        <v>580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491860</v>
      </c>
      <c r="H42" s="20">
        <f>H7+H13+H17+H36</f>
        <v>494310</v>
      </c>
      <c r="I42" s="20">
        <f>I7+I13+I17+I36</f>
        <v>487780.79000000004</v>
      </c>
      <c r="J42" s="160">
        <f t="shared" si="0"/>
        <v>98.67912645910462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/>
      <c r="H43" s="20"/>
      <c r="I43" s="20"/>
      <c r="J43" s="163"/>
    </row>
    <row r="44" spans="2:10" s="1" customFormat="1" ht="12.75" customHeight="1">
      <c r="B44" s="17"/>
      <c r="C44" s="12"/>
      <c r="D44" s="12"/>
      <c r="E44" s="9"/>
      <c r="F44" s="12" t="s">
        <v>20</v>
      </c>
      <c r="G44" s="45"/>
      <c r="H44" s="45"/>
      <c r="I44" s="45"/>
      <c r="J44" s="162"/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8" ht="12.75">
      <c r="B48" s="87"/>
    </row>
    <row r="49" ht="12.75">
      <c r="B49" s="87"/>
    </row>
    <row r="50" ht="12.75">
      <c r="B50" s="87"/>
    </row>
    <row r="51" ht="12.75">
      <c r="B51" s="87"/>
    </row>
    <row r="52" ht="12.75">
      <c r="B52" s="87"/>
    </row>
    <row r="53" ht="12.75">
      <c r="B53" s="87"/>
    </row>
    <row r="54" ht="12.75">
      <c r="B54" s="87"/>
    </row>
  </sheetData>
  <sheetProtection/>
  <mergeCells count="2">
    <mergeCell ref="B2:G2"/>
    <mergeCell ref="F3:G3"/>
  </mergeCells>
  <printOptions/>
  <pageMargins left="0.2755905511811024" right="0.2755905511811024" top="0.5905511811023623" bottom="0.53" header="0.5118110236220472" footer="0.5118110236220472"/>
  <pageSetup fitToHeight="1" fitToWidth="1" horizontalDpi="180" verticalDpi="180" orientation="portrait" paperSize="9" scale="77" r:id="rId1"/>
  <headerFooter alignWithMargins="0">
    <oddFooter>&amp;R38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B2:L53"/>
  <sheetViews>
    <sheetView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2" t="s">
        <v>103</v>
      </c>
      <c r="C2" s="412"/>
      <c r="D2" s="412"/>
      <c r="E2" s="412"/>
      <c r="F2" s="412"/>
      <c r="G2" s="412"/>
      <c r="H2" s="11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72</v>
      </c>
      <c r="C6" s="11" t="s">
        <v>74</v>
      </c>
      <c r="D6" s="11" t="s">
        <v>77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763110</v>
      </c>
      <c r="H7" s="20">
        <f>SUM(H8:H11)</f>
        <v>763110</v>
      </c>
      <c r="I7" s="20">
        <f>SUM(I8:I11)</f>
        <v>705800.31</v>
      </c>
      <c r="J7" s="160">
        <f>IF(H7=0,"",I7/H7*100)</f>
        <v>92.48998309549083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46">
        <v>609900</v>
      </c>
      <c r="H8" s="46">
        <v>609900</v>
      </c>
      <c r="I8" s="46">
        <v>570174.31</v>
      </c>
      <c r="J8" s="161">
        <f>IF(H8=0,"",I8/H8*100)</f>
        <v>93.4865240203312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46">
        <v>150890</v>
      </c>
      <c r="H9" s="46">
        <v>150890</v>
      </c>
      <c r="I9" s="46">
        <v>134156</v>
      </c>
      <c r="J9" s="161">
        <f aca="true" t="shared" si="0" ref="J9:J44">IF(H9=0,"",I9/H9*100)</f>
        <v>88.90980184240175</v>
      </c>
    </row>
    <row r="10" spans="2:12" ht="12.75" customHeight="1">
      <c r="B10" s="14"/>
      <c r="C10" s="15"/>
      <c r="D10" s="15"/>
      <c r="E10" s="16">
        <v>611200</v>
      </c>
      <c r="F10" s="26" t="s">
        <v>460</v>
      </c>
      <c r="G10" s="88">
        <v>2320</v>
      </c>
      <c r="H10" s="88">
        <v>2320</v>
      </c>
      <c r="I10" s="88">
        <v>1470</v>
      </c>
      <c r="J10" s="161">
        <f t="shared" si="0"/>
        <v>63.36206896551724</v>
      </c>
      <c r="L10" s="94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63600</v>
      </c>
      <c r="H13" s="20">
        <f>H14+H15</f>
        <v>63600</v>
      </c>
      <c r="I13" s="20">
        <f>I14+I15</f>
        <v>59868.29</v>
      </c>
      <c r="J13" s="160">
        <f t="shared" si="0"/>
        <v>94.13253144654088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46">
        <v>63600</v>
      </c>
      <c r="H14" s="46">
        <v>63600</v>
      </c>
      <c r="I14" s="46">
        <v>59868.29</v>
      </c>
      <c r="J14" s="161">
        <f t="shared" si="0"/>
        <v>94.13253144654088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66140</v>
      </c>
      <c r="H17" s="51">
        <f>SUM(H18:H27)</f>
        <v>66360</v>
      </c>
      <c r="I17" s="51">
        <f>SUM(I18:I27)</f>
        <v>65486.42999999999</v>
      </c>
      <c r="J17" s="160">
        <f t="shared" si="0"/>
        <v>98.68358951175405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6">
        <v>3000</v>
      </c>
      <c r="H18" s="46">
        <v>3220</v>
      </c>
      <c r="I18" s="124">
        <v>3212.27</v>
      </c>
      <c r="J18" s="161">
        <f t="shared" si="0"/>
        <v>99.75993788819876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30500</v>
      </c>
      <c r="H19" s="46">
        <v>31880</v>
      </c>
      <c r="I19" s="46">
        <v>31317.5</v>
      </c>
      <c r="J19" s="161">
        <f t="shared" si="0"/>
        <v>98.23557089084065</v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6">
        <v>3400</v>
      </c>
      <c r="H20" s="46">
        <v>3100</v>
      </c>
      <c r="I20" s="46">
        <v>3080.88</v>
      </c>
      <c r="J20" s="161">
        <f t="shared" si="0"/>
        <v>99.38322580645162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124">
        <v>8500</v>
      </c>
      <c r="H21" s="124">
        <v>8160</v>
      </c>
      <c r="I21" s="124">
        <v>8143.05</v>
      </c>
      <c r="J21" s="161">
        <f t="shared" si="0"/>
        <v>99.79227941176471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124">
        <v>1500</v>
      </c>
      <c r="H22" s="124">
        <v>1320</v>
      </c>
      <c r="I22" s="124">
        <v>1061.49</v>
      </c>
      <c r="J22" s="161">
        <f t="shared" si="0"/>
        <v>80.41590909090908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124">
        <v>0</v>
      </c>
      <c r="H23" s="124">
        <v>0</v>
      </c>
      <c r="I23" s="124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124">
        <v>8000</v>
      </c>
      <c r="H24" s="124">
        <v>7270</v>
      </c>
      <c r="I24" s="124">
        <v>7267.98</v>
      </c>
      <c r="J24" s="161">
        <f t="shared" si="0"/>
        <v>99.97221458046766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124">
        <v>0</v>
      </c>
      <c r="H25" s="124">
        <v>0</v>
      </c>
      <c r="I25" s="124">
        <v>0</v>
      </c>
      <c r="J25" s="161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124">
        <v>8500</v>
      </c>
      <c r="H26" s="124">
        <v>8690</v>
      </c>
      <c r="I26" s="124">
        <v>8690.23</v>
      </c>
      <c r="J26" s="161">
        <f t="shared" si="0"/>
        <v>100.00264672036823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124">
        <v>2740</v>
      </c>
      <c r="H27" s="124">
        <v>2720</v>
      </c>
      <c r="I27" s="124">
        <v>2713.03</v>
      </c>
      <c r="J27" s="161">
        <f t="shared" si="0"/>
        <v>99.74375</v>
      </c>
      <c r="K27" s="95"/>
      <c r="L27" s="95"/>
    </row>
    <row r="28" spans="2:10" s="1" customFormat="1" ht="12.75" customHeight="1">
      <c r="B28" s="17"/>
      <c r="C28" s="12"/>
      <c r="D28" s="12"/>
      <c r="E28" s="9"/>
      <c r="F28" s="12"/>
      <c r="G28" s="124"/>
      <c r="H28" s="124"/>
      <c r="I28" s="124"/>
      <c r="J28" s="161">
        <f t="shared" si="0"/>
      </c>
    </row>
    <row r="29" spans="2:10" ht="12.75" customHeight="1">
      <c r="B29" s="14"/>
      <c r="C29" s="15"/>
      <c r="D29" s="31"/>
      <c r="E29" s="16"/>
      <c r="F29" s="30"/>
      <c r="G29" s="124"/>
      <c r="H29" s="124"/>
      <c r="I29" s="124"/>
      <c r="J29" s="161">
        <f t="shared" si="0"/>
      </c>
    </row>
    <row r="30" spans="2:10" ht="12.75" customHeight="1">
      <c r="B30" s="14"/>
      <c r="C30" s="15"/>
      <c r="D30" s="15"/>
      <c r="E30" s="63"/>
      <c r="F30" s="30"/>
      <c r="G30" s="124"/>
      <c r="H30" s="124"/>
      <c r="I30" s="124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124"/>
      <c r="H31" s="124"/>
      <c r="I31" s="124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124"/>
      <c r="H32" s="124"/>
      <c r="I32" s="124"/>
      <c r="J32" s="161">
        <f t="shared" si="0"/>
      </c>
    </row>
    <row r="33" spans="2:10" ht="12.75" customHeight="1">
      <c r="B33" s="14"/>
      <c r="C33" s="15"/>
      <c r="D33" s="15"/>
      <c r="E33" s="9"/>
      <c r="F33" s="12"/>
      <c r="G33" s="124"/>
      <c r="H33" s="124"/>
      <c r="I33" s="124"/>
      <c r="J33" s="161">
        <f t="shared" si="0"/>
      </c>
    </row>
    <row r="34" spans="2:10" ht="12.75" customHeight="1">
      <c r="B34" s="14"/>
      <c r="C34" s="15"/>
      <c r="D34" s="15"/>
      <c r="E34" s="16"/>
      <c r="F34" s="26"/>
      <c r="G34" s="124"/>
      <c r="H34" s="124"/>
      <c r="I34" s="124"/>
      <c r="J34" s="161">
        <f t="shared" si="0"/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SUM(G37:G39)</f>
        <v>114120</v>
      </c>
      <c r="H36" s="115">
        <f>SUM(H37:H39)</f>
        <v>114120</v>
      </c>
      <c r="I36" s="115">
        <f>SUM(I37:I39)</f>
        <v>102815.39000000001</v>
      </c>
      <c r="J36" s="160">
        <f t="shared" si="0"/>
        <v>90.09410269891343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124">
        <v>114120</v>
      </c>
      <c r="H37" s="124">
        <v>101070</v>
      </c>
      <c r="I37" s="124">
        <v>89829.32</v>
      </c>
      <c r="J37" s="161">
        <f t="shared" si="0"/>
        <v>88.87832195508064</v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124">
        <v>0</v>
      </c>
      <c r="H38" s="124">
        <v>13050</v>
      </c>
      <c r="I38" s="124">
        <v>12986.07</v>
      </c>
      <c r="J38" s="161">
        <f t="shared" si="0"/>
        <v>99.51011494252874</v>
      </c>
    </row>
    <row r="39" spans="2:10" ht="12.75" customHeight="1">
      <c r="B39" s="14"/>
      <c r="C39" s="15"/>
      <c r="D39" s="15"/>
      <c r="E39" s="16"/>
      <c r="F39" s="26"/>
      <c r="G39" s="124"/>
      <c r="H39" s="124"/>
      <c r="I39" s="124"/>
      <c r="J39" s="161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61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18</v>
      </c>
      <c r="G41" s="25" t="s">
        <v>560</v>
      </c>
      <c r="H41" s="25" t="s">
        <v>560</v>
      </c>
      <c r="I41" s="25" t="s">
        <v>581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1006970</v>
      </c>
      <c r="H42" s="20">
        <f>H7+H13+H17+H36</f>
        <v>1007190</v>
      </c>
      <c r="I42" s="20">
        <f>I7+I13+I17+I36</f>
        <v>933970.42</v>
      </c>
      <c r="J42" s="160">
        <f t="shared" si="0"/>
        <v>92.73031106345377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>
        <f>G42+'29'!G42+'28'!G42+'27'!G42+'26'!G42+'25'!G42+'24'!G42</f>
        <v>7933080</v>
      </c>
      <c r="H43" s="20">
        <f>H42+'29'!H42+'28'!H42+'27'!H42+'26'!H42+'25'!H42+'24'!H42</f>
        <v>7934310</v>
      </c>
      <c r="I43" s="20">
        <f>I42+'29'!I42+'28'!I42+'27'!I42+'26'!I42+'25'!I42+'24'!I42</f>
        <v>7513439.3100000005</v>
      </c>
      <c r="J43" s="160">
        <f t="shared" si="0"/>
        <v>94.69556029446797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20">
        <f>G43+'23'!G43+'20'!G55</f>
        <v>13198980</v>
      </c>
      <c r="H44" s="20">
        <f>H43+'23'!H43+'20'!H55</f>
        <v>13199300</v>
      </c>
      <c r="I44" s="20">
        <f>I43+'23'!I43+'20'!I55</f>
        <v>12663287.39</v>
      </c>
      <c r="J44" s="160">
        <f t="shared" si="0"/>
        <v>95.93908305743487</v>
      </c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7" ht="12.75">
      <c r="B47" s="87"/>
    </row>
    <row r="48" ht="12.75">
      <c r="B48" s="87"/>
    </row>
    <row r="49" ht="12.75">
      <c r="B49" s="87"/>
    </row>
    <row r="50" ht="12.75">
      <c r="B50" s="87"/>
    </row>
    <row r="51" ht="12.75">
      <c r="B51" s="87"/>
    </row>
    <row r="52" ht="12.75">
      <c r="B52" s="87"/>
    </row>
    <row r="53" ht="12.75">
      <c r="B53" s="87"/>
    </row>
  </sheetData>
  <sheetProtection/>
  <mergeCells count="2">
    <mergeCell ref="B2:G2"/>
    <mergeCell ref="F3:G3"/>
  </mergeCells>
  <printOptions/>
  <pageMargins left="0.2755905511811024" right="0.2755905511811024" top="0.5905511811023623" bottom="0.56" header="0.5118110236220472" footer="0.5118110236220472"/>
  <pageSetup fitToHeight="1" fitToWidth="1" horizontalDpi="180" verticalDpi="180" orientation="portrait" paperSize="9" scale="77" r:id="rId1"/>
  <headerFooter alignWithMargins="0">
    <oddFooter>&amp;R39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6"/>
  <dimension ref="B2:L42"/>
  <sheetViews>
    <sheetView view="pageBreakPreview" zoomScale="60"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4" t="s">
        <v>108</v>
      </c>
      <c r="C2" s="414"/>
      <c r="D2" s="414"/>
      <c r="E2" s="414"/>
      <c r="F2" s="414"/>
      <c r="G2" s="414"/>
      <c r="H2" s="37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78</v>
      </c>
      <c r="C6" s="11" t="s">
        <v>6</v>
      </c>
      <c r="D6" s="11" t="s">
        <v>7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243520</v>
      </c>
      <c r="H7" s="20">
        <f>SUM(H8:H11)</f>
        <v>243520</v>
      </c>
      <c r="I7" s="20">
        <f>SUM(I8:I11)</f>
        <v>230000.19</v>
      </c>
      <c r="J7" s="160">
        <f>IF(H7=0,"",I7/H7*100)</f>
        <v>94.44817263469119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124">
        <v>190800</v>
      </c>
      <c r="H8" s="124">
        <v>190800</v>
      </c>
      <c r="I8" s="124">
        <v>178750.19</v>
      </c>
      <c r="J8" s="161">
        <f>IF(H8=0,"",I8/H8*100)</f>
        <v>93.68458595387841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124">
        <v>45600</v>
      </c>
      <c r="H9" s="124">
        <v>45600</v>
      </c>
      <c r="I9" s="124">
        <v>44814</v>
      </c>
      <c r="J9" s="161">
        <f aca="true" t="shared" si="0" ref="J9:J41">IF(H9=0,"",I9/H9*100)</f>
        <v>98.27631578947368</v>
      </c>
    </row>
    <row r="10" spans="2:12" ht="12.75" customHeight="1">
      <c r="B10" s="14"/>
      <c r="C10" s="15"/>
      <c r="D10" s="15"/>
      <c r="E10" s="16">
        <v>611200</v>
      </c>
      <c r="F10" s="26" t="s">
        <v>457</v>
      </c>
      <c r="G10" s="88">
        <v>7120</v>
      </c>
      <c r="H10" s="88">
        <v>7120</v>
      </c>
      <c r="I10" s="88">
        <v>6436</v>
      </c>
      <c r="J10" s="161">
        <f t="shared" si="0"/>
        <v>90.3932584269663</v>
      </c>
      <c r="L10" s="94"/>
    </row>
    <row r="11" spans="2:10" ht="12.75" customHeight="1">
      <c r="B11" s="14"/>
      <c r="C11" s="15"/>
      <c r="D11" s="15"/>
      <c r="E11" s="16"/>
      <c r="F11" s="26"/>
      <c r="G11" s="124"/>
      <c r="H11" s="124"/>
      <c r="I11" s="124"/>
      <c r="J11" s="161">
        <f t="shared" si="0"/>
      </c>
    </row>
    <row r="12" spans="2:10" ht="12.75" customHeight="1">
      <c r="B12" s="14"/>
      <c r="C12" s="15"/>
      <c r="D12" s="15"/>
      <c r="E12" s="16"/>
      <c r="F12" s="15"/>
      <c r="G12" s="115"/>
      <c r="H12" s="115"/>
      <c r="I12" s="115"/>
      <c r="J12" s="161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115">
        <f>G14+G15</f>
        <v>20200</v>
      </c>
      <c r="H13" s="115">
        <f>H14+H15</f>
        <v>20200</v>
      </c>
      <c r="I13" s="115">
        <f>I14+I15</f>
        <v>18768.78</v>
      </c>
      <c r="J13" s="160">
        <f t="shared" si="0"/>
        <v>92.91475247524752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124">
        <v>20200</v>
      </c>
      <c r="H14" s="124">
        <v>20200</v>
      </c>
      <c r="I14" s="124">
        <v>18768.78</v>
      </c>
      <c r="J14" s="161">
        <f t="shared" si="0"/>
        <v>92.91475247524752</v>
      </c>
    </row>
    <row r="15" spans="2:10" ht="12.75" customHeight="1">
      <c r="B15" s="14"/>
      <c r="C15" s="15"/>
      <c r="D15" s="15"/>
      <c r="E15" s="16"/>
      <c r="F15" s="15"/>
      <c r="G15" s="124"/>
      <c r="H15" s="124"/>
      <c r="I15" s="124"/>
      <c r="J15" s="161">
        <f t="shared" si="0"/>
      </c>
    </row>
    <row r="16" spans="2:10" ht="12.75" customHeight="1">
      <c r="B16" s="14"/>
      <c r="C16" s="15"/>
      <c r="D16" s="15"/>
      <c r="E16" s="16"/>
      <c r="F16" s="15"/>
      <c r="G16" s="115"/>
      <c r="H16" s="115"/>
      <c r="I16" s="115"/>
      <c r="J16" s="161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115">
        <f>SUM(G18:G27)</f>
        <v>39950</v>
      </c>
      <c r="H17" s="115">
        <f>SUM(H18:H27)</f>
        <v>39950</v>
      </c>
      <c r="I17" s="115">
        <f>SUM(I18:I27)</f>
        <v>38870.36</v>
      </c>
      <c r="J17" s="160">
        <f t="shared" si="0"/>
        <v>97.29752190237797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124">
        <v>2400</v>
      </c>
      <c r="H18" s="124">
        <v>2600</v>
      </c>
      <c r="I18" s="124">
        <v>2579.71</v>
      </c>
      <c r="J18" s="161">
        <f t="shared" si="0"/>
        <v>99.2196153846154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124">
        <v>0</v>
      </c>
      <c r="H19" s="124">
        <v>0</v>
      </c>
      <c r="I19" s="124">
        <v>0</v>
      </c>
      <c r="J19" s="161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124">
        <v>3500</v>
      </c>
      <c r="H20" s="124">
        <v>2600</v>
      </c>
      <c r="I20" s="124">
        <v>2572.11</v>
      </c>
      <c r="J20" s="161">
        <f t="shared" si="0"/>
        <v>98.92730769230769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124">
        <v>1800</v>
      </c>
      <c r="H21" s="124">
        <v>1400</v>
      </c>
      <c r="I21" s="124">
        <v>736.3</v>
      </c>
      <c r="J21" s="161">
        <f t="shared" si="0"/>
        <v>52.59285714285714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124">
        <v>1800</v>
      </c>
      <c r="H22" s="124">
        <v>2450</v>
      </c>
      <c r="I22" s="124">
        <v>2427.91</v>
      </c>
      <c r="J22" s="161">
        <f t="shared" si="0"/>
        <v>99.09836734693876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124">
        <v>0</v>
      </c>
      <c r="H23" s="124">
        <v>0</v>
      </c>
      <c r="I23" s="124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124">
        <v>3300</v>
      </c>
      <c r="H24" s="124">
        <v>2800</v>
      </c>
      <c r="I24" s="124">
        <v>2573.5</v>
      </c>
      <c r="J24" s="161">
        <f t="shared" si="0"/>
        <v>91.91071428571429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124">
        <v>250</v>
      </c>
      <c r="H25" s="124">
        <v>250</v>
      </c>
      <c r="I25" s="124">
        <v>249.15</v>
      </c>
      <c r="J25" s="161">
        <f t="shared" si="0"/>
        <v>99.66000000000001</v>
      </c>
    </row>
    <row r="26" spans="2:11" ht="12.75" customHeight="1">
      <c r="B26" s="14"/>
      <c r="C26" s="15"/>
      <c r="D26" s="15"/>
      <c r="E26" s="16">
        <v>613900</v>
      </c>
      <c r="F26" s="15" t="s">
        <v>96</v>
      </c>
      <c r="G26" s="124">
        <v>20200</v>
      </c>
      <c r="H26" s="124">
        <v>21650</v>
      </c>
      <c r="I26" s="124">
        <v>21534.33</v>
      </c>
      <c r="J26" s="161">
        <f t="shared" si="0"/>
        <v>99.46572748267899</v>
      </c>
      <c r="K26" s="114"/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124">
        <v>6700</v>
      </c>
      <c r="H27" s="124">
        <v>6200</v>
      </c>
      <c r="I27" s="124">
        <v>6197.35</v>
      </c>
      <c r="J27" s="161">
        <f t="shared" si="0"/>
        <v>99.95725806451613</v>
      </c>
      <c r="K27" s="95"/>
      <c r="L27" s="95"/>
    </row>
    <row r="28" spans="2:10" ht="12.75" customHeight="1">
      <c r="B28" s="14"/>
      <c r="C28" s="15"/>
      <c r="D28" s="15"/>
      <c r="E28" s="16"/>
      <c r="F28" s="15"/>
      <c r="G28" s="115"/>
      <c r="H28" s="115"/>
      <c r="I28" s="115"/>
      <c r="J28" s="161">
        <f t="shared" si="0"/>
      </c>
    </row>
    <row r="29" spans="2:10" s="1" customFormat="1" ht="12.75" customHeight="1">
      <c r="B29" s="17"/>
      <c r="C29" s="12"/>
      <c r="D29" s="12"/>
      <c r="E29" s="9">
        <v>614000</v>
      </c>
      <c r="F29" s="12" t="s">
        <v>132</v>
      </c>
      <c r="G29" s="115">
        <f>SUM(G30:G30)</f>
        <v>700000</v>
      </c>
      <c r="H29" s="115">
        <f>SUM(H30:H30)</f>
        <v>700000</v>
      </c>
      <c r="I29" s="115">
        <f>SUM(I30:I30)</f>
        <v>699580.63</v>
      </c>
      <c r="J29" s="160">
        <f t="shared" si="0"/>
        <v>99.94009</v>
      </c>
    </row>
    <row r="30" spans="2:10" ht="12.75" customHeight="1">
      <c r="B30" s="14"/>
      <c r="C30" s="15"/>
      <c r="D30" s="15"/>
      <c r="E30" s="16">
        <v>614200</v>
      </c>
      <c r="F30" s="30" t="s">
        <v>42</v>
      </c>
      <c r="G30" s="124">
        <v>700000</v>
      </c>
      <c r="H30" s="124">
        <v>700000</v>
      </c>
      <c r="I30" s="124">
        <v>699580.63</v>
      </c>
      <c r="J30" s="161">
        <f t="shared" si="0"/>
        <v>99.94009</v>
      </c>
    </row>
    <row r="31" spans="2:10" ht="12.75" customHeight="1">
      <c r="B31" s="14"/>
      <c r="C31" s="15"/>
      <c r="D31" s="15"/>
      <c r="E31" s="16"/>
      <c r="F31" s="26"/>
      <c r="G31" s="124"/>
      <c r="H31" s="124"/>
      <c r="I31" s="124"/>
      <c r="J31" s="161">
        <f t="shared" si="0"/>
      </c>
    </row>
    <row r="32" spans="2:10" ht="12.75" customHeight="1">
      <c r="B32" s="14"/>
      <c r="C32" s="15"/>
      <c r="D32" s="15"/>
      <c r="E32" s="16"/>
      <c r="F32" s="15"/>
      <c r="G32" s="124"/>
      <c r="H32" s="124"/>
      <c r="I32" s="124"/>
      <c r="J32" s="161">
        <f t="shared" si="0"/>
      </c>
    </row>
    <row r="33" spans="2:10" s="1" customFormat="1" ht="12.75" customHeight="1">
      <c r="B33" s="17"/>
      <c r="C33" s="12"/>
      <c r="D33" s="12"/>
      <c r="E33" s="9">
        <v>821000</v>
      </c>
      <c r="F33" s="12" t="s">
        <v>15</v>
      </c>
      <c r="G33" s="115">
        <f>SUM(G34:G36)</f>
        <v>500</v>
      </c>
      <c r="H33" s="115">
        <f>SUM(H34:H36)</f>
        <v>500</v>
      </c>
      <c r="I33" s="115">
        <f>SUM(I34:I36)</f>
        <v>497.77</v>
      </c>
      <c r="J33" s="160">
        <f t="shared" si="0"/>
        <v>99.554</v>
      </c>
    </row>
    <row r="34" spans="2:10" ht="12.75" customHeight="1">
      <c r="B34" s="14"/>
      <c r="C34" s="15"/>
      <c r="D34" s="15"/>
      <c r="E34" s="16">
        <v>821200</v>
      </c>
      <c r="F34" s="15" t="s">
        <v>16</v>
      </c>
      <c r="G34" s="124">
        <v>0</v>
      </c>
      <c r="H34" s="124">
        <v>0</v>
      </c>
      <c r="I34" s="124">
        <v>0</v>
      </c>
      <c r="J34" s="161">
        <f t="shared" si="0"/>
      </c>
    </row>
    <row r="35" spans="2:10" ht="12.75" customHeight="1">
      <c r="B35" s="14"/>
      <c r="C35" s="15"/>
      <c r="D35" s="15"/>
      <c r="E35" s="16">
        <v>821300</v>
      </c>
      <c r="F35" s="15" t="s">
        <v>17</v>
      </c>
      <c r="G35" s="124">
        <v>500</v>
      </c>
      <c r="H35" s="124">
        <v>500</v>
      </c>
      <c r="I35" s="124">
        <v>497.77</v>
      </c>
      <c r="J35" s="161">
        <f t="shared" si="0"/>
        <v>99.554</v>
      </c>
    </row>
    <row r="36" spans="2:10" ht="12.75" customHeight="1">
      <c r="B36" s="14"/>
      <c r="C36" s="15"/>
      <c r="D36" s="15"/>
      <c r="E36" s="16"/>
      <c r="F36" s="26"/>
      <c r="G36" s="124"/>
      <c r="H36" s="124"/>
      <c r="I36" s="124"/>
      <c r="J36" s="161">
        <f t="shared" si="0"/>
      </c>
    </row>
    <row r="37" spans="2:10" ht="12.75" customHeight="1">
      <c r="B37" s="14"/>
      <c r="C37" s="15"/>
      <c r="D37" s="15"/>
      <c r="E37" s="16"/>
      <c r="F37" s="15"/>
      <c r="G37" s="124"/>
      <c r="H37" s="124"/>
      <c r="I37" s="124"/>
      <c r="J37" s="161">
        <f t="shared" si="0"/>
      </c>
    </row>
    <row r="38" spans="2:10" s="1" customFormat="1" ht="12.75" customHeight="1">
      <c r="B38" s="17"/>
      <c r="C38" s="12"/>
      <c r="D38" s="12"/>
      <c r="E38" s="9"/>
      <c r="F38" s="12" t="s">
        <v>18</v>
      </c>
      <c r="G38" s="20">
        <v>12</v>
      </c>
      <c r="H38" s="20">
        <v>12</v>
      </c>
      <c r="I38" s="20">
        <v>11</v>
      </c>
      <c r="J38" s="161"/>
    </row>
    <row r="39" spans="2:10" s="1" customFormat="1" ht="12.75" customHeight="1">
      <c r="B39" s="17"/>
      <c r="C39" s="12"/>
      <c r="D39" s="12"/>
      <c r="E39" s="9"/>
      <c r="F39" s="12" t="s">
        <v>40</v>
      </c>
      <c r="G39" s="20">
        <f>G7+G13+G17+G29+G33</f>
        <v>1004170</v>
      </c>
      <c r="H39" s="20">
        <f>H7+H13+H17+H29+H33</f>
        <v>1004170</v>
      </c>
      <c r="I39" s="20">
        <f>I7+I13+I17+I29+I33</f>
        <v>987717.73</v>
      </c>
      <c r="J39" s="160">
        <f t="shared" si="0"/>
        <v>98.36160510670504</v>
      </c>
    </row>
    <row r="40" spans="2:10" s="1" customFormat="1" ht="12.75" customHeight="1">
      <c r="B40" s="17"/>
      <c r="C40" s="12"/>
      <c r="D40" s="12"/>
      <c r="E40" s="9"/>
      <c r="F40" s="12" t="s">
        <v>19</v>
      </c>
      <c r="G40" s="20">
        <f aca="true" t="shared" si="1" ref="G40:I41">G39</f>
        <v>1004170</v>
      </c>
      <c r="H40" s="20">
        <f t="shared" si="1"/>
        <v>1004170</v>
      </c>
      <c r="I40" s="20">
        <f t="shared" si="1"/>
        <v>987717.73</v>
      </c>
      <c r="J40" s="160">
        <f t="shared" si="0"/>
        <v>98.36160510670504</v>
      </c>
    </row>
    <row r="41" spans="2:10" s="1" customFormat="1" ht="12.75" customHeight="1">
      <c r="B41" s="17"/>
      <c r="C41" s="12"/>
      <c r="D41" s="12"/>
      <c r="E41" s="9"/>
      <c r="F41" s="12" t="s">
        <v>20</v>
      </c>
      <c r="G41" s="20">
        <f t="shared" si="1"/>
        <v>1004170</v>
      </c>
      <c r="H41" s="20">
        <f t="shared" si="1"/>
        <v>1004170</v>
      </c>
      <c r="I41" s="20">
        <f t="shared" si="1"/>
        <v>987717.73</v>
      </c>
      <c r="J41" s="160">
        <f t="shared" si="0"/>
        <v>98.36160510670504</v>
      </c>
    </row>
    <row r="42" spans="2:10" ht="12.75" customHeight="1" thickBot="1">
      <c r="B42" s="21"/>
      <c r="C42" s="22"/>
      <c r="D42" s="22"/>
      <c r="E42" s="23"/>
      <c r="F42" s="22"/>
      <c r="G42" s="47"/>
      <c r="H42" s="47"/>
      <c r="I42" s="47"/>
      <c r="J42" s="164"/>
    </row>
  </sheetData>
  <sheetProtection/>
  <mergeCells count="2">
    <mergeCell ref="B2:G2"/>
    <mergeCell ref="F3:G3"/>
  </mergeCells>
  <printOptions/>
  <pageMargins left="0.24" right="0.2" top="0.5905511811023623" bottom="0.55" header="0.5118110236220472" footer="0.5118110236220472"/>
  <pageSetup horizontalDpi="180" verticalDpi="180" orientation="portrait" paperSize="9" scale="78" r:id="rId1"/>
  <headerFooter alignWithMargins="0">
    <oddFooter>&amp;R40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B2:L49"/>
  <sheetViews>
    <sheetView zoomScalePageLayoutView="0" workbookViewId="0" topLeftCell="A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421875" style="24" customWidth="1"/>
    <col min="6" max="6" width="43.7109375" style="13" customWidth="1"/>
    <col min="7" max="9" width="15.7109375" style="13" customWidth="1"/>
    <col min="10" max="10" width="8.7109375" style="148" customWidth="1"/>
    <col min="11" max="16384" width="9.140625" style="13" customWidth="1"/>
  </cols>
  <sheetData>
    <row r="2" spans="2:10" ht="15" customHeight="1">
      <c r="B2" s="414" t="s">
        <v>80</v>
      </c>
      <c r="C2" s="414"/>
      <c r="D2" s="414"/>
      <c r="E2" s="414"/>
      <c r="F2" s="414"/>
      <c r="G2" s="414"/>
      <c r="H2" s="414"/>
      <c r="I2" s="414"/>
      <c r="J2" s="154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79</v>
      </c>
      <c r="C6" s="11" t="s">
        <v>6</v>
      </c>
      <c r="D6" s="11" t="s">
        <v>7</v>
      </c>
      <c r="E6" s="9"/>
      <c r="F6" s="9"/>
      <c r="G6" s="9"/>
      <c r="H6" s="9"/>
      <c r="I6" s="9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SUM(G8:G10)</f>
        <v>117000</v>
      </c>
      <c r="H7" s="20">
        <f>SUM(H8:H10)</f>
        <v>118200</v>
      </c>
      <c r="I7" s="20">
        <f>SUM(I8:I10)</f>
        <v>116981.81</v>
      </c>
      <c r="J7" s="160">
        <f>IF(H7=0,"",I7/H7*100)</f>
        <v>98.96938240270727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88">
        <v>91800</v>
      </c>
      <c r="H8" s="88">
        <v>91800</v>
      </c>
      <c r="I8" s="88">
        <v>90671.01</v>
      </c>
      <c r="J8" s="161">
        <f>IF(H8=0,"",I8/H8*100)</f>
        <v>98.7701633986928</v>
      </c>
    </row>
    <row r="9" spans="2:12" ht="12.75" customHeight="1">
      <c r="B9" s="14"/>
      <c r="C9" s="15"/>
      <c r="D9" s="15"/>
      <c r="E9" s="16">
        <v>611200</v>
      </c>
      <c r="F9" s="15" t="s">
        <v>129</v>
      </c>
      <c r="G9" s="88">
        <v>20400</v>
      </c>
      <c r="H9" s="88">
        <v>22120</v>
      </c>
      <c r="I9" s="88">
        <v>22116.8</v>
      </c>
      <c r="J9" s="161">
        <f aca="true" t="shared" si="0" ref="J9:J43">IF(H9=0,"",I9/H9*100)</f>
        <v>99.98553345388788</v>
      </c>
      <c r="K9" s="95"/>
      <c r="L9" s="95"/>
    </row>
    <row r="10" spans="2:12" ht="12.75" customHeight="1">
      <c r="B10" s="14"/>
      <c r="C10" s="15"/>
      <c r="D10" s="15"/>
      <c r="E10" s="16">
        <v>611200</v>
      </c>
      <c r="F10" s="26" t="s">
        <v>561</v>
      </c>
      <c r="G10" s="88">
        <v>4800</v>
      </c>
      <c r="H10" s="88">
        <v>4280</v>
      </c>
      <c r="I10" s="88">
        <v>4194</v>
      </c>
      <c r="J10" s="161">
        <f t="shared" si="0"/>
        <v>97.99065420560747</v>
      </c>
      <c r="K10" s="95"/>
      <c r="L10" s="95"/>
    </row>
    <row r="11" spans="2:10" ht="12.75" customHeight="1">
      <c r="B11" s="14"/>
      <c r="C11" s="15"/>
      <c r="D11" s="15"/>
      <c r="E11" s="16"/>
      <c r="F11" s="15"/>
      <c r="G11" s="45"/>
      <c r="H11" s="45"/>
      <c r="I11" s="45"/>
      <c r="J11" s="161">
        <f t="shared" si="0"/>
      </c>
    </row>
    <row r="12" spans="2:10" ht="12.75" customHeight="1">
      <c r="B12" s="17"/>
      <c r="C12" s="12"/>
      <c r="D12" s="12"/>
      <c r="E12" s="9">
        <v>612000</v>
      </c>
      <c r="F12" s="12" t="s">
        <v>91</v>
      </c>
      <c r="G12" s="20">
        <f>G13+G14</f>
        <v>9900</v>
      </c>
      <c r="H12" s="20">
        <f>H13+H14</f>
        <v>9900</v>
      </c>
      <c r="I12" s="20">
        <f>I13+I14</f>
        <v>9520.46</v>
      </c>
      <c r="J12" s="160">
        <f t="shared" si="0"/>
        <v>96.16626262626262</v>
      </c>
    </row>
    <row r="13" spans="2:10" s="1" customFormat="1" ht="12.75" customHeight="1">
      <c r="B13" s="14"/>
      <c r="C13" s="15"/>
      <c r="D13" s="15"/>
      <c r="E13" s="16">
        <v>612100</v>
      </c>
      <c r="F13" s="18" t="s">
        <v>8</v>
      </c>
      <c r="G13" s="88">
        <v>9900</v>
      </c>
      <c r="H13" s="88">
        <v>9900</v>
      </c>
      <c r="I13" s="88">
        <v>9520.46</v>
      </c>
      <c r="J13" s="161">
        <f t="shared" si="0"/>
        <v>96.16626262626262</v>
      </c>
    </row>
    <row r="14" spans="2:10" ht="12.75" customHeight="1">
      <c r="B14" s="14"/>
      <c r="C14" s="15"/>
      <c r="D14" s="15"/>
      <c r="E14" s="16"/>
      <c r="F14" s="15"/>
      <c r="G14" s="45"/>
      <c r="H14" s="45"/>
      <c r="I14" s="45"/>
      <c r="J14" s="161">
        <f t="shared" si="0"/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61">
        <f t="shared" si="0"/>
      </c>
    </row>
    <row r="16" spans="2:10" ht="12.75" customHeight="1">
      <c r="B16" s="17"/>
      <c r="C16" s="12"/>
      <c r="D16" s="12"/>
      <c r="E16" s="9">
        <v>613000</v>
      </c>
      <c r="F16" s="12" t="s">
        <v>93</v>
      </c>
      <c r="G16" s="51">
        <f>SUM(G17:G26)</f>
        <v>55400</v>
      </c>
      <c r="H16" s="51">
        <f>SUM(H17:H26)</f>
        <v>54560</v>
      </c>
      <c r="I16" s="115">
        <f>SUM(I17:I26)</f>
        <v>38810.619999999995</v>
      </c>
      <c r="J16" s="160">
        <f t="shared" si="0"/>
        <v>71.13383431085043</v>
      </c>
    </row>
    <row r="17" spans="2:10" s="1" customFormat="1" ht="12.75" customHeight="1">
      <c r="B17" s="14"/>
      <c r="C17" s="15"/>
      <c r="D17" s="15"/>
      <c r="E17" s="16">
        <v>613100</v>
      </c>
      <c r="F17" s="15" t="s">
        <v>9</v>
      </c>
      <c r="G17" s="88">
        <v>400</v>
      </c>
      <c r="H17" s="88">
        <v>400</v>
      </c>
      <c r="I17" s="88">
        <v>120</v>
      </c>
      <c r="J17" s="161">
        <f t="shared" si="0"/>
        <v>30</v>
      </c>
    </row>
    <row r="18" spans="2:10" ht="12.75" customHeight="1">
      <c r="B18" s="14"/>
      <c r="C18" s="15"/>
      <c r="D18" s="15"/>
      <c r="E18" s="16">
        <v>613200</v>
      </c>
      <c r="F18" s="15" t="s">
        <v>10</v>
      </c>
      <c r="G18" s="88">
        <v>5500</v>
      </c>
      <c r="H18" s="88">
        <f>5500+150</f>
        <v>5650</v>
      </c>
      <c r="I18" s="88">
        <v>5624.26</v>
      </c>
      <c r="J18" s="161">
        <f t="shared" si="0"/>
        <v>99.54442477876107</v>
      </c>
    </row>
    <row r="19" spans="2:10" ht="12.75" customHeight="1">
      <c r="B19" s="14"/>
      <c r="C19" s="15"/>
      <c r="D19" s="15"/>
      <c r="E19" s="16">
        <v>613300</v>
      </c>
      <c r="F19" s="26" t="s">
        <v>130</v>
      </c>
      <c r="G19" s="88">
        <v>3600</v>
      </c>
      <c r="H19" s="88">
        <v>3600</v>
      </c>
      <c r="I19" s="88">
        <v>2990.08</v>
      </c>
      <c r="J19" s="161">
        <f t="shared" si="0"/>
        <v>83.05777777777777</v>
      </c>
    </row>
    <row r="20" spans="2:10" ht="12.75" customHeight="1">
      <c r="B20" s="14"/>
      <c r="C20" s="15"/>
      <c r="D20" s="15"/>
      <c r="E20" s="16">
        <v>613400</v>
      </c>
      <c r="F20" s="15" t="s">
        <v>94</v>
      </c>
      <c r="G20" s="88">
        <v>1500</v>
      </c>
      <c r="H20" s="88">
        <v>1850</v>
      </c>
      <c r="I20" s="88">
        <v>1737.56</v>
      </c>
      <c r="J20" s="161">
        <f t="shared" si="0"/>
        <v>93.92216216216215</v>
      </c>
    </row>
    <row r="21" spans="2:10" ht="12.75" customHeight="1">
      <c r="B21" s="14"/>
      <c r="C21" s="15"/>
      <c r="D21" s="15"/>
      <c r="E21" s="16">
        <v>613500</v>
      </c>
      <c r="F21" s="15" t="s">
        <v>11</v>
      </c>
      <c r="G21" s="88">
        <v>0</v>
      </c>
      <c r="H21" s="88">
        <v>0</v>
      </c>
      <c r="I21" s="88">
        <v>0</v>
      </c>
      <c r="J21" s="161">
        <f t="shared" si="0"/>
      </c>
    </row>
    <row r="22" spans="2:10" ht="12.75" customHeight="1">
      <c r="B22" s="14"/>
      <c r="C22" s="15"/>
      <c r="D22" s="15"/>
      <c r="E22" s="16">
        <v>613600</v>
      </c>
      <c r="F22" s="26" t="s">
        <v>131</v>
      </c>
      <c r="G22" s="88">
        <v>0</v>
      </c>
      <c r="H22" s="88">
        <v>0</v>
      </c>
      <c r="I22" s="88">
        <v>0</v>
      </c>
      <c r="J22" s="161">
        <f t="shared" si="0"/>
      </c>
    </row>
    <row r="23" spans="2:10" ht="12.75" customHeight="1">
      <c r="B23" s="14"/>
      <c r="C23" s="15"/>
      <c r="D23" s="15"/>
      <c r="E23" s="16">
        <v>613700</v>
      </c>
      <c r="F23" s="15" t="s">
        <v>12</v>
      </c>
      <c r="G23" s="88">
        <v>500</v>
      </c>
      <c r="H23" s="88">
        <v>700</v>
      </c>
      <c r="I23" s="88">
        <v>539.36</v>
      </c>
      <c r="J23" s="161">
        <f t="shared" si="0"/>
        <v>77.05142857142857</v>
      </c>
    </row>
    <row r="24" spans="2:10" ht="12.75" customHeight="1">
      <c r="B24" s="14"/>
      <c r="C24" s="15"/>
      <c r="D24" s="15"/>
      <c r="E24" s="16">
        <v>613800</v>
      </c>
      <c r="F24" s="15" t="s">
        <v>95</v>
      </c>
      <c r="G24" s="88">
        <v>0</v>
      </c>
      <c r="H24" s="88">
        <v>0</v>
      </c>
      <c r="I24" s="88">
        <v>0</v>
      </c>
      <c r="J24" s="161">
        <f t="shared" si="0"/>
      </c>
    </row>
    <row r="25" spans="2:10" ht="12.75" customHeight="1">
      <c r="B25" s="14"/>
      <c r="C25" s="15"/>
      <c r="D25" s="15"/>
      <c r="E25" s="16">
        <v>613900</v>
      </c>
      <c r="F25" s="15" t="s">
        <v>96</v>
      </c>
      <c r="G25" s="88">
        <v>39600</v>
      </c>
      <c r="H25" s="88">
        <f>37850-150</f>
        <v>37700</v>
      </c>
      <c r="I25" s="88">
        <v>23144.44</v>
      </c>
      <c r="J25" s="161">
        <f t="shared" si="0"/>
        <v>61.391087533156494</v>
      </c>
    </row>
    <row r="26" spans="2:12" ht="12.75" customHeight="1">
      <c r="B26" s="14"/>
      <c r="C26" s="15"/>
      <c r="D26" s="15"/>
      <c r="E26" s="16">
        <v>613900</v>
      </c>
      <c r="F26" s="26" t="s">
        <v>143</v>
      </c>
      <c r="G26" s="88">
        <v>4300</v>
      </c>
      <c r="H26" s="88">
        <v>4660</v>
      </c>
      <c r="I26" s="88">
        <v>4654.92</v>
      </c>
      <c r="J26" s="161">
        <f t="shared" si="0"/>
        <v>99.89098712446352</v>
      </c>
      <c r="L26" s="95"/>
    </row>
    <row r="27" spans="2:10" ht="12.75" customHeight="1">
      <c r="B27" s="17"/>
      <c r="C27" s="12"/>
      <c r="D27" s="12"/>
      <c r="E27" s="9"/>
      <c r="F27" s="12"/>
      <c r="G27" s="115"/>
      <c r="H27" s="115"/>
      <c r="I27" s="115"/>
      <c r="J27" s="161">
        <f t="shared" si="0"/>
      </c>
    </row>
    <row r="28" spans="2:10" s="1" customFormat="1" ht="12.75" customHeight="1">
      <c r="B28" s="14"/>
      <c r="C28" s="15"/>
      <c r="D28" s="31"/>
      <c r="E28" s="16"/>
      <c r="F28" s="30"/>
      <c r="G28" s="88"/>
      <c r="H28" s="88"/>
      <c r="I28" s="88"/>
      <c r="J28" s="161">
        <f t="shared" si="0"/>
      </c>
    </row>
    <row r="29" spans="2:10" ht="12.75" customHeight="1">
      <c r="B29" s="14"/>
      <c r="C29" s="15"/>
      <c r="D29" s="15"/>
      <c r="E29" s="63"/>
      <c r="F29" s="30"/>
      <c r="G29" s="88"/>
      <c r="H29" s="88"/>
      <c r="I29" s="88"/>
      <c r="J29" s="161">
        <f t="shared" si="0"/>
      </c>
    </row>
    <row r="30" spans="2:10" ht="12.75" customHeight="1">
      <c r="B30" s="14"/>
      <c r="C30" s="15"/>
      <c r="D30" s="15"/>
      <c r="E30" s="16"/>
      <c r="F30" s="15"/>
      <c r="G30" s="88"/>
      <c r="H30" s="88"/>
      <c r="I30" s="88"/>
      <c r="J30" s="161">
        <f t="shared" si="0"/>
      </c>
    </row>
    <row r="31" spans="2:10" ht="12.75" customHeight="1">
      <c r="B31" s="14"/>
      <c r="C31" s="15"/>
      <c r="D31" s="15"/>
      <c r="E31" s="16"/>
      <c r="F31" s="15"/>
      <c r="G31" s="88"/>
      <c r="H31" s="88"/>
      <c r="I31" s="88"/>
      <c r="J31" s="161">
        <f t="shared" si="0"/>
      </c>
    </row>
    <row r="32" spans="2:10" ht="12.75" customHeight="1">
      <c r="B32" s="14"/>
      <c r="C32" s="15"/>
      <c r="D32" s="15"/>
      <c r="E32" s="9"/>
      <c r="F32" s="12"/>
      <c r="G32" s="88"/>
      <c r="H32" s="88"/>
      <c r="I32" s="88"/>
      <c r="J32" s="161">
        <f t="shared" si="0"/>
      </c>
    </row>
    <row r="33" spans="2:10" ht="12.75" customHeight="1">
      <c r="B33" s="14"/>
      <c r="C33" s="15"/>
      <c r="D33" s="15"/>
      <c r="E33" s="16"/>
      <c r="F33" s="26"/>
      <c r="G33" s="88"/>
      <c r="H33" s="88"/>
      <c r="I33" s="88"/>
      <c r="J33" s="161">
        <f t="shared" si="0"/>
      </c>
    </row>
    <row r="34" spans="2:10" ht="12.75" customHeight="1">
      <c r="B34" s="14"/>
      <c r="C34" s="15"/>
      <c r="D34" s="15"/>
      <c r="E34" s="16"/>
      <c r="F34" s="15"/>
      <c r="G34" s="88"/>
      <c r="H34" s="88"/>
      <c r="I34" s="88"/>
      <c r="J34" s="161">
        <f t="shared" si="0"/>
      </c>
    </row>
    <row r="35" spans="2:10" ht="12.75" customHeight="1">
      <c r="B35" s="17"/>
      <c r="C35" s="12"/>
      <c r="D35" s="12"/>
      <c r="E35" s="9">
        <v>821000</v>
      </c>
      <c r="F35" s="12" t="s">
        <v>15</v>
      </c>
      <c r="G35" s="115">
        <f>SUM(G36:G37)</f>
        <v>0</v>
      </c>
      <c r="H35" s="115">
        <f>SUM(H36:H37)</f>
        <v>0</v>
      </c>
      <c r="I35" s="115">
        <f>SUM(I36:I37)</f>
        <v>0</v>
      </c>
      <c r="J35" s="160">
        <f t="shared" si="0"/>
      </c>
    </row>
    <row r="36" spans="2:10" s="1" customFormat="1" ht="12.75" customHeight="1">
      <c r="B36" s="14"/>
      <c r="C36" s="15"/>
      <c r="D36" s="15"/>
      <c r="E36" s="16">
        <v>821200</v>
      </c>
      <c r="F36" s="15" t="s">
        <v>16</v>
      </c>
      <c r="G36" s="88">
        <v>0</v>
      </c>
      <c r="H36" s="88">
        <v>0</v>
      </c>
      <c r="I36" s="88">
        <v>0</v>
      </c>
      <c r="J36" s="161">
        <f t="shared" si="0"/>
      </c>
    </row>
    <row r="37" spans="2:10" ht="12.75" customHeight="1">
      <c r="B37" s="14"/>
      <c r="C37" s="15"/>
      <c r="D37" s="15"/>
      <c r="E37" s="16">
        <v>821300</v>
      </c>
      <c r="F37" s="15" t="s">
        <v>17</v>
      </c>
      <c r="G37" s="88">
        <v>0</v>
      </c>
      <c r="H37" s="88">
        <v>0</v>
      </c>
      <c r="I37" s="88">
        <v>0</v>
      </c>
      <c r="J37" s="161">
        <f t="shared" si="0"/>
      </c>
    </row>
    <row r="38" spans="2:10" ht="12.75" customHeight="1">
      <c r="B38" s="14"/>
      <c r="C38" s="15"/>
      <c r="D38" s="15"/>
      <c r="E38" s="16"/>
      <c r="F38" s="26"/>
      <c r="G38" s="88"/>
      <c r="H38" s="88"/>
      <c r="I38" s="88"/>
      <c r="J38" s="161">
        <f t="shared" si="0"/>
      </c>
    </row>
    <row r="39" spans="2:10" ht="12.75" customHeight="1">
      <c r="B39" s="14"/>
      <c r="C39" s="15"/>
      <c r="D39" s="15"/>
      <c r="E39" s="16"/>
      <c r="F39" s="15"/>
      <c r="G39" s="88"/>
      <c r="H39" s="88"/>
      <c r="I39" s="88"/>
      <c r="J39" s="161">
        <f t="shared" si="0"/>
      </c>
    </row>
    <row r="40" spans="2:10" ht="12.75" customHeight="1">
      <c r="B40" s="17"/>
      <c r="C40" s="12"/>
      <c r="D40" s="12"/>
      <c r="E40" s="9"/>
      <c r="F40" s="12" t="s">
        <v>18</v>
      </c>
      <c r="G40" s="115">
        <v>5</v>
      </c>
      <c r="H40" s="115">
        <v>5</v>
      </c>
      <c r="I40" s="115">
        <v>5</v>
      </c>
      <c r="J40" s="161"/>
    </row>
    <row r="41" spans="2:10" s="1" customFormat="1" ht="12.75" customHeight="1">
      <c r="B41" s="17"/>
      <c r="C41" s="12"/>
      <c r="D41" s="12"/>
      <c r="E41" s="9"/>
      <c r="F41" s="12" t="s">
        <v>40</v>
      </c>
      <c r="G41" s="20">
        <f>G7+G12+G16+G35</f>
        <v>182300</v>
      </c>
      <c r="H41" s="20">
        <f>H7+H12+H16+H35</f>
        <v>182660</v>
      </c>
      <c r="I41" s="20">
        <f>I7+I12+I16+I35</f>
        <v>165312.88999999998</v>
      </c>
      <c r="J41" s="160">
        <f t="shared" si="0"/>
        <v>90.503060330669</v>
      </c>
    </row>
    <row r="42" spans="2:10" s="1" customFormat="1" ht="12.75" customHeight="1">
      <c r="B42" s="17"/>
      <c r="C42" s="12"/>
      <c r="D42" s="12"/>
      <c r="E42" s="9"/>
      <c r="F42" s="12" t="s">
        <v>19</v>
      </c>
      <c r="G42" s="20">
        <f aca="true" t="shared" si="1" ref="G42:I43">G41</f>
        <v>182300</v>
      </c>
      <c r="H42" s="20">
        <f t="shared" si="1"/>
        <v>182660</v>
      </c>
      <c r="I42" s="20">
        <f t="shared" si="1"/>
        <v>165312.88999999998</v>
      </c>
      <c r="J42" s="160">
        <f t="shared" si="0"/>
        <v>90.503060330669</v>
      </c>
    </row>
    <row r="43" spans="2:10" s="1" customFormat="1" ht="12.75" customHeight="1">
      <c r="B43" s="17"/>
      <c r="C43" s="12"/>
      <c r="D43" s="12"/>
      <c r="E43" s="9"/>
      <c r="F43" s="12" t="s">
        <v>20</v>
      </c>
      <c r="G43" s="20">
        <f t="shared" si="1"/>
        <v>182300</v>
      </c>
      <c r="H43" s="20">
        <f t="shared" si="1"/>
        <v>182660</v>
      </c>
      <c r="I43" s="20">
        <f t="shared" si="1"/>
        <v>165312.88999999998</v>
      </c>
      <c r="J43" s="160">
        <f t="shared" si="0"/>
        <v>90.503060330669</v>
      </c>
    </row>
    <row r="44" spans="2:10" s="1" customFormat="1" ht="12.75" customHeight="1" thickBot="1">
      <c r="B44" s="21"/>
      <c r="C44" s="22"/>
      <c r="D44" s="22"/>
      <c r="E44" s="23"/>
      <c r="F44" s="22"/>
      <c r="G44" s="47"/>
      <c r="H44" s="47"/>
      <c r="I44" s="47"/>
      <c r="J44" s="164"/>
    </row>
    <row r="45" ht="12.75" customHeight="1"/>
    <row r="46" ht="12.75">
      <c r="B46" s="87"/>
    </row>
    <row r="47" ht="12.75">
      <c r="B47" s="87"/>
    </row>
    <row r="48" ht="12.75">
      <c r="B48" s="87"/>
    </row>
    <row r="49" ht="12.75">
      <c r="B49" s="87"/>
    </row>
  </sheetData>
  <sheetProtection/>
  <mergeCells count="2">
    <mergeCell ref="B2:I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77" r:id="rId1"/>
  <headerFooter alignWithMargins="0">
    <oddFooter>&amp;R41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B2:L54"/>
  <sheetViews>
    <sheetView zoomScalePageLayoutView="0" workbookViewId="0" topLeftCell="A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9" width="15.7109375" style="13" customWidth="1"/>
    <col min="10" max="10" width="8.7109375" style="148" customWidth="1"/>
    <col min="11" max="16384" width="9.140625" style="13" customWidth="1"/>
  </cols>
  <sheetData>
    <row r="2" spans="2:10" ht="15" customHeight="1">
      <c r="B2" s="414" t="s">
        <v>81</v>
      </c>
      <c r="C2" s="414"/>
      <c r="D2" s="414"/>
      <c r="E2" s="414"/>
      <c r="F2" s="414"/>
      <c r="G2" s="414"/>
      <c r="H2" s="414"/>
      <c r="I2" s="414"/>
      <c r="J2" s="155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82</v>
      </c>
      <c r="C6" s="11" t="s">
        <v>6</v>
      </c>
      <c r="D6" s="11" t="s">
        <v>7</v>
      </c>
      <c r="E6" s="9"/>
      <c r="F6" s="9"/>
      <c r="G6" s="9"/>
      <c r="H6" s="9"/>
      <c r="I6" s="9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213450</v>
      </c>
      <c r="H7" s="20">
        <f>SUM(H8:H11)</f>
        <v>213450</v>
      </c>
      <c r="I7" s="20">
        <f>SUM(I8:I11)</f>
        <v>203930.34000000003</v>
      </c>
      <c r="J7" s="160">
        <f>IF(H7=0,"",I7/H7*100)</f>
        <v>95.54009838369643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88">
        <v>161000</v>
      </c>
      <c r="H8" s="88">
        <v>161000</v>
      </c>
      <c r="I8" s="88">
        <v>155412.14</v>
      </c>
      <c r="J8" s="161">
        <f>IF(H8=0,"",I8/H8*100)</f>
        <v>96.5292795031056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88">
        <v>45530</v>
      </c>
      <c r="H9" s="88">
        <v>45530</v>
      </c>
      <c r="I9" s="88">
        <v>42439</v>
      </c>
      <c r="J9" s="161">
        <f>IF(H9=0,"",I9/H9*100)</f>
        <v>93.21106962442346</v>
      </c>
    </row>
    <row r="10" spans="2:12" ht="12.75" customHeight="1">
      <c r="B10" s="14"/>
      <c r="C10" s="15"/>
      <c r="D10" s="15"/>
      <c r="E10" s="16">
        <v>611200</v>
      </c>
      <c r="F10" s="26" t="s">
        <v>457</v>
      </c>
      <c r="G10" s="88">
        <v>6920</v>
      </c>
      <c r="H10" s="88">
        <v>6920</v>
      </c>
      <c r="I10" s="88">
        <v>6079.2</v>
      </c>
      <c r="J10" s="161">
        <f>IF(H10=0,"",I10/H10*100)</f>
        <v>87.84971098265896</v>
      </c>
      <c r="L10" s="94"/>
    </row>
    <row r="11" spans="2:10" ht="12.75" customHeight="1">
      <c r="B11" s="14"/>
      <c r="C11" s="15"/>
      <c r="D11" s="15"/>
      <c r="E11" s="16"/>
      <c r="F11" s="26"/>
      <c r="G11" s="45"/>
      <c r="H11" s="45"/>
      <c r="I11" s="45"/>
      <c r="J11" s="161">
        <f>IF(G11=0,"",I11/G11*100)</f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>IF(G12=0,"",I12/G12*100)</f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17200</v>
      </c>
      <c r="H13" s="20">
        <f>H14+H15</f>
        <v>17200</v>
      </c>
      <c r="I13" s="20">
        <f>I14+I15</f>
        <v>16318.26</v>
      </c>
      <c r="J13" s="160">
        <f>IF(H13=0,"",I13/H13*100)</f>
        <v>94.8736046511628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45">
        <v>17200</v>
      </c>
      <c r="H14" s="45">
        <v>17200</v>
      </c>
      <c r="I14" s="45">
        <v>16318.26</v>
      </c>
      <c r="J14" s="161">
        <f>IF(H14=0,"",I14/H14*100)</f>
        <v>94.8736046511628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61">
        <f>IF(G15=0,"",I15/G15*100)</f>
      </c>
    </row>
    <row r="16" spans="2:10" ht="12.75" customHeight="1">
      <c r="B16" s="14"/>
      <c r="C16" s="15"/>
      <c r="D16" s="15"/>
      <c r="E16" s="16"/>
      <c r="F16" s="15"/>
      <c r="G16" s="51"/>
      <c r="H16" s="51"/>
      <c r="I16" s="51"/>
      <c r="J16" s="161">
        <f>IF(G16=0,"",I16/G16*100)</f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49800</v>
      </c>
      <c r="H17" s="51">
        <f>SUM(H18:H27)</f>
        <v>49800</v>
      </c>
      <c r="I17" s="51">
        <f>SUM(I18:I27)</f>
        <v>49163.990000000005</v>
      </c>
      <c r="J17" s="160">
        <f>IF(H17=0,"",I17/H17*100)</f>
        <v>98.72287148594378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5">
        <v>1400</v>
      </c>
      <c r="H18" s="45">
        <v>1680</v>
      </c>
      <c r="I18" s="88">
        <v>1663.63</v>
      </c>
      <c r="J18" s="161">
        <f aca="true" t="shared" si="0" ref="J18:J27">IF(H18=0,"",I18/H18*100)</f>
        <v>99.02559523809525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5">
        <v>7800</v>
      </c>
      <c r="H19" s="45">
        <v>10050</v>
      </c>
      <c r="I19" s="45">
        <v>9863.43</v>
      </c>
      <c r="J19" s="161">
        <f t="shared" si="0"/>
        <v>98.14358208955224</v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88">
        <v>3600</v>
      </c>
      <c r="H20" s="88">
        <v>3100</v>
      </c>
      <c r="I20" s="88">
        <v>2900.18</v>
      </c>
      <c r="J20" s="161">
        <f t="shared" si="0"/>
        <v>93.55419354838709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88">
        <v>900</v>
      </c>
      <c r="H21" s="88">
        <v>900</v>
      </c>
      <c r="I21" s="88">
        <v>808.48</v>
      </c>
      <c r="J21" s="161">
        <f t="shared" si="0"/>
        <v>89.83111111111111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88">
        <v>3500</v>
      </c>
      <c r="H22" s="88">
        <v>1720</v>
      </c>
      <c r="I22" s="88">
        <v>1715.33</v>
      </c>
      <c r="J22" s="161">
        <f t="shared" si="0"/>
        <v>99.72848837209301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88">
        <v>0</v>
      </c>
      <c r="H23" s="88">
        <v>0</v>
      </c>
      <c r="I23" s="88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88">
        <v>7000</v>
      </c>
      <c r="H24" s="88">
        <v>4050</v>
      </c>
      <c r="I24" s="88">
        <v>4042.89</v>
      </c>
      <c r="J24" s="161">
        <f t="shared" si="0"/>
        <v>99.82444444444444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88">
        <v>400</v>
      </c>
      <c r="H25" s="88">
        <v>400</v>
      </c>
      <c r="I25" s="88">
        <v>322.25</v>
      </c>
      <c r="J25" s="161">
        <f t="shared" si="0"/>
        <v>80.5625</v>
      </c>
    </row>
    <row r="26" spans="2:12" ht="12.75" customHeight="1">
      <c r="B26" s="14"/>
      <c r="C26" s="15"/>
      <c r="D26" s="15"/>
      <c r="E26" s="16">
        <v>613900</v>
      </c>
      <c r="F26" s="15" t="s">
        <v>96</v>
      </c>
      <c r="G26" s="88">
        <v>18500</v>
      </c>
      <c r="H26" s="88">
        <v>21700</v>
      </c>
      <c r="I26" s="88">
        <v>21650.47</v>
      </c>
      <c r="J26" s="161">
        <f t="shared" si="0"/>
        <v>99.77175115207373</v>
      </c>
      <c r="K26" s="87"/>
      <c r="L26" s="95"/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88">
        <v>6700</v>
      </c>
      <c r="H27" s="88">
        <v>6200</v>
      </c>
      <c r="I27" s="88">
        <v>6197.33</v>
      </c>
      <c r="J27" s="161">
        <f t="shared" si="0"/>
        <v>99.95693548387096</v>
      </c>
      <c r="L27" s="95"/>
    </row>
    <row r="28" spans="2:10" ht="12.75" customHeight="1">
      <c r="B28" s="14"/>
      <c r="C28" s="15"/>
      <c r="D28" s="15"/>
      <c r="E28" s="16"/>
      <c r="F28" s="15"/>
      <c r="G28" s="115"/>
      <c r="H28" s="115"/>
      <c r="I28" s="115"/>
      <c r="J28" s="161">
        <f>IF(G28=0,"",I28/G28*100)</f>
      </c>
    </row>
    <row r="29" spans="2:10" s="1" customFormat="1" ht="12.75" customHeight="1">
      <c r="B29" s="17"/>
      <c r="C29" s="12"/>
      <c r="D29" s="12"/>
      <c r="E29" s="9">
        <v>614000</v>
      </c>
      <c r="F29" s="12" t="s">
        <v>132</v>
      </c>
      <c r="G29" s="115">
        <f>G30</f>
        <v>56300</v>
      </c>
      <c r="H29" s="115">
        <f>H30</f>
        <v>509175</v>
      </c>
      <c r="I29" s="115">
        <f>I30</f>
        <v>505236.54</v>
      </c>
      <c r="J29" s="160">
        <f>IF(H29=0,"",I29/H29*100)</f>
        <v>99.22650169391662</v>
      </c>
    </row>
    <row r="30" spans="2:10" ht="12.75" customHeight="1">
      <c r="B30" s="14"/>
      <c r="C30" s="15"/>
      <c r="D30" s="15"/>
      <c r="E30" s="16">
        <v>614200</v>
      </c>
      <c r="F30" s="26" t="s">
        <v>43</v>
      </c>
      <c r="G30" s="88">
        <v>56300</v>
      </c>
      <c r="H30" s="88">
        <v>509175</v>
      </c>
      <c r="I30" s="88">
        <v>505236.54</v>
      </c>
      <c r="J30" s="161">
        <f>IF(H30=0,"",I30/H30*100)</f>
        <v>99.22650169391662</v>
      </c>
    </row>
    <row r="31" spans="2:10" ht="12.75" customHeight="1">
      <c r="B31" s="14"/>
      <c r="C31" s="15"/>
      <c r="D31" s="15"/>
      <c r="E31" s="9"/>
      <c r="F31" s="12"/>
      <c r="G31" s="88"/>
      <c r="H31" s="88"/>
      <c r="I31" s="88"/>
      <c r="J31" s="161">
        <f>IF(G31=0,"",I31/G31*100)</f>
      </c>
    </row>
    <row r="32" spans="2:10" ht="12.75" customHeight="1">
      <c r="B32" s="14"/>
      <c r="C32" s="15"/>
      <c r="D32" s="15"/>
      <c r="E32" s="16"/>
      <c r="F32" s="26"/>
      <c r="G32" s="88"/>
      <c r="H32" s="88"/>
      <c r="I32" s="88"/>
      <c r="J32" s="161">
        <f>IF(G32=0,"",I32/G32*100)</f>
      </c>
    </row>
    <row r="33" spans="2:10" ht="12.75" customHeight="1">
      <c r="B33" s="14"/>
      <c r="C33" s="15"/>
      <c r="D33" s="15"/>
      <c r="E33" s="16"/>
      <c r="F33" s="15"/>
      <c r="G33" s="88"/>
      <c r="H33" s="88"/>
      <c r="I33" s="88"/>
      <c r="J33" s="161">
        <f>IF(G33=0,"",I33/G33*100)</f>
      </c>
    </row>
    <row r="34" spans="2:10" ht="12.75" customHeight="1">
      <c r="B34" s="17"/>
      <c r="C34" s="12"/>
      <c r="D34" s="12"/>
      <c r="E34" s="9">
        <v>821000</v>
      </c>
      <c r="F34" s="12" t="s">
        <v>15</v>
      </c>
      <c r="G34" s="115">
        <f>SUM(G35:G37)</f>
        <v>5000</v>
      </c>
      <c r="H34" s="115">
        <f>SUM(H35:H37)</f>
        <v>5000</v>
      </c>
      <c r="I34" s="115">
        <f>SUM(I35:I37)</f>
        <v>4972.12</v>
      </c>
      <c r="J34" s="160">
        <f>IF(H34=0,"",I34/H34*100)</f>
        <v>99.44239999999999</v>
      </c>
    </row>
    <row r="35" spans="2:10" ht="12.75" customHeight="1">
      <c r="B35" s="14"/>
      <c r="C35" s="15"/>
      <c r="D35" s="15"/>
      <c r="E35" s="16">
        <v>821200</v>
      </c>
      <c r="F35" s="15" t="s">
        <v>16</v>
      </c>
      <c r="G35" s="124">
        <v>0</v>
      </c>
      <c r="H35" s="124">
        <v>0</v>
      </c>
      <c r="I35" s="124">
        <v>0</v>
      </c>
      <c r="J35" s="161">
        <f>IF(H35=0,"",I35/H35*100)</f>
      </c>
    </row>
    <row r="36" spans="2:10" s="1" customFormat="1" ht="12.75" customHeight="1">
      <c r="B36" s="14"/>
      <c r="C36" s="15"/>
      <c r="D36" s="15"/>
      <c r="E36" s="16">
        <v>821300</v>
      </c>
      <c r="F36" s="15" t="s">
        <v>17</v>
      </c>
      <c r="G36" s="88">
        <v>5000</v>
      </c>
      <c r="H36" s="88">
        <v>5000</v>
      </c>
      <c r="I36" s="88">
        <v>4972.12</v>
      </c>
      <c r="J36" s="161">
        <f>IF(H36=0,"",I36/H36*100)</f>
        <v>99.44239999999999</v>
      </c>
    </row>
    <row r="37" spans="2:10" ht="12.75" customHeight="1">
      <c r="B37" s="14"/>
      <c r="C37" s="15"/>
      <c r="D37" s="15"/>
      <c r="E37" s="16"/>
      <c r="F37" s="26"/>
      <c r="G37" s="88"/>
      <c r="H37" s="88"/>
      <c r="I37" s="88"/>
      <c r="J37" s="161"/>
    </row>
    <row r="38" spans="2:10" ht="12.75" customHeight="1">
      <c r="B38" s="14"/>
      <c r="C38" s="15"/>
      <c r="D38" s="15"/>
      <c r="E38" s="16"/>
      <c r="F38" s="15"/>
      <c r="G38" s="45"/>
      <c r="H38" s="45"/>
      <c r="I38" s="45"/>
      <c r="J38" s="161"/>
    </row>
    <row r="39" spans="2:10" ht="12.75" customHeight="1">
      <c r="B39" s="17"/>
      <c r="C39" s="12"/>
      <c r="D39" s="12"/>
      <c r="E39" s="9"/>
      <c r="F39" s="12" t="s">
        <v>18</v>
      </c>
      <c r="G39" s="20">
        <v>12</v>
      </c>
      <c r="H39" s="20">
        <v>12</v>
      </c>
      <c r="I39" s="20">
        <v>12</v>
      </c>
      <c r="J39" s="161"/>
    </row>
    <row r="40" spans="2:10" ht="12.75" customHeight="1">
      <c r="B40" s="17"/>
      <c r="C40" s="12"/>
      <c r="D40" s="12"/>
      <c r="E40" s="9"/>
      <c r="F40" s="12" t="s">
        <v>40</v>
      </c>
      <c r="G40" s="20">
        <f>G7+G13+G17+G29+G34</f>
        <v>341750</v>
      </c>
      <c r="H40" s="20">
        <f>H7+H13+H17+H29+H34</f>
        <v>794625</v>
      </c>
      <c r="I40" s="20">
        <f>I7+I13+I17+I29+I34</f>
        <v>779621.25</v>
      </c>
      <c r="J40" s="160">
        <f>IF(H40=0,"",I40/H40*100)</f>
        <v>98.11184521000472</v>
      </c>
    </row>
    <row r="41" spans="2:10" s="1" customFormat="1" ht="12.75" customHeight="1">
      <c r="B41" s="17"/>
      <c r="C41" s="12"/>
      <c r="D41" s="12"/>
      <c r="E41" s="9"/>
      <c r="F41" s="12" t="s">
        <v>19</v>
      </c>
      <c r="G41" s="20">
        <f aca="true" t="shared" si="1" ref="G41:I42">G40</f>
        <v>341750</v>
      </c>
      <c r="H41" s="20">
        <f t="shared" si="1"/>
        <v>794625</v>
      </c>
      <c r="I41" s="20">
        <f t="shared" si="1"/>
        <v>779621.25</v>
      </c>
      <c r="J41" s="160">
        <f>IF(H41=0,"",I41/H41*100)</f>
        <v>98.11184521000472</v>
      </c>
    </row>
    <row r="42" spans="2:10" s="1" customFormat="1" ht="12.75" customHeight="1">
      <c r="B42" s="17"/>
      <c r="C42" s="12"/>
      <c r="D42" s="12"/>
      <c r="E42" s="9"/>
      <c r="F42" s="12" t="s">
        <v>20</v>
      </c>
      <c r="G42" s="20">
        <f t="shared" si="1"/>
        <v>341750</v>
      </c>
      <c r="H42" s="20">
        <f t="shared" si="1"/>
        <v>794625</v>
      </c>
      <c r="I42" s="20">
        <f t="shared" si="1"/>
        <v>779621.25</v>
      </c>
      <c r="J42" s="160">
        <f>IF(H42=0,"",I42/H42*100)</f>
        <v>98.11184521000472</v>
      </c>
    </row>
    <row r="43" spans="2:10" s="1" customFormat="1" ht="12.75" customHeight="1" thickBot="1">
      <c r="B43" s="21"/>
      <c r="C43" s="22"/>
      <c r="D43" s="22"/>
      <c r="E43" s="23"/>
      <c r="F43" s="22"/>
      <c r="G43" s="179"/>
      <c r="H43" s="179"/>
      <c r="I43" s="179"/>
      <c r="J43" s="178"/>
    </row>
    <row r="44" spans="2:10" s="1" customFormat="1" ht="12.75" customHeight="1">
      <c r="B44" s="13"/>
      <c r="C44" s="13"/>
      <c r="D44" s="13"/>
      <c r="E44" s="24"/>
      <c r="F44" s="13"/>
      <c r="G44" s="93"/>
      <c r="H44" s="93"/>
      <c r="I44" s="93"/>
      <c r="J44" s="156"/>
    </row>
    <row r="45" ht="12.75" customHeight="1">
      <c r="B45" s="87"/>
    </row>
    <row r="46" ht="12.75">
      <c r="B46" s="87"/>
    </row>
    <row r="47" ht="12.75">
      <c r="B47" s="87"/>
    </row>
    <row r="48" ht="12.75">
      <c r="B48" s="87"/>
    </row>
    <row r="49" ht="12.75">
      <c r="B49" s="87"/>
    </row>
    <row r="50" ht="12.75">
      <c r="B50" s="87"/>
    </row>
    <row r="51" ht="12.75">
      <c r="B51" s="87"/>
    </row>
    <row r="52" ht="12.75">
      <c r="B52" s="87"/>
    </row>
    <row r="53" ht="12.75">
      <c r="B53" s="87"/>
    </row>
    <row r="54" ht="12.75">
      <c r="B54" s="87"/>
    </row>
  </sheetData>
  <sheetProtection/>
  <mergeCells count="2">
    <mergeCell ref="B2:I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77" r:id="rId1"/>
  <headerFooter alignWithMargins="0">
    <oddFooter>&amp;R42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B2:L52"/>
  <sheetViews>
    <sheetView zoomScalePageLayoutView="0" workbookViewId="0" topLeftCell="C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2" t="s">
        <v>83</v>
      </c>
      <c r="C2" s="412"/>
      <c r="D2" s="412"/>
      <c r="E2" s="412"/>
      <c r="F2" s="412"/>
      <c r="G2" s="412"/>
      <c r="H2" s="11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84</v>
      </c>
      <c r="C6" s="11" t="s">
        <v>6</v>
      </c>
      <c r="D6" s="11" t="s">
        <v>7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514500</v>
      </c>
      <c r="H7" s="20">
        <f>SUM(H8:H11)</f>
        <v>514500</v>
      </c>
      <c r="I7" s="20">
        <f>SUM(I8:I11)</f>
        <v>484313.34</v>
      </c>
      <c r="J7" s="160">
        <f>IF(H7=0,"",I7/H7*100)</f>
        <v>94.13281632653062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46">
        <v>433300</v>
      </c>
      <c r="H8" s="46">
        <v>433300</v>
      </c>
      <c r="I8" s="46">
        <v>409127.34</v>
      </c>
      <c r="J8" s="161">
        <f>IF(H8=0,"",I8/H8*100)</f>
        <v>94.42126471267022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46">
        <v>68800</v>
      </c>
      <c r="H9" s="46">
        <v>68800</v>
      </c>
      <c r="I9" s="46">
        <v>62800</v>
      </c>
      <c r="J9" s="161">
        <f>IF(H9=0,"",I9/H9*100)</f>
        <v>91.27906976744185</v>
      </c>
    </row>
    <row r="10" spans="2:12" ht="12.75" customHeight="1">
      <c r="B10" s="14"/>
      <c r="C10" s="15"/>
      <c r="D10" s="15"/>
      <c r="E10" s="16">
        <v>611200</v>
      </c>
      <c r="F10" s="26" t="s">
        <v>562</v>
      </c>
      <c r="G10" s="88">
        <v>12400</v>
      </c>
      <c r="H10" s="88">
        <v>12400</v>
      </c>
      <c r="I10" s="88">
        <v>12386</v>
      </c>
      <c r="J10" s="161">
        <f>IF(H10=0,"",I10/H10*100)</f>
        <v>99.88709677419355</v>
      </c>
      <c r="L10" s="94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>IF(G11=0,"",I11/G11*100)</f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>IF(G12=0,"",I12/G12*100)</f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45750</v>
      </c>
      <c r="H13" s="20">
        <f>H14+H15</f>
        <v>45750</v>
      </c>
      <c r="I13" s="20">
        <f>I14+I15</f>
        <v>42958.38</v>
      </c>
      <c r="J13" s="160">
        <f>IF(H13=0,"",I13/H13*100)</f>
        <v>93.89809836065574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46">
        <v>45750</v>
      </c>
      <c r="H14" s="46">
        <v>45750</v>
      </c>
      <c r="I14" s="46">
        <v>42958.38</v>
      </c>
      <c r="J14" s="161">
        <f>IF(H14=0,"",I14/H14*100)</f>
        <v>93.89809836065574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>IF(G15=0,"",I15/G15*100)</f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>IF(G16=0,"",I16/G16*100)</f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165000</v>
      </c>
      <c r="H17" s="51">
        <f>SUM(H18:H27)</f>
        <v>164930</v>
      </c>
      <c r="I17" s="51">
        <f>SUM(I18:I27)</f>
        <v>107622.89</v>
      </c>
      <c r="J17" s="160">
        <f>IF(H17=0,"",I17/H17*100)</f>
        <v>65.25367731764992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6">
        <v>4000</v>
      </c>
      <c r="H18" s="46">
        <v>4000</v>
      </c>
      <c r="I18" s="46">
        <v>3109.5</v>
      </c>
      <c r="J18" s="161">
        <f aca="true" t="shared" si="0" ref="J18:J27">IF(H18=0,"",I18/H18*100)</f>
        <v>77.7375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31000</v>
      </c>
      <c r="H19" s="46">
        <v>31000</v>
      </c>
      <c r="I19" s="46">
        <v>27321.23</v>
      </c>
      <c r="J19" s="161">
        <f t="shared" si="0"/>
        <v>88.133</v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6">
        <v>17000</v>
      </c>
      <c r="H20" s="46">
        <v>17000</v>
      </c>
      <c r="I20" s="46">
        <v>13983.51</v>
      </c>
      <c r="J20" s="161">
        <f t="shared" si="0"/>
        <v>82.2559411764706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6">
        <v>6500</v>
      </c>
      <c r="H21" s="46">
        <v>6500</v>
      </c>
      <c r="I21" s="46">
        <v>6124.14</v>
      </c>
      <c r="J21" s="161">
        <f t="shared" si="0"/>
        <v>94.21753846153847</v>
      </c>
    </row>
    <row r="22" spans="2:11" ht="12.75" customHeight="1">
      <c r="B22" s="14"/>
      <c r="C22" s="15"/>
      <c r="D22" s="15"/>
      <c r="E22" s="16">
        <v>613500</v>
      </c>
      <c r="F22" s="15" t="s">
        <v>11</v>
      </c>
      <c r="G22" s="124">
        <v>4600</v>
      </c>
      <c r="H22" s="124">
        <v>4600</v>
      </c>
      <c r="I22" s="124">
        <v>4490.9</v>
      </c>
      <c r="J22" s="161">
        <f t="shared" si="0"/>
        <v>97.62826086956521</v>
      </c>
      <c r="K22" s="87"/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46">
        <v>0</v>
      </c>
      <c r="H23" s="46">
        <v>0</v>
      </c>
      <c r="I23" s="46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124">
        <v>5000</v>
      </c>
      <c r="H24" s="124">
        <v>6900</v>
      </c>
      <c r="I24" s="124">
        <v>6879.88</v>
      </c>
      <c r="J24" s="161">
        <f t="shared" si="0"/>
        <v>99.70840579710145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124">
        <v>1900</v>
      </c>
      <c r="H25" s="124">
        <v>2100</v>
      </c>
      <c r="I25" s="124">
        <v>2076.71</v>
      </c>
      <c r="J25" s="161">
        <f t="shared" si="0"/>
        <v>98.89095238095238</v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124">
        <v>80500</v>
      </c>
      <c r="H26" s="124">
        <v>78400</v>
      </c>
      <c r="I26" s="124">
        <v>29212.85</v>
      </c>
      <c r="J26" s="161">
        <f t="shared" si="0"/>
        <v>37.26128826530612</v>
      </c>
    </row>
    <row r="27" spans="2:11" ht="12.75" customHeight="1">
      <c r="B27" s="14"/>
      <c r="C27" s="15"/>
      <c r="D27" s="15"/>
      <c r="E27" s="16">
        <v>613900</v>
      </c>
      <c r="F27" s="26" t="s">
        <v>143</v>
      </c>
      <c r="G27" s="124">
        <v>14500</v>
      </c>
      <c r="H27" s="124">
        <v>14430</v>
      </c>
      <c r="I27" s="124">
        <v>14424.17</v>
      </c>
      <c r="J27" s="161">
        <f t="shared" si="0"/>
        <v>99.95959805959806</v>
      </c>
      <c r="K27" s="95"/>
    </row>
    <row r="28" spans="2:10" s="1" customFormat="1" ht="12.75" customHeight="1">
      <c r="B28" s="17"/>
      <c r="C28" s="12"/>
      <c r="D28" s="12"/>
      <c r="E28" s="9"/>
      <c r="F28" s="12"/>
      <c r="G28" s="124"/>
      <c r="H28" s="124"/>
      <c r="I28" s="124"/>
      <c r="J28" s="161">
        <f aca="true" t="shared" si="1" ref="J28:J35">IF(G28=0,"",I28/G28*100)</f>
      </c>
    </row>
    <row r="29" spans="2:10" ht="12.75" customHeight="1">
      <c r="B29" s="14"/>
      <c r="C29" s="15"/>
      <c r="D29" s="31"/>
      <c r="E29" s="16"/>
      <c r="F29" s="30"/>
      <c r="G29" s="124"/>
      <c r="H29" s="124"/>
      <c r="I29" s="124"/>
      <c r="J29" s="161">
        <f t="shared" si="1"/>
      </c>
    </row>
    <row r="30" spans="2:10" ht="12.75" customHeight="1">
      <c r="B30" s="14"/>
      <c r="C30" s="15"/>
      <c r="D30" s="15"/>
      <c r="E30" s="63"/>
      <c r="F30" s="30"/>
      <c r="G30" s="124"/>
      <c r="H30" s="124"/>
      <c r="I30" s="124"/>
      <c r="J30" s="161">
        <f t="shared" si="1"/>
      </c>
    </row>
    <row r="31" spans="2:10" ht="12.75" customHeight="1">
      <c r="B31" s="14"/>
      <c r="C31" s="15"/>
      <c r="D31" s="15"/>
      <c r="E31" s="16"/>
      <c r="F31" s="15"/>
      <c r="G31" s="124"/>
      <c r="H31" s="124"/>
      <c r="I31" s="124"/>
      <c r="J31" s="161">
        <f t="shared" si="1"/>
      </c>
    </row>
    <row r="32" spans="2:10" ht="12.75" customHeight="1">
      <c r="B32" s="14"/>
      <c r="C32" s="15"/>
      <c r="D32" s="15"/>
      <c r="E32" s="16"/>
      <c r="F32" s="15"/>
      <c r="G32" s="124"/>
      <c r="H32" s="124"/>
      <c r="I32" s="124"/>
      <c r="J32" s="161">
        <f t="shared" si="1"/>
      </c>
    </row>
    <row r="33" spans="2:10" ht="12.75" customHeight="1">
      <c r="B33" s="14"/>
      <c r="C33" s="15"/>
      <c r="D33" s="15"/>
      <c r="E33" s="9"/>
      <c r="F33" s="12"/>
      <c r="G33" s="124"/>
      <c r="H33" s="124"/>
      <c r="I33" s="124"/>
      <c r="J33" s="161">
        <f t="shared" si="1"/>
      </c>
    </row>
    <row r="34" spans="2:10" ht="12.75" customHeight="1">
      <c r="B34" s="14"/>
      <c r="C34" s="15"/>
      <c r="D34" s="15"/>
      <c r="E34" s="16"/>
      <c r="F34" s="26"/>
      <c r="G34" s="124"/>
      <c r="H34" s="124"/>
      <c r="I34" s="124"/>
      <c r="J34" s="161">
        <f t="shared" si="1"/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1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SUM(G37:G39)</f>
        <v>3000</v>
      </c>
      <c r="H36" s="115">
        <f>SUM(H37:H39)</f>
        <v>3000</v>
      </c>
      <c r="I36" s="115">
        <f>SUM(I37:I39)</f>
        <v>2988.58</v>
      </c>
      <c r="J36" s="160">
        <f>IF(H36=0,"",I36/H36*100)</f>
        <v>99.61933333333333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124">
        <v>0</v>
      </c>
      <c r="H37" s="124">
        <v>0</v>
      </c>
      <c r="I37" s="124">
        <v>0</v>
      </c>
      <c r="J37" s="161">
        <f>IF(H37=0,"",I37/H37*100)</f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124">
        <v>3000</v>
      </c>
      <c r="H38" s="124">
        <v>3000</v>
      </c>
      <c r="I38" s="124">
        <v>2988.58</v>
      </c>
      <c r="J38" s="161">
        <f>IF(H38=0,"",I38/H38*100)</f>
        <v>99.61933333333333</v>
      </c>
    </row>
    <row r="39" spans="2:10" ht="12.75" customHeight="1">
      <c r="B39" s="14"/>
      <c r="C39" s="15"/>
      <c r="D39" s="15"/>
      <c r="E39" s="16"/>
      <c r="F39" s="26"/>
      <c r="G39" s="124"/>
      <c r="H39" s="124"/>
      <c r="I39" s="124"/>
      <c r="J39" s="161"/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61"/>
    </row>
    <row r="41" spans="2:10" s="1" customFormat="1" ht="12.75" customHeight="1">
      <c r="B41" s="17"/>
      <c r="C41" s="12"/>
      <c r="D41" s="12"/>
      <c r="E41" s="9"/>
      <c r="F41" s="12" t="s">
        <v>18</v>
      </c>
      <c r="G41" s="20">
        <v>16</v>
      </c>
      <c r="H41" s="20">
        <v>16</v>
      </c>
      <c r="I41" s="20">
        <v>16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728250</v>
      </c>
      <c r="H42" s="20">
        <f>H7+H13+H17+H36</f>
        <v>728180</v>
      </c>
      <c r="I42" s="20">
        <f>I7+I13+I17+I36</f>
        <v>637883.19</v>
      </c>
      <c r="J42" s="160">
        <f>IF(H42=0,"",I42/H42*100)</f>
        <v>87.59965805158065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>
        <f aca="true" t="shared" si="2" ref="G43:I44">G42</f>
        <v>728250</v>
      </c>
      <c r="H43" s="20">
        <f t="shared" si="2"/>
        <v>728180</v>
      </c>
      <c r="I43" s="20">
        <f t="shared" si="2"/>
        <v>637883.19</v>
      </c>
      <c r="J43" s="160">
        <f>IF(H43=0,"",I43/H43*100)</f>
        <v>87.59965805158065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20">
        <f t="shared" si="2"/>
        <v>728250</v>
      </c>
      <c r="H44" s="20">
        <f t="shared" si="2"/>
        <v>728180</v>
      </c>
      <c r="I44" s="20">
        <f t="shared" si="2"/>
        <v>637883.19</v>
      </c>
      <c r="J44" s="160">
        <f>IF(H44=0,"",I44/H44*100)</f>
        <v>87.59965805158065</v>
      </c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8" ht="12.75">
      <c r="B48" s="87"/>
    </row>
    <row r="49" ht="12.75">
      <c r="B49" s="87"/>
    </row>
    <row r="50" ht="12.75">
      <c r="B50" s="87"/>
    </row>
    <row r="51" ht="12.75">
      <c r="B51" s="87"/>
    </row>
    <row r="52" ht="12.75">
      <c r="B52" s="87"/>
    </row>
  </sheetData>
  <sheetProtection/>
  <mergeCells count="2">
    <mergeCell ref="B2:G2"/>
    <mergeCell ref="F3:G3"/>
  </mergeCells>
  <printOptions/>
  <pageMargins left="0.2755905511811024" right="0.2755905511811024" top="0.5905511811023623" bottom="0.52" header="0.5118110236220472" footer="0.5118110236220472"/>
  <pageSetup fitToHeight="1" fitToWidth="1" horizontalDpi="180" verticalDpi="180" orientation="portrait" paperSize="9" scale="77" r:id="rId1"/>
  <headerFooter alignWithMargins="0">
    <oddFooter>&amp;R43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B2:L48"/>
  <sheetViews>
    <sheetView zoomScalePageLayoutView="0" workbookViewId="0" topLeftCell="A1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9" width="15.7109375" style="13" customWidth="1"/>
    <col min="10" max="10" width="8.7109375" style="148" customWidth="1"/>
    <col min="11" max="16384" width="9.140625" style="13" customWidth="1"/>
  </cols>
  <sheetData>
    <row r="2" spans="2:10" ht="15" customHeight="1">
      <c r="B2" s="412" t="s">
        <v>158</v>
      </c>
      <c r="C2" s="412"/>
      <c r="D2" s="412"/>
      <c r="E2" s="412"/>
      <c r="F2" s="412"/>
      <c r="G2" s="412"/>
      <c r="H2" s="412"/>
      <c r="I2" s="412"/>
      <c r="J2" s="154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85</v>
      </c>
      <c r="C6" s="11" t="s">
        <v>6</v>
      </c>
      <c r="D6" s="11" t="s">
        <v>7</v>
      </c>
      <c r="E6" s="9"/>
      <c r="F6" s="9"/>
      <c r="G6" s="9"/>
      <c r="H6" s="9"/>
      <c r="I6" s="9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40920</v>
      </c>
      <c r="H7" s="20">
        <f>SUM(H8:H11)</f>
        <v>40920</v>
      </c>
      <c r="I7" s="20">
        <f>SUM(I8:I11)</f>
        <v>38035.9</v>
      </c>
      <c r="J7" s="160">
        <f>IF(H7=0,"",I7/H7*100)</f>
        <v>92.95185728250244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88">
        <v>31500</v>
      </c>
      <c r="H8" s="88">
        <v>31500</v>
      </c>
      <c r="I8" s="88">
        <v>30453.9</v>
      </c>
      <c r="J8" s="161">
        <f>IF(H8=0,"",I8/H8*100)</f>
        <v>96.67904761904762</v>
      </c>
    </row>
    <row r="9" spans="2:12" ht="12.75" customHeight="1">
      <c r="B9" s="14"/>
      <c r="C9" s="15"/>
      <c r="D9" s="15"/>
      <c r="E9" s="16">
        <v>611200</v>
      </c>
      <c r="F9" s="15" t="s">
        <v>129</v>
      </c>
      <c r="G9" s="88">
        <v>5900</v>
      </c>
      <c r="H9" s="88">
        <v>5990</v>
      </c>
      <c r="I9" s="88">
        <v>5982</v>
      </c>
      <c r="J9" s="161">
        <f>IF(H9=0,"",I9/H9*100)</f>
        <v>99.86644407345577</v>
      </c>
      <c r="K9" s="95"/>
      <c r="L9" s="95"/>
    </row>
    <row r="10" spans="2:12" ht="12.75" customHeight="1">
      <c r="B10" s="14"/>
      <c r="C10" s="15"/>
      <c r="D10" s="15"/>
      <c r="E10" s="16">
        <v>611200</v>
      </c>
      <c r="F10" s="26" t="s">
        <v>460</v>
      </c>
      <c r="G10" s="88">
        <v>3520</v>
      </c>
      <c r="H10" s="88">
        <v>3430</v>
      </c>
      <c r="I10" s="88">
        <v>1600</v>
      </c>
      <c r="J10" s="161">
        <f>IF(H10=0,"",I10/H10*100)</f>
        <v>46.647230320699705</v>
      </c>
      <c r="K10" s="95"/>
      <c r="L10" s="95"/>
    </row>
    <row r="11" spans="2:10" ht="12.75" customHeight="1">
      <c r="B11" s="14"/>
      <c r="C11" s="15"/>
      <c r="D11" s="15"/>
      <c r="E11" s="16"/>
      <c r="F11" s="26"/>
      <c r="G11" s="45"/>
      <c r="H11" s="45"/>
      <c r="I11" s="45"/>
      <c r="J11" s="161">
        <f>IF(G11=0,"",I11/G11*100)</f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>IF(G12=0,"",I12/G12*100)</f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3100</v>
      </c>
      <c r="H13" s="20">
        <f>H14+H15</f>
        <v>3100</v>
      </c>
      <c r="I13" s="20">
        <f>I14+I15</f>
        <v>2730.07</v>
      </c>
      <c r="J13" s="160">
        <f>IF(H13=0,"",I13/H13*100)</f>
        <v>88.0667741935484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45">
        <v>3100</v>
      </c>
      <c r="H14" s="45">
        <v>3100</v>
      </c>
      <c r="I14" s="45">
        <v>2730.07</v>
      </c>
      <c r="J14" s="161">
        <f>IF(H14=0,"",I14/H14*100)</f>
        <v>88.0667741935484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61">
        <f>IF(G15=0,"",I15/G15*100)</f>
      </c>
    </row>
    <row r="16" spans="2:10" ht="12.75" customHeight="1">
      <c r="B16" s="14"/>
      <c r="C16" s="15"/>
      <c r="D16" s="15"/>
      <c r="E16" s="16"/>
      <c r="F16" s="15"/>
      <c r="G16" s="51"/>
      <c r="H16" s="51"/>
      <c r="I16" s="51"/>
      <c r="J16" s="161">
        <f>IF(G16=0,"",I16/G16*100)</f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21050</v>
      </c>
      <c r="H17" s="51">
        <f>SUM(H18:H27)</f>
        <v>19110</v>
      </c>
      <c r="I17" s="51">
        <f>SUM(I18:I27)</f>
        <v>13986.16</v>
      </c>
      <c r="J17" s="160">
        <f>IF(H17=0,"",I17/H17*100)</f>
        <v>73.1876504447933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5">
        <v>500</v>
      </c>
      <c r="H18" s="45">
        <v>500</v>
      </c>
      <c r="I18" s="45">
        <v>50.59</v>
      </c>
      <c r="J18" s="161">
        <f aca="true" t="shared" si="0" ref="J18:J27">IF(H18=0,"",I18/H18*100)</f>
        <v>10.118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5">
        <v>0</v>
      </c>
      <c r="H19" s="45">
        <v>0</v>
      </c>
      <c r="I19" s="45">
        <v>0</v>
      </c>
      <c r="J19" s="161">
        <f t="shared" si="0"/>
      </c>
    </row>
    <row r="20" spans="2:11" ht="12.75" customHeight="1">
      <c r="B20" s="14"/>
      <c r="C20" s="15"/>
      <c r="D20" s="15"/>
      <c r="E20" s="16">
        <v>613300</v>
      </c>
      <c r="F20" s="26" t="s">
        <v>130</v>
      </c>
      <c r="G20" s="88">
        <v>2500</v>
      </c>
      <c r="H20" s="88">
        <v>2850</v>
      </c>
      <c r="I20" s="88">
        <v>2568.63</v>
      </c>
      <c r="J20" s="161">
        <f t="shared" si="0"/>
        <v>90.12736842105264</v>
      </c>
      <c r="K20" s="87"/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5">
        <v>1200</v>
      </c>
      <c r="H21" s="45">
        <v>1200</v>
      </c>
      <c r="I21" s="45">
        <v>819.16</v>
      </c>
      <c r="J21" s="161">
        <f t="shared" si="0"/>
        <v>68.26333333333334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45">
        <v>0</v>
      </c>
      <c r="H22" s="45">
        <v>0</v>
      </c>
      <c r="I22" s="45">
        <v>0</v>
      </c>
      <c r="J22" s="161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45">
        <v>0</v>
      </c>
      <c r="H23" s="45">
        <v>0</v>
      </c>
      <c r="I23" s="45">
        <v>0</v>
      </c>
      <c r="J23" s="161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12</v>
      </c>
      <c r="G24" s="88">
        <v>250</v>
      </c>
      <c r="H24" s="88">
        <v>250</v>
      </c>
      <c r="I24" s="88">
        <v>185</v>
      </c>
      <c r="J24" s="161">
        <f t="shared" si="0"/>
        <v>74</v>
      </c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88">
        <v>0</v>
      </c>
      <c r="H25" s="88">
        <v>0</v>
      </c>
      <c r="I25" s="88">
        <v>0</v>
      </c>
      <c r="J25" s="161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88">
        <v>12000</v>
      </c>
      <c r="H26" s="88">
        <v>11650</v>
      </c>
      <c r="I26" s="88">
        <v>7705.62</v>
      </c>
      <c r="J26" s="161">
        <f t="shared" si="0"/>
        <v>66.14266094420601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124">
        <v>4600</v>
      </c>
      <c r="H27" s="124">
        <v>2660</v>
      </c>
      <c r="I27" s="124">
        <v>2657.16</v>
      </c>
      <c r="J27" s="161">
        <f t="shared" si="0"/>
        <v>99.89323308270676</v>
      </c>
      <c r="K27" s="95"/>
      <c r="L27" s="95"/>
    </row>
    <row r="28" spans="2:10" s="1" customFormat="1" ht="12.75" customHeight="1">
      <c r="B28" s="17"/>
      <c r="C28" s="12"/>
      <c r="D28" s="12"/>
      <c r="E28" s="9"/>
      <c r="F28" s="12"/>
      <c r="G28" s="88"/>
      <c r="H28" s="88"/>
      <c r="I28" s="88"/>
      <c r="J28" s="161">
        <f aca="true" t="shared" si="1" ref="J28:J35">IF(G28=0,"",I28/G28*100)</f>
      </c>
    </row>
    <row r="29" spans="2:10" ht="12.75" customHeight="1">
      <c r="B29" s="14"/>
      <c r="C29" s="15"/>
      <c r="D29" s="31"/>
      <c r="E29" s="16"/>
      <c r="F29" s="30"/>
      <c r="G29" s="88"/>
      <c r="H29" s="88"/>
      <c r="I29" s="88"/>
      <c r="J29" s="161">
        <f t="shared" si="1"/>
      </c>
    </row>
    <row r="30" spans="2:10" ht="12.75" customHeight="1">
      <c r="B30" s="14"/>
      <c r="C30" s="15"/>
      <c r="D30" s="15"/>
      <c r="E30" s="63"/>
      <c r="F30" s="30"/>
      <c r="G30" s="88"/>
      <c r="H30" s="88"/>
      <c r="I30" s="88"/>
      <c r="J30" s="161">
        <f t="shared" si="1"/>
      </c>
    </row>
    <row r="31" spans="2:10" ht="12.75" customHeight="1">
      <c r="B31" s="14"/>
      <c r="C31" s="15"/>
      <c r="D31" s="15"/>
      <c r="E31" s="16"/>
      <c r="F31" s="15"/>
      <c r="G31" s="88"/>
      <c r="H31" s="88"/>
      <c r="I31" s="88"/>
      <c r="J31" s="161">
        <f t="shared" si="1"/>
      </c>
    </row>
    <row r="32" spans="2:10" ht="12.75" customHeight="1">
      <c r="B32" s="14"/>
      <c r="C32" s="15"/>
      <c r="D32" s="15"/>
      <c r="E32" s="16"/>
      <c r="F32" s="15"/>
      <c r="G32" s="88"/>
      <c r="H32" s="88"/>
      <c r="I32" s="88"/>
      <c r="J32" s="161">
        <f t="shared" si="1"/>
      </c>
    </row>
    <row r="33" spans="2:10" ht="12.75" customHeight="1">
      <c r="B33" s="14"/>
      <c r="C33" s="15"/>
      <c r="D33" s="15"/>
      <c r="E33" s="9"/>
      <c r="F33" s="12"/>
      <c r="G33" s="88"/>
      <c r="H33" s="88"/>
      <c r="I33" s="88"/>
      <c r="J33" s="161">
        <f t="shared" si="1"/>
      </c>
    </row>
    <row r="34" spans="2:10" ht="12.75" customHeight="1">
      <c r="B34" s="14"/>
      <c r="C34" s="15"/>
      <c r="D34" s="15"/>
      <c r="E34" s="16"/>
      <c r="F34" s="26"/>
      <c r="G34" s="88"/>
      <c r="H34" s="88"/>
      <c r="I34" s="88"/>
      <c r="J34" s="161">
        <f t="shared" si="1"/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1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G37+G38</f>
        <v>1000</v>
      </c>
      <c r="H36" s="115">
        <f>H37+H38</f>
        <v>1000</v>
      </c>
      <c r="I36" s="115">
        <f>I37+I38</f>
        <v>998.12</v>
      </c>
      <c r="J36" s="160">
        <f>IF(H36=0,"",I36/H36*100)</f>
        <v>99.812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88">
        <v>0</v>
      </c>
      <c r="H37" s="88">
        <v>0</v>
      </c>
      <c r="I37" s="88">
        <v>0</v>
      </c>
      <c r="J37" s="161">
        <f>IF(H37=0,"",I37/H37*100)</f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88">
        <v>1000</v>
      </c>
      <c r="H38" s="88">
        <v>1000</v>
      </c>
      <c r="I38" s="88">
        <v>998.12</v>
      </c>
      <c r="J38" s="161">
        <f>IF(H38=0,"",I38/H38*100)</f>
        <v>99.812</v>
      </c>
    </row>
    <row r="39" spans="2:10" ht="12.75" customHeight="1">
      <c r="B39" s="14"/>
      <c r="C39" s="15"/>
      <c r="D39" s="15"/>
      <c r="E39" s="16"/>
      <c r="F39" s="26"/>
      <c r="G39" s="88"/>
      <c r="H39" s="88"/>
      <c r="I39" s="88"/>
      <c r="J39" s="161"/>
    </row>
    <row r="40" spans="2:10" ht="12.75" customHeight="1">
      <c r="B40" s="14"/>
      <c r="C40" s="15"/>
      <c r="D40" s="15"/>
      <c r="E40" s="16"/>
      <c r="F40" s="15"/>
      <c r="G40" s="20"/>
      <c r="H40" s="20"/>
      <c r="I40" s="20"/>
      <c r="J40" s="161"/>
    </row>
    <row r="41" spans="2:10" s="1" customFormat="1" ht="12.75" customHeight="1">
      <c r="B41" s="17"/>
      <c r="C41" s="12"/>
      <c r="D41" s="12"/>
      <c r="E41" s="9"/>
      <c r="F41" s="12" t="s">
        <v>18</v>
      </c>
      <c r="G41" s="20">
        <v>2</v>
      </c>
      <c r="H41" s="20">
        <v>2</v>
      </c>
      <c r="I41" s="20">
        <v>2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66070</v>
      </c>
      <c r="H42" s="20">
        <f>H7+H13+H17+H36</f>
        <v>64130</v>
      </c>
      <c r="I42" s="20">
        <f>I7+I13+I17+I36</f>
        <v>55750.25000000001</v>
      </c>
      <c r="J42" s="160">
        <f>IF(H42=0,"",I42/H42*100)</f>
        <v>86.93318259784813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>
        <f aca="true" t="shared" si="2" ref="G43:I44">G42</f>
        <v>66070</v>
      </c>
      <c r="H43" s="20">
        <f t="shared" si="2"/>
        <v>64130</v>
      </c>
      <c r="I43" s="20">
        <f t="shared" si="2"/>
        <v>55750.25000000001</v>
      </c>
      <c r="J43" s="160">
        <f>IF(H43=0,"",I43/H43*100)</f>
        <v>86.93318259784813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20">
        <f t="shared" si="2"/>
        <v>66070</v>
      </c>
      <c r="H44" s="20">
        <f t="shared" si="2"/>
        <v>64130</v>
      </c>
      <c r="I44" s="20">
        <f t="shared" si="2"/>
        <v>55750.25000000001</v>
      </c>
      <c r="J44" s="160">
        <f>IF(H44=0,"",I44/H44*100)</f>
        <v>86.93318259784813</v>
      </c>
    </row>
    <row r="45" spans="2:10" ht="12.75" customHeight="1" thickBot="1">
      <c r="B45" s="21"/>
      <c r="C45" s="22"/>
      <c r="D45" s="22"/>
      <c r="E45" s="23"/>
      <c r="F45" s="22"/>
      <c r="G45" s="22"/>
      <c r="H45" s="22"/>
      <c r="I45" s="22"/>
      <c r="J45" s="164"/>
    </row>
    <row r="47" ht="12.75">
      <c r="B47" s="87"/>
    </row>
    <row r="48" ht="12.75">
      <c r="B48" s="87"/>
    </row>
  </sheetData>
  <sheetProtection/>
  <mergeCells count="2">
    <mergeCell ref="B2:I2"/>
    <mergeCell ref="F3:G3"/>
  </mergeCells>
  <printOptions/>
  <pageMargins left="0.2755905511811024" right="0.2755905511811024" top="0.5905511811023623" bottom="0.54" header="0.5118110236220472" footer="0.5118110236220472"/>
  <pageSetup fitToHeight="1" fitToWidth="1" horizontalDpi="180" verticalDpi="180" orientation="portrait" paperSize="9" scale="77" r:id="rId1"/>
  <headerFooter alignWithMargins="0">
    <oddFooter>&amp;R44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B2:L49"/>
  <sheetViews>
    <sheetView zoomScalePageLayoutView="0" workbookViewId="0" topLeftCell="A4">
      <selection activeCell="G4" sqref="G4:J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2812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2" t="s">
        <v>87</v>
      </c>
      <c r="C2" s="412"/>
      <c r="D2" s="412"/>
      <c r="E2" s="412"/>
      <c r="F2" s="412"/>
      <c r="G2" s="412"/>
      <c r="H2" s="11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86</v>
      </c>
      <c r="C6" s="11" t="s">
        <v>6</v>
      </c>
      <c r="D6" s="11" t="s">
        <v>7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462540</v>
      </c>
      <c r="H7" s="20">
        <f>SUM(H8:H11)</f>
        <v>464460</v>
      </c>
      <c r="I7" s="20">
        <f>SUM(I8:I11)</f>
        <v>464135.23</v>
      </c>
      <c r="J7" s="160">
        <f>IF(H7=0,"",I7/H7*100)</f>
        <v>99.93007578693536</v>
      </c>
    </row>
    <row r="8" spans="2:12" ht="12.75" customHeight="1">
      <c r="B8" s="14"/>
      <c r="C8" s="15"/>
      <c r="D8" s="15"/>
      <c r="E8" s="16">
        <v>611100</v>
      </c>
      <c r="F8" s="26" t="s">
        <v>128</v>
      </c>
      <c r="G8" s="124">
        <v>401100</v>
      </c>
      <c r="H8" s="124">
        <v>402550</v>
      </c>
      <c r="I8" s="124">
        <v>402548.23</v>
      </c>
      <c r="J8" s="161">
        <f>IF(H8=0,"",I8/H8*100)</f>
        <v>99.99956030306794</v>
      </c>
      <c r="L8" s="95"/>
    </row>
    <row r="9" spans="2:12" ht="12.75" customHeight="1">
      <c r="B9" s="14"/>
      <c r="C9" s="15"/>
      <c r="D9" s="15"/>
      <c r="E9" s="16">
        <v>611200</v>
      </c>
      <c r="F9" s="15" t="s">
        <v>129</v>
      </c>
      <c r="G9" s="124">
        <v>55300</v>
      </c>
      <c r="H9" s="124">
        <v>55770</v>
      </c>
      <c r="I9" s="124">
        <v>55767</v>
      </c>
      <c r="J9" s="161">
        <f>IF(H9=0,"",I9/H9*100)</f>
        <v>99.99462076385154</v>
      </c>
      <c r="L9" s="95"/>
    </row>
    <row r="10" spans="2:12" ht="12.75" customHeight="1">
      <c r="B10" s="14"/>
      <c r="C10" s="15"/>
      <c r="D10" s="15"/>
      <c r="E10" s="16">
        <v>611200</v>
      </c>
      <c r="F10" s="26" t="s">
        <v>563</v>
      </c>
      <c r="G10" s="88">
        <v>6140</v>
      </c>
      <c r="H10" s="88">
        <v>6140</v>
      </c>
      <c r="I10" s="88">
        <v>5820</v>
      </c>
      <c r="J10" s="161">
        <f>IF(H10=0,"",I10/H10*100)</f>
        <v>94.78827361563518</v>
      </c>
      <c r="L10" s="95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>IF(G11=0,"",I11/G11*100)</f>
      </c>
    </row>
    <row r="12" spans="2:12" ht="12.75" customHeight="1">
      <c r="B12" s="14"/>
      <c r="C12" s="15"/>
      <c r="D12" s="15"/>
      <c r="E12" s="16"/>
      <c r="F12" s="15"/>
      <c r="G12" s="20"/>
      <c r="H12" s="20"/>
      <c r="I12" s="20"/>
      <c r="J12" s="161">
        <f>IF(G12=0,"",I12/G12*100)</f>
      </c>
      <c r="L12" s="87"/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42800</v>
      </c>
      <c r="H13" s="20">
        <f>H14+H15</f>
        <v>42800</v>
      </c>
      <c r="I13" s="20">
        <f>I14+I15</f>
        <v>42267.58</v>
      </c>
      <c r="J13" s="160">
        <f>IF(H13=0,"",I13/H13*100)</f>
        <v>98.75602803738317</v>
      </c>
    </row>
    <row r="14" spans="2:12" ht="12.75" customHeight="1">
      <c r="B14" s="14"/>
      <c r="C14" s="15"/>
      <c r="D14" s="15"/>
      <c r="E14" s="16">
        <v>612100</v>
      </c>
      <c r="F14" s="18" t="s">
        <v>8</v>
      </c>
      <c r="G14" s="124">
        <v>42800</v>
      </c>
      <c r="H14" s="124">
        <v>42800</v>
      </c>
      <c r="I14" s="124">
        <v>42267.58</v>
      </c>
      <c r="J14" s="161">
        <f>IF(H14=0,"",I14/H14*100)</f>
        <v>98.75602803738317</v>
      </c>
      <c r="L14" s="95"/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>IF(G15=0,"",I15/G15*100)</f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>IF(G16=0,"",I16/G16*100)</f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115200</v>
      </c>
      <c r="H17" s="51">
        <f>SUM(H18:H27)</f>
        <v>116500</v>
      </c>
      <c r="I17" s="51">
        <f>SUM(I18:I27)</f>
        <v>86627.09999999999</v>
      </c>
      <c r="J17" s="160">
        <f>IF(H17=0,"",I17/H17*100)</f>
        <v>74.35802575107296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6">
        <v>2500</v>
      </c>
      <c r="H18" s="46">
        <v>2500</v>
      </c>
      <c r="I18" s="46">
        <v>1981.25</v>
      </c>
      <c r="J18" s="161">
        <f aca="true" t="shared" si="0" ref="J18:J27">IF(H18=0,"",I18/H18*100)</f>
        <v>79.25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5500</v>
      </c>
      <c r="H19" s="46">
        <v>5500</v>
      </c>
      <c r="I19" s="46">
        <v>4114.31</v>
      </c>
      <c r="J19" s="161">
        <f t="shared" si="0"/>
        <v>74.80563636363638</v>
      </c>
    </row>
    <row r="20" spans="2:11" ht="12.75" customHeight="1">
      <c r="B20" s="14"/>
      <c r="C20" s="15"/>
      <c r="D20" s="15"/>
      <c r="E20" s="16">
        <v>613300</v>
      </c>
      <c r="F20" s="26" t="s">
        <v>130</v>
      </c>
      <c r="G20" s="124">
        <v>10500</v>
      </c>
      <c r="H20" s="124">
        <v>13700</v>
      </c>
      <c r="I20" s="124">
        <v>13658.82</v>
      </c>
      <c r="J20" s="161">
        <f t="shared" si="0"/>
        <v>99.69941605839416</v>
      </c>
      <c r="K20" s="87"/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6">
        <v>13900</v>
      </c>
      <c r="H21" s="46">
        <v>13900</v>
      </c>
      <c r="I21" s="46">
        <v>8265.59</v>
      </c>
      <c r="J21" s="161">
        <f t="shared" si="0"/>
        <v>59.46467625899281</v>
      </c>
    </row>
    <row r="22" spans="2:11" ht="12.75" customHeight="1">
      <c r="B22" s="14"/>
      <c r="C22" s="15"/>
      <c r="D22" s="15"/>
      <c r="E22" s="16">
        <v>613500</v>
      </c>
      <c r="F22" s="15" t="s">
        <v>11</v>
      </c>
      <c r="G22" s="124">
        <v>10900</v>
      </c>
      <c r="H22" s="124">
        <v>10900</v>
      </c>
      <c r="I22" s="124">
        <v>2596.73</v>
      </c>
      <c r="J22" s="161">
        <f t="shared" si="0"/>
        <v>23.82321100917431</v>
      </c>
      <c r="K22" s="87"/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46">
        <v>0</v>
      </c>
      <c r="H23" s="46">
        <v>0</v>
      </c>
      <c r="I23" s="46">
        <v>0</v>
      </c>
      <c r="J23" s="161">
        <f t="shared" si="0"/>
      </c>
    </row>
    <row r="24" spans="2:11" ht="12.75" customHeight="1">
      <c r="B24" s="14"/>
      <c r="C24" s="15"/>
      <c r="D24" s="15"/>
      <c r="E24" s="16">
        <v>613700</v>
      </c>
      <c r="F24" s="15" t="s">
        <v>12</v>
      </c>
      <c r="G24" s="124">
        <v>2500</v>
      </c>
      <c r="H24" s="124">
        <v>2500</v>
      </c>
      <c r="I24" s="124">
        <v>1836.92</v>
      </c>
      <c r="J24" s="161">
        <f t="shared" si="0"/>
        <v>73.4768</v>
      </c>
      <c r="K24" s="87"/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124">
        <v>1100</v>
      </c>
      <c r="H25" s="124">
        <v>1100</v>
      </c>
      <c r="I25" s="124">
        <v>713</v>
      </c>
      <c r="J25" s="161">
        <f t="shared" si="0"/>
        <v>64.81818181818181</v>
      </c>
    </row>
    <row r="26" spans="2:10" ht="12.75" customHeight="1">
      <c r="B26" s="14"/>
      <c r="C26" s="15"/>
      <c r="D26" s="15"/>
      <c r="E26" s="16">
        <v>613900</v>
      </c>
      <c r="F26" s="15" t="s">
        <v>96</v>
      </c>
      <c r="G26" s="124">
        <v>60000</v>
      </c>
      <c r="H26" s="124">
        <v>56800</v>
      </c>
      <c r="I26" s="124">
        <v>43868.97</v>
      </c>
      <c r="J26" s="161">
        <f t="shared" si="0"/>
        <v>77.23410211267606</v>
      </c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124">
        <v>8300</v>
      </c>
      <c r="H27" s="124">
        <v>9600</v>
      </c>
      <c r="I27" s="124">
        <v>9591.51</v>
      </c>
      <c r="J27" s="161">
        <f t="shared" si="0"/>
        <v>99.9115625</v>
      </c>
      <c r="L27" s="95"/>
    </row>
    <row r="28" spans="2:10" s="1" customFormat="1" ht="12.75" customHeight="1">
      <c r="B28" s="17"/>
      <c r="C28" s="12"/>
      <c r="D28" s="12"/>
      <c r="E28" s="9"/>
      <c r="F28" s="12"/>
      <c r="G28" s="124"/>
      <c r="H28" s="124"/>
      <c r="I28" s="124"/>
      <c r="J28" s="161">
        <f aca="true" t="shared" si="1" ref="J28:J35">IF(G28=0,"",I28/G28*100)</f>
      </c>
    </row>
    <row r="29" spans="2:10" ht="12.75" customHeight="1">
      <c r="B29" s="14"/>
      <c r="C29" s="15"/>
      <c r="D29" s="31"/>
      <c r="E29" s="16"/>
      <c r="F29" s="30"/>
      <c r="G29" s="124"/>
      <c r="H29" s="124"/>
      <c r="I29" s="124"/>
      <c r="J29" s="161">
        <f t="shared" si="1"/>
      </c>
    </row>
    <row r="30" spans="2:10" ht="12.75" customHeight="1">
      <c r="B30" s="14"/>
      <c r="C30" s="15"/>
      <c r="D30" s="15"/>
      <c r="E30" s="63"/>
      <c r="F30" s="30"/>
      <c r="G30" s="124"/>
      <c r="H30" s="124"/>
      <c r="I30" s="124"/>
      <c r="J30" s="161">
        <f t="shared" si="1"/>
      </c>
    </row>
    <row r="31" spans="2:10" ht="12.75" customHeight="1">
      <c r="B31" s="14"/>
      <c r="C31" s="15"/>
      <c r="D31" s="15"/>
      <c r="E31" s="16"/>
      <c r="F31" s="15"/>
      <c r="G31" s="124"/>
      <c r="H31" s="124"/>
      <c r="I31" s="124"/>
      <c r="J31" s="161">
        <f t="shared" si="1"/>
      </c>
    </row>
    <row r="32" spans="2:10" ht="12.75" customHeight="1">
      <c r="B32" s="14"/>
      <c r="C32" s="15"/>
      <c r="D32" s="15"/>
      <c r="E32" s="16"/>
      <c r="F32" s="15"/>
      <c r="G32" s="124"/>
      <c r="H32" s="124"/>
      <c r="I32" s="124"/>
      <c r="J32" s="161">
        <f t="shared" si="1"/>
      </c>
    </row>
    <row r="33" spans="2:10" ht="12.75" customHeight="1">
      <c r="B33" s="14"/>
      <c r="C33" s="15"/>
      <c r="D33" s="15"/>
      <c r="E33" s="9"/>
      <c r="F33" s="12"/>
      <c r="G33" s="124"/>
      <c r="H33" s="124"/>
      <c r="I33" s="124"/>
      <c r="J33" s="161">
        <f t="shared" si="1"/>
      </c>
    </row>
    <row r="34" spans="2:10" ht="12.75" customHeight="1">
      <c r="B34" s="14"/>
      <c r="C34" s="15"/>
      <c r="D34" s="15"/>
      <c r="E34" s="16"/>
      <c r="F34" s="26"/>
      <c r="G34" s="124"/>
      <c r="H34" s="124"/>
      <c r="I34" s="124"/>
      <c r="J34" s="161">
        <f t="shared" si="1"/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1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G37+G38</f>
        <v>10000</v>
      </c>
      <c r="H36" s="115">
        <f>H37+H38</f>
        <v>10000</v>
      </c>
      <c r="I36" s="115">
        <f>I37+I38</f>
        <v>355</v>
      </c>
      <c r="J36" s="160">
        <f>IF(H36=0,"",I36/H36*100)</f>
        <v>3.55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124">
        <v>0</v>
      </c>
      <c r="H37" s="124">
        <v>0</v>
      </c>
      <c r="I37" s="124">
        <v>0</v>
      </c>
      <c r="J37" s="161">
        <f>IF(H37=0,"",I37/H37*100)</f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124">
        <v>10000</v>
      </c>
      <c r="H38" s="124">
        <v>10000</v>
      </c>
      <c r="I38" s="124">
        <v>355</v>
      </c>
      <c r="J38" s="161">
        <f>IF(H38=0,"",I38/H38*100)</f>
        <v>3.55</v>
      </c>
    </row>
    <row r="39" spans="2:10" ht="12.75" customHeight="1">
      <c r="B39" s="14"/>
      <c r="C39" s="15"/>
      <c r="D39" s="15"/>
      <c r="E39" s="16"/>
      <c r="F39" s="26"/>
      <c r="G39" s="124"/>
      <c r="H39" s="124"/>
      <c r="I39" s="124"/>
      <c r="J39" s="161"/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61"/>
    </row>
    <row r="41" spans="2:10" s="1" customFormat="1" ht="12.75" customHeight="1">
      <c r="B41" s="17"/>
      <c r="C41" s="12"/>
      <c r="D41" s="12"/>
      <c r="E41" s="9"/>
      <c r="F41" s="12" t="s">
        <v>18</v>
      </c>
      <c r="G41" s="115">
        <v>14</v>
      </c>
      <c r="H41" s="115">
        <v>14</v>
      </c>
      <c r="I41" s="115">
        <v>14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630540</v>
      </c>
      <c r="H42" s="20">
        <f>H7+H13+H17+H36</f>
        <v>633760</v>
      </c>
      <c r="I42" s="20">
        <f>I7+I13+I17+I36</f>
        <v>593384.91</v>
      </c>
      <c r="J42" s="160">
        <f>IF(H42=0,"",I42/H42*100)</f>
        <v>93.62927764453421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>
        <f aca="true" t="shared" si="2" ref="G43:I44">G42</f>
        <v>630540</v>
      </c>
      <c r="H43" s="20">
        <f t="shared" si="2"/>
        <v>633760</v>
      </c>
      <c r="I43" s="20">
        <f t="shared" si="2"/>
        <v>593384.91</v>
      </c>
      <c r="J43" s="160">
        <f>IF(H43=0,"",I43/H43*100)</f>
        <v>93.62927764453421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20">
        <f t="shared" si="2"/>
        <v>630540</v>
      </c>
      <c r="H44" s="20">
        <f t="shared" si="2"/>
        <v>633760</v>
      </c>
      <c r="I44" s="20">
        <f t="shared" si="2"/>
        <v>593384.91</v>
      </c>
      <c r="J44" s="160">
        <f>IF(H44=0,"",I44/H44*100)</f>
        <v>93.62927764453421</v>
      </c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7" ht="12.75">
      <c r="B47" s="87"/>
    </row>
    <row r="48" ht="12.75">
      <c r="B48" s="87"/>
    </row>
    <row r="49" ht="12.75">
      <c r="B49" s="87"/>
    </row>
  </sheetData>
  <sheetProtection/>
  <mergeCells count="2">
    <mergeCell ref="B2:G2"/>
    <mergeCell ref="F3:G3"/>
  </mergeCells>
  <printOptions/>
  <pageMargins left="0.2755905511811024" right="0.2755905511811024" top="0.5905511811023623" bottom="0.54" header="0.5118110236220472" footer="0.5118110236220472"/>
  <pageSetup fitToHeight="1" fitToWidth="1" horizontalDpi="180" verticalDpi="180" orientation="portrait" paperSize="9" scale="77" r:id="rId1"/>
  <headerFooter alignWithMargins="0">
    <oddFooter>&amp;R45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B2:L47"/>
  <sheetViews>
    <sheetView zoomScalePageLayoutView="0" workbookViewId="0" topLeftCell="C1">
      <selection activeCell="M12" sqref="M1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9" width="15.7109375" style="95" customWidth="1"/>
    <col min="10" max="10" width="8.7109375" style="148" customWidth="1"/>
    <col min="11" max="16384" width="9.140625" style="13" customWidth="1"/>
  </cols>
  <sheetData>
    <row r="2" spans="2:8" ht="15" customHeight="1">
      <c r="B2" s="412" t="s">
        <v>112</v>
      </c>
      <c r="C2" s="412"/>
      <c r="D2" s="412"/>
      <c r="E2" s="412"/>
      <c r="F2" s="412"/>
      <c r="G2" s="412"/>
      <c r="H2" s="110"/>
    </row>
    <row r="3" spans="5:10" s="1" customFormat="1" ht="16.5" thickBot="1">
      <c r="E3" s="2"/>
      <c r="F3" s="413"/>
      <c r="G3" s="413"/>
      <c r="H3" s="369"/>
      <c r="I3" s="193"/>
      <c r="J3" s="194"/>
    </row>
    <row r="4" spans="2:10" s="1" customFormat="1" ht="76.5" customHeight="1">
      <c r="B4" s="3" t="s">
        <v>2</v>
      </c>
      <c r="C4" s="4" t="s">
        <v>3</v>
      </c>
      <c r="D4" s="5" t="s">
        <v>37</v>
      </c>
      <c r="E4" s="6" t="s">
        <v>4</v>
      </c>
      <c r="F4" s="7" t="s">
        <v>5</v>
      </c>
      <c r="G4" s="70" t="s">
        <v>600</v>
      </c>
      <c r="H4" s="70" t="s">
        <v>601</v>
      </c>
      <c r="I4" s="70" t="s">
        <v>588</v>
      </c>
      <c r="J4" s="157" t="s">
        <v>596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58">
        <v>9</v>
      </c>
    </row>
    <row r="6" spans="2:10" s="2" customFormat="1" ht="12.75" customHeight="1">
      <c r="B6" s="10" t="s">
        <v>111</v>
      </c>
      <c r="C6" s="11" t="s">
        <v>6</v>
      </c>
      <c r="D6" s="11" t="s">
        <v>7</v>
      </c>
      <c r="E6" s="9"/>
      <c r="F6" s="9"/>
      <c r="G6" s="173"/>
      <c r="H6" s="173"/>
      <c r="I6" s="173"/>
      <c r="J6" s="159"/>
    </row>
    <row r="7" spans="2:10" s="1" customFormat="1" ht="12.75" customHeight="1">
      <c r="B7" s="17"/>
      <c r="C7" s="12"/>
      <c r="D7" s="12"/>
      <c r="E7" s="9">
        <v>611000</v>
      </c>
      <c r="F7" s="12" t="s">
        <v>92</v>
      </c>
      <c r="G7" s="20">
        <f>SUM(G8:G11)</f>
        <v>315520</v>
      </c>
      <c r="H7" s="20">
        <f>SUM(H8:H11)</f>
        <v>315520</v>
      </c>
      <c r="I7" s="20">
        <f>SUM(I8:I11)</f>
        <v>310656.57</v>
      </c>
      <c r="J7" s="160">
        <f>IF(H7=0,"",I7/H7*100)</f>
        <v>98.4585985040568</v>
      </c>
    </row>
    <row r="8" spans="2:10" ht="12.75" customHeight="1">
      <c r="B8" s="14"/>
      <c r="C8" s="15"/>
      <c r="D8" s="15"/>
      <c r="E8" s="16">
        <v>611100</v>
      </c>
      <c r="F8" s="26" t="s">
        <v>128</v>
      </c>
      <c r="G8" s="46">
        <v>264400</v>
      </c>
      <c r="H8" s="46">
        <v>264400</v>
      </c>
      <c r="I8" s="46">
        <v>264213.57</v>
      </c>
      <c r="J8" s="161">
        <f>IF(H8=0,"",I8/H8*100)</f>
        <v>99.92948940998487</v>
      </c>
    </row>
    <row r="9" spans="2:10" ht="12.75" customHeight="1">
      <c r="B9" s="14"/>
      <c r="C9" s="15"/>
      <c r="D9" s="15"/>
      <c r="E9" s="16">
        <v>611200</v>
      </c>
      <c r="F9" s="15" t="s">
        <v>129</v>
      </c>
      <c r="G9" s="46">
        <v>45800</v>
      </c>
      <c r="H9" s="46">
        <v>45800</v>
      </c>
      <c r="I9" s="46">
        <v>42425</v>
      </c>
      <c r="J9" s="161">
        <f>IF(H9=0,"",I9/H9*100)</f>
        <v>92.63100436681223</v>
      </c>
    </row>
    <row r="10" spans="2:12" ht="12.75" customHeight="1">
      <c r="B10" s="14"/>
      <c r="C10" s="15"/>
      <c r="D10" s="15"/>
      <c r="E10" s="16">
        <v>611200</v>
      </c>
      <c r="F10" s="26" t="s">
        <v>457</v>
      </c>
      <c r="G10" s="88">
        <v>5320</v>
      </c>
      <c r="H10" s="88">
        <v>5320</v>
      </c>
      <c r="I10" s="88">
        <v>4018</v>
      </c>
      <c r="J10" s="161">
        <f>IF(H10=0,"",I10/H10*100)</f>
        <v>75.52631578947368</v>
      </c>
      <c r="L10" s="94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61">
        <f>IF(G11=0,"",I11/G11*100)</f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61">
        <f>IF(G12=0,"",I12/G12*100)</f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91</v>
      </c>
      <c r="G13" s="20">
        <f>G14+G15</f>
        <v>28000</v>
      </c>
      <c r="H13" s="20">
        <f>H14+H15</f>
        <v>28000</v>
      </c>
      <c r="I13" s="20">
        <f>I14+I15</f>
        <v>27742.42</v>
      </c>
      <c r="J13" s="160">
        <f>IF(H13=0,"",I13/H13*100)</f>
        <v>99.08007142857143</v>
      </c>
    </row>
    <row r="14" spans="2:10" ht="12.75" customHeight="1">
      <c r="B14" s="14"/>
      <c r="C14" s="15"/>
      <c r="D14" s="15"/>
      <c r="E14" s="16">
        <v>612100</v>
      </c>
      <c r="F14" s="18" t="s">
        <v>8</v>
      </c>
      <c r="G14" s="46">
        <v>28000</v>
      </c>
      <c r="H14" s="46">
        <v>28000</v>
      </c>
      <c r="I14" s="46">
        <v>27742.42</v>
      </c>
      <c r="J14" s="161">
        <f>IF(H14=0,"",I14/H14*100)</f>
        <v>99.08007142857143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61">
        <f>IF(G15=0,"",I15/G15*100)</f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61">
        <f>IF(G16=0,"",I16/G16*100)</f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93</v>
      </c>
      <c r="G17" s="51">
        <f>SUM(G18:G27)</f>
        <v>37100</v>
      </c>
      <c r="H17" s="51">
        <f>SUM(H18:H27)</f>
        <v>36780</v>
      </c>
      <c r="I17" s="51">
        <f>SUM(I18:I27)</f>
        <v>33709.69</v>
      </c>
      <c r="J17" s="160">
        <f>IF(H17=0,"",I17/H17*100)</f>
        <v>91.65222947253943</v>
      </c>
    </row>
    <row r="18" spans="2:10" ht="12.75" customHeight="1">
      <c r="B18" s="14"/>
      <c r="C18" s="15"/>
      <c r="D18" s="15"/>
      <c r="E18" s="16">
        <v>613100</v>
      </c>
      <c r="F18" s="15" t="s">
        <v>9</v>
      </c>
      <c r="G18" s="46">
        <v>1800</v>
      </c>
      <c r="H18" s="46">
        <v>1800</v>
      </c>
      <c r="I18" s="46">
        <v>1265.75</v>
      </c>
      <c r="J18" s="161">
        <f aca="true" t="shared" si="0" ref="J18:J27">IF(H18=0,"",I18/H18*100)</f>
        <v>70.31944444444444</v>
      </c>
    </row>
    <row r="19" spans="2:10" ht="12.75" customHeight="1">
      <c r="B19" s="14"/>
      <c r="C19" s="15"/>
      <c r="D19" s="15"/>
      <c r="E19" s="16">
        <v>613200</v>
      </c>
      <c r="F19" s="15" t="s">
        <v>10</v>
      </c>
      <c r="G19" s="46">
        <v>6000</v>
      </c>
      <c r="H19" s="46">
        <v>6000</v>
      </c>
      <c r="I19" s="46">
        <v>4947.56</v>
      </c>
      <c r="J19" s="161">
        <f t="shared" si="0"/>
        <v>82.45933333333333</v>
      </c>
    </row>
    <row r="20" spans="2:10" ht="12.75" customHeight="1">
      <c r="B20" s="14"/>
      <c r="C20" s="15"/>
      <c r="D20" s="15"/>
      <c r="E20" s="16">
        <v>613300</v>
      </c>
      <c r="F20" s="26" t="s">
        <v>130</v>
      </c>
      <c r="G20" s="46">
        <v>6000</v>
      </c>
      <c r="H20" s="46">
        <v>6000</v>
      </c>
      <c r="I20" s="46">
        <v>5709.82</v>
      </c>
      <c r="J20" s="161">
        <f t="shared" si="0"/>
        <v>95.16366666666666</v>
      </c>
    </row>
    <row r="21" spans="2:10" ht="12.75" customHeight="1">
      <c r="B21" s="14"/>
      <c r="C21" s="15"/>
      <c r="D21" s="15"/>
      <c r="E21" s="16">
        <v>613400</v>
      </c>
      <c r="F21" s="15" t="s">
        <v>94</v>
      </c>
      <c r="G21" s="46">
        <v>1500</v>
      </c>
      <c r="H21" s="46">
        <v>1500</v>
      </c>
      <c r="I21" s="46">
        <v>1200.7</v>
      </c>
      <c r="J21" s="161">
        <f t="shared" si="0"/>
        <v>80.04666666666667</v>
      </c>
    </row>
    <row r="22" spans="2:10" ht="12.75" customHeight="1">
      <c r="B22" s="14"/>
      <c r="C22" s="15"/>
      <c r="D22" s="15"/>
      <c r="E22" s="16">
        <v>613500</v>
      </c>
      <c r="F22" s="15" t="s">
        <v>11</v>
      </c>
      <c r="G22" s="46">
        <v>5500</v>
      </c>
      <c r="H22" s="46">
        <v>5500</v>
      </c>
      <c r="I22" s="46">
        <v>4833.88</v>
      </c>
      <c r="J22" s="161">
        <f t="shared" si="0"/>
        <v>87.88872727272728</v>
      </c>
    </row>
    <row r="23" spans="2:10" ht="12.75" customHeight="1">
      <c r="B23" s="14"/>
      <c r="C23" s="15"/>
      <c r="D23" s="15"/>
      <c r="E23" s="16">
        <v>613600</v>
      </c>
      <c r="F23" s="26" t="s">
        <v>131</v>
      </c>
      <c r="G23" s="124">
        <v>0</v>
      </c>
      <c r="H23" s="124">
        <v>0</v>
      </c>
      <c r="I23" s="124">
        <v>0</v>
      </c>
      <c r="J23" s="161">
        <f t="shared" si="0"/>
      </c>
    </row>
    <row r="24" spans="2:11" ht="12.75" customHeight="1">
      <c r="B24" s="14"/>
      <c r="C24" s="15"/>
      <c r="D24" s="15"/>
      <c r="E24" s="16">
        <v>613700</v>
      </c>
      <c r="F24" s="15" t="s">
        <v>12</v>
      </c>
      <c r="G24" s="124">
        <v>2000</v>
      </c>
      <c r="H24" s="124">
        <v>3000</v>
      </c>
      <c r="I24" s="124">
        <v>2932.18</v>
      </c>
      <c r="J24" s="161">
        <f t="shared" si="0"/>
        <v>97.73933333333332</v>
      </c>
      <c r="K24" s="87"/>
    </row>
    <row r="25" spans="2:10" ht="12.75" customHeight="1">
      <c r="B25" s="14"/>
      <c r="C25" s="15"/>
      <c r="D25" s="15"/>
      <c r="E25" s="16">
        <v>613800</v>
      </c>
      <c r="F25" s="15" t="s">
        <v>95</v>
      </c>
      <c r="G25" s="124">
        <v>800</v>
      </c>
      <c r="H25" s="124">
        <v>800</v>
      </c>
      <c r="I25" s="124">
        <v>658.45</v>
      </c>
      <c r="J25" s="161">
        <f t="shared" si="0"/>
        <v>82.30625</v>
      </c>
    </row>
    <row r="26" spans="2:12" ht="12.75" customHeight="1">
      <c r="B26" s="14"/>
      <c r="C26" s="15"/>
      <c r="D26" s="15"/>
      <c r="E26" s="16">
        <v>613900</v>
      </c>
      <c r="F26" s="15" t="s">
        <v>96</v>
      </c>
      <c r="G26" s="124">
        <v>8000</v>
      </c>
      <c r="H26" s="124">
        <v>7500</v>
      </c>
      <c r="I26" s="124">
        <v>7490.71</v>
      </c>
      <c r="J26" s="161">
        <f t="shared" si="0"/>
        <v>99.87613333333334</v>
      </c>
      <c r="K26" s="87"/>
      <c r="L26" s="95"/>
    </row>
    <row r="27" spans="2:12" ht="12.75" customHeight="1">
      <c r="B27" s="14"/>
      <c r="C27" s="15"/>
      <c r="D27" s="15"/>
      <c r="E27" s="16">
        <v>613900</v>
      </c>
      <c r="F27" s="26" t="s">
        <v>143</v>
      </c>
      <c r="G27" s="124">
        <v>5500</v>
      </c>
      <c r="H27" s="124">
        <v>4680</v>
      </c>
      <c r="I27" s="124">
        <v>4670.64</v>
      </c>
      <c r="J27" s="161">
        <f t="shared" si="0"/>
        <v>99.80000000000001</v>
      </c>
      <c r="L27" s="95"/>
    </row>
    <row r="28" spans="2:10" s="1" customFormat="1" ht="12.75" customHeight="1">
      <c r="B28" s="17"/>
      <c r="C28" s="12"/>
      <c r="D28" s="12"/>
      <c r="E28" s="9"/>
      <c r="F28" s="12"/>
      <c r="G28" s="124"/>
      <c r="H28" s="124"/>
      <c r="I28" s="124"/>
      <c r="J28" s="161">
        <f aca="true" t="shared" si="1" ref="J28:J35">IF(G28=0,"",I28/G28*100)</f>
      </c>
    </row>
    <row r="29" spans="2:10" ht="12.75" customHeight="1">
      <c r="B29" s="14"/>
      <c r="C29" s="15"/>
      <c r="D29" s="31"/>
      <c r="E29" s="16"/>
      <c r="F29" s="30"/>
      <c r="G29" s="124"/>
      <c r="H29" s="124"/>
      <c r="I29" s="124"/>
      <c r="J29" s="161">
        <f t="shared" si="1"/>
      </c>
    </row>
    <row r="30" spans="2:10" ht="12.75" customHeight="1">
      <c r="B30" s="14"/>
      <c r="C30" s="15"/>
      <c r="D30" s="15"/>
      <c r="E30" s="63"/>
      <c r="F30" s="30"/>
      <c r="G30" s="124"/>
      <c r="H30" s="124"/>
      <c r="I30" s="124"/>
      <c r="J30" s="161">
        <f t="shared" si="1"/>
      </c>
    </row>
    <row r="31" spans="2:10" ht="12.75" customHeight="1">
      <c r="B31" s="14"/>
      <c r="C31" s="15"/>
      <c r="D31" s="15"/>
      <c r="E31" s="16"/>
      <c r="F31" s="15"/>
      <c r="G31" s="124"/>
      <c r="H31" s="124"/>
      <c r="I31" s="124"/>
      <c r="J31" s="161">
        <f t="shared" si="1"/>
      </c>
    </row>
    <row r="32" spans="2:10" ht="12.75" customHeight="1">
      <c r="B32" s="14"/>
      <c r="C32" s="15"/>
      <c r="D32" s="15"/>
      <c r="E32" s="16"/>
      <c r="F32" s="15"/>
      <c r="G32" s="124"/>
      <c r="H32" s="124"/>
      <c r="I32" s="124"/>
      <c r="J32" s="161">
        <f t="shared" si="1"/>
      </c>
    </row>
    <row r="33" spans="2:10" ht="12.75" customHeight="1">
      <c r="B33" s="14"/>
      <c r="C33" s="15"/>
      <c r="D33" s="15"/>
      <c r="E33" s="9"/>
      <c r="F33" s="12"/>
      <c r="G33" s="124"/>
      <c r="H33" s="124"/>
      <c r="I33" s="124"/>
      <c r="J33" s="161">
        <f t="shared" si="1"/>
      </c>
    </row>
    <row r="34" spans="2:10" ht="12.75" customHeight="1">
      <c r="B34" s="14"/>
      <c r="C34" s="15"/>
      <c r="D34" s="15"/>
      <c r="E34" s="16"/>
      <c r="F34" s="26"/>
      <c r="G34" s="124"/>
      <c r="H34" s="124"/>
      <c r="I34" s="124"/>
      <c r="J34" s="161">
        <f t="shared" si="1"/>
      </c>
    </row>
    <row r="35" spans="2:10" ht="12.75" customHeight="1">
      <c r="B35" s="14"/>
      <c r="C35" s="15"/>
      <c r="D35" s="15"/>
      <c r="E35" s="16"/>
      <c r="F35" s="15"/>
      <c r="G35" s="115"/>
      <c r="H35" s="115"/>
      <c r="I35" s="115"/>
      <c r="J35" s="161">
        <f t="shared" si="1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15</v>
      </c>
      <c r="G36" s="115">
        <f>SUM(G37:G39)</f>
        <v>0</v>
      </c>
      <c r="H36" s="115">
        <f>SUM(H37:H39)</f>
        <v>600</v>
      </c>
      <c r="I36" s="115">
        <f>SUM(I37:I39)</f>
        <v>537.49</v>
      </c>
      <c r="J36" s="160">
        <f>IF(H36=0,"",I36/H36*100)</f>
        <v>89.58166666666668</v>
      </c>
    </row>
    <row r="37" spans="2:10" ht="12.75" customHeight="1">
      <c r="B37" s="14"/>
      <c r="C37" s="15"/>
      <c r="D37" s="15"/>
      <c r="E37" s="16">
        <v>821200</v>
      </c>
      <c r="F37" s="15" t="s">
        <v>16</v>
      </c>
      <c r="G37" s="124">
        <v>0</v>
      </c>
      <c r="H37" s="124">
        <v>0</v>
      </c>
      <c r="I37" s="124">
        <v>0</v>
      </c>
      <c r="J37" s="161">
        <f>IF(H37=0,"",I37/H37*100)</f>
      </c>
    </row>
    <row r="38" spans="2:10" ht="12.75" customHeight="1">
      <c r="B38" s="14"/>
      <c r="C38" s="15"/>
      <c r="D38" s="15"/>
      <c r="E38" s="16">
        <v>821300</v>
      </c>
      <c r="F38" s="15" t="s">
        <v>17</v>
      </c>
      <c r="G38" s="124">
        <v>0</v>
      </c>
      <c r="H38" s="124">
        <v>600</v>
      </c>
      <c r="I38" s="124">
        <v>537.49</v>
      </c>
      <c r="J38" s="161">
        <f>IF(H38=0,"",I38/H38*100)</f>
        <v>89.58166666666668</v>
      </c>
    </row>
    <row r="39" spans="2:10" ht="12.75" customHeight="1">
      <c r="B39" s="14"/>
      <c r="C39" s="15"/>
      <c r="D39" s="15"/>
      <c r="E39" s="16"/>
      <c r="F39" s="26"/>
      <c r="G39" s="124"/>
      <c r="H39" s="124"/>
      <c r="I39" s="124"/>
      <c r="J39" s="161"/>
    </row>
    <row r="40" spans="2:10" ht="12.75" customHeight="1">
      <c r="B40" s="14"/>
      <c r="C40" s="15"/>
      <c r="D40" s="15"/>
      <c r="E40" s="16"/>
      <c r="F40" s="15"/>
      <c r="G40" s="124"/>
      <c r="H40" s="124"/>
      <c r="I40" s="124"/>
      <c r="J40" s="161"/>
    </row>
    <row r="41" spans="2:10" s="1" customFormat="1" ht="12.75" customHeight="1">
      <c r="B41" s="17"/>
      <c r="C41" s="12"/>
      <c r="D41" s="12"/>
      <c r="E41" s="9"/>
      <c r="F41" s="12" t="s">
        <v>18</v>
      </c>
      <c r="G41" s="20">
        <v>12</v>
      </c>
      <c r="H41" s="20">
        <v>12</v>
      </c>
      <c r="I41" s="20">
        <v>12</v>
      </c>
      <c r="J41" s="161"/>
    </row>
    <row r="42" spans="2:10" s="1" customFormat="1" ht="12.75" customHeight="1">
      <c r="B42" s="17"/>
      <c r="C42" s="12"/>
      <c r="D42" s="12"/>
      <c r="E42" s="9"/>
      <c r="F42" s="12" t="s">
        <v>40</v>
      </c>
      <c r="G42" s="20">
        <f>G7+G13+G17+G36</f>
        <v>380620</v>
      </c>
      <c r="H42" s="20">
        <f>H7+H13+H17+H36</f>
        <v>380900</v>
      </c>
      <c r="I42" s="20">
        <f>I7+I13+I17+I36</f>
        <v>372646.17</v>
      </c>
      <c r="J42" s="160">
        <f>IF(H42=0,"",I42/H42*100)</f>
        <v>97.83307167235495</v>
      </c>
    </row>
    <row r="43" spans="2:10" s="1" customFormat="1" ht="12.75" customHeight="1">
      <c r="B43" s="17"/>
      <c r="C43" s="12"/>
      <c r="D43" s="12"/>
      <c r="E43" s="9"/>
      <c r="F43" s="12" t="s">
        <v>19</v>
      </c>
      <c r="G43" s="20">
        <f aca="true" t="shared" si="2" ref="G43:I44">G42</f>
        <v>380620</v>
      </c>
      <c r="H43" s="20">
        <f t="shared" si="2"/>
        <v>380900</v>
      </c>
      <c r="I43" s="20">
        <f t="shared" si="2"/>
        <v>372646.17</v>
      </c>
      <c r="J43" s="160">
        <f>IF(H43=0,"",I43/H43*100)</f>
        <v>97.83307167235495</v>
      </c>
    </row>
    <row r="44" spans="2:10" s="1" customFormat="1" ht="12.75" customHeight="1">
      <c r="B44" s="17"/>
      <c r="C44" s="12"/>
      <c r="D44" s="12"/>
      <c r="E44" s="9"/>
      <c r="F44" s="12" t="s">
        <v>20</v>
      </c>
      <c r="G44" s="20">
        <f t="shared" si="2"/>
        <v>380620</v>
      </c>
      <c r="H44" s="20">
        <f t="shared" si="2"/>
        <v>380900</v>
      </c>
      <c r="I44" s="20">
        <f t="shared" si="2"/>
        <v>372646.17</v>
      </c>
      <c r="J44" s="160">
        <f>IF(H44=0,"",I44/H44*100)</f>
        <v>97.83307167235495</v>
      </c>
    </row>
    <row r="45" spans="2:10" ht="12.75" customHeight="1" thickBot="1">
      <c r="B45" s="21"/>
      <c r="C45" s="22"/>
      <c r="D45" s="22"/>
      <c r="E45" s="23"/>
      <c r="F45" s="22"/>
      <c r="G45" s="47"/>
      <c r="H45" s="47"/>
      <c r="I45" s="47"/>
      <c r="J45" s="164"/>
    </row>
    <row r="47" ht="12.75">
      <c r="B47" s="87"/>
    </row>
  </sheetData>
  <sheetProtection/>
  <mergeCells count="2">
    <mergeCell ref="B2:G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77" r:id="rId1"/>
  <headerFooter alignWithMargins="0">
    <oddFooter>&amp;R46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1.8515625" style="58" customWidth="1"/>
    <col min="2" max="2" width="82.28125" style="0" customWidth="1"/>
    <col min="3" max="11" width="10.7109375" style="0" customWidth="1"/>
    <col min="12" max="12" width="11.421875" style="71" customWidth="1"/>
  </cols>
  <sheetData>
    <row r="2" spans="1:12" ht="15.75">
      <c r="A2" s="391" t="s">
        <v>591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4" spans="1:12" s="71" customFormat="1" ht="51">
      <c r="A4" s="332" t="s">
        <v>470</v>
      </c>
      <c r="B4" s="333" t="s">
        <v>489</v>
      </c>
      <c r="C4" s="332" t="s">
        <v>482</v>
      </c>
      <c r="D4" s="332" t="s">
        <v>483</v>
      </c>
      <c r="E4" s="332" t="s">
        <v>490</v>
      </c>
      <c r="F4" s="332" t="s">
        <v>491</v>
      </c>
      <c r="G4" s="332" t="s">
        <v>484</v>
      </c>
      <c r="H4" s="332" t="s">
        <v>485</v>
      </c>
      <c r="I4" s="332" t="s">
        <v>486</v>
      </c>
      <c r="J4" s="332" t="s">
        <v>492</v>
      </c>
      <c r="K4" s="332" t="s">
        <v>487</v>
      </c>
      <c r="L4" s="332" t="s">
        <v>488</v>
      </c>
    </row>
    <row r="5" spans="1:12" ht="15.75" customHeight="1">
      <c r="A5" s="326">
        <v>10010001</v>
      </c>
      <c r="B5" s="30" t="s">
        <v>169</v>
      </c>
      <c r="C5" s="324">
        <f>1!I8</f>
        <v>294282.94</v>
      </c>
      <c r="D5" s="324">
        <f>1!I9+1!I10</f>
        <v>66367.72</v>
      </c>
      <c r="E5" s="324">
        <f>1!I12</f>
        <v>30899.7</v>
      </c>
      <c r="F5" s="324">
        <f>1!I16</f>
        <v>252688.53</v>
      </c>
      <c r="G5" s="324">
        <f>1!I28</f>
        <v>159999.66</v>
      </c>
      <c r="H5" s="324">
        <v>0</v>
      </c>
      <c r="I5" s="30">
        <v>0</v>
      </c>
      <c r="J5" s="324">
        <f>1!I36</f>
        <v>7590.79</v>
      </c>
      <c r="K5" s="30">
        <v>0</v>
      </c>
      <c r="L5" s="325">
        <f>SUM(C5:K5)</f>
        <v>811829.3400000001</v>
      </c>
    </row>
    <row r="6" spans="1:12" ht="15.75" customHeight="1">
      <c r="A6" s="326">
        <v>10010002</v>
      </c>
      <c r="B6" s="30" t="s">
        <v>471</v>
      </c>
      <c r="C6" s="324">
        <f>2!I8</f>
        <v>36463.59</v>
      </c>
      <c r="D6" s="324">
        <f>2!I9+2!I10</f>
        <v>11540</v>
      </c>
      <c r="E6" s="324">
        <f>2!I13</f>
        <v>3828.64</v>
      </c>
      <c r="F6" s="324">
        <f>2!I17</f>
        <v>2857.11</v>
      </c>
      <c r="G6" s="30">
        <v>0</v>
      </c>
      <c r="H6" s="30">
        <v>0</v>
      </c>
      <c r="I6" s="30">
        <v>0</v>
      </c>
      <c r="J6" s="324">
        <f>2!I36</f>
        <v>0</v>
      </c>
      <c r="K6" s="30">
        <v>0</v>
      </c>
      <c r="L6" s="325">
        <f aca="true" t="shared" si="0" ref="L6:L41">SUM(C6:K6)</f>
        <v>54689.34</v>
      </c>
    </row>
    <row r="7" spans="1:12" ht="15.75" customHeight="1">
      <c r="A7" s="326">
        <v>11010001</v>
      </c>
      <c r="B7" s="30" t="s">
        <v>170</v>
      </c>
      <c r="C7" s="324">
        <f>3!I13</f>
        <v>145503.77</v>
      </c>
      <c r="D7" s="324">
        <f>3!I14+3!I15</f>
        <v>41506.91</v>
      </c>
      <c r="E7" s="324">
        <f>3!I18</f>
        <v>14511.43</v>
      </c>
      <c r="F7" s="324">
        <f>3!I22</f>
        <v>241239.19</v>
      </c>
      <c r="G7" s="324">
        <f>3!I35</f>
        <v>554576.62</v>
      </c>
      <c r="H7" s="324">
        <f>3!I45</f>
        <v>245500</v>
      </c>
      <c r="I7" s="30">
        <v>0</v>
      </c>
      <c r="J7" s="324">
        <f>3!I48</f>
        <v>6217.84</v>
      </c>
      <c r="K7" s="30">
        <v>0</v>
      </c>
      <c r="L7" s="325">
        <f t="shared" si="0"/>
        <v>1249055.76</v>
      </c>
    </row>
    <row r="8" spans="1:12" ht="15.75" customHeight="1">
      <c r="A8" s="326">
        <v>11010002</v>
      </c>
      <c r="B8" s="30" t="s">
        <v>171</v>
      </c>
      <c r="C8" s="324">
        <f>4!I8</f>
        <v>0</v>
      </c>
      <c r="D8" s="324">
        <f>4!I9+4!I10</f>
        <v>3242</v>
      </c>
      <c r="E8" s="324">
        <f>4!I13</f>
        <v>0</v>
      </c>
      <c r="F8" s="324">
        <f>4!I17</f>
        <v>17800.61</v>
      </c>
      <c r="G8" s="324">
        <f>4!I29</f>
        <v>0</v>
      </c>
      <c r="H8" s="30">
        <v>0</v>
      </c>
      <c r="I8" s="30">
        <v>0</v>
      </c>
      <c r="J8" s="324">
        <f>4!I37</f>
        <v>0</v>
      </c>
      <c r="K8" s="30">
        <v>0</v>
      </c>
      <c r="L8" s="325">
        <f t="shared" si="0"/>
        <v>21042.61</v>
      </c>
    </row>
    <row r="9" spans="1:12" ht="15.75" customHeight="1">
      <c r="A9" s="326">
        <v>11010003</v>
      </c>
      <c r="B9" s="30" t="s">
        <v>172</v>
      </c>
      <c r="C9" s="324">
        <f>5!I8</f>
        <v>26194.17</v>
      </c>
      <c r="D9" s="324">
        <f>5!I9+5!I10</f>
        <v>3623.0699999999997</v>
      </c>
      <c r="E9" s="324">
        <f>5!I13</f>
        <v>2750.39</v>
      </c>
      <c r="F9" s="324">
        <f>5!I17</f>
        <v>3939.72</v>
      </c>
      <c r="G9" s="30">
        <v>0</v>
      </c>
      <c r="H9" s="30">
        <v>0</v>
      </c>
      <c r="I9" s="30">
        <v>0</v>
      </c>
      <c r="J9" s="324">
        <f>5!I36</f>
        <v>0</v>
      </c>
      <c r="K9" s="30">
        <v>0</v>
      </c>
      <c r="L9" s="325">
        <f t="shared" si="0"/>
        <v>36507.35</v>
      </c>
    </row>
    <row r="10" spans="1:12" ht="15.75" customHeight="1">
      <c r="A10" s="326">
        <v>11010004</v>
      </c>
      <c r="B10" s="30" t="s">
        <v>174</v>
      </c>
      <c r="C10" s="324">
        <f>6!I8</f>
        <v>58134.31</v>
      </c>
      <c r="D10" s="324">
        <f>6!I9+6!I10</f>
        <v>12133.6</v>
      </c>
      <c r="E10" s="324">
        <f>6!I13</f>
        <v>6104.07</v>
      </c>
      <c r="F10" s="324">
        <f>6!I17</f>
        <v>10516.55</v>
      </c>
      <c r="G10" s="30">
        <v>0</v>
      </c>
      <c r="H10" s="30">
        <v>0</v>
      </c>
      <c r="I10" s="30">
        <v>0</v>
      </c>
      <c r="J10" s="324">
        <f>6!I36</f>
        <v>643.49</v>
      </c>
      <c r="K10" s="30">
        <v>0</v>
      </c>
      <c r="L10" s="325">
        <f t="shared" si="0"/>
        <v>87532.02000000002</v>
      </c>
    </row>
    <row r="11" spans="1:12" ht="15.75" customHeight="1">
      <c r="A11" s="326">
        <v>11010005</v>
      </c>
      <c r="B11" s="30" t="s">
        <v>264</v>
      </c>
      <c r="C11" s="324">
        <f>7!I8</f>
        <v>18316.2</v>
      </c>
      <c r="D11" s="324">
        <f>7!I9+7!I10</f>
        <v>6031</v>
      </c>
      <c r="E11" s="324">
        <f>7!I13</f>
        <v>1923.19</v>
      </c>
      <c r="F11" s="324">
        <f>7!I17</f>
        <v>1532.88</v>
      </c>
      <c r="G11" s="30">
        <v>0</v>
      </c>
      <c r="H11" s="30">
        <v>0</v>
      </c>
      <c r="I11" s="30">
        <v>0</v>
      </c>
      <c r="J11" s="324">
        <f>7!I36</f>
        <v>0</v>
      </c>
      <c r="K11" s="30">
        <v>0</v>
      </c>
      <c r="L11" s="325">
        <f t="shared" si="0"/>
        <v>27803.27</v>
      </c>
    </row>
    <row r="12" spans="1:12" ht="15.75" customHeight="1">
      <c r="A12" s="326">
        <v>12010001</v>
      </c>
      <c r="B12" s="30" t="s">
        <v>175</v>
      </c>
      <c r="C12" s="324">
        <f>8!I8</f>
        <v>153408.77</v>
      </c>
      <c r="D12" s="324">
        <f>8!I9+8!I10</f>
        <v>56302</v>
      </c>
      <c r="E12" s="324">
        <f>8!I13</f>
        <v>16107.93</v>
      </c>
      <c r="F12" s="324">
        <f>8!I17</f>
        <v>360997.36000000004</v>
      </c>
      <c r="G12" s="30">
        <v>0</v>
      </c>
      <c r="H12" s="30">
        <v>0</v>
      </c>
      <c r="I12" s="30">
        <v>0</v>
      </c>
      <c r="J12" s="324">
        <f>8!I36</f>
        <v>8585.94</v>
      </c>
      <c r="K12" s="30">
        <v>0</v>
      </c>
      <c r="L12" s="325">
        <f t="shared" si="0"/>
        <v>595402</v>
      </c>
    </row>
    <row r="13" spans="1:12" ht="15.75" customHeight="1">
      <c r="A13" s="326">
        <v>13010001</v>
      </c>
      <c r="B13" s="30" t="s">
        <v>469</v>
      </c>
      <c r="C13" s="324">
        <f>9!I8</f>
        <v>3437309.86</v>
      </c>
      <c r="D13" s="324">
        <f>9!I9+9!I10</f>
        <v>791898.47</v>
      </c>
      <c r="E13" s="324">
        <f>9!I13</f>
        <v>527414.12</v>
      </c>
      <c r="F13" s="324">
        <f>9!I17</f>
        <v>848382.52</v>
      </c>
      <c r="G13" s="30">
        <v>0</v>
      </c>
      <c r="H13" s="30">
        <v>0</v>
      </c>
      <c r="I13" s="30">
        <v>0</v>
      </c>
      <c r="J13" s="324">
        <f>9!I36</f>
        <v>91973.69</v>
      </c>
      <c r="K13" s="30">
        <v>0</v>
      </c>
      <c r="L13" s="325">
        <f t="shared" si="0"/>
        <v>5696978.660000001</v>
      </c>
    </row>
    <row r="14" spans="1:12" ht="15.75" customHeight="1">
      <c r="A14" s="326">
        <v>14010001</v>
      </c>
      <c r="B14" s="30" t="s">
        <v>177</v>
      </c>
      <c r="C14" s="324">
        <f>'10'!I8</f>
        <v>38207.68</v>
      </c>
      <c r="D14" s="324">
        <f>'10'!I9+'10'!I10</f>
        <v>8076</v>
      </c>
      <c r="E14" s="324">
        <f>'10'!I13</f>
        <v>4011.84</v>
      </c>
      <c r="F14" s="324">
        <f>'10'!I17</f>
        <v>26193.2</v>
      </c>
      <c r="G14" s="30">
        <v>0</v>
      </c>
      <c r="H14" s="30">
        <v>0</v>
      </c>
      <c r="I14" s="30">
        <v>0</v>
      </c>
      <c r="J14" s="324">
        <f>'10'!I36</f>
        <v>1985.85</v>
      </c>
      <c r="K14" s="30">
        <v>0</v>
      </c>
      <c r="L14" s="325">
        <f t="shared" si="0"/>
        <v>78474.57</v>
      </c>
    </row>
    <row r="15" spans="1:12" ht="15.75" customHeight="1">
      <c r="A15" s="326">
        <v>14020003</v>
      </c>
      <c r="B15" s="30" t="s">
        <v>178</v>
      </c>
      <c r="C15" s="324">
        <f>'11'!I8</f>
        <v>892584.62</v>
      </c>
      <c r="D15" s="324">
        <f>'11'!I9+'11'!I10</f>
        <v>192288.4</v>
      </c>
      <c r="E15" s="324">
        <f>'11'!I13</f>
        <v>93721.38</v>
      </c>
      <c r="F15" s="324">
        <f>'11'!I17</f>
        <v>337432.80999999994</v>
      </c>
      <c r="G15" s="30">
        <v>0</v>
      </c>
      <c r="H15" s="30">
        <v>0</v>
      </c>
      <c r="I15" s="30">
        <v>0</v>
      </c>
      <c r="J15" s="324">
        <f>'11'!I36</f>
        <v>4975.5</v>
      </c>
      <c r="K15" s="30">
        <v>0</v>
      </c>
      <c r="L15" s="325">
        <f t="shared" si="0"/>
        <v>1521002.71</v>
      </c>
    </row>
    <row r="16" spans="1:12" ht="15.75" customHeight="1">
      <c r="A16" s="326">
        <v>14050001</v>
      </c>
      <c r="B16" s="30" t="s">
        <v>179</v>
      </c>
      <c r="C16" s="324">
        <f>'12'!I8</f>
        <v>25499.52</v>
      </c>
      <c r="D16" s="324">
        <f>'12'!I9+'12'!I10</f>
        <v>5938</v>
      </c>
      <c r="E16" s="324">
        <f>'12'!I13</f>
        <v>2677.5</v>
      </c>
      <c r="F16" s="324">
        <f>'12'!I17</f>
        <v>4478.92</v>
      </c>
      <c r="G16" s="30">
        <v>0</v>
      </c>
      <c r="H16" s="30">
        <v>0</v>
      </c>
      <c r="I16" s="30">
        <v>0</v>
      </c>
      <c r="J16" s="324">
        <f>'12'!I36</f>
        <v>933.68</v>
      </c>
      <c r="K16" s="30">
        <v>0</v>
      </c>
      <c r="L16" s="325">
        <f t="shared" si="0"/>
        <v>39527.62</v>
      </c>
    </row>
    <row r="17" spans="1:12" ht="15.75" customHeight="1">
      <c r="A17" s="326">
        <v>14050002</v>
      </c>
      <c r="B17" s="30" t="s">
        <v>180</v>
      </c>
      <c r="C17" s="324">
        <f>'13'!I8</f>
        <v>34501.64</v>
      </c>
      <c r="D17" s="324">
        <f>'13'!I9+'13'!I10</f>
        <v>6352</v>
      </c>
      <c r="E17" s="324">
        <f>'13'!I13</f>
        <v>3622.71</v>
      </c>
      <c r="F17" s="324">
        <f>'13'!I17</f>
        <v>3529.48</v>
      </c>
      <c r="G17" s="30">
        <v>0</v>
      </c>
      <c r="H17" s="30">
        <v>0</v>
      </c>
      <c r="I17" s="30">
        <v>0</v>
      </c>
      <c r="J17" s="324">
        <f>'13'!I36</f>
        <v>499.59</v>
      </c>
      <c r="K17" s="30">
        <v>0</v>
      </c>
      <c r="L17" s="325">
        <f t="shared" si="0"/>
        <v>48505.42</v>
      </c>
    </row>
    <row r="18" spans="1:12" ht="15.75" customHeight="1">
      <c r="A18" s="326">
        <v>14060001</v>
      </c>
      <c r="B18" s="30" t="s">
        <v>181</v>
      </c>
      <c r="C18" s="324">
        <f>'14'!I8</f>
        <v>47683.86</v>
      </c>
      <c r="D18" s="324">
        <f>'14'!I9+'14'!I10</f>
        <v>7976</v>
      </c>
      <c r="E18" s="324">
        <f>'14'!I13</f>
        <v>5006.77</v>
      </c>
      <c r="F18" s="324">
        <f>'14'!I17</f>
        <v>7658.16</v>
      </c>
      <c r="G18" s="30">
        <v>0</v>
      </c>
      <c r="H18" s="30">
        <v>0</v>
      </c>
      <c r="I18" s="30">
        <v>0</v>
      </c>
      <c r="J18" s="324">
        <f>'14'!I36</f>
        <v>0</v>
      </c>
      <c r="K18" s="30">
        <v>0</v>
      </c>
      <c r="L18" s="325">
        <f t="shared" si="0"/>
        <v>68324.79000000001</v>
      </c>
    </row>
    <row r="19" spans="1:12" ht="15.75" customHeight="1">
      <c r="A19" s="326">
        <v>15010001</v>
      </c>
      <c r="B19" s="30" t="s">
        <v>182</v>
      </c>
      <c r="C19" s="324">
        <f>'15'!I8</f>
        <v>146717.51</v>
      </c>
      <c r="D19" s="324">
        <f>'15'!I9+'15'!I10</f>
        <v>34634</v>
      </c>
      <c r="E19" s="324">
        <f>'15'!I13</f>
        <v>15405.35</v>
      </c>
      <c r="F19" s="324">
        <f>'15'!I17</f>
        <v>30224.28</v>
      </c>
      <c r="G19" s="324">
        <f>'15'!I30</f>
        <v>160704</v>
      </c>
      <c r="H19" s="30">
        <v>0</v>
      </c>
      <c r="I19" s="30">
        <v>0</v>
      </c>
      <c r="J19" s="324">
        <f>'15'!I33</f>
        <v>1652</v>
      </c>
      <c r="K19" s="30">
        <v>0</v>
      </c>
      <c r="L19" s="325">
        <f t="shared" si="0"/>
        <v>389337.14</v>
      </c>
    </row>
    <row r="20" spans="1:12" ht="15.75" customHeight="1">
      <c r="A20" s="326">
        <v>16010001</v>
      </c>
      <c r="B20" s="30" t="s">
        <v>183</v>
      </c>
      <c r="C20" s="324">
        <f>'16'!I11</f>
        <v>239530.28</v>
      </c>
      <c r="D20" s="324">
        <f>'16'!I12+'16'!I13</f>
        <v>53175</v>
      </c>
      <c r="E20" s="324">
        <f>'16'!I16</f>
        <v>25221</v>
      </c>
      <c r="F20" s="324">
        <f>'16'!I20</f>
        <v>125292.54000000001</v>
      </c>
      <c r="G20" s="324">
        <f>'16'!I33</f>
        <v>627991.89</v>
      </c>
      <c r="H20" s="30">
        <v>0</v>
      </c>
      <c r="I20" s="324">
        <f>'16'!I37</f>
        <v>98613.86</v>
      </c>
      <c r="J20" s="324">
        <f>'16'!I42</f>
        <v>3614.13</v>
      </c>
      <c r="K20" s="324">
        <f>'16'!I46</f>
        <v>1730769.25</v>
      </c>
      <c r="L20" s="325">
        <f t="shared" si="0"/>
        <v>2904207.95</v>
      </c>
    </row>
    <row r="21" spans="1:12" ht="15.75" customHeight="1">
      <c r="A21" s="326">
        <v>17010001</v>
      </c>
      <c r="B21" s="30" t="s">
        <v>184</v>
      </c>
      <c r="C21" s="324">
        <f>'17'!I8</f>
        <v>155071.62</v>
      </c>
      <c r="D21" s="324">
        <f>'17'!I9+'17'!I10</f>
        <v>36130.5</v>
      </c>
      <c r="E21" s="324">
        <f>'17'!I13</f>
        <v>16282.52</v>
      </c>
      <c r="F21" s="324">
        <f>'17'!I17</f>
        <v>69908.94</v>
      </c>
      <c r="G21" s="324">
        <f>'17'!I29</f>
        <v>1627947.72</v>
      </c>
      <c r="H21" s="324">
        <f>'17'!I33</f>
        <v>28880</v>
      </c>
      <c r="I21" s="30">
        <v>0</v>
      </c>
      <c r="J21" s="324">
        <f>'17'!I36</f>
        <v>0</v>
      </c>
      <c r="K21" s="30">
        <v>0</v>
      </c>
      <c r="L21" s="325">
        <f t="shared" si="0"/>
        <v>1934221.2999999998</v>
      </c>
    </row>
    <row r="22" spans="1:12" ht="15.75" customHeight="1">
      <c r="A22" s="326">
        <v>18010001</v>
      </c>
      <c r="B22" s="30" t="s">
        <v>185</v>
      </c>
      <c r="C22" s="324">
        <f>'18'!I8</f>
        <v>194500.92</v>
      </c>
      <c r="D22" s="324">
        <f>'18'!I9+'18'!I10</f>
        <v>40214</v>
      </c>
      <c r="E22" s="324">
        <f>'18'!I13</f>
        <v>20422.6</v>
      </c>
      <c r="F22" s="324">
        <f>'18'!I17</f>
        <v>479306.25</v>
      </c>
      <c r="G22" s="324">
        <f>'18'!I30</f>
        <v>100000</v>
      </c>
      <c r="H22" s="30">
        <v>0</v>
      </c>
      <c r="I22" s="30">
        <v>0</v>
      </c>
      <c r="J22" s="324">
        <f>'18'!I37</f>
        <v>841470.99</v>
      </c>
      <c r="K22" s="30">
        <v>0</v>
      </c>
      <c r="L22" s="325">
        <f t="shared" si="0"/>
        <v>1675914.76</v>
      </c>
    </row>
    <row r="23" spans="1:12" ht="15.75" customHeight="1">
      <c r="A23" s="326">
        <v>19010001</v>
      </c>
      <c r="B23" s="30" t="s">
        <v>186</v>
      </c>
      <c r="C23" s="324">
        <f>'19'!I8</f>
        <v>359362.27</v>
      </c>
      <c r="D23" s="324">
        <f>'19'!I9+'19'!I10</f>
        <v>88588</v>
      </c>
      <c r="E23" s="324">
        <f>'19'!I13</f>
        <v>37733.05</v>
      </c>
      <c r="F23" s="324">
        <f>'19'!I17</f>
        <v>74827.35</v>
      </c>
      <c r="G23" s="324">
        <f>'19'!I29</f>
        <v>1612500.82</v>
      </c>
      <c r="H23" s="30">
        <v>0</v>
      </c>
      <c r="I23" s="30">
        <v>0</v>
      </c>
      <c r="J23" s="324">
        <f>'19'!I36</f>
        <v>515</v>
      </c>
      <c r="K23" s="30">
        <v>0</v>
      </c>
      <c r="L23" s="325">
        <f t="shared" si="0"/>
        <v>2173526.49</v>
      </c>
    </row>
    <row r="24" spans="1:12" ht="15.75" customHeight="1">
      <c r="A24" s="326">
        <v>20010001</v>
      </c>
      <c r="B24" s="30" t="s">
        <v>187</v>
      </c>
      <c r="C24" s="324">
        <f>'20'!I8</f>
        <v>204566.14</v>
      </c>
      <c r="D24" s="324">
        <f>'20'!I9+'20'!I10</f>
        <v>31395</v>
      </c>
      <c r="E24" s="324">
        <f>'20'!I13</f>
        <v>21479.47</v>
      </c>
      <c r="F24" s="324">
        <f>'20'!I17</f>
        <v>107479.31999999999</v>
      </c>
      <c r="G24" s="324">
        <f>'20'!I31</f>
        <v>924000</v>
      </c>
      <c r="H24" s="324">
        <f>'20'!I40</f>
        <v>0</v>
      </c>
      <c r="I24" s="324">
        <f>'20'!I43</f>
        <v>15138.78</v>
      </c>
      <c r="J24" s="324">
        <f>'20'!I46</f>
        <v>106405.6</v>
      </c>
      <c r="K24" s="324">
        <f>'20'!I50</f>
        <v>70908.31</v>
      </c>
      <c r="L24" s="325">
        <f t="shared" si="0"/>
        <v>1481372.62</v>
      </c>
    </row>
    <row r="25" spans="1:12" ht="15.75" customHeight="1">
      <c r="A25" s="326">
        <v>20020002</v>
      </c>
      <c r="B25" s="30" t="s">
        <v>472</v>
      </c>
      <c r="C25" s="324">
        <f>'21'!I8</f>
        <v>919146.75</v>
      </c>
      <c r="D25" s="324">
        <f>'21'!I9+'21'!I10</f>
        <v>200404</v>
      </c>
      <c r="E25" s="324">
        <f>'21'!I13</f>
        <v>96510.41</v>
      </c>
      <c r="F25" s="324">
        <f>'21'!I17</f>
        <v>177936.84000000003</v>
      </c>
      <c r="G25" s="30">
        <v>0</v>
      </c>
      <c r="H25" s="30">
        <v>0</v>
      </c>
      <c r="I25" s="30">
        <v>0</v>
      </c>
      <c r="J25" s="324">
        <f>'21'!I36</f>
        <v>13122.380000000001</v>
      </c>
      <c r="K25" s="30">
        <v>0</v>
      </c>
      <c r="L25" s="325">
        <f t="shared" si="0"/>
        <v>1407120.38</v>
      </c>
    </row>
    <row r="26" spans="1:12" ht="15.75" customHeight="1">
      <c r="A26" s="326">
        <v>20020003</v>
      </c>
      <c r="B26" s="30" t="s">
        <v>473</v>
      </c>
      <c r="C26" s="324">
        <f>'22'!I8</f>
        <v>843994.24</v>
      </c>
      <c r="D26" s="324">
        <f>'22'!I9+'22'!I10</f>
        <v>187480.4</v>
      </c>
      <c r="E26" s="324">
        <f>'22'!I13</f>
        <v>88619.43</v>
      </c>
      <c r="F26" s="324">
        <f>'22'!I17</f>
        <v>141271.78</v>
      </c>
      <c r="G26" s="30">
        <v>0</v>
      </c>
      <c r="H26" s="30">
        <v>0</v>
      </c>
      <c r="I26" s="30">
        <v>0</v>
      </c>
      <c r="J26" s="324">
        <f>'22'!I36</f>
        <v>5999.25</v>
      </c>
      <c r="K26" s="30">
        <v>0</v>
      </c>
      <c r="L26" s="325">
        <f t="shared" si="0"/>
        <v>1267365.1</v>
      </c>
    </row>
    <row r="27" spans="1:12" ht="15.75" customHeight="1">
      <c r="A27" s="326">
        <v>20020004</v>
      </c>
      <c r="B27" s="30" t="s">
        <v>474</v>
      </c>
      <c r="C27" s="324">
        <f>'23'!I8</f>
        <v>640482.08</v>
      </c>
      <c r="D27" s="324">
        <f>'23'!I9+'23'!I10</f>
        <v>140905.8</v>
      </c>
      <c r="E27" s="324">
        <f>'23'!I13</f>
        <v>67156.4</v>
      </c>
      <c r="F27" s="324">
        <f>'23'!I17</f>
        <v>139808.53</v>
      </c>
      <c r="G27" s="30">
        <v>0</v>
      </c>
      <c r="H27" s="30">
        <v>0</v>
      </c>
      <c r="I27" s="30">
        <v>0</v>
      </c>
      <c r="J27" s="324">
        <f>'23'!I36</f>
        <v>5637.17</v>
      </c>
      <c r="K27" s="30">
        <v>0</v>
      </c>
      <c r="L27" s="325">
        <f t="shared" si="0"/>
        <v>993989.98</v>
      </c>
    </row>
    <row r="28" spans="1:12" ht="15.75" customHeight="1">
      <c r="A28" s="326">
        <v>20030001</v>
      </c>
      <c r="B28" s="30" t="s">
        <v>475</v>
      </c>
      <c r="C28" s="324">
        <f>'24'!I8</f>
        <v>794733.11</v>
      </c>
      <c r="D28" s="324">
        <f>'24'!I9+'24'!I10</f>
        <v>166635.09</v>
      </c>
      <c r="E28" s="324">
        <f>'24'!I13</f>
        <v>83446.97</v>
      </c>
      <c r="F28" s="324">
        <f>'24'!I17</f>
        <v>99543.73999999999</v>
      </c>
      <c r="G28" s="30">
        <v>0</v>
      </c>
      <c r="H28" s="30">
        <v>0</v>
      </c>
      <c r="I28" s="30">
        <v>0</v>
      </c>
      <c r="J28" s="324">
        <f>'24'!I36</f>
        <v>23949.120000000003</v>
      </c>
      <c r="K28" s="30">
        <v>0</v>
      </c>
      <c r="L28" s="325">
        <f t="shared" si="0"/>
        <v>1168308.03</v>
      </c>
    </row>
    <row r="29" spans="1:12" ht="15.75" customHeight="1">
      <c r="A29" s="326">
        <v>20030002</v>
      </c>
      <c r="B29" s="30" t="s">
        <v>476</v>
      </c>
      <c r="C29" s="324">
        <f>'25'!I8</f>
        <v>1611146.77</v>
      </c>
      <c r="D29" s="324">
        <f>'25'!I9+'25'!I10</f>
        <v>373308.9</v>
      </c>
      <c r="E29" s="324">
        <f>'25'!I13</f>
        <v>170643.02</v>
      </c>
      <c r="F29" s="324">
        <f>'25'!I17</f>
        <v>226063.12000000002</v>
      </c>
      <c r="G29" s="30">
        <v>0</v>
      </c>
      <c r="H29" s="30">
        <v>0</v>
      </c>
      <c r="I29" s="30">
        <v>0</v>
      </c>
      <c r="J29" s="324">
        <f>'25'!I36</f>
        <v>6029.98</v>
      </c>
      <c r="K29" s="30">
        <v>0</v>
      </c>
      <c r="L29" s="325">
        <f t="shared" si="0"/>
        <v>2387191.79</v>
      </c>
    </row>
    <row r="30" spans="1:12" ht="15.75" customHeight="1">
      <c r="A30" s="326">
        <v>20030003</v>
      </c>
      <c r="B30" s="30" t="s">
        <v>477</v>
      </c>
      <c r="C30" s="324">
        <f>'26'!I8</f>
        <v>474442.64</v>
      </c>
      <c r="D30" s="324">
        <f>'26'!I9+'26'!I10</f>
        <v>90855.25</v>
      </c>
      <c r="E30" s="324">
        <f>'26'!I13</f>
        <v>49816.47</v>
      </c>
      <c r="F30" s="324">
        <f>'26'!I17</f>
        <v>56305.49999999999</v>
      </c>
      <c r="G30" s="30">
        <v>0</v>
      </c>
      <c r="H30" s="30">
        <v>0</v>
      </c>
      <c r="I30" s="30">
        <v>0</v>
      </c>
      <c r="J30" s="324">
        <f>'26'!I36</f>
        <v>7337.76</v>
      </c>
      <c r="K30" s="30">
        <v>0</v>
      </c>
      <c r="L30" s="325">
        <f t="shared" si="0"/>
        <v>678757.62</v>
      </c>
    </row>
    <row r="31" spans="1:12" ht="15.75" customHeight="1">
      <c r="A31" s="326">
        <v>20030004</v>
      </c>
      <c r="B31" s="30" t="s">
        <v>478</v>
      </c>
      <c r="C31" s="324">
        <f>'27'!I8</f>
        <v>613220.23</v>
      </c>
      <c r="D31" s="324">
        <f>'27'!I9+'27'!I10</f>
        <v>113340</v>
      </c>
      <c r="E31" s="324">
        <f>'27'!I13</f>
        <v>64382.55</v>
      </c>
      <c r="F31" s="324">
        <f>'27'!I17</f>
        <v>56148.6</v>
      </c>
      <c r="G31" s="30">
        <v>0</v>
      </c>
      <c r="H31" s="30">
        <v>0</v>
      </c>
      <c r="I31" s="30">
        <v>0</v>
      </c>
      <c r="J31" s="324">
        <f>'27'!I36</f>
        <v>11561.54</v>
      </c>
      <c r="K31" s="30">
        <v>0</v>
      </c>
      <c r="L31" s="325">
        <f t="shared" si="0"/>
        <v>858652.92</v>
      </c>
    </row>
    <row r="32" spans="1:12" ht="15.75" customHeight="1">
      <c r="A32" s="326">
        <v>20030005</v>
      </c>
      <c r="B32" s="30" t="s">
        <v>479</v>
      </c>
      <c r="C32" s="324">
        <f>'28'!I8</f>
        <v>654365.7</v>
      </c>
      <c r="D32" s="324">
        <f>'28'!I9+'28'!I10</f>
        <v>140627</v>
      </c>
      <c r="E32" s="324">
        <f>'28'!I13</f>
        <v>68708.41</v>
      </c>
      <c r="F32" s="324">
        <f>'28'!I17</f>
        <v>84958.02</v>
      </c>
      <c r="G32" s="30">
        <v>0</v>
      </c>
      <c r="H32" s="30">
        <v>0</v>
      </c>
      <c r="I32" s="30">
        <v>0</v>
      </c>
      <c r="J32" s="324">
        <f>'28'!I36</f>
        <v>50118.61</v>
      </c>
      <c r="K32" s="30">
        <v>0</v>
      </c>
      <c r="L32" s="325">
        <f t="shared" si="0"/>
        <v>998777.74</v>
      </c>
    </row>
    <row r="33" spans="1:12" ht="15.75" customHeight="1">
      <c r="A33" s="326">
        <v>20030006</v>
      </c>
      <c r="B33" s="30" t="s">
        <v>480</v>
      </c>
      <c r="C33" s="324">
        <f>'29'!I8</f>
        <v>280300.03</v>
      </c>
      <c r="D33" s="324">
        <f>'29'!I9+'29'!I10</f>
        <v>69027</v>
      </c>
      <c r="E33" s="324">
        <f>'29'!I13</f>
        <v>29431.5</v>
      </c>
      <c r="F33" s="324">
        <f>'29'!I17</f>
        <v>55114.509999999995</v>
      </c>
      <c r="G33" s="30">
        <v>0</v>
      </c>
      <c r="H33" s="30">
        <v>0</v>
      </c>
      <c r="I33" s="30">
        <v>0</v>
      </c>
      <c r="J33" s="324">
        <f>'29'!I36</f>
        <v>53907.75</v>
      </c>
      <c r="K33" s="30">
        <v>0</v>
      </c>
      <c r="L33" s="325">
        <f t="shared" si="0"/>
        <v>487780.79000000004</v>
      </c>
    </row>
    <row r="34" spans="1:12" ht="15.75" customHeight="1">
      <c r="A34" s="326">
        <v>20030007</v>
      </c>
      <c r="B34" s="30" t="s">
        <v>481</v>
      </c>
      <c r="C34" s="324">
        <f>'30'!I8</f>
        <v>570174.31</v>
      </c>
      <c r="D34" s="324">
        <f>'30'!I9+'30'!I10</f>
        <v>135626</v>
      </c>
      <c r="E34" s="324">
        <f>'30'!I13</f>
        <v>59868.29</v>
      </c>
      <c r="F34" s="324">
        <f>'30'!I17</f>
        <v>65486.42999999999</v>
      </c>
      <c r="G34" s="30">
        <v>0</v>
      </c>
      <c r="H34" s="30">
        <v>0</v>
      </c>
      <c r="I34" s="30">
        <v>0</v>
      </c>
      <c r="J34" s="324">
        <f>'30'!I36</f>
        <v>102815.39000000001</v>
      </c>
      <c r="K34" s="30">
        <v>0</v>
      </c>
      <c r="L34" s="325">
        <f t="shared" si="0"/>
        <v>933970.42</v>
      </c>
    </row>
    <row r="35" spans="1:12" ht="15.75" customHeight="1">
      <c r="A35" s="326">
        <v>21010001</v>
      </c>
      <c r="B35" s="30" t="s">
        <v>197</v>
      </c>
      <c r="C35" s="324">
        <f>'31'!I8</f>
        <v>178750.19</v>
      </c>
      <c r="D35" s="324">
        <f>'31'!I9+'31'!I10</f>
        <v>51250</v>
      </c>
      <c r="E35" s="324">
        <f>'31'!I13</f>
        <v>18768.78</v>
      </c>
      <c r="F35" s="324">
        <f>'31'!I17</f>
        <v>38870.36</v>
      </c>
      <c r="G35" s="324">
        <f>'31'!I29</f>
        <v>699580.63</v>
      </c>
      <c r="H35" s="30">
        <v>0</v>
      </c>
      <c r="I35" s="30">
        <v>0</v>
      </c>
      <c r="J35" s="324">
        <f>'31'!I33</f>
        <v>497.77</v>
      </c>
      <c r="K35" s="30">
        <v>0</v>
      </c>
      <c r="L35" s="325">
        <f t="shared" si="0"/>
        <v>987717.73</v>
      </c>
    </row>
    <row r="36" spans="1:12" ht="15.75" customHeight="1">
      <c r="A36" s="326">
        <v>22010001</v>
      </c>
      <c r="B36" s="30" t="s">
        <v>198</v>
      </c>
      <c r="C36" s="324">
        <f>'32'!I8</f>
        <v>90671.01</v>
      </c>
      <c r="D36" s="324">
        <f>'32'!I9+'32'!I10</f>
        <v>26310.8</v>
      </c>
      <c r="E36" s="324">
        <f>'32'!I12</f>
        <v>9520.46</v>
      </c>
      <c r="F36" s="324">
        <f>'32'!I16</f>
        <v>38810.619999999995</v>
      </c>
      <c r="G36" s="30">
        <v>0</v>
      </c>
      <c r="H36" s="30">
        <v>0</v>
      </c>
      <c r="I36" s="30">
        <v>0</v>
      </c>
      <c r="J36" s="324">
        <f>'32'!I35</f>
        <v>0</v>
      </c>
      <c r="K36" s="30">
        <v>0</v>
      </c>
      <c r="L36" s="325">
        <f t="shared" si="0"/>
        <v>165312.88999999998</v>
      </c>
    </row>
    <row r="37" spans="1:12" ht="15.75" customHeight="1">
      <c r="A37" s="326">
        <v>23010001</v>
      </c>
      <c r="B37" s="30" t="s">
        <v>199</v>
      </c>
      <c r="C37" s="324">
        <f>'33'!I8</f>
        <v>155412.14</v>
      </c>
      <c r="D37" s="324">
        <f>'33'!I9+'33'!I10</f>
        <v>48518.2</v>
      </c>
      <c r="E37" s="324">
        <f>'33'!I13</f>
        <v>16318.26</v>
      </c>
      <c r="F37" s="324">
        <f>'33'!I17</f>
        <v>49163.990000000005</v>
      </c>
      <c r="G37" s="324">
        <f>'33'!I29</f>
        <v>505236.54</v>
      </c>
      <c r="H37" s="30">
        <v>0</v>
      </c>
      <c r="I37" s="30">
        <v>0</v>
      </c>
      <c r="J37" s="324">
        <f>'33'!I34</f>
        <v>4972.12</v>
      </c>
      <c r="K37" s="30">
        <v>0</v>
      </c>
      <c r="L37" s="325">
        <f t="shared" si="0"/>
        <v>779621.25</v>
      </c>
    </row>
    <row r="38" spans="1:12" ht="15.75" customHeight="1">
      <c r="A38" s="326">
        <v>24010001</v>
      </c>
      <c r="B38" s="30" t="s">
        <v>200</v>
      </c>
      <c r="C38" s="324">
        <f>'34'!I8</f>
        <v>409127.34</v>
      </c>
      <c r="D38" s="324">
        <f>'34'!I9+'34'!I10</f>
        <v>75186</v>
      </c>
      <c r="E38" s="324">
        <f>'34'!I13</f>
        <v>42958.38</v>
      </c>
      <c r="F38" s="324">
        <f>'34'!I17</f>
        <v>107622.89</v>
      </c>
      <c r="G38" s="30">
        <v>0</v>
      </c>
      <c r="H38" s="30">
        <v>0</v>
      </c>
      <c r="I38" s="30">
        <v>0</v>
      </c>
      <c r="J38" s="324">
        <f>'34'!I36</f>
        <v>2988.58</v>
      </c>
      <c r="K38" s="30">
        <v>0</v>
      </c>
      <c r="L38" s="325">
        <f t="shared" si="0"/>
        <v>637883.19</v>
      </c>
    </row>
    <row r="39" spans="1:12" ht="15.75" customHeight="1">
      <c r="A39" s="326">
        <v>26010001</v>
      </c>
      <c r="B39" s="30" t="s">
        <v>201</v>
      </c>
      <c r="C39" s="324">
        <f>'35'!I8</f>
        <v>30453.9</v>
      </c>
      <c r="D39" s="324">
        <f>'35'!I9+'35'!I10</f>
        <v>7582</v>
      </c>
      <c r="E39" s="324">
        <f>'35'!I13</f>
        <v>2730.07</v>
      </c>
      <c r="F39" s="324">
        <f>'35'!I17</f>
        <v>13986.16</v>
      </c>
      <c r="G39" s="324">
        <v>0</v>
      </c>
      <c r="H39" s="30">
        <v>0</v>
      </c>
      <c r="I39" s="30">
        <v>0</v>
      </c>
      <c r="J39" s="324">
        <f>'35'!I36</f>
        <v>998.12</v>
      </c>
      <c r="K39" s="30">
        <v>0</v>
      </c>
      <c r="L39" s="325">
        <f t="shared" si="0"/>
        <v>55750.25000000001</v>
      </c>
    </row>
    <row r="40" spans="1:12" ht="15.75" customHeight="1">
      <c r="A40" s="326">
        <v>27010001</v>
      </c>
      <c r="B40" s="30" t="s">
        <v>202</v>
      </c>
      <c r="C40" s="324">
        <f>'36'!I8</f>
        <v>402548.23</v>
      </c>
      <c r="D40" s="324">
        <f>'36'!I9+'36'!I10</f>
        <v>61587</v>
      </c>
      <c r="E40" s="324">
        <f>'36'!I13</f>
        <v>42267.58</v>
      </c>
      <c r="F40" s="324">
        <f>'36'!I17</f>
        <v>86627.09999999999</v>
      </c>
      <c r="G40" s="30">
        <v>0</v>
      </c>
      <c r="H40" s="30">
        <v>0</v>
      </c>
      <c r="I40" s="30">
        <v>0</v>
      </c>
      <c r="J40" s="324">
        <f>'36'!I36</f>
        <v>355</v>
      </c>
      <c r="K40" s="30">
        <v>0</v>
      </c>
      <c r="L40" s="325">
        <f t="shared" si="0"/>
        <v>593384.91</v>
      </c>
    </row>
    <row r="41" spans="1:12" ht="15.75" customHeight="1">
      <c r="A41" s="326">
        <v>28010001</v>
      </c>
      <c r="B41" s="30" t="s">
        <v>203</v>
      </c>
      <c r="C41" s="324">
        <f>'37'!I8</f>
        <v>264213.57</v>
      </c>
      <c r="D41" s="324">
        <f>'37'!I9+'37'!I10</f>
        <v>46443</v>
      </c>
      <c r="E41" s="324">
        <f>'37'!I13</f>
        <v>27742.42</v>
      </c>
      <c r="F41" s="324">
        <f>'37'!I17</f>
        <v>33709.69</v>
      </c>
      <c r="G41" s="324">
        <v>0</v>
      </c>
      <c r="H41" s="30">
        <v>0</v>
      </c>
      <c r="I41" s="30">
        <v>0</v>
      </c>
      <c r="J41" s="324">
        <f>'37'!I36</f>
        <v>537.49</v>
      </c>
      <c r="K41" s="30">
        <v>0</v>
      </c>
      <c r="L41" s="325">
        <f t="shared" si="0"/>
        <v>372646.17</v>
      </c>
    </row>
    <row r="42" spans="1:12" s="71" customFormat="1" ht="15.75" customHeight="1">
      <c r="A42" s="137"/>
      <c r="B42" s="330" t="s">
        <v>493</v>
      </c>
      <c r="C42" s="331">
        <f>SUM(C5:C41)</f>
        <v>15441021.909999998</v>
      </c>
      <c r="D42" s="331">
        <f aca="true" t="shared" si="1" ref="D42:K42">SUM(D5:D41)</f>
        <v>3432498.11</v>
      </c>
      <c r="E42" s="331">
        <f t="shared" si="1"/>
        <v>1788013.0599999998</v>
      </c>
      <c r="F42" s="331">
        <f t="shared" si="1"/>
        <v>4477713.6</v>
      </c>
      <c r="G42" s="331">
        <f t="shared" si="1"/>
        <v>6972537.88</v>
      </c>
      <c r="H42" s="331">
        <f t="shared" si="1"/>
        <v>274380</v>
      </c>
      <c r="I42" s="331">
        <f t="shared" si="1"/>
        <v>113752.64</v>
      </c>
      <c r="J42" s="331">
        <f t="shared" si="1"/>
        <v>1367892.1200000003</v>
      </c>
      <c r="K42" s="331">
        <f t="shared" si="1"/>
        <v>1801677.56</v>
      </c>
      <c r="L42" s="331">
        <f>SUM(L5:L41)</f>
        <v>35669486.88</v>
      </c>
    </row>
    <row r="43" spans="2:12" ht="18" customHeight="1">
      <c r="B43" t="s">
        <v>494</v>
      </c>
      <c r="L43" s="187">
        <f>'rashodi-1'!G8</f>
        <v>294547.55</v>
      </c>
    </row>
    <row r="44" spans="2:12" ht="18" customHeight="1">
      <c r="B44" t="s">
        <v>536</v>
      </c>
      <c r="L44" s="187">
        <f>uvod!C44</f>
        <v>3039460.5499999966</v>
      </c>
    </row>
    <row r="45" spans="1:12" ht="18" customHeight="1">
      <c r="A45" s="327"/>
      <c r="B45" s="329" t="s">
        <v>493</v>
      </c>
      <c r="C45" s="328"/>
      <c r="D45" s="328"/>
      <c r="E45" s="328"/>
      <c r="F45" s="328"/>
      <c r="G45" s="328"/>
      <c r="H45" s="328"/>
      <c r="I45" s="328"/>
      <c r="J45" s="328"/>
      <c r="K45" s="328"/>
      <c r="L45" s="334">
        <f>L42+L43+L44</f>
        <v>39003494.98</v>
      </c>
    </row>
  </sheetData>
  <sheetProtection/>
  <mergeCells count="1">
    <mergeCell ref="A2:L2"/>
  </mergeCells>
  <printOptions/>
  <pageMargins left="0.31" right="0.32" top="0.34" bottom="0.53" header="0.34" footer="0.5"/>
  <pageSetup horizontalDpi="600" verticalDpi="600" orientation="landscape" paperSize="9" scale="71" r:id="rId1"/>
  <headerFooter alignWithMargins="0">
    <oddFooter>&amp;R47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J51"/>
  <sheetViews>
    <sheetView zoomScalePageLayoutView="0" workbookViewId="0" topLeftCell="B1">
      <selection activeCell="H12" sqref="H12"/>
    </sheetView>
  </sheetViews>
  <sheetFormatPr defaultColWidth="9.140625" defaultRowHeight="12.75"/>
  <cols>
    <col min="1" max="1" width="0.42578125" style="0" hidden="1" customWidth="1"/>
    <col min="2" max="2" width="13.28125" style="58" customWidth="1"/>
    <col min="3" max="3" width="55.421875" style="0" customWidth="1"/>
    <col min="4" max="5" width="15.28125" style="0" customWidth="1"/>
    <col min="6" max="6" width="7.7109375" style="0" customWidth="1"/>
    <col min="7" max="7" width="11.00390625" style="0" customWidth="1"/>
    <col min="8" max="8" width="15.7109375" style="0" customWidth="1"/>
    <col min="9" max="9" width="17.28125" style="0" customWidth="1"/>
    <col min="10" max="10" width="15.28125" style="0" customWidth="1"/>
  </cols>
  <sheetData>
    <row r="1" spans="2:6" ht="76.5" customHeight="1">
      <c r="B1" s="89" t="s">
        <v>114</v>
      </c>
      <c r="C1" s="90" t="s">
        <v>5</v>
      </c>
      <c r="D1" s="147" t="s">
        <v>267</v>
      </c>
      <c r="E1" s="147" t="s">
        <v>586</v>
      </c>
      <c r="F1" s="44" t="s">
        <v>251</v>
      </c>
    </row>
    <row r="2" spans="2:6" ht="18" customHeight="1">
      <c r="B2" s="307">
        <v>1</v>
      </c>
      <c r="C2" s="308">
        <v>2</v>
      </c>
      <c r="D2" s="309">
        <v>3</v>
      </c>
      <c r="E2" s="309">
        <v>4</v>
      </c>
      <c r="F2" s="310">
        <v>5</v>
      </c>
    </row>
    <row r="3" spans="2:7" ht="15" customHeight="1">
      <c r="B3" s="213">
        <v>719114</v>
      </c>
      <c r="C3" s="235" t="s">
        <v>305</v>
      </c>
      <c r="D3" s="99">
        <v>150</v>
      </c>
      <c r="E3" s="99">
        <v>114.04</v>
      </c>
      <c r="F3" s="81">
        <f aca="true" t="shared" si="0" ref="F3:F20">IF(D3=0,,E3/D3*100)</f>
        <v>76.02666666666667</v>
      </c>
      <c r="G3" s="108"/>
    </row>
    <row r="4" spans="2:7" ht="25.5" customHeight="1">
      <c r="B4" s="213">
        <v>719115</v>
      </c>
      <c r="C4" s="238" t="s">
        <v>306</v>
      </c>
      <c r="D4" s="99">
        <v>30</v>
      </c>
      <c r="E4" s="99">
        <v>60.01</v>
      </c>
      <c r="F4" s="81">
        <f t="shared" si="0"/>
        <v>200.03333333333333</v>
      </c>
      <c r="G4" s="108"/>
    </row>
    <row r="5" spans="2:7" ht="15" customHeight="1">
      <c r="B5" s="213"/>
      <c r="C5" s="30"/>
      <c r="D5" s="99"/>
      <c r="E5" s="99"/>
      <c r="F5" s="81"/>
      <c r="G5" s="108"/>
    </row>
    <row r="6" spans="2:8" s="54" customFormat="1" ht="15">
      <c r="B6" s="251">
        <v>720000</v>
      </c>
      <c r="C6" s="252" t="s">
        <v>117</v>
      </c>
      <c r="D6" s="253">
        <f>D7+D20+'prihodi-3'!D42</f>
        <v>2909040</v>
      </c>
      <c r="E6" s="253">
        <f>E7+E20+'prihodi-3'!E42</f>
        <v>2885002.6</v>
      </c>
      <c r="F6" s="254">
        <f t="shared" si="0"/>
        <v>99.17369991474851</v>
      </c>
      <c r="G6" s="255"/>
      <c r="H6" s="335"/>
    </row>
    <row r="7" spans="2:8" s="218" customFormat="1" ht="25.5">
      <c r="B7" s="214">
        <v>721000</v>
      </c>
      <c r="C7" s="226" t="s">
        <v>141</v>
      </c>
      <c r="D7" s="223">
        <f>D8+D11+D13+D16+D18</f>
        <v>29640</v>
      </c>
      <c r="E7" s="223">
        <f>E8+E11+E13+E16+E18</f>
        <v>2453.7</v>
      </c>
      <c r="F7" s="224">
        <f t="shared" si="0"/>
        <v>8.27834008097166</v>
      </c>
      <c r="G7" s="217"/>
      <c r="H7" s="217"/>
    </row>
    <row r="8" spans="2:7" s="218" customFormat="1" ht="12.75">
      <c r="B8" s="219">
        <v>721100</v>
      </c>
      <c r="C8" s="236" t="s">
        <v>307</v>
      </c>
      <c r="D8" s="215">
        <f>SUM(D9:D10)</f>
        <v>26320</v>
      </c>
      <c r="E8" s="215">
        <f>SUM(E9:E10)</f>
        <v>474.98</v>
      </c>
      <c r="F8" s="216">
        <f t="shared" si="0"/>
        <v>1.804635258358663</v>
      </c>
      <c r="G8" s="217"/>
    </row>
    <row r="9" spans="2:7" ht="12.75">
      <c r="B9" s="213">
        <v>721112</v>
      </c>
      <c r="C9" s="235" t="s">
        <v>308</v>
      </c>
      <c r="D9" s="99">
        <v>320</v>
      </c>
      <c r="E9" s="99">
        <v>0</v>
      </c>
      <c r="F9" s="81">
        <f t="shared" si="0"/>
        <v>0</v>
      </c>
      <c r="G9" s="108"/>
    </row>
    <row r="10" spans="2:7" ht="12.75">
      <c r="B10" s="213">
        <v>721121</v>
      </c>
      <c r="C10" s="235" t="s">
        <v>309</v>
      </c>
      <c r="D10" s="322">
        <v>26000</v>
      </c>
      <c r="E10" s="322">
        <v>474.98</v>
      </c>
      <c r="F10" s="81">
        <f t="shared" si="0"/>
        <v>1.8268461538461538</v>
      </c>
      <c r="G10" s="108"/>
    </row>
    <row r="11" spans="2:7" ht="12.75">
      <c r="B11" s="239">
        <v>721200</v>
      </c>
      <c r="C11" s="236" t="s">
        <v>310</v>
      </c>
      <c r="D11" s="98">
        <f>D12</f>
        <v>3000</v>
      </c>
      <c r="E11" s="98">
        <f>E12</f>
        <v>1786.68</v>
      </c>
      <c r="F11" s="80">
        <f t="shared" si="0"/>
        <v>59.556</v>
      </c>
      <c r="G11" s="108"/>
    </row>
    <row r="12" spans="2:7" ht="12.75">
      <c r="B12" s="240">
        <v>721211</v>
      </c>
      <c r="C12" s="235" t="s">
        <v>311</v>
      </c>
      <c r="D12" s="99">
        <v>3000</v>
      </c>
      <c r="E12" s="99">
        <v>1786.68</v>
      </c>
      <c r="F12" s="81">
        <f t="shared" si="0"/>
        <v>59.556</v>
      </c>
      <c r="G12" s="108"/>
    </row>
    <row r="13" spans="2:7" ht="12.75">
      <c r="B13" s="239">
        <v>721300</v>
      </c>
      <c r="C13" s="236" t="s">
        <v>312</v>
      </c>
      <c r="D13" s="98">
        <f>SUM(D14:D15)</f>
        <v>170</v>
      </c>
      <c r="E13" s="98">
        <f>SUM(E14:E15)</f>
        <v>40</v>
      </c>
      <c r="F13" s="80">
        <f t="shared" si="0"/>
        <v>23.52941176470588</v>
      </c>
      <c r="G13" s="108"/>
    </row>
    <row r="14" spans="2:7" ht="12.75">
      <c r="B14" s="240">
        <v>721311</v>
      </c>
      <c r="C14" s="235" t="s">
        <v>313</v>
      </c>
      <c r="D14" s="99">
        <v>100</v>
      </c>
      <c r="E14" s="99">
        <v>0</v>
      </c>
      <c r="F14" s="81">
        <f t="shared" si="0"/>
        <v>0</v>
      </c>
      <c r="G14" s="108"/>
    </row>
    <row r="15" spans="2:7" ht="12.75">
      <c r="B15" s="240">
        <v>721312</v>
      </c>
      <c r="C15" s="235" t="s">
        <v>314</v>
      </c>
      <c r="D15" s="99">
        <v>70</v>
      </c>
      <c r="E15" s="99">
        <v>40</v>
      </c>
      <c r="F15" s="81">
        <f t="shared" si="0"/>
        <v>57.14285714285714</v>
      </c>
      <c r="G15" s="108"/>
    </row>
    <row r="16" spans="2:7" ht="12.75">
      <c r="B16" s="239">
        <v>721500</v>
      </c>
      <c r="C16" s="236" t="s">
        <v>315</v>
      </c>
      <c r="D16" s="98">
        <f>D17</f>
        <v>150</v>
      </c>
      <c r="E16" s="98">
        <f>E17</f>
        <v>152.04</v>
      </c>
      <c r="F16" s="80">
        <f t="shared" si="0"/>
        <v>101.36</v>
      </c>
      <c r="G16" s="108"/>
    </row>
    <row r="17" spans="2:7" ht="12.75">
      <c r="B17" s="240">
        <v>721511</v>
      </c>
      <c r="C17" s="235" t="s">
        <v>315</v>
      </c>
      <c r="D17" s="99">
        <v>150</v>
      </c>
      <c r="E17" s="99">
        <v>152.04</v>
      </c>
      <c r="F17" s="81">
        <f t="shared" si="0"/>
        <v>101.36</v>
      </c>
      <c r="G17" s="108"/>
    </row>
    <row r="18" spans="2:7" ht="12.75">
      <c r="B18" s="239">
        <v>721600</v>
      </c>
      <c r="C18" s="236" t="s">
        <v>316</v>
      </c>
      <c r="D18" s="98">
        <f>D19</f>
        <v>0</v>
      </c>
      <c r="E18" s="98">
        <f>E19</f>
        <v>0</v>
      </c>
      <c r="F18" s="80">
        <f t="shared" si="0"/>
        <v>0</v>
      </c>
      <c r="G18" s="108"/>
    </row>
    <row r="19" spans="2:7" ht="12.75">
      <c r="B19" s="240">
        <v>721613</v>
      </c>
      <c r="C19" s="235" t="s">
        <v>317</v>
      </c>
      <c r="D19" s="227">
        <v>0</v>
      </c>
      <c r="E19" s="227">
        <v>0</v>
      </c>
      <c r="F19" s="81">
        <f t="shared" si="0"/>
        <v>0</v>
      </c>
      <c r="G19" s="108"/>
    </row>
    <row r="20" spans="2:10" ht="15.75" customHeight="1">
      <c r="B20" s="214">
        <v>722000</v>
      </c>
      <c r="C20" s="225" t="s">
        <v>386</v>
      </c>
      <c r="D20" s="228">
        <f>D21+D23+D25+D40+'prihodi-3'!D31+'prihodi-3'!D37</f>
        <v>2464300</v>
      </c>
      <c r="E20" s="228">
        <f>E21+E23+E25+E40+'prihodi-3'!E31+'prihodi-3'!E37</f>
        <v>2461811.1999999997</v>
      </c>
      <c r="F20" s="224">
        <f t="shared" si="0"/>
        <v>99.8990058028649</v>
      </c>
      <c r="G20" s="108"/>
      <c r="H20" s="108"/>
      <c r="I20" s="108"/>
      <c r="J20" s="108"/>
    </row>
    <row r="21" spans="2:10" ht="15" customHeight="1">
      <c r="B21" s="219">
        <v>722100</v>
      </c>
      <c r="C21" s="257" t="s">
        <v>318</v>
      </c>
      <c r="D21" s="250">
        <f>D22</f>
        <v>118800</v>
      </c>
      <c r="E21" s="250">
        <f>E22</f>
        <v>127427.63</v>
      </c>
      <c r="F21" s="246">
        <f aca="true" t="shared" si="1" ref="F21:F47">IF(D21=0,,E21/D21*100)</f>
        <v>107.26231481481483</v>
      </c>
      <c r="G21" s="108"/>
      <c r="H21" s="108"/>
      <c r="I21" s="108"/>
      <c r="J21" s="108"/>
    </row>
    <row r="22" spans="2:10" ht="15" customHeight="1">
      <c r="B22" s="231">
        <v>722121</v>
      </c>
      <c r="C22" s="258" t="s">
        <v>319</v>
      </c>
      <c r="D22" s="229">
        <v>118800</v>
      </c>
      <c r="E22" s="229">
        <v>127427.63</v>
      </c>
      <c r="F22" s="230">
        <f t="shared" si="1"/>
        <v>107.26231481481483</v>
      </c>
      <c r="G22" s="108"/>
      <c r="H22" s="108"/>
      <c r="I22" s="108"/>
      <c r="J22" s="108"/>
    </row>
    <row r="23" spans="2:10" ht="15" customHeight="1">
      <c r="B23" s="219">
        <v>722200</v>
      </c>
      <c r="C23" s="257" t="s">
        <v>320</v>
      </c>
      <c r="D23" s="250">
        <f>D24</f>
        <v>382800</v>
      </c>
      <c r="E23" s="250">
        <f>E24</f>
        <v>444548.99</v>
      </c>
      <c r="F23" s="246">
        <f t="shared" si="1"/>
        <v>116.1308751306165</v>
      </c>
      <c r="G23" s="108"/>
      <c r="H23" s="108"/>
      <c r="I23" s="108"/>
      <c r="J23" s="108"/>
    </row>
    <row r="24" spans="2:10" ht="15" customHeight="1">
      <c r="B24" s="231">
        <v>722221</v>
      </c>
      <c r="C24" s="258" t="s">
        <v>321</v>
      </c>
      <c r="D24" s="229">
        <v>382800</v>
      </c>
      <c r="E24" s="229">
        <v>444548.99</v>
      </c>
      <c r="F24" s="230">
        <f t="shared" si="1"/>
        <v>116.1308751306165</v>
      </c>
      <c r="G24" s="108"/>
      <c r="H24" s="108"/>
      <c r="I24" s="108"/>
      <c r="J24" s="108"/>
    </row>
    <row r="25" spans="2:10" ht="15" customHeight="1">
      <c r="B25" s="219">
        <v>722400</v>
      </c>
      <c r="C25" s="257" t="s">
        <v>322</v>
      </c>
      <c r="D25" s="250">
        <f>D26+D32+D35</f>
        <v>913750</v>
      </c>
      <c r="E25" s="250">
        <f>E26+E32+E35</f>
        <v>863574.42</v>
      </c>
      <c r="F25" s="246">
        <f t="shared" si="1"/>
        <v>94.50882845417237</v>
      </c>
      <c r="G25" s="108"/>
      <c r="H25" s="108"/>
      <c r="I25" s="108"/>
      <c r="J25" s="108"/>
    </row>
    <row r="26" spans="2:10" ht="15" customHeight="1">
      <c r="B26" s="260">
        <v>722420</v>
      </c>
      <c r="C26" s="261" t="s">
        <v>323</v>
      </c>
      <c r="D26" s="232">
        <f>D27+D28+D30+D31</f>
        <v>806350</v>
      </c>
      <c r="E26" s="232">
        <f>E27+E28+E30+E31</f>
        <v>762191.21</v>
      </c>
      <c r="F26" s="262">
        <f t="shared" si="1"/>
        <v>94.52362001612202</v>
      </c>
      <c r="G26" s="108"/>
      <c r="H26" s="108"/>
      <c r="I26" s="108"/>
      <c r="J26" s="108"/>
    </row>
    <row r="27" spans="2:10" ht="15" customHeight="1">
      <c r="B27" s="231">
        <v>722421</v>
      </c>
      <c r="C27" s="258" t="s">
        <v>323</v>
      </c>
      <c r="D27" s="229">
        <v>50</v>
      </c>
      <c r="E27" s="229">
        <v>0</v>
      </c>
      <c r="F27" s="230">
        <f t="shared" si="1"/>
        <v>0</v>
      </c>
      <c r="G27" s="108"/>
      <c r="H27" s="108"/>
      <c r="I27" s="108"/>
      <c r="J27" s="108"/>
    </row>
    <row r="28" spans="2:10" ht="15" customHeight="1">
      <c r="B28" s="231">
        <v>722422</v>
      </c>
      <c r="C28" s="258" t="s">
        <v>447</v>
      </c>
      <c r="D28" s="229">
        <v>800000</v>
      </c>
      <c r="E28" s="229">
        <v>756073.62</v>
      </c>
      <c r="F28" s="230">
        <f t="shared" si="1"/>
        <v>94.5092025</v>
      </c>
      <c r="G28" s="108"/>
      <c r="H28" s="108"/>
      <c r="I28" s="108"/>
      <c r="J28" s="108"/>
    </row>
    <row r="29" spans="2:10" ht="27.75" customHeight="1">
      <c r="B29" s="231"/>
      <c r="C29" s="259" t="s">
        <v>540</v>
      </c>
      <c r="D29" s="229">
        <v>800000</v>
      </c>
      <c r="E29" s="229">
        <v>756073.62</v>
      </c>
      <c r="F29" s="230">
        <f t="shared" si="1"/>
        <v>94.5092025</v>
      </c>
      <c r="G29" s="108"/>
      <c r="H29" s="108"/>
      <c r="I29" s="108"/>
      <c r="J29" s="108"/>
    </row>
    <row r="30" spans="2:10" ht="15" customHeight="1">
      <c r="B30" s="231">
        <v>722424</v>
      </c>
      <c r="C30" s="258" t="s">
        <v>326</v>
      </c>
      <c r="D30" s="229">
        <v>3700</v>
      </c>
      <c r="E30" s="229">
        <v>3867.59</v>
      </c>
      <c r="F30" s="230">
        <f t="shared" si="1"/>
        <v>104.52945945945946</v>
      </c>
      <c r="G30" s="108"/>
      <c r="H30" s="108"/>
      <c r="I30" s="108"/>
      <c r="J30" s="108"/>
    </row>
    <row r="31" spans="2:10" ht="15" customHeight="1">
      <c r="B31" s="231">
        <v>722429</v>
      </c>
      <c r="C31" s="258" t="s">
        <v>324</v>
      </c>
      <c r="D31" s="229">
        <v>2600</v>
      </c>
      <c r="E31" s="229">
        <v>2250</v>
      </c>
      <c r="F31" s="230">
        <f t="shared" si="1"/>
        <v>86.53846153846155</v>
      </c>
      <c r="G31" s="108"/>
      <c r="H31" s="108"/>
      <c r="I31" s="108"/>
      <c r="J31" s="108"/>
    </row>
    <row r="32" spans="2:10" ht="15" customHeight="1">
      <c r="B32" s="256">
        <v>722450</v>
      </c>
      <c r="C32" s="261" t="s">
        <v>325</v>
      </c>
      <c r="D32" s="248">
        <f>SUM(D33:D34)</f>
        <v>7400</v>
      </c>
      <c r="E32" s="248">
        <f>SUM(E33:E34)</f>
        <v>7318.05</v>
      </c>
      <c r="F32" s="263">
        <f t="shared" si="1"/>
        <v>98.89256756756757</v>
      </c>
      <c r="G32" s="108"/>
      <c r="H32" s="108"/>
      <c r="I32" s="108"/>
      <c r="J32" s="108"/>
    </row>
    <row r="33" spans="2:10" ht="15" customHeight="1">
      <c r="B33" s="231">
        <v>722451</v>
      </c>
      <c r="C33" s="258" t="s">
        <v>327</v>
      </c>
      <c r="D33" s="229">
        <v>6100</v>
      </c>
      <c r="E33" s="229">
        <v>5724.16</v>
      </c>
      <c r="F33" s="230">
        <f t="shared" si="1"/>
        <v>93.83868852459017</v>
      </c>
      <c r="G33" s="108"/>
      <c r="H33" s="108"/>
      <c r="I33" s="108"/>
      <c r="J33" s="108"/>
    </row>
    <row r="34" spans="2:10" ht="15" customHeight="1">
      <c r="B34" s="231">
        <v>722454</v>
      </c>
      <c r="C34" s="258" t="s">
        <v>328</v>
      </c>
      <c r="D34" s="229">
        <v>1300</v>
      </c>
      <c r="E34" s="229">
        <v>1593.89</v>
      </c>
      <c r="F34" s="230">
        <f t="shared" si="1"/>
        <v>122.6069230769231</v>
      </c>
      <c r="G34" s="108"/>
      <c r="H34" s="108"/>
      <c r="I34" s="108"/>
      <c r="J34" s="108"/>
    </row>
    <row r="35" spans="2:10" ht="25.5" customHeight="1">
      <c r="B35" s="256">
        <v>722470</v>
      </c>
      <c r="C35" s="264" t="s">
        <v>387</v>
      </c>
      <c r="D35" s="248">
        <f>SUM(D36+D38+D39)</f>
        <v>100000</v>
      </c>
      <c r="E35" s="248">
        <f>SUM(E36+E38+E39)</f>
        <v>94065.15999999999</v>
      </c>
      <c r="F35" s="263">
        <f t="shared" si="1"/>
        <v>94.06515999999999</v>
      </c>
      <c r="G35" s="108"/>
      <c r="H35" s="108"/>
      <c r="I35" s="108"/>
      <c r="J35" s="108"/>
    </row>
    <row r="36" spans="2:10" ht="15" customHeight="1">
      <c r="B36" s="231">
        <v>722471</v>
      </c>
      <c r="C36" s="258" t="s">
        <v>329</v>
      </c>
      <c r="D36" s="229">
        <v>85800</v>
      </c>
      <c r="E36" s="229">
        <v>59106.03</v>
      </c>
      <c r="F36" s="230">
        <f t="shared" si="1"/>
        <v>68.88814685314685</v>
      </c>
      <c r="G36" s="108"/>
      <c r="H36" s="108"/>
      <c r="I36" s="108"/>
      <c r="J36" s="108"/>
    </row>
    <row r="37" spans="2:10" ht="27.75" customHeight="1">
      <c r="B37" s="231"/>
      <c r="C37" s="259" t="s">
        <v>541</v>
      </c>
      <c r="D37" s="229">
        <v>85800</v>
      </c>
      <c r="E37" s="229">
        <v>59106.03</v>
      </c>
      <c r="F37" s="230">
        <f t="shared" si="1"/>
        <v>68.88814685314685</v>
      </c>
      <c r="G37" s="108"/>
      <c r="H37" s="108"/>
      <c r="I37" s="108"/>
      <c r="J37" s="108"/>
    </row>
    <row r="38" spans="2:10" ht="27.75" customHeight="1">
      <c r="B38" s="231">
        <v>722472</v>
      </c>
      <c r="C38" s="259" t="s">
        <v>330</v>
      </c>
      <c r="D38" s="229">
        <v>14200</v>
      </c>
      <c r="E38" s="229">
        <v>33037.45</v>
      </c>
      <c r="F38" s="230">
        <f t="shared" si="1"/>
        <v>232.65809859154928</v>
      </c>
      <c r="G38" s="108"/>
      <c r="H38" s="108"/>
      <c r="I38" s="108"/>
      <c r="J38" s="108"/>
    </row>
    <row r="39" spans="2:10" ht="15" customHeight="1">
      <c r="B39" s="231">
        <v>722479</v>
      </c>
      <c r="C39" s="259" t="s">
        <v>567</v>
      </c>
      <c r="D39" s="229">
        <v>0</v>
      </c>
      <c r="E39" s="229">
        <v>1921.68</v>
      </c>
      <c r="F39" s="230">
        <f>IF(D39=0,,E39/D39*100)</f>
        <v>0</v>
      </c>
      <c r="G39" s="108"/>
      <c r="H39" s="108"/>
      <c r="I39" s="108"/>
      <c r="J39" s="108"/>
    </row>
    <row r="40" spans="2:9" ht="15.75" customHeight="1">
      <c r="B40" s="219">
        <v>722500</v>
      </c>
      <c r="C40" s="76" t="s">
        <v>543</v>
      </c>
      <c r="D40" s="265">
        <f>D41+D45+'prihodi-3'!D10+'prihodi-3'!D14+'prihodi-3'!D16+'prihodi-3'!D23</f>
        <v>616350</v>
      </c>
      <c r="E40" s="265">
        <f>E41+E45+'prihodi-3'!E10+'prihodi-3'!E14+'prihodi-3'!E16+'prihodi-3'!E23</f>
        <v>602632.8899999999</v>
      </c>
      <c r="F40" s="246">
        <f t="shared" si="1"/>
        <v>97.7744609394013</v>
      </c>
      <c r="G40" s="108"/>
      <c r="H40" s="111"/>
      <c r="I40" s="108"/>
    </row>
    <row r="41" spans="2:9" ht="25.5" customHeight="1">
      <c r="B41" s="256">
        <v>722510</v>
      </c>
      <c r="C41" s="266" t="s">
        <v>388</v>
      </c>
      <c r="D41" s="248">
        <f>SUM(D42:D44)</f>
        <v>4000</v>
      </c>
      <c r="E41" s="248">
        <f>SUM(E42:E44)</f>
        <v>4164.1</v>
      </c>
      <c r="F41" s="263">
        <f t="shared" si="1"/>
        <v>104.1025</v>
      </c>
      <c r="G41" s="108"/>
      <c r="H41" s="111"/>
      <c r="I41" s="108"/>
    </row>
    <row r="42" spans="2:9" ht="25.5" customHeight="1">
      <c r="B42" s="213">
        <v>722514</v>
      </c>
      <c r="C42" s="121" t="s">
        <v>345</v>
      </c>
      <c r="D42" s="188">
        <v>2300</v>
      </c>
      <c r="E42" s="188">
        <v>2176</v>
      </c>
      <c r="F42" s="247">
        <f t="shared" si="1"/>
        <v>94.6086956521739</v>
      </c>
      <c r="G42" s="108"/>
      <c r="H42" s="108"/>
      <c r="I42" s="108"/>
    </row>
    <row r="43" spans="2:9" ht="15" customHeight="1">
      <c r="B43" s="213">
        <v>722515</v>
      </c>
      <c r="C43" s="122" t="s">
        <v>331</v>
      </c>
      <c r="D43" s="188">
        <v>1600</v>
      </c>
      <c r="E43" s="188">
        <v>1986.6</v>
      </c>
      <c r="F43" s="247">
        <f t="shared" si="1"/>
        <v>124.1625</v>
      </c>
      <c r="G43" s="108"/>
      <c r="H43" s="108"/>
      <c r="I43" s="108"/>
    </row>
    <row r="44" spans="2:9" ht="15" customHeight="1">
      <c r="B44" s="213">
        <v>722516</v>
      </c>
      <c r="C44" s="122" t="s">
        <v>332</v>
      </c>
      <c r="D44" s="188">
        <v>100</v>
      </c>
      <c r="E44" s="188">
        <v>1.5</v>
      </c>
      <c r="F44" s="247">
        <f t="shared" si="1"/>
        <v>1.5</v>
      </c>
      <c r="G44" s="108"/>
      <c r="H44" s="108"/>
      <c r="I44" s="108"/>
    </row>
    <row r="45" spans="2:9" ht="15" customHeight="1">
      <c r="B45" s="256">
        <v>722520</v>
      </c>
      <c r="C45" s="267" t="s">
        <v>333</v>
      </c>
      <c r="D45" s="248">
        <f>D46+'prihodi-3'!D3+'prihodi-3'!D4+'prihodi-3'!D5+'prihodi-3'!D6+'prihodi-3'!D8+'prihodi-3'!D9+'prihodi-3'!D7</f>
        <v>190000</v>
      </c>
      <c r="E45" s="248">
        <f>E46+'prihodi-3'!E3+'prihodi-3'!E4+'prihodi-3'!E5+'prihodi-3'!E6+'prihodi-3'!E8+'prihodi-3'!E9+'prihodi-3'!E7</f>
        <v>170495.63</v>
      </c>
      <c r="F45" s="263">
        <f t="shared" si="1"/>
        <v>89.73454210526316</v>
      </c>
      <c r="G45" s="108"/>
      <c r="H45" s="108"/>
      <c r="I45" s="108"/>
    </row>
    <row r="46" spans="2:9" ht="25.5" customHeight="1">
      <c r="B46" s="213">
        <v>722521</v>
      </c>
      <c r="C46" s="121" t="s">
        <v>346</v>
      </c>
      <c r="D46" s="188">
        <v>100250</v>
      </c>
      <c r="E46" s="188">
        <v>75316.6</v>
      </c>
      <c r="F46" s="247">
        <f t="shared" si="1"/>
        <v>75.12877805486285</v>
      </c>
      <c r="G46" s="108"/>
      <c r="H46" s="108"/>
      <c r="I46" s="108"/>
    </row>
    <row r="47" spans="1:10" ht="15.75" customHeight="1" thickBot="1">
      <c r="A47" s="130"/>
      <c r="B47" s="343"/>
      <c r="C47" s="344" t="s">
        <v>389</v>
      </c>
      <c r="D47" s="345">
        <v>100250</v>
      </c>
      <c r="E47" s="345">
        <v>75316.6</v>
      </c>
      <c r="F47" s="346">
        <f t="shared" si="1"/>
        <v>75.12877805486285</v>
      </c>
      <c r="G47" s="108"/>
      <c r="H47" s="108"/>
      <c r="I47" s="108"/>
      <c r="J47" s="108"/>
    </row>
    <row r="48" spans="4:5" ht="12.75">
      <c r="D48" s="338"/>
      <c r="E48" s="338"/>
    </row>
    <row r="49" spans="2:7" ht="12.75">
      <c r="B49"/>
      <c r="D49" s="108"/>
      <c r="E49" s="108"/>
      <c r="F49" s="189"/>
      <c r="G49" s="190"/>
    </row>
    <row r="50" spans="4:7" ht="12.75">
      <c r="D50" s="108"/>
      <c r="E50" s="108"/>
      <c r="F50" s="189"/>
      <c r="G50" s="190"/>
    </row>
    <row r="51" spans="6:7" ht="12.75">
      <c r="F51" s="189"/>
      <c r="G51" s="191"/>
    </row>
  </sheetData>
  <sheetProtection/>
  <printOptions/>
  <pageMargins left="0.44" right="0.3" top="0.59" bottom="0.72" header="0.5" footer="0.5"/>
  <pageSetup horizontalDpi="600" verticalDpi="600" orientation="portrait" paperSize="9" scale="91" r:id="rId1"/>
  <headerFooter alignWithMargins="0">
    <oddFooter>&amp;R3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1.8515625" style="58" customWidth="1"/>
    <col min="2" max="2" width="82.28125" style="0" customWidth="1"/>
    <col min="3" max="6" width="15.7109375" style="0" customWidth="1"/>
  </cols>
  <sheetData>
    <row r="2" spans="1:6" ht="15.75">
      <c r="A2" s="416" t="s">
        <v>592</v>
      </c>
      <c r="B2" s="417"/>
      <c r="C2" s="417"/>
      <c r="D2" s="417"/>
      <c r="E2" s="417"/>
      <c r="F2" s="417"/>
    </row>
    <row r="4" spans="1:6" s="71" customFormat="1" ht="38.25">
      <c r="A4" s="421" t="s">
        <v>470</v>
      </c>
      <c r="B4" s="421" t="s">
        <v>489</v>
      </c>
      <c r="C4" s="332" t="s">
        <v>594</v>
      </c>
      <c r="D4" s="418" t="s">
        <v>498</v>
      </c>
      <c r="E4" s="419"/>
      <c r="F4" s="420"/>
    </row>
    <row r="5" spans="1:6" s="71" customFormat="1" ht="12.75">
      <c r="A5" s="422"/>
      <c r="B5" s="422"/>
      <c r="C5" s="332"/>
      <c r="D5" s="332" t="s">
        <v>495</v>
      </c>
      <c r="E5" s="332" t="s">
        <v>496</v>
      </c>
      <c r="F5" s="332" t="s">
        <v>497</v>
      </c>
    </row>
    <row r="6" spans="1:6" s="71" customFormat="1" ht="12.75">
      <c r="A6" s="332">
        <v>1</v>
      </c>
      <c r="B6" s="333">
        <v>2</v>
      </c>
      <c r="C6" s="332" t="s">
        <v>499</v>
      </c>
      <c r="D6" s="332">
        <v>4</v>
      </c>
      <c r="E6" s="332">
        <v>5</v>
      </c>
      <c r="F6" s="332">
        <v>6</v>
      </c>
    </row>
    <row r="7" spans="1:6" ht="15.75" customHeight="1">
      <c r="A7" s="326">
        <v>10010001</v>
      </c>
      <c r="B7" s="30" t="s">
        <v>169</v>
      </c>
      <c r="C7" s="324">
        <f>D7+E7+F7</f>
        <v>7590.79</v>
      </c>
      <c r="D7" s="324">
        <f>1!I36-E7-F7</f>
        <v>7590.79</v>
      </c>
      <c r="E7" s="324">
        <v>0</v>
      </c>
      <c r="F7" s="324">
        <v>0</v>
      </c>
    </row>
    <row r="8" spans="1:6" ht="15.75" customHeight="1">
      <c r="A8" s="326">
        <v>10010002</v>
      </c>
      <c r="B8" s="30" t="s">
        <v>471</v>
      </c>
      <c r="C8" s="324">
        <f aca="true" t="shared" si="0" ref="C8:C43">D8+E8+F8</f>
        <v>0</v>
      </c>
      <c r="D8" s="324">
        <f>2!I36-E8-F8</f>
        <v>0</v>
      </c>
      <c r="E8" s="324">
        <v>0</v>
      </c>
      <c r="F8" s="324">
        <v>0</v>
      </c>
    </row>
    <row r="9" spans="1:6" ht="15.75" customHeight="1">
      <c r="A9" s="326">
        <v>11010001</v>
      </c>
      <c r="B9" s="30" t="s">
        <v>170</v>
      </c>
      <c r="C9" s="324">
        <f t="shared" si="0"/>
        <v>6217.84</v>
      </c>
      <c r="D9" s="324">
        <f>3!I48-E9-F9</f>
        <v>6217.84</v>
      </c>
      <c r="E9" s="324">
        <v>0</v>
      </c>
      <c r="F9" s="324">
        <v>0</v>
      </c>
    </row>
    <row r="10" spans="1:6" ht="15.75" customHeight="1">
      <c r="A10" s="326">
        <v>11010002</v>
      </c>
      <c r="B10" s="30" t="s">
        <v>171</v>
      </c>
      <c r="C10" s="324">
        <f t="shared" si="0"/>
        <v>0</v>
      </c>
      <c r="D10" s="324">
        <f>4!I37-E10-F10</f>
        <v>0</v>
      </c>
      <c r="E10" s="324">
        <v>0</v>
      </c>
      <c r="F10" s="324">
        <v>0</v>
      </c>
    </row>
    <row r="11" spans="1:6" ht="15.75" customHeight="1">
      <c r="A11" s="326">
        <v>11010003</v>
      </c>
      <c r="B11" s="30" t="s">
        <v>172</v>
      </c>
      <c r="C11" s="324">
        <f t="shared" si="0"/>
        <v>0</v>
      </c>
      <c r="D11" s="324">
        <f>5!I36-E11-F11</f>
        <v>0</v>
      </c>
      <c r="E11" s="324">
        <v>0</v>
      </c>
      <c r="F11" s="324">
        <v>0</v>
      </c>
    </row>
    <row r="12" spans="1:6" ht="15.75" customHeight="1">
      <c r="A12" s="326">
        <v>11010004</v>
      </c>
      <c r="B12" s="30" t="s">
        <v>174</v>
      </c>
      <c r="C12" s="324">
        <f t="shared" si="0"/>
        <v>643.49</v>
      </c>
      <c r="D12" s="324">
        <f>6!I36-E12-F12</f>
        <v>643.49</v>
      </c>
      <c r="E12" s="324">
        <v>0</v>
      </c>
      <c r="F12" s="324">
        <v>0</v>
      </c>
    </row>
    <row r="13" spans="1:6" ht="15.75" customHeight="1">
      <c r="A13" s="326">
        <v>11010005</v>
      </c>
      <c r="B13" s="30" t="s">
        <v>264</v>
      </c>
      <c r="C13" s="324">
        <f t="shared" si="0"/>
        <v>0</v>
      </c>
      <c r="D13" s="324">
        <f>7!I36-E13-F13</f>
        <v>0</v>
      </c>
      <c r="E13" s="324">
        <v>0</v>
      </c>
      <c r="F13" s="324">
        <v>0</v>
      </c>
    </row>
    <row r="14" spans="1:6" ht="15.75" customHeight="1">
      <c r="A14" s="326">
        <v>12010001</v>
      </c>
      <c r="B14" s="30" t="s">
        <v>175</v>
      </c>
      <c r="C14" s="324">
        <f t="shared" si="0"/>
        <v>8585.94</v>
      </c>
      <c r="D14" s="324">
        <f>8!I36-E14-F14</f>
        <v>8585.94</v>
      </c>
      <c r="E14" s="324">
        <v>0</v>
      </c>
      <c r="F14" s="324">
        <v>0</v>
      </c>
    </row>
    <row r="15" spans="1:6" ht="15.75" customHeight="1">
      <c r="A15" s="326">
        <v>13010001</v>
      </c>
      <c r="B15" s="30" t="s">
        <v>469</v>
      </c>
      <c r="C15" s="324">
        <f t="shared" si="0"/>
        <v>91973.69</v>
      </c>
      <c r="D15" s="324">
        <f>9!I36-E15-F15</f>
        <v>43077.69</v>
      </c>
      <c r="E15" s="324">
        <v>0</v>
      </c>
      <c r="F15" s="324">
        <v>48896</v>
      </c>
    </row>
    <row r="16" spans="1:6" ht="15.75" customHeight="1">
      <c r="A16" s="326">
        <v>14010001</v>
      </c>
      <c r="B16" s="30" t="s">
        <v>177</v>
      </c>
      <c r="C16" s="324">
        <f t="shared" si="0"/>
        <v>1985.85</v>
      </c>
      <c r="D16" s="324">
        <f>'10'!I36-E16-F16</f>
        <v>1985.85</v>
      </c>
      <c r="E16" s="324">
        <v>0</v>
      </c>
      <c r="F16" s="324">
        <v>0</v>
      </c>
    </row>
    <row r="17" spans="1:6" ht="15.75" customHeight="1">
      <c r="A17" s="326">
        <v>14020003</v>
      </c>
      <c r="B17" s="30" t="s">
        <v>178</v>
      </c>
      <c r="C17" s="324">
        <f t="shared" si="0"/>
        <v>4975.5</v>
      </c>
      <c r="D17" s="324">
        <f>'11'!I36-E17-F17</f>
        <v>4975.5</v>
      </c>
      <c r="E17" s="324">
        <v>0</v>
      </c>
      <c r="F17" s="324">
        <v>0</v>
      </c>
    </row>
    <row r="18" spans="1:6" ht="15.75" customHeight="1">
      <c r="A18" s="326">
        <v>14050001</v>
      </c>
      <c r="B18" s="30" t="s">
        <v>179</v>
      </c>
      <c r="C18" s="324">
        <f t="shared" si="0"/>
        <v>933.68</v>
      </c>
      <c r="D18" s="324">
        <f>'12'!I36-E18-F18</f>
        <v>933.68</v>
      </c>
      <c r="E18" s="324">
        <v>0</v>
      </c>
      <c r="F18" s="324">
        <v>0</v>
      </c>
    </row>
    <row r="19" spans="1:6" ht="15.75" customHeight="1">
      <c r="A19" s="326">
        <v>14050002</v>
      </c>
      <c r="B19" s="30" t="s">
        <v>180</v>
      </c>
      <c r="C19" s="324">
        <f t="shared" si="0"/>
        <v>499.59</v>
      </c>
      <c r="D19" s="324">
        <f>'13'!I36-E19-F19</f>
        <v>499.59</v>
      </c>
      <c r="E19" s="324">
        <v>0</v>
      </c>
      <c r="F19" s="324">
        <v>0</v>
      </c>
    </row>
    <row r="20" spans="1:6" ht="15.75" customHeight="1">
      <c r="A20" s="326">
        <v>14060001</v>
      </c>
      <c r="B20" s="30" t="s">
        <v>181</v>
      </c>
      <c r="C20" s="324">
        <f t="shared" si="0"/>
        <v>0</v>
      </c>
      <c r="D20" s="324">
        <f>'14'!I36-E20-F20</f>
        <v>0</v>
      </c>
      <c r="E20" s="324">
        <v>0</v>
      </c>
      <c r="F20" s="324">
        <v>0</v>
      </c>
    </row>
    <row r="21" spans="1:6" ht="15.75" customHeight="1">
      <c r="A21" s="326">
        <v>15010001</v>
      </c>
      <c r="B21" s="30" t="s">
        <v>182</v>
      </c>
      <c r="C21" s="324">
        <f t="shared" si="0"/>
        <v>1652</v>
      </c>
      <c r="D21" s="324">
        <f>'15'!I33-E21-F21</f>
        <v>1652</v>
      </c>
      <c r="E21" s="324">
        <v>0</v>
      </c>
      <c r="F21" s="324">
        <v>0</v>
      </c>
    </row>
    <row r="22" spans="1:6" ht="15.75" customHeight="1">
      <c r="A22" s="326">
        <v>16010001</v>
      </c>
      <c r="B22" s="30" t="s">
        <v>183</v>
      </c>
      <c r="C22" s="324">
        <f t="shared" si="0"/>
        <v>3614.13</v>
      </c>
      <c r="D22" s="324">
        <f>'16'!I42-E22-F22</f>
        <v>3614.13</v>
      </c>
      <c r="E22" s="324">
        <v>0</v>
      </c>
      <c r="F22" s="324">
        <v>0</v>
      </c>
    </row>
    <row r="23" spans="1:6" ht="15.75" customHeight="1">
      <c r="A23" s="326">
        <v>17010001</v>
      </c>
      <c r="B23" s="30" t="s">
        <v>184</v>
      </c>
      <c r="C23" s="324">
        <f t="shared" si="0"/>
        <v>0</v>
      </c>
      <c r="D23" s="324">
        <f>'17'!I36-E23-F23</f>
        <v>0</v>
      </c>
      <c r="E23" s="324">
        <v>0</v>
      </c>
      <c r="F23" s="324">
        <v>0</v>
      </c>
    </row>
    <row r="24" spans="1:6" ht="15.75" customHeight="1">
      <c r="A24" s="326">
        <v>18010001</v>
      </c>
      <c r="B24" s="30" t="s">
        <v>185</v>
      </c>
      <c r="C24" s="324">
        <f t="shared" si="0"/>
        <v>841470.99</v>
      </c>
      <c r="D24" s="354">
        <f>'18'!I37-E24-F24</f>
        <v>751470.99</v>
      </c>
      <c r="E24" s="324">
        <v>0</v>
      </c>
      <c r="F24" s="324">
        <v>90000</v>
      </c>
    </row>
    <row r="25" spans="1:6" ht="15.75" customHeight="1">
      <c r="A25" s="326">
        <v>19010001</v>
      </c>
      <c r="B25" s="30" t="s">
        <v>186</v>
      </c>
      <c r="C25" s="324">
        <f t="shared" si="0"/>
        <v>515</v>
      </c>
      <c r="D25" s="324">
        <f>'19'!I36-E25-F25</f>
        <v>515</v>
      </c>
      <c r="E25" s="324">
        <v>0</v>
      </c>
      <c r="F25" s="324">
        <v>0</v>
      </c>
    </row>
    <row r="26" spans="1:6" ht="15.75" customHeight="1">
      <c r="A26" s="326">
        <v>20010001</v>
      </c>
      <c r="B26" s="30" t="s">
        <v>187</v>
      </c>
      <c r="C26" s="324">
        <f t="shared" si="0"/>
        <v>106405.6</v>
      </c>
      <c r="D26" s="324">
        <f>'20'!I46-E26-F26</f>
        <v>754.6000000000058</v>
      </c>
      <c r="E26" s="324">
        <v>0</v>
      </c>
      <c r="F26" s="324">
        <v>105651</v>
      </c>
    </row>
    <row r="27" spans="1:6" ht="15.75" customHeight="1">
      <c r="A27" s="326">
        <v>20020002</v>
      </c>
      <c r="B27" s="30" t="s">
        <v>472</v>
      </c>
      <c r="C27" s="324">
        <f t="shared" si="0"/>
        <v>13122.380000000001</v>
      </c>
      <c r="D27" s="324">
        <f>'21'!I36-E27-F27</f>
        <v>6997.380000000001</v>
      </c>
      <c r="E27" s="324">
        <v>0</v>
      </c>
      <c r="F27" s="324">
        <v>6125</v>
      </c>
    </row>
    <row r="28" spans="1:6" ht="15.75" customHeight="1">
      <c r="A28" s="326">
        <v>20020003</v>
      </c>
      <c r="B28" s="30" t="s">
        <v>473</v>
      </c>
      <c r="C28" s="324">
        <f t="shared" si="0"/>
        <v>5999.25</v>
      </c>
      <c r="D28" s="324">
        <f>'22'!I36-E28-F28</f>
        <v>5999.25</v>
      </c>
      <c r="E28" s="324">
        <v>0</v>
      </c>
      <c r="F28" s="324">
        <v>0</v>
      </c>
    </row>
    <row r="29" spans="1:6" ht="15.75" customHeight="1">
      <c r="A29" s="326">
        <v>20020004</v>
      </c>
      <c r="B29" s="30" t="s">
        <v>474</v>
      </c>
      <c r="C29" s="324">
        <f t="shared" si="0"/>
        <v>5637.17</v>
      </c>
      <c r="D29" s="324">
        <f>'23'!I36-E29-F29</f>
        <v>637.1700000000001</v>
      </c>
      <c r="E29" s="324">
        <v>0</v>
      </c>
      <c r="F29" s="324">
        <v>5000</v>
      </c>
    </row>
    <row r="30" spans="1:6" ht="15.75" customHeight="1">
      <c r="A30" s="326">
        <v>20030001</v>
      </c>
      <c r="B30" s="30" t="s">
        <v>529</v>
      </c>
      <c r="C30" s="324">
        <f t="shared" si="0"/>
        <v>23949.120000000003</v>
      </c>
      <c r="D30" s="354">
        <f>'24'!I36-E30-F30</f>
        <v>22172.120000000003</v>
      </c>
      <c r="E30" s="324">
        <v>0</v>
      </c>
      <c r="F30" s="354">
        <v>1777</v>
      </c>
    </row>
    <row r="31" spans="1:6" ht="15.75" customHeight="1">
      <c r="A31" s="326">
        <v>20030002</v>
      </c>
      <c r="B31" s="30" t="s">
        <v>476</v>
      </c>
      <c r="C31" s="324">
        <f t="shared" si="0"/>
        <v>6029.98</v>
      </c>
      <c r="D31" s="324">
        <f>'25'!I36-E31-F31</f>
        <v>6029.98</v>
      </c>
      <c r="E31" s="324">
        <v>0</v>
      </c>
      <c r="F31" s="324">
        <v>0</v>
      </c>
    </row>
    <row r="32" spans="1:6" ht="15.75" customHeight="1">
      <c r="A32" s="326">
        <v>20030003</v>
      </c>
      <c r="B32" s="30" t="s">
        <v>477</v>
      </c>
      <c r="C32" s="324">
        <f t="shared" si="0"/>
        <v>7337.76</v>
      </c>
      <c r="D32" s="324">
        <f>'26'!I36-E32-F32</f>
        <v>7337.76</v>
      </c>
      <c r="E32" s="324">
        <v>0</v>
      </c>
      <c r="F32" s="324">
        <v>0</v>
      </c>
    </row>
    <row r="33" spans="1:6" ht="15.75" customHeight="1">
      <c r="A33" s="326">
        <v>20030004</v>
      </c>
      <c r="B33" s="30" t="s">
        <v>530</v>
      </c>
      <c r="C33" s="324">
        <f t="shared" si="0"/>
        <v>11561.54</v>
      </c>
      <c r="D33" s="324">
        <f>'27'!I36-E33-F33</f>
        <v>4670.540000000001</v>
      </c>
      <c r="E33" s="324">
        <v>0</v>
      </c>
      <c r="F33" s="324">
        <v>6891</v>
      </c>
    </row>
    <row r="34" spans="1:6" ht="15.75" customHeight="1">
      <c r="A34" s="326">
        <v>20030005</v>
      </c>
      <c r="B34" s="30" t="s">
        <v>531</v>
      </c>
      <c r="C34" s="324">
        <f t="shared" si="0"/>
        <v>50118.61</v>
      </c>
      <c r="D34" s="324">
        <f>'28'!I36-E34-F34</f>
        <v>23508.61</v>
      </c>
      <c r="E34" s="324">
        <v>0</v>
      </c>
      <c r="F34" s="354">
        <v>26610</v>
      </c>
    </row>
    <row r="35" spans="1:6" ht="15.75" customHeight="1">
      <c r="A35" s="326">
        <v>20030006</v>
      </c>
      <c r="B35" s="30" t="s">
        <v>532</v>
      </c>
      <c r="C35" s="324">
        <f t="shared" si="0"/>
        <v>53907.75</v>
      </c>
      <c r="D35" s="324">
        <f>'29'!I36-E35-F35</f>
        <v>240.75</v>
      </c>
      <c r="E35" s="324">
        <v>0</v>
      </c>
      <c r="F35" s="324">
        <v>53667</v>
      </c>
    </row>
    <row r="36" spans="1:6" ht="15.75" customHeight="1">
      <c r="A36" s="326">
        <v>20030007</v>
      </c>
      <c r="B36" s="30" t="s">
        <v>533</v>
      </c>
      <c r="C36" s="324">
        <f t="shared" si="0"/>
        <v>102815.39000000001</v>
      </c>
      <c r="D36" s="324">
        <f>'30'!I36-E36-F36</f>
        <v>9610.390000000014</v>
      </c>
      <c r="E36" s="324">
        <v>0</v>
      </c>
      <c r="F36" s="324">
        <v>93205</v>
      </c>
    </row>
    <row r="37" spans="1:6" ht="15.75" customHeight="1">
      <c r="A37" s="326">
        <v>21010001</v>
      </c>
      <c r="B37" s="30" t="s">
        <v>197</v>
      </c>
      <c r="C37" s="324">
        <f t="shared" si="0"/>
        <v>497.77</v>
      </c>
      <c r="D37" s="324">
        <f>'31'!I33-E37-F37</f>
        <v>497.77</v>
      </c>
      <c r="E37" s="324">
        <v>0</v>
      </c>
      <c r="F37" s="324">
        <v>0</v>
      </c>
    </row>
    <row r="38" spans="1:6" ht="15.75" customHeight="1">
      <c r="A38" s="326">
        <v>22010001</v>
      </c>
      <c r="B38" s="30" t="s">
        <v>198</v>
      </c>
      <c r="C38" s="324">
        <f t="shared" si="0"/>
        <v>0</v>
      </c>
      <c r="D38" s="324">
        <f>'32'!I35-E38-F38</f>
        <v>0</v>
      </c>
      <c r="E38" s="324">
        <v>0</v>
      </c>
      <c r="F38" s="324">
        <v>0</v>
      </c>
    </row>
    <row r="39" spans="1:6" ht="15.75" customHeight="1">
      <c r="A39" s="326">
        <v>23010001</v>
      </c>
      <c r="B39" s="30" t="s">
        <v>199</v>
      </c>
      <c r="C39" s="324">
        <f t="shared" si="0"/>
        <v>4972.12</v>
      </c>
      <c r="D39" s="324">
        <f>'33'!I34-E39-F39</f>
        <v>4972.12</v>
      </c>
      <c r="E39" s="324">
        <v>0</v>
      </c>
      <c r="F39" s="324">
        <v>0</v>
      </c>
    </row>
    <row r="40" spans="1:6" ht="15.75" customHeight="1">
      <c r="A40" s="326">
        <v>24010001</v>
      </c>
      <c r="B40" s="30" t="s">
        <v>200</v>
      </c>
      <c r="C40" s="324">
        <f t="shared" si="0"/>
        <v>2988.58</v>
      </c>
      <c r="D40" s="324">
        <f>'34'!I36-E40-F40</f>
        <v>2988.58</v>
      </c>
      <c r="E40" s="324">
        <v>0</v>
      </c>
      <c r="F40" s="324">
        <v>0</v>
      </c>
    </row>
    <row r="41" spans="1:6" ht="15.75" customHeight="1">
      <c r="A41" s="326">
        <v>26010001</v>
      </c>
      <c r="B41" s="30" t="s">
        <v>201</v>
      </c>
      <c r="C41" s="324">
        <f t="shared" si="0"/>
        <v>998.12</v>
      </c>
      <c r="D41" s="324">
        <f>'35'!I36-E41-F41</f>
        <v>998.12</v>
      </c>
      <c r="E41" s="324">
        <v>0</v>
      </c>
      <c r="F41" s="324">
        <v>0</v>
      </c>
    </row>
    <row r="42" spans="1:6" ht="15.75" customHeight="1">
      <c r="A42" s="326">
        <v>27010001</v>
      </c>
      <c r="B42" s="30" t="s">
        <v>202</v>
      </c>
      <c r="C42" s="324">
        <f t="shared" si="0"/>
        <v>355</v>
      </c>
      <c r="D42" s="324">
        <f>'36'!I36-E42-F42</f>
        <v>0</v>
      </c>
      <c r="E42" s="324">
        <v>0</v>
      </c>
      <c r="F42" s="324">
        <v>355</v>
      </c>
    </row>
    <row r="43" spans="1:6" ht="15.75" customHeight="1">
      <c r="A43" s="326">
        <v>28010001</v>
      </c>
      <c r="B43" s="30" t="s">
        <v>203</v>
      </c>
      <c r="C43" s="324">
        <f t="shared" si="0"/>
        <v>537.49</v>
      </c>
      <c r="D43" s="324">
        <f>'37'!I36-E43-F43</f>
        <v>537.49</v>
      </c>
      <c r="E43" s="324">
        <v>0</v>
      </c>
      <c r="F43" s="324">
        <v>0</v>
      </c>
    </row>
    <row r="44" spans="1:6" s="71" customFormat="1" ht="15.75" customHeight="1">
      <c r="A44" s="137"/>
      <c r="B44" s="330" t="s">
        <v>493</v>
      </c>
      <c r="C44" s="331">
        <f>SUM(C7:C43)</f>
        <v>1367892.1200000003</v>
      </c>
      <c r="D44" s="331">
        <f>SUM(D7:D43)</f>
        <v>929715.12</v>
      </c>
      <c r="E44" s="331">
        <f>SUM(E7:E43)</f>
        <v>0</v>
      </c>
      <c r="F44" s="331">
        <f>SUM(F7:F43)</f>
        <v>438177</v>
      </c>
    </row>
    <row r="45" ht="18" customHeight="1"/>
  </sheetData>
  <sheetProtection/>
  <mergeCells count="4">
    <mergeCell ref="A2:F2"/>
    <mergeCell ref="D4:F4"/>
    <mergeCell ref="A4:A5"/>
    <mergeCell ref="B4:B5"/>
  </mergeCells>
  <printOptions/>
  <pageMargins left="1.31" right="0.32" top="0.56" bottom="0.53" header="0.5" footer="0.5"/>
  <pageSetup horizontalDpi="600" verticalDpi="600" orientation="landscape" paperSize="9" scale="71" r:id="rId1"/>
  <headerFooter alignWithMargins="0">
    <oddFooter>&amp;R48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7"/>
  <dimension ref="A1:H27"/>
  <sheetViews>
    <sheetView zoomScalePageLayoutView="0" workbookViewId="0" topLeftCell="A1">
      <selection activeCell="B9" sqref="B9"/>
    </sheetView>
  </sheetViews>
  <sheetFormatPr defaultColWidth="9.140625" defaultRowHeight="15" customHeight="1"/>
  <cols>
    <col min="2" max="2" width="46.7109375" style="0" customWidth="1"/>
    <col min="3" max="3" width="24.57421875" style="0" customWidth="1"/>
    <col min="4" max="4" width="12.421875" style="0" customWidth="1"/>
  </cols>
  <sheetData>
    <row r="1" spans="1:3" ht="15" customHeight="1">
      <c r="A1" s="57"/>
      <c r="C1" s="57"/>
    </row>
    <row r="2" spans="1:3" ht="15" customHeight="1">
      <c r="A2" s="57"/>
      <c r="C2" s="57"/>
    </row>
    <row r="3" ht="15" customHeight="1">
      <c r="C3" t="s">
        <v>65</v>
      </c>
    </row>
    <row r="4" spans="7:8" ht="15" customHeight="1">
      <c r="G4" s="71"/>
      <c r="H4" s="71"/>
    </row>
    <row r="5" spans="1:3" ht="15" customHeight="1">
      <c r="A5" s="57"/>
      <c r="C5" s="57"/>
    </row>
    <row r="6" spans="1:3" ht="15" customHeight="1">
      <c r="A6" s="355" t="s">
        <v>595</v>
      </c>
      <c r="C6" s="57"/>
    </row>
    <row r="7" spans="1:3" ht="15" customHeight="1">
      <c r="A7" s="402"/>
      <c r="B7" s="402"/>
      <c r="C7" s="402"/>
    </row>
    <row r="8" spans="1:3" ht="15" customHeight="1">
      <c r="A8" s="402"/>
      <c r="B8" s="402"/>
      <c r="C8" s="402"/>
    </row>
    <row r="20" ht="15" customHeight="1">
      <c r="C20" s="58"/>
    </row>
    <row r="21" ht="15" customHeight="1">
      <c r="C21" s="356"/>
    </row>
    <row r="22" ht="15" customHeight="1">
      <c r="C22" s="356"/>
    </row>
    <row r="24" ht="15" customHeight="1">
      <c r="C24" s="58"/>
    </row>
    <row r="27" ht="15" customHeight="1">
      <c r="C27" s="58"/>
    </row>
    <row r="37" ht="12.75"/>
  </sheetData>
  <sheetProtection/>
  <mergeCells count="1">
    <mergeCell ref="A7:C8"/>
  </mergeCells>
  <printOptions/>
  <pageMargins left="0.89" right="0.75" top="1" bottom="1" header="0.5" footer="0.5"/>
  <pageSetup horizontalDpi="600" verticalDpi="600" orientation="portrait" paperSize="9" r:id="rId1"/>
  <headerFooter alignWithMargins="0">
    <oddFooter>&amp;R49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J50"/>
  <sheetViews>
    <sheetView zoomScalePageLayoutView="0" workbookViewId="0" topLeftCell="B20">
      <selection activeCell="E47" sqref="E47"/>
    </sheetView>
  </sheetViews>
  <sheetFormatPr defaultColWidth="9.140625" defaultRowHeight="12.75"/>
  <cols>
    <col min="1" max="1" width="0.42578125" style="0" hidden="1" customWidth="1"/>
    <col min="2" max="2" width="13.28125" style="58" customWidth="1"/>
    <col min="3" max="3" width="55.421875" style="0" customWidth="1"/>
    <col min="4" max="5" width="15.28125" style="0" customWidth="1"/>
    <col min="6" max="6" width="7.7109375" style="0" customWidth="1"/>
    <col min="7" max="7" width="11.00390625" style="0" customWidth="1"/>
    <col min="8" max="8" width="15.7109375" style="0" customWidth="1"/>
    <col min="9" max="9" width="17.28125" style="0" customWidth="1"/>
    <col min="10" max="10" width="15.28125" style="0" customWidth="1"/>
  </cols>
  <sheetData>
    <row r="1" spans="2:6" ht="76.5" customHeight="1">
      <c r="B1" s="89" t="s">
        <v>114</v>
      </c>
      <c r="C1" s="90" t="s">
        <v>5</v>
      </c>
      <c r="D1" s="147" t="s">
        <v>267</v>
      </c>
      <c r="E1" s="147" t="s">
        <v>586</v>
      </c>
      <c r="F1" s="44" t="s">
        <v>251</v>
      </c>
    </row>
    <row r="2" spans="2:6" ht="18" customHeight="1">
      <c r="B2" s="307">
        <v>1</v>
      </c>
      <c r="C2" s="308">
        <v>2</v>
      </c>
      <c r="D2" s="309">
        <v>3</v>
      </c>
      <c r="E2" s="309">
        <v>4</v>
      </c>
      <c r="F2" s="310">
        <v>5</v>
      </c>
    </row>
    <row r="3" spans="2:9" ht="26.25" customHeight="1">
      <c r="B3" s="213">
        <v>722522</v>
      </c>
      <c r="C3" s="121" t="s">
        <v>347</v>
      </c>
      <c r="D3" s="188">
        <v>21100</v>
      </c>
      <c r="E3" s="188">
        <v>26959.94</v>
      </c>
      <c r="F3" s="247">
        <f aca="true" t="shared" si="0" ref="F3:F41">IF(D3=0,,E3/D3*100)</f>
        <v>127.77222748815164</v>
      </c>
      <c r="G3" s="108"/>
      <c r="H3" s="108"/>
      <c r="I3" s="108"/>
    </row>
    <row r="4" spans="2:9" ht="26.25" customHeight="1">
      <c r="B4" s="213">
        <v>722523</v>
      </c>
      <c r="C4" s="121" t="s">
        <v>348</v>
      </c>
      <c r="D4" s="188">
        <v>4200</v>
      </c>
      <c r="E4" s="188">
        <v>4226.31</v>
      </c>
      <c r="F4" s="247">
        <f t="shared" si="0"/>
        <v>100.62642857142859</v>
      </c>
      <c r="G4" s="108"/>
      <c r="H4" s="108"/>
      <c r="I4" s="108"/>
    </row>
    <row r="5" spans="2:9" ht="27" customHeight="1">
      <c r="B5" s="213">
        <v>722524</v>
      </c>
      <c r="C5" s="121" t="s">
        <v>349</v>
      </c>
      <c r="D5" s="188">
        <v>800</v>
      </c>
      <c r="E5" s="188">
        <v>613.53</v>
      </c>
      <c r="F5" s="247">
        <f t="shared" si="0"/>
        <v>76.69125</v>
      </c>
      <c r="G5" s="108"/>
      <c r="H5" s="108"/>
      <c r="I5" s="108"/>
    </row>
    <row r="6" spans="2:9" ht="26.25" customHeight="1">
      <c r="B6" s="213">
        <v>722525</v>
      </c>
      <c r="C6" s="121" t="s">
        <v>350</v>
      </c>
      <c r="D6" s="188">
        <v>300</v>
      </c>
      <c r="E6" s="188">
        <v>321.55</v>
      </c>
      <c r="F6" s="247">
        <f t="shared" si="0"/>
        <v>107.18333333333334</v>
      </c>
      <c r="G6" s="108"/>
      <c r="H6" s="108"/>
      <c r="I6" s="108"/>
    </row>
    <row r="7" spans="2:9" ht="15" customHeight="1">
      <c r="B7" s="213">
        <v>722527</v>
      </c>
      <c r="C7" s="122" t="s">
        <v>568</v>
      </c>
      <c r="D7" s="188">
        <v>0</v>
      </c>
      <c r="E7" s="188">
        <v>3.06</v>
      </c>
      <c r="F7" s="247">
        <f>IF(D7=0,,E7/D7*100)</f>
        <v>0</v>
      </c>
      <c r="G7" s="108"/>
      <c r="H7" s="108"/>
      <c r="I7" s="108"/>
    </row>
    <row r="8" spans="2:9" ht="15" customHeight="1">
      <c r="B8" s="213">
        <v>722528</v>
      </c>
      <c r="C8" s="122" t="s">
        <v>334</v>
      </c>
      <c r="D8" s="188">
        <v>850</v>
      </c>
      <c r="E8" s="188">
        <v>840.6</v>
      </c>
      <c r="F8" s="247">
        <f t="shared" si="0"/>
        <v>98.89411764705882</v>
      </c>
      <c r="G8" s="108"/>
      <c r="H8" s="108"/>
      <c r="I8" s="108"/>
    </row>
    <row r="9" spans="2:9" ht="15" customHeight="1">
      <c r="B9" s="213">
        <v>722529</v>
      </c>
      <c r="C9" s="122" t="s">
        <v>335</v>
      </c>
      <c r="D9" s="188">
        <v>62500</v>
      </c>
      <c r="E9" s="188">
        <v>62214.04</v>
      </c>
      <c r="F9" s="247">
        <f t="shared" si="0"/>
        <v>99.542464</v>
      </c>
      <c r="G9" s="108"/>
      <c r="H9" s="108"/>
      <c r="I9" s="108"/>
    </row>
    <row r="10" spans="2:9" ht="15" customHeight="1">
      <c r="B10" s="256">
        <v>722530</v>
      </c>
      <c r="C10" s="267" t="s">
        <v>336</v>
      </c>
      <c r="D10" s="248">
        <f>SUM(D11:D13)</f>
        <v>251100</v>
      </c>
      <c r="E10" s="248">
        <f>SUM(E11:E13)</f>
        <v>259786.89</v>
      </c>
      <c r="F10" s="263">
        <f t="shared" si="0"/>
        <v>103.45953405017923</v>
      </c>
      <c r="G10" s="108"/>
      <c r="H10" s="108"/>
      <c r="I10" s="108"/>
    </row>
    <row r="11" spans="2:9" ht="15" customHeight="1">
      <c r="B11" s="213">
        <v>722531</v>
      </c>
      <c r="C11" s="122" t="s">
        <v>337</v>
      </c>
      <c r="D11" s="188">
        <v>76700</v>
      </c>
      <c r="E11" s="188">
        <v>73772.58</v>
      </c>
      <c r="F11" s="247">
        <f t="shared" si="0"/>
        <v>96.18328552803129</v>
      </c>
      <c r="G11" s="108"/>
      <c r="H11" s="108"/>
      <c r="I11" s="108"/>
    </row>
    <row r="12" spans="2:9" ht="15" customHeight="1">
      <c r="B12" s="213">
        <v>722532</v>
      </c>
      <c r="C12" s="122" t="s">
        <v>338</v>
      </c>
      <c r="D12" s="188">
        <v>174300</v>
      </c>
      <c r="E12" s="188">
        <v>186014.31</v>
      </c>
      <c r="F12" s="247">
        <f t="shared" si="0"/>
        <v>106.72077452667814</v>
      </c>
      <c r="G12" s="108"/>
      <c r="H12" s="108"/>
      <c r="I12" s="108"/>
    </row>
    <row r="13" spans="2:9" ht="15" customHeight="1">
      <c r="B13" s="213">
        <v>722538</v>
      </c>
      <c r="C13" s="122" t="s">
        <v>339</v>
      </c>
      <c r="D13" s="188">
        <v>100</v>
      </c>
      <c r="E13" s="188">
        <v>0</v>
      </c>
      <c r="F13" s="247">
        <f t="shared" si="0"/>
        <v>0</v>
      </c>
      <c r="G13" s="108"/>
      <c r="H13" s="108"/>
      <c r="I13" s="108"/>
    </row>
    <row r="14" spans="2:9" ht="15" customHeight="1">
      <c r="B14" s="256">
        <v>722540</v>
      </c>
      <c r="C14" s="267" t="s">
        <v>340</v>
      </c>
      <c r="D14" s="248">
        <f>SUM(D15:D15)</f>
        <v>4000</v>
      </c>
      <c r="E14" s="248">
        <f>SUM(E15:E15)</f>
        <v>4252.81</v>
      </c>
      <c r="F14" s="263">
        <f t="shared" si="0"/>
        <v>106.32025</v>
      </c>
      <c r="G14" s="108"/>
      <c r="H14" s="108"/>
      <c r="I14" s="108"/>
    </row>
    <row r="15" spans="2:9" ht="15" customHeight="1">
      <c r="B15" s="213">
        <v>722541</v>
      </c>
      <c r="C15" s="122" t="s">
        <v>341</v>
      </c>
      <c r="D15" s="188">
        <v>4000</v>
      </c>
      <c r="E15" s="188">
        <v>4252.81</v>
      </c>
      <c r="F15" s="247">
        <f t="shared" si="0"/>
        <v>106.32025</v>
      </c>
      <c r="G15" s="108"/>
      <c r="H15" s="108"/>
      <c r="I15" s="108"/>
    </row>
    <row r="16" spans="2:9" ht="15" customHeight="1">
      <c r="B16" s="256">
        <v>722550</v>
      </c>
      <c r="C16" s="267" t="s">
        <v>342</v>
      </c>
      <c r="D16" s="248">
        <f>D17+D19+D21</f>
        <v>100000</v>
      </c>
      <c r="E16" s="248">
        <f>E17+E19+E21</f>
        <v>100000</v>
      </c>
      <c r="F16" s="263">
        <f t="shared" si="0"/>
        <v>100</v>
      </c>
      <c r="G16" s="108"/>
      <c r="H16" s="108"/>
      <c r="I16" s="108"/>
    </row>
    <row r="17" spans="2:9" ht="15" customHeight="1">
      <c r="B17" s="213">
        <v>722551</v>
      </c>
      <c r="C17" s="122" t="s">
        <v>343</v>
      </c>
      <c r="D17" s="188">
        <v>8900</v>
      </c>
      <c r="E17" s="188">
        <v>6647.58</v>
      </c>
      <c r="F17" s="247">
        <f t="shared" si="0"/>
        <v>74.69191011235955</v>
      </c>
      <c r="G17" s="108"/>
      <c r="H17" s="108"/>
      <c r="I17" s="108"/>
    </row>
    <row r="18" spans="2:10" ht="15.75" customHeight="1">
      <c r="B18" s="231"/>
      <c r="C18" s="259" t="s">
        <v>390</v>
      </c>
      <c r="D18" s="188">
        <v>8900</v>
      </c>
      <c r="E18" s="188">
        <v>6647.58</v>
      </c>
      <c r="F18" s="230">
        <f t="shared" si="0"/>
        <v>74.69191011235955</v>
      </c>
      <c r="G18" s="108"/>
      <c r="H18" s="108"/>
      <c r="I18" s="108"/>
      <c r="J18" s="108"/>
    </row>
    <row r="19" spans="2:9" ht="26.25" customHeight="1">
      <c r="B19" s="213">
        <v>722555</v>
      </c>
      <c r="C19" s="121" t="s">
        <v>351</v>
      </c>
      <c r="D19" s="188">
        <v>52510</v>
      </c>
      <c r="E19" s="188">
        <v>56296.77</v>
      </c>
      <c r="F19" s="247">
        <f t="shared" si="0"/>
        <v>107.21152161493049</v>
      </c>
      <c r="G19" s="108"/>
      <c r="H19" s="108"/>
      <c r="I19" s="108"/>
    </row>
    <row r="20" spans="2:10" ht="15.75" customHeight="1">
      <c r="B20" s="231"/>
      <c r="C20" s="259" t="s">
        <v>391</v>
      </c>
      <c r="D20" s="188">
        <v>52510</v>
      </c>
      <c r="E20" s="188">
        <v>56296.77</v>
      </c>
      <c r="F20" s="230">
        <f t="shared" si="0"/>
        <v>107.21152161493049</v>
      </c>
      <c r="G20" s="108"/>
      <c r="H20" s="108"/>
      <c r="I20" s="108"/>
      <c r="J20" s="108"/>
    </row>
    <row r="21" spans="2:9" ht="25.5" customHeight="1">
      <c r="B21" s="213">
        <v>722556</v>
      </c>
      <c r="C21" s="121" t="s">
        <v>352</v>
      </c>
      <c r="D21" s="188">
        <v>38590</v>
      </c>
      <c r="E21" s="188">
        <v>37055.65</v>
      </c>
      <c r="F21" s="247">
        <f t="shared" si="0"/>
        <v>96.02396994039907</v>
      </c>
      <c r="G21" s="108"/>
      <c r="H21" s="108"/>
      <c r="I21" s="108"/>
    </row>
    <row r="22" spans="2:10" ht="15.75" customHeight="1">
      <c r="B22" s="231"/>
      <c r="C22" s="259" t="s">
        <v>392</v>
      </c>
      <c r="D22" s="188">
        <v>38590</v>
      </c>
      <c r="E22" s="188">
        <v>37055.65</v>
      </c>
      <c r="F22" s="230">
        <f t="shared" si="0"/>
        <v>96.02396994039907</v>
      </c>
      <c r="G22" s="108"/>
      <c r="H22" s="108"/>
      <c r="I22" s="108"/>
      <c r="J22" s="108"/>
    </row>
    <row r="23" spans="2:9" ht="15" customHeight="1">
      <c r="B23" s="256">
        <v>722580</v>
      </c>
      <c r="C23" s="267" t="s">
        <v>353</v>
      </c>
      <c r="D23" s="248">
        <f>D24+D26+D27+D28+D29+D30</f>
        <v>67250</v>
      </c>
      <c r="E23" s="248">
        <f>E24+E26+E27+E28+E29+E30</f>
        <v>63933.46000000001</v>
      </c>
      <c r="F23" s="263">
        <f t="shared" si="0"/>
        <v>95.06834200743496</v>
      </c>
      <c r="G23" s="108"/>
      <c r="H23" s="108"/>
      <c r="I23" s="108"/>
    </row>
    <row r="24" spans="2:9" ht="26.25" customHeight="1">
      <c r="B24" s="213">
        <v>722581</v>
      </c>
      <c r="C24" s="121" t="s">
        <v>354</v>
      </c>
      <c r="D24" s="188">
        <v>61300</v>
      </c>
      <c r="E24" s="188">
        <v>57134.61</v>
      </c>
      <c r="F24" s="247">
        <f t="shared" si="0"/>
        <v>93.20491027732464</v>
      </c>
      <c r="G24" s="108"/>
      <c r="H24" s="108"/>
      <c r="I24" s="108"/>
    </row>
    <row r="25" spans="2:10" ht="15" customHeight="1">
      <c r="B25" s="231"/>
      <c r="C25" s="259" t="s">
        <v>427</v>
      </c>
      <c r="D25" s="188">
        <v>61300</v>
      </c>
      <c r="E25" s="188">
        <v>57134.61</v>
      </c>
      <c r="F25" s="247">
        <f t="shared" si="0"/>
        <v>93.20491027732464</v>
      </c>
      <c r="G25" s="323"/>
      <c r="H25" s="108"/>
      <c r="I25" s="108"/>
      <c r="J25" s="108"/>
    </row>
    <row r="26" spans="2:9" ht="27" customHeight="1">
      <c r="B26" s="213">
        <v>722582</v>
      </c>
      <c r="C26" s="121" t="s">
        <v>544</v>
      </c>
      <c r="D26" s="188">
        <v>3700</v>
      </c>
      <c r="E26" s="188">
        <v>3829.44</v>
      </c>
      <c r="F26" s="247">
        <f t="shared" si="0"/>
        <v>103.49837837837839</v>
      </c>
      <c r="G26" s="108"/>
      <c r="H26" s="108"/>
      <c r="I26" s="108"/>
    </row>
    <row r="27" spans="2:9" ht="25.5" customHeight="1">
      <c r="B27" s="213">
        <v>722583</v>
      </c>
      <c r="C27" s="121" t="s">
        <v>355</v>
      </c>
      <c r="D27" s="188">
        <v>1200</v>
      </c>
      <c r="E27" s="188">
        <v>1234</v>
      </c>
      <c r="F27" s="247">
        <f t="shared" si="0"/>
        <v>102.83333333333333</v>
      </c>
      <c r="G27" s="108"/>
      <c r="H27" s="108"/>
      <c r="I27" s="108"/>
    </row>
    <row r="28" spans="2:9" ht="26.25" customHeight="1">
      <c r="B28" s="213">
        <v>722584</v>
      </c>
      <c r="C28" s="121" t="s">
        <v>356</v>
      </c>
      <c r="D28" s="188">
        <v>950</v>
      </c>
      <c r="E28" s="188">
        <v>1491.13</v>
      </c>
      <c r="F28" s="247">
        <f t="shared" si="0"/>
        <v>156.96105263157895</v>
      </c>
      <c r="G28" s="108"/>
      <c r="H28" s="108"/>
      <c r="I28" s="108"/>
    </row>
    <row r="29" spans="2:9" ht="24" customHeight="1">
      <c r="B29" s="213">
        <v>722585</v>
      </c>
      <c r="C29" s="121" t="s">
        <v>357</v>
      </c>
      <c r="D29" s="188">
        <v>100</v>
      </c>
      <c r="E29" s="188">
        <v>230.41</v>
      </c>
      <c r="F29" s="247">
        <f t="shared" si="0"/>
        <v>230.41</v>
      </c>
      <c r="G29" s="108"/>
      <c r="H29" s="108"/>
      <c r="I29" s="108"/>
    </row>
    <row r="30" spans="2:9" ht="24" customHeight="1">
      <c r="B30" s="213">
        <v>722586</v>
      </c>
      <c r="C30" s="121" t="s">
        <v>565</v>
      </c>
      <c r="D30" s="188">
        <v>0</v>
      </c>
      <c r="E30" s="188">
        <v>13.87</v>
      </c>
      <c r="F30" s="247">
        <f>IF(D30=0,,E30/D30*100)</f>
        <v>0</v>
      </c>
      <c r="G30" s="108"/>
      <c r="H30" s="108"/>
      <c r="I30" s="108"/>
    </row>
    <row r="31" spans="2:10" ht="12.75">
      <c r="B31" s="219">
        <v>722600</v>
      </c>
      <c r="C31" s="76" t="s">
        <v>344</v>
      </c>
      <c r="D31" s="265">
        <f>D32+D33+D34+D35+D36</f>
        <v>429600</v>
      </c>
      <c r="E31" s="265">
        <f>E32+E33+E34+E35+E36</f>
        <v>417870.25</v>
      </c>
      <c r="F31" s="246">
        <f t="shared" si="0"/>
        <v>97.26961126629423</v>
      </c>
      <c r="G31" s="108"/>
      <c r="H31" s="183"/>
      <c r="J31" s="108"/>
    </row>
    <row r="32" spans="2:10" ht="12.75">
      <c r="B32" s="231">
        <v>722611</v>
      </c>
      <c r="C32" s="122" t="s">
        <v>358</v>
      </c>
      <c r="D32" s="188">
        <v>121800</v>
      </c>
      <c r="E32" s="188">
        <v>135790.1</v>
      </c>
      <c r="F32" s="230">
        <f t="shared" si="0"/>
        <v>111.48612479474549</v>
      </c>
      <c r="G32" s="108"/>
      <c r="H32" s="183"/>
      <c r="J32" s="108"/>
    </row>
    <row r="33" spans="2:10" ht="12.75">
      <c r="B33" s="231">
        <v>722612</v>
      </c>
      <c r="C33" s="122" t="s">
        <v>359</v>
      </c>
      <c r="D33" s="188">
        <v>22300</v>
      </c>
      <c r="E33" s="188">
        <v>41690.55</v>
      </c>
      <c r="F33" s="230">
        <f t="shared" si="0"/>
        <v>186.95313901345293</v>
      </c>
      <c r="G33" s="108"/>
      <c r="H33" s="183"/>
      <c r="J33" s="108"/>
    </row>
    <row r="34" spans="2:10" ht="12.75">
      <c r="B34" s="231">
        <v>722613</v>
      </c>
      <c r="C34" s="122" t="s">
        <v>360</v>
      </c>
      <c r="D34" s="188">
        <v>9200</v>
      </c>
      <c r="E34" s="188">
        <v>7720</v>
      </c>
      <c r="F34" s="230">
        <f t="shared" si="0"/>
        <v>83.91304347826087</v>
      </c>
      <c r="G34" s="108"/>
      <c r="H34" s="183"/>
      <c r="J34" s="108"/>
    </row>
    <row r="35" spans="2:10" ht="12.75">
      <c r="B35" s="231">
        <v>722621</v>
      </c>
      <c r="C35" s="122" t="s">
        <v>361</v>
      </c>
      <c r="D35" s="188">
        <v>235100</v>
      </c>
      <c r="E35" s="188">
        <v>195349.3</v>
      </c>
      <c r="F35" s="230">
        <f t="shared" si="0"/>
        <v>83.09200340280731</v>
      </c>
      <c r="G35" s="108"/>
      <c r="H35" s="183"/>
      <c r="J35" s="108"/>
    </row>
    <row r="36" spans="2:10" ht="12.75">
      <c r="B36" s="231">
        <v>722631</v>
      </c>
      <c r="C36" s="122" t="s">
        <v>362</v>
      </c>
      <c r="D36" s="188">
        <v>41200</v>
      </c>
      <c r="E36" s="188">
        <v>37320.3</v>
      </c>
      <c r="F36" s="230">
        <f t="shared" si="0"/>
        <v>90.58325242718446</v>
      </c>
      <c r="G36" s="108"/>
      <c r="H36" s="183"/>
      <c r="J36" s="108"/>
    </row>
    <row r="37" spans="2:10" ht="12.75">
      <c r="B37" s="256">
        <v>722700</v>
      </c>
      <c r="C37" s="76" t="s">
        <v>363</v>
      </c>
      <c r="D37" s="265">
        <f>SUM(D39:D41)</f>
        <v>3000</v>
      </c>
      <c r="E37" s="265">
        <f>SUM(E38:E41)</f>
        <v>5757.02</v>
      </c>
      <c r="F37" s="246">
        <f t="shared" si="0"/>
        <v>191.90066666666667</v>
      </c>
      <c r="G37" s="108"/>
      <c r="H37" s="183"/>
      <c r="J37" s="108"/>
    </row>
    <row r="38" spans="2:10" ht="12.75">
      <c r="B38" s="231">
        <v>722719</v>
      </c>
      <c r="C38" s="122" t="s">
        <v>546</v>
      </c>
      <c r="D38" s="188">
        <v>0</v>
      </c>
      <c r="E38" s="188">
        <v>548.84</v>
      </c>
      <c r="F38" s="230">
        <f>IF(D38=0,,E38/D38*100)</f>
        <v>0</v>
      </c>
      <c r="G38" s="108"/>
      <c r="H38" s="183"/>
      <c r="J38" s="108"/>
    </row>
    <row r="39" spans="2:10" ht="12.75">
      <c r="B39" s="231">
        <v>722732</v>
      </c>
      <c r="C39" s="122" t="s">
        <v>364</v>
      </c>
      <c r="D39" s="188">
        <v>500</v>
      </c>
      <c r="E39" s="188">
        <v>194.43</v>
      </c>
      <c r="F39" s="230">
        <f t="shared" si="0"/>
        <v>38.886</v>
      </c>
      <c r="G39" s="108"/>
      <c r="H39" s="183"/>
      <c r="J39" s="108"/>
    </row>
    <row r="40" spans="2:10" ht="12.75">
      <c r="B40" s="231">
        <v>722751</v>
      </c>
      <c r="C40" s="122" t="s">
        <v>365</v>
      </c>
      <c r="D40" s="188">
        <v>0</v>
      </c>
      <c r="E40" s="188">
        <v>0</v>
      </c>
      <c r="F40" s="230">
        <f t="shared" si="0"/>
        <v>0</v>
      </c>
      <c r="G40" s="108"/>
      <c r="H40" s="183"/>
      <c r="J40" s="108"/>
    </row>
    <row r="41" spans="2:10" ht="12.75">
      <c r="B41" s="231">
        <v>722791</v>
      </c>
      <c r="C41" s="122" t="s">
        <v>366</v>
      </c>
      <c r="D41" s="188">
        <v>2500</v>
      </c>
      <c r="E41" s="188">
        <v>5013.75</v>
      </c>
      <c r="F41" s="230">
        <f t="shared" si="0"/>
        <v>200.55</v>
      </c>
      <c r="G41" s="108"/>
      <c r="H41" s="183"/>
      <c r="J41" s="108"/>
    </row>
    <row r="42" spans="2:8" ht="15" customHeight="1">
      <c r="B42" s="214">
        <v>723000</v>
      </c>
      <c r="C42" s="225" t="s">
        <v>123</v>
      </c>
      <c r="D42" s="223">
        <f>D43</f>
        <v>415100</v>
      </c>
      <c r="E42" s="223">
        <f>E43</f>
        <v>420737.7</v>
      </c>
      <c r="F42" s="224">
        <f>IF(D42=0,,E42/D42*100)</f>
        <v>101.35815466152735</v>
      </c>
      <c r="G42" s="108"/>
      <c r="H42" s="108"/>
    </row>
    <row r="43" spans="2:8" ht="15" customHeight="1">
      <c r="B43" s="239">
        <v>723100</v>
      </c>
      <c r="C43" s="266" t="s">
        <v>367</v>
      </c>
      <c r="D43" s="248">
        <f>D44+D45+D46+'prihodi-4'!D3</f>
        <v>415100</v>
      </c>
      <c r="E43" s="248">
        <f>E44+E45+E46+'prihodi-4'!E3</f>
        <v>420737.7</v>
      </c>
      <c r="F43" s="263">
        <f>IF(D43=0,,E43/D43*100)</f>
        <v>101.35815466152735</v>
      </c>
      <c r="G43" s="108"/>
      <c r="H43" s="108"/>
    </row>
    <row r="44" spans="2:8" ht="15" customHeight="1">
      <c r="B44" s="231">
        <v>723121</v>
      </c>
      <c r="C44" s="30" t="s">
        <v>368</v>
      </c>
      <c r="D44" s="234">
        <v>800</v>
      </c>
      <c r="E44" s="234">
        <v>253</v>
      </c>
      <c r="F44" s="233">
        <f>IF(D44=0,,E44/D44*100)</f>
        <v>31.624999999999996</v>
      </c>
      <c r="G44" s="108"/>
      <c r="H44" s="108"/>
    </row>
    <row r="45" spans="2:8" ht="15" customHeight="1">
      <c r="B45" s="231">
        <v>723122</v>
      </c>
      <c r="C45" s="30" t="s">
        <v>369</v>
      </c>
      <c r="D45" s="234">
        <v>100</v>
      </c>
      <c r="E45" s="234">
        <v>295</v>
      </c>
      <c r="F45" s="233">
        <f>IF(D45=0,,E45/D45*100)</f>
        <v>295</v>
      </c>
      <c r="G45" s="108"/>
      <c r="H45" s="108"/>
    </row>
    <row r="46" spans="2:8" ht="25.5" customHeight="1" thickBot="1">
      <c r="B46" s="343">
        <v>723123</v>
      </c>
      <c r="C46" s="347" t="s">
        <v>371</v>
      </c>
      <c r="D46" s="348">
        <v>398700</v>
      </c>
      <c r="E46" s="348">
        <v>404309.7</v>
      </c>
      <c r="F46" s="349">
        <f>IF(D46=0,,E46/D46*100)</f>
        <v>101.40699774266366</v>
      </c>
      <c r="G46" s="108"/>
      <c r="H46" s="108"/>
    </row>
    <row r="47" spans="4:5" ht="12.75">
      <c r="D47" s="338"/>
      <c r="E47" s="338"/>
    </row>
    <row r="48" spans="2:7" ht="12.75">
      <c r="B48"/>
      <c r="D48" s="108"/>
      <c r="E48" s="108"/>
      <c r="F48" s="189"/>
      <c r="G48" s="190"/>
    </row>
    <row r="49" spans="4:7" ht="12.75">
      <c r="D49" s="108"/>
      <c r="E49" s="108"/>
      <c r="F49" s="189"/>
      <c r="G49" s="190"/>
    </row>
    <row r="50" spans="6:7" ht="12.75">
      <c r="F50" s="189"/>
      <c r="G50" s="191"/>
    </row>
  </sheetData>
  <sheetProtection/>
  <printOptions/>
  <pageMargins left="0.44" right="0.3" top="0.5" bottom="0.39" header="0.5" footer="0.36"/>
  <pageSetup horizontalDpi="600" verticalDpi="600" orientation="portrait" paperSize="9" scale="91" r:id="rId1"/>
  <headerFooter alignWithMargins="0">
    <oddFooter>&amp;R4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J51"/>
  <sheetViews>
    <sheetView zoomScalePageLayoutView="0" workbookViewId="0" topLeftCell="B25">
      <selection activeCell="E44" sqref="E44"/>
    </sheetView>
  </sheetViews>
  <sheetFormatPr defaultColWidth="9.140625" defaultRowHeight="12.75"/>
  <cols>
    <col min="1" max="1" width="0.42578125" style="0" hidden="1" customWidth="1"/>
    <col min="2" max="2" width="13.28125" style="58" customWidth="1"/>
    <col min="3" max="3" width="55.421875" style="0" customWidth="1"/>
    <col min="4" max="5" width="15.28125" style="0" customWidth="1"/>
    <col min="6" max="6" width="7.7109375" style="0" customWidth="1"/>
    <col min="7" max="7" width="11.00390625" style="0" customWidth="1"/>
    <col min="8" max="8" width="15.7109375" style="0" customWidth="1"/>
    <col min="9" max="9" width="17.28125" style="0" customWidth="1"/>
    <col min="10" max="10" width="15.28125" style="0" customWidth="1"/>
  </cols>
  <sheetData>
    <row r="1" spans="2:6" ht="76.5" customHeight="1">
      <c r="B1" s="89" t="s">
        <v>114</v>
      </c>
      <c r="C1" s="90" t="s">
        <v>5</v>
      </c>
      <c r="D1" s="147" t="s">
        <v>267</v>
      </c>
      <c r="E1" s="147" t="s">
        <v>586</v>
      </c>
      <c r="F1" s="44" t="s">
        <v>251</v>
      </c>
    </row>
    <row r="2" spans="2:6" ht="18" customHeight="1">
      <c r="B2" s="307">
        <v>1</v>
      </c>
      <c r="C2" s="308">
        <v>2</v>
      </c>
      <c r="D2" s="309">
        <v>3</v>
      </c>
      <c r="E2" s="309">
        <v>4</v>
      </c>
      <c r="F2" s="310">
        <v>5</v>
      </c>
    </row>
    <row r="3" spans="2:8" ht="15" customHeight="1">
      <c r="B3" s="231">
        <v>723129</v>
      </c>
      <c r="C3" s="30" t="s">
        <v>370</v>
      </c>
      <c r="D3" s="234">
        <v>15500</v>
      </c>
      <c r="E3" s="234">
        <v>15880</v>
      </c>
      <c r="F3" s="233">
        <f aca="true" t="shared" si="0" ref="F3:F47">IF(D3=0,,E3/D3*100)</f>
        <v>102.4516129032258</v>
      </c>
      <c r="G3" s="108"/>
      <c r="H3" s="108"/>
    </row>
    <row r="4" spans="2:8" ht="9" customHeight="1">
      <c r="B4" s="231"/>
      <c r="C4" s="212"/>
      <c r="D4" s="234"/>
      <c r="E4" s="234"/>
      <c r="F4" s="233"/>
      <c r="G4" s="108"/>
      <c r="H4" s="108"/>
    </row>
    <row r="5" spans="2:8" s="54" customFormat="1" ht="15" customHeight="1">
      <c r="B5" s="407" t="s">
        <v>445</v>
      </c>
      <c r="C5" s="374"/>
      <c r="D5" s="270">
        <f>'prihodi-1'!D5+'prihodi-2'!D6</f>
        <v>30774030</v>
      </c>
      <c r="E5" s="270">
        <f>'prihodi-1'!E5+'prihodi-2'!E6</f>
        <v>32890695.32</v>
      </c>
      <c r="F5" s="271">
        <f t="shared" si="0"/>
        <v>106.87808947999335</v>
      </c>
      <c r="G5" s="272"/>
      <c r="H5" s="273"/>
    </row>
    <row r="6" spans="2:7" ht="12.75">
      <c r="B6" s="77"/>
      <c r="C6" s="75"/>
      <c r="D6" s="99"/>
      <c r="E6" s="99"/>
      <c r="F6" s="81"/>
      <c r="G6" s="108"/>
    </row>
    <row r="7" spans="2:8" s="54" customFormat="1" ht="15" customHeight="1">
      <c r="B7" s="251">
        <v>730000</v>
      </c>
      <c r="C7" s="274" t="s">
        <v>537</v>
      </c>
      <c r="D7" s="253">
        <f>D8+D14+D32</f>
        <v>5744860</v>
      </c>
      <c r="E7" s="253">
        <f>E8+E14+E32</f>
        <v>5524569.01</v>
      </c>
      <c r="F7" s="254">
        <f t="shared" si="0"/>
        <v>96.16542457083375</v>
      </c>
      <c r="G7" s="255"/>
      <c r="H7" s="335"/>
    </row>
    <row r="8" spans="2:7" ht="27" customHeight="1">
      <c r="B8" s="52">
        <v>731000</v>
      </c>
      <c r="C8" s="241" t="s">
        <v>500</v>
      </c>
      <c r="D8" s="243">
        <f>D9</f>
        <v>250860</v>
      </c>
      <c r="E8" s="243">
        <f>E9</f>
        <v>117459.18</v>
      </c>
      <c r="F8" s="242">
        <f t="shared" si="0"/>
        <v>46.82260224826596</v>
      </c>
      <c r="G8" s="186"/>
    </row>
    <row r="9" spans="2:7" s="104" customFormat="1" ht="15" customHeight="1">
      <c r="B9" s="256">
        <v>731100</v>
      </c>
      <c r="C9" s="261" t="s">
        <v>501</v>
      </c>
      <c r="D9" s="248">
        <f>SUM(D10,D11)</f>
        <v>250860</v>
      </c>
      <c r="E9" s="248">
        <f>SUM(E10,E11)</f>
        <v>117459.18</v>
      </c>
      <c r="F9" s="263">
        <f t="shared" si="0"/>
        <v>46.82260224826596</v>
      </c>
      <c r="G9" s="187"/>
    </row>
    <row r="10" spans="2:8" ht="15" customHeight="1">
      <c r="B10" s="231">
        <v>731111</v>
      </c>
      <c r="C10" s="235" t="s">
        <v>502</v>
      </c>
      <c r="D10" s="234">
        <v>0</v>
      </c>
      <c r="E10" s="234">
        <v>0</v>
      </c>
      <c r="F10" s="233">
        <f t="shared" si="0"/>
        <v>0</v>
      </c>
      <c r="G10" s="108"/>
      <c r="H10" s="108"/>
    </row>
    <row r="11" spans="2:8" ht="15" customHeight="1">
      <c r="B11" s="231">
        <v>731121</v>
      </c>
      <c r="C11" s="235" t="s">
        <v>503</v>
      </c>
      <c r="D11" s="234">
        <f>D12+D13</f>
        <v>250860</v>
      </c>
      <c r="E11" s="234">
        <f>E12+E13</f>
        <v>117459.18</v>
      </c>
      <c r="F11" s="233">
        <f t="shared" si="0"/>
        <v>46.82260224826596</v>
      </c>
      <c r="G11" s="108"/>
      <c r="H11" s="108"/>
    </row>
    <row r="12" spans="2:10" ht="16.5" customHeight="1">
      <c r="B12" s="231"/>
      <c r="C12" s="259" t="s">
        <v>468</v>
      </c>
      <c r="D12" s="229">
        <v>48890</v>
      </c>
      <c r="E12" s="229">
        <v>48895.75</v>
      </c>
      <c r="F12" s="233">
        <f>IF(D12=0,,E12/D12*100)</f>
        <v>100.01176109633872</v>
      </c>
      <c r="G12" s="108"/>
      <c r="H12" s="108"/>
      <c r="I12" s="108"/>
      <c r="J12" s="108"/>
    </row>
    <row r="13" spans="2:10" ht="16.5" customHeight="1">
      <c r="B13" s="231"/>
      <c r="C13" s="259" t="s">
        <v>449</v>
      </c>
      <c r="D13" s="229">
        <f>68560+133410</f>
        <v>201970</v>
      </c>
      <c r="E13" s="229">
        <v>68563.43</v>
      </c>
      <c r="F13" s="233">
        <f t="shared" si="0"/>
        <v>33.94733376243996</v>
      </c>
      <c r="G13" s="108"/>
      <c r="H13" s="108"/>
      <c r="I13" s="108"/>
      <c r="J13" s="108"/>
    </row>
    <row r="14" spans="2:7" ht="15.75" customHeight="1">
      <c r="B14" s="244">
        <v>732000</v>
      </c>
      <c r="C14" s="241" t="s">
        <v>504</v>
      </c>
      <c r="D14" s="243">
        <f>D15</f>
        <v>5401000</v>
      </c>
      <c r="E14" s="243">
        <f>E15</f>
        <v>5302325.93</v>
      </c>
      <c r="F14" s="242">
        <f t="shared" si="0"/>
        <v>98.17304073319755</v>
      </c>
      <c r="G14" s="186"/>
    </row>
    <row r="15" spans="2:7" s="104" customFormat="1" ht="15" customHeight="1">
      <c r="B15" s="256">
        <v>732100</v>
      </c>
      <c r="C15" s="261" t="s">
        <v>505</v>
      </c>
      <c r="D15" s="248">
        <f>D16+D22+D30</f>
        <v>5401000</v>
      </c>
      <c r="E15" s="248">
        <f>E16+E22+E30</f>
        <v>5302325.93</v>
      </c>
      <c r="F15" s="263">
        <f t="shared" si="0"/>
        <v>98.17304073319755</v>
      </c>
      <c r="G15" s="187"/>
    </row>
    <row r="16" spans="2:9" ht="15" customHeight="1">
      <c r="B16" s="219">
        <v>732110</v>
      </c>
      <c r="C16" s="245" t="s">
        <v>506</v>
      </c>
      <c r="D16" s="265">
        <f>D17</f>
        <v>5389000</v>
      </c>
      <c r="E16" s="265">
        <f>E17</f>
        <v>5290361.93</v>
      </c>
      <c r="F16" s="246">
        <f t="shared" si="0"/>
        <v>98.16964056411207</v>
      </c>
      <c r="G16" s="108"/>
      <c r="H16" s="108"/>
      <c r="I16" s="108"/>
    </row>
    <row r="17" spans="2:8" ht="15" customHeight="1">
      <c r="B17" s="231">
        <v>732112</v>
      </c>
      <c r="C17" s="235" t="s">
        <v>507</v>
      </c>
      <c r="D17" s="234">
        <v>5389000</v>
      </c>
      <c r="E17" s="234">
        <f>SUM(E18:E21)</f>
        <v>5290361.93</v>
      </c>
      <c r="F17" s="233">
        <f t="shared" si="0"/>
        <v>98.16964056411207</v>
      </c>
      <c r="G17" s="108"/>
      <c r="H17" s="108"/>
    </row>
    <row r="18" spans="2:10" ht="27" customHeight="1">
      <c r="B18" s="231"/>
      <c r="C18" s="259" t="s">
        <v>428</v>
      </c>
      <c r="D18" s="229">
        <v>294000</v>
      </c>
      <c r="E18" s="229">
        <v>278336.93</v>
      </c>
      <c r="F18" s="233">
        <f t="shared" si="0"/>
        <v>94.67242517006802</v>
      </c>
      <c r="G18" s="108"/>
      <c r="H18" s="108"/>
      <c r="I18" s="108"/>
      <c r="J18" s="108"/>
    </row>
    <row r="19" spans="2:10" ht="27" customHeight="1">
      <c r="B19" s="231"/>
      <c r="C19" s="259" t="s">
        <v>551</v>
      </c>
      <c r="D19" s="229">
        <v>80000</v>
      </c>
      <c r="E19" s="229">
        <v>0</v>
      </c>
      <c r="F19" s="233">
        <f>IF(D19=0,,E19/D19*100)</f>
        <v>0</v>
      </c>
      <c r="G19" s="108"/>
      <c r="H19" s="108"/>
      <c r="I19" s="108"/>
      <c r="J19" s="108"/>
    </row>
    <row r="20" spans="2:10" ht="27" customHeight="1">
      <c r="B20" s="231"/>
      <c r="C20" s="259" t="s">
        <v>430</v>
      </c>
      <c r="D20" s="229">
        <v>15000</v>
      </c>
      <c r="E20" s="229">
        <v>12025</v>
      </c>
      <c r="F20" s="233">
        <f t="shared" si="0"/>
        <v>80.16666666666666</v>
      </c>
      <c r="G20" s="108"/>
      <c r="H20" s="108"/>
      <c r="I20" s="108"/>
      <c r="J20" s="108"/>
    </row>
    <row r="21" spans="2:10" ht="16.5" customHeight="1">
      <c r="B21" s="231"/>
      <c r="C21" s="259" t="s">
        <v>429</v>
      </c>
      <c r="D21" s="229">
        <v>5000000</v>
      </c>
      <c r="E21" s="229">
        <v>5000000</v>
      </c>
      <c r="F21" s="233">
        <f t="shared" si="0"/>
        <v>100</v>
      </c>
      <c r="G21" s="108"/>
      <c r="H21" s="108"/>
      <c r="I21" s="108"/>
      <c r="J21" s="108"/>
    </row>
    <row r="22" spans="2:9" ht="15" customHeight="1">
      <c r="B22" s="219">
        <v>732120</v>
      </c>
      <c r="C22" s="245" t="s">
        <v>508</v>
      </c>
      <c r="D22" s="265">
        <f>D23+D24+D25+D26+D27+D28+D29</f>
        <v>0</v>
      </c>
      <c r="E22" s="265">
        <f>E23+E24+E25+E26+E27+E28+E29</f>
        <v>0</v>
      </c>
      <c r="F22" s="246">
        <f t="shared" si="0"/>
        <v>0</v>
      </c>
      <c r="G22" s="108"/>
      <c r="H22" s="108"/>
      <c r="I22" s="108"/>
    </row>
    <row r="23" spans="2:9" s="104" customFormat="1" ht="15" customHeight="1">
      <c r="B23" s="240">
        <v>732121</v>
      </c>
      <c r="C23" s="235" t="s">
        <v>509</v>
      </c>
      <c r="D23" s="188">
        <v>0</v>
      </c>
      <c r="E23" s="188">
        <v>0</v>
      </c>
      <c r="F23" s="247">
        <f t="shared" si="0"/>
        <v>0</v>
      </c>
      <c r="G23" s="187"/>
      <c r="H23" s="187"/>
      <c r="I23" s="187"/>
    </row>
    <row r="24" spans="2:9" s="104" customFormat="1" ht="15" customHeight="1">
      <c r="B24" s="240">
        <v>732122</v>
      </c>
      <c r="C24" s="235" t="s">
        <v>510</v>
      </c>
      <c r="D24" s="188">
        <v>0</v>
      </c>
      <c r="E24" s="188">
        <v>0</v>
      </c>
      <c r="F24" s="247">
        <f t="shared" si="0"/>
        <v>0</v>
      </c>
      <c r="G24" s="187"/>
      <c r="H24" s="187"/>
      <c r="I24" s="187"/>
    </row>
    <row r="25" spans="2:9" s="104" customFormat="1" ht="15" customHeight="1">
      <c r="B25" s="240">
        <v>732123</v>
      </c>
      <c r="C25" s="235" t="s">
        <v>511</v>
      </c>
      <c r="D25" s="188">
        <v>0</v>
      </c>
      <c r="E25" s="188">
        <v>0</v>
      </c>
      <c r="F25" s="247">
        <f t="shared" si="0"/>
        <v>0</v>
      </c>
      <c r="G25" s="187"/>
      <c r="H25" s="187"/>
      <c r="I25" s="187"/>
    </row>
    <row r="26" spans="2:9" s="104" customFormat="1" ht="15" customHeight="1">
      <c r="B26" s="240">
        <v>732124</v>
      </c>
      <c r="C26" s="235" t="s">
        <v>512</v>
      </c>
      <c r="D26" s="188">
        <v>0</v>
      </c>
      <c r="E26" s="188">
        <v>0</v>
      </c>
      <c r="F26" s="247">
        <f t="shared" si="0"/>
        <v>0</v>
      </c>
      <c r="G26" s="187"/>
      <c r="H26" s="187"/>
      <c r="I26" s="187"/>
    </row>
    <row r="27" spans="2:7" s="104" customFormat="1" ht="15" customHeight="1">
      <c r="B27" s="240">
        <v>732125</v>
      </c>
      <c r="C27" s="235" t="s">
        <v>513</v>
      </c>
      <c r="D27" s="107">
        <v>0</v>
      </c>
      <c r="E27" s="107">
        <v>0</v>
      </c>
      <c r="F27" s="81">
        <f t="shared" si="0"/>
        <v>0</v>
      </c>
      <c r="G27" s="187"/>
    </row>
    <row r="28" spans="2:7" s="104" customFormat="1" ht="15" customHeight="1">
      <c r="B28" s="240">
        <v>732126</v>
      </c>
      <c r="C28" s="235" t="s">
        <v>514</v>
      </c>
      <c r="D28" s="107">
        <v>0</v>
      </c>
      <c r="E28" s="107">
        <v>0</v>
      </c>
      <c r="F28" s="81">
        <f t="shared" si="0"/>
        <v>0</v>
      </c>
      <c r="G28" s="187"/>
    </row>
    <row r="29" spans="2:7" s="104" customFormat="1" ht="15" customHeight="1">
      <c r="B29" s="240">
        <v>732128</v>
      </c>
      <c r="C29" s="235" t="s">
        <v>515</v>
      </c>
      <c r="D29" s="107">
        <v>0</v>
      </c>
      <c r="E29" s="107">
        <v>0</v>
      </c>
      <c r="F29" s="81">
        <f t="shared" si="0"/>
        <v>0</v>
      </c>
      <c r="G29" s="187"/>
    </row>
    <row r="30" spans="2:9" ht="15" customHeight="1">
      <c r="B30" s="219">
        <v>732130</v>
      </c>
      <c r="C30" s="245" t="s">
        <v>516</v>
      </c>
      <c r="D30" s="265">
        <f>D31</f>
        <v>12000</v>
      </c>
      <c r="E30" s="265">
        <f>E31</f>
        <v>11964</v>
      </c>
      <c r="F30" s="246">
        <f t="shared" si="0"/>
        <v>99.7</v>
      </c>
      <c r="G30" s="108"/>
      <c r="H30" s="108"/>
      <c r="I30" s="108"/>
    </row>
    <row r="31" spans="2:7" s="104" customFormat="1" ht="15" customHeight="1">
      <c r="B31" s="240">
        <v>732131</v>
      </c>
      <c r="C31" s="235" t="s">
        <v>517</v>
      </c>
      <c r="D31" s="107">
        <v>12000</v>
      </c>
      <c r="E31" s="107">
        <v>11964</v>
      </c>
      <c r="F31" s="81">
        <f t="shared" si="0"/>
        <v>99.7</v>
      </c>
      <c r="G31" s="187"/>
    </row>
    <row r="32" spans="2:7" ht="15.75" customHeight="1">
      <c r="B32" s="244">
        <v>733000</v>
      </c>
      <c r="C32" s="241" t="s">
        <v>372</v>
      </c>
      <c r="D32" s="243">
        <f>D33</f>
        <v>93000</v>
      </c>
      <c r="E32" s="243">
        <f>E33</f>
        <v>104783.9</v>
      </c>
      <c r="F32" s="242">
        <f t="shared" si="0"/>
        <v>112.67086021505375</v>
      </c>
      <c r="G32" s="186"/>
    </row>
    <row r="33" spans="2:7" s="104" customFormat="1" ht="15" customHeight="1">
      <c r="B33" s="256">
        <v>733100</v>
      </c>
      <c r="C33" s="261" t="s">
        <v>373</v>
      </c>
      <c r="D33" s="248">
        <f>D34+D37</f>
        <v>93000</v>
      </c>
      <c r="E33" s="248">
        <f>E34+E37</f>
        <v>104783.9</v>
      </c>
      <c r="F33" s="263">
        <f t="shared" si="0"/>
        <v>112.67086021505375</v>
      </c>
      <c r="G33" s="187"/>
    </row>
    <row r="34" spans="2:9" ht="15" customHeight="1">
      <c r="B34" s="219">
        <v>733110</v>
      </c>
      <c r="C34" s="245" t="s">
        <v>374</v>
      </c>
      <c r="D34" s="265">
        <f>SUM(D35:D36)</f>
        <v>51000</v>
      </c>
      <c r="E34" s="265">
        <f>SUM(E35:E36)</f>
        <v>72504.7</v>
      </c>
      <c r="F34" s="246">
        <f t="shared" si="0"/>
        <v>142.16607843137254</v>
      </c>
      <c r="G34" s="108"/>
      <c r="H34" s="108"/>
      <c r="I34" s="108"/>
    </row>
    <row r="35" spans="2:10" ht="16.5" customHeight="1">
      <c r="B35" s="231"/>
      <c r="C35" s="259" t="s">
        <v>435</v>
      </c>
      <c r="D35" s="229">
        <v>0</v>
      </c>
      <c r="E35" s="229">
        <v>1125</v>
      </c>
      <c r="F35" s="247">
        <f>IF(D35=0,,E35/D35*100)</f>
        <v>0</v>
      </c>
      <c r="G35" s="108"/>
      <c r="H35" s="108"/>
      <c r="I35" s="108"/>
      <c r="J35" s="108"/>
    </row>
    <row r="36" spans="2:10" ht="16.5" customHeight="1">
      <c r="B36" s="231"/>
      <c r="C36" s="259" t="s">
        <v>444</v>
      </c>
      <c r="D36" s="229">
        <v>51000</v>
      </c>
      <c r="E36" s="229">
        <v>71379.7</v>
      </c>
      <c r="F36" s="247">
        <f t="shared" si="0"/>
        <v>139.96019607843138</v>
      </c>
      <c r="G36" s="108"/>
      <c r="H36" s="108"/>
      <c r="I36" s="108"/>
      <c r="J36" s="108"/>
    </row>
    <row r="37" spans="2:9" ht="15" customHeight="1">
      <c r="B37" s="219">
        <v>733120</v>
      </c>
      <c r="C37" s="245" t="s">
        <v>375</v>
      </c>
      <c r="D37" s="265">
        <f>SUM(D38:D38)</f>
        <v>42000</v>
      </c>
      <c r="E37" s="265">
        <f>SUM(E38:E38)</f>
        <v>32279.2</v>
      </c>
      <c r="F37" s="246">
        <f t="shared" si="0"/>
        <v>76.8552380952381</v>
      </c>
      <c r="G37" s="108"/>
      <c r="H37" s="108"/>
      <c r="I37" s="108"/>
    </row>
    <row r="38" spans="2:10" ht="12.75">
      <c r="B38" s="214"/>
      <c r="C38" s="259" t="s">
        <v>444</v>
      </c>
      <c r="D38" s="188">
        <v>42000</v>
      </c>
      <c r="E38" s="188">
        <v>32279.2</v>
      </c>
      <c r="F38" s="81">
        <f t="shared" si="0"/>
        <v>76.8552380952381</v>
      </c>
      <c r="G38" s="108"/>
      <c r="H38" s="183"/>
      <c r="J38" s="108"/>
    </row>
    <row r="39" spans="2:7" ht="11.25" customHeight="1">
      <c r="B39" s="52"/>
      <c r="C39" s="76"/>
      <c r="D39" s="98"/>
      <c r="E39" s="98"/>
      <c r="F39" s="80"/>
      <c r="G39" s="108"/>
    </row>
    <row r="40" spans="2:7" ht="15" customHeight="1">
      <c r="B40" s="251">
        <v>740000</v>
      </c>
      <c r="C40" s="274" t="s">
        <v>518</v>
      </c>
      <c r="D40" s="253">
        <f>D41+'prihodi-5'!D9</f>
        <v>1064450</v>
      </c>
      <c r="E40" s="253">
        <f>E41+'prihodi-5'!E9</f>
        <v>576669.04</v>
      </c>
      <c r="F40" s="254">
        <f t="shared" si="0"/>
        <v>54.17530555686035</v>
      </c>
      <c r="G40" s="186"/>
    </row>
    <row r="41" spans="2:7" ht="27" customHeight="1">
      <c r="B41" s="244">
        <v>741000</v>
      </c>
      <c r="C41" s="241" t="s">
        <v>519</v>
      </c>
      <c r="D41" s="243">
        <f>D42</f>
        <v>444760</v>
      </c>
      <c r="E41" s="243">
        <f>E42</f>
        <v>342398.33</v>
      </c>
      <c r="F41" s="242">
        <f t="shared" si="0"/>
        <v>76.98496492490332</v>
      </c>
      <c r="G41" s="186"/>
    </row>
    <row r="42" spans="2:7" s="104" customFormat="1" ht="27" customHeight="1">
      <c r="B42" s="256">
        <v>741100</v>
      </c>
      <c r="C42" s="264" t="s">
        <v>520</v>
      </c>
      <c r="D42" s="248">
        <f>D43+'prihodi-5'!D6</f>
        <v>444760</v>
      </c>
      <c r="E42" s="248">
        <f>E43+'prihodi-5'!E6</f>
        <v>342398.33</v>
      </c>
      <c r="F42" s="263">
        <f t="shared" si="0"/>
        <v>76.98496492490332</v>
      </c>
      <c r="G42" s="187"/>
    </row>
    <row r="43" spans="2:7" s="104" customFormat="1" ht="15" customHeight="1">
      <c r="B43" s="240">
        <v>741111</v>
      </c>
      <c r="C43" s="235" t="s">
        <v>521</v>
      </c>
      <c r="D43" s="107">
        <f>D44+D45+D46+D47+'prihodi-5'!D3+'prihodi-5'!D4+'prihodi-5'!D5</f>
        <v>312990</v>
      </c>
      <c r="E43" s="107">
        <f>E44+E45+E46+E47+'prihodi-5'!E3+'prihodi-5'!E4+'prihodi-5'!E5</f>
        <v>340621.28</v>
      </c>
      <c r="F43" s="81">
        <f t="shared" si="0"/>
        <v>108.82816703409055</v>
      </c>
      <c r="G43" s="187"/>
    </row>
    <row r="44" spans="2:10" ht="27" customHeight="1">
      <c r="B44" s="231"/>
      <c r="C44" s="259" t="s">
        <v>432</v>
      </c>
      <c r="D44" s="229">
        <v>28880</v>
      </c>
      <c r="E44" s="229">
        <v>28881.94</v>
      </c>
      <c r="F44" s="81">
        <f t="shared" si="0"/>
        <v>100.00671745152354</v>
      </c>
      <c r="G44" s="108"/>
      <c r="H44" s="108"/>
      <c r="I44" s="108"/>
      <c r="J44" s="108"/>
    </row>
    <row r="45" spans="2:10" ht="27.75" customHeight="1">
      <c r="B45" s="231"/>
      <c r="C45" s="259" t="s">
        <v>431</v>
      </c>
      <c r="D45" s="229">
        <v>0</v>
      </c>
      <c r="E45" s="229">
        <v>0</v>
      </c>
      <c r="F45" s="81">
        <f t="shared" si="0"/>
        <v>0</v>
      </c>
      <c r="G45" s="108"/>
      <c r="H45" s="108"/>
      <c r="I45" s="108"/>
      <c r="J45" s="108"/>
    </row>
    <row r="46" spans="2:10" ht="15" customHeight="1">
      <c r="B46" s="231"/>
      <c r="C46" s="259" t="s">
        <v>448</v>
      </c>
      <c r="D46" s="229">
        <v>5000</v>
      </c>
      <c r="E46" s="229">
        <v>0</v>
      </c>
      <c r="F46" s="81">
        <f t="shared" si="0"/>
        <v>0</v>
      </c>
      <c r="G46" s="108"/>
      <c r="H46" s="108"/>
      <c r="I46" s="108"/>
      <c r="J46" s="108"/>
    </row>
    <row r="47" spans="1:10" ht="27.75" customHeight="1" thickBot="1">
      <c r="A47" s="350"/>
      <c r="B47" s="343"/>
      <c r="C47" s="344" t="s">
        <v>589</v>
      </c>
      <c r="D47" s="351">
        <v>4890</v>
      </c>
      <c r="E47" s="351">
        <v>4890.72</v>
      </c>
      <c r="F47" s="342">
        <f t="shared" si="0"/>
        <v>100.01472392638038</v>
      </c>
      <c r="G47" s="108"/>
      <c r="H47" s="108"/>
      <c r="I47" s="108"/>
      <c r="J47" s="108"/>
    </row>
    <row r="48" spans="4:5" ht="12.75">
      <c r="D48" s="338"/>
      <c r="E48" s="338"/>
    </row>
    <row r="49" spans="2:7" ht="12.75">
      <c r="B49"/>
      <c r="D49" s="108"/>
      <c r="E49" s="108"/>
      <c r="F49" s="189"/>
      <c r="G49" s="190"/>
    </row>
    <row r="50" spans="4:7" ht="12.75">
      <c r="D50" s="108"/>
      <c r="E50" s="108"/>
      <c r="F50" s="189"/>
      <c r="G50" s="190"/>
    </row>
    <row r="51" spans="6:7" ht="12.75">
      <c r="F51" s="189"/>
      <c r="G51" s="191"/>
    </row>
  </sheetData>
  <sheetProtection/>
  <mergeCells count="1">
    <mergeCell ref="B5:C5"/>
  </mergeCells>
  <printOptions/>
  <pageMargins left="0.44" right="0.3" top="0.4" bottom="0.59" header="0.38" footer="0.5"/>
  <pageSetup horizontalDpi="600" verticalDpi="600" orientation="portrait" paperSize="9" scale="91" r:id="rId1"/>
  <headerFooter alignWithMargins="0">
    <oddFooter>&amp;R5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J55"/>
  <sheetViews>
    <sheetView zoomScalePageLayoutView="0" workbookViewId="0" topLeftCell="B1">
      <selection activeCell="H32" sqref="H32"/>
    </sheetView>
  </sheetViews>
  <sheetFormatPr defaultColWidth="9.140625" defaultRowHeight="12.75"/>
  <cols>
    <col min="1" max="1" width="0.42578125" style="0" hidden="1" customWidth="1"/>
    <col min="2" max="2" width="13.28125" style="58" customWidth="1"/>
    <col min="3" max="3" width="55.421875" style="0" customWidth="1"/>
    <col min="4" max="5" width="15.28125" style="0" customWidth="1"/>
    <col min="6" max="6" width="7.7109375" style="0" customWidth="1"/>
    <col min="7" max="7" width="11.00390625" style="0" customWidth="1"/>
    <col min="8" max="8" width="15.7109375" style="0" customWidth="1"/>
    <col min="9" max="9" width="17.28125" style="0" customWidth="1"/>
    <col min="10" max="10" width="15.28125" style="0" customWidth="1"/>
  </cols>
  <sheetData>
    <row r="1" spans="2:6" ht="76.5" customHeight="1">
      <c r="B1" s="89" t="s">
        <v>114</v>
      </c>
      <c r="C1" s="90" t="s">
        <v>5</v>
      </c>
      <c r="D1" s="147" t="s">
        <v>267</v>
      </c>
      <c r="E1" s="147" t="s">
        <v>586</v>
      </c>
      <c r="F1" s="44" t="s">
        <v>251</v>
      </c>
    </row>
    <row r="2" spans="2:6" ht="18" customHeight="1">
      <c r="B2" s="307">
        <v>1</v>
      </c>
      <c r="C2" s="308">
        <v>2</v>
      </c>
      <c r="D2" s="309">
        <v>3</v>
      </c>
      <c r="E2" s="309">
        <v>4</v>
      </c>
      <c r="F2" s="310">
        <v>5</v>
      </c>
    </row>
    <row r="3" spans="2:10" ht="27.75" customHeight="1">
      <c r="B3" s="231"/>
      <c r="C3" s="259" t="s">
        <v>393</v>
      </c>
      <c r="D3" s="229">
        <v>53660</v>
      </c>
      <c r="E3" s="229">
        <v>53667.09</v>
      </c>
      <c r="F3" s="81">
        <f aca="true" t="shared" si="0" ref="F3:F20">IF(D3=0,,E3/D3*100)</f>
        <v>100.01321282146849</v>
      </c>
      <c r="G3" s="108"/>
      <c r="H3" s="108"/>
      <c r="I3" s="108"/>
      <c r="J3" s="108"/>
    </row>
    <row r="4" spans="2:10" ht="27.75" customHeight="1">
      <c r="B4" s="231"/>
      <c r="C4" s="259" t="s">
        <v>394</v>
      </c>
      <c r="D4" s="229">
        <v>111800</v>
      </c>
      <c r="E4" s="229">
        <v>93205</v>
      </c>
      <c r="F4" s="81">
        <f t="shared" si="0"/>
        <v>83.36762075134169</v>
      </c>
      <c r="G4" s="108"/>
      <c r="H4" s="108"/>
      <c r="I4" s="108"/>
      <c r="J4" s="108"/>
    </row>
    <row r="5" spans="2:10" ht="15" customHeight="1">
      <c r="B5" s="231"/>
      <c r="C5" s="259" t="s">
        <v>451</v>
      </c>
      <c r="D5" s="229">
        <v>108760</v>
      </c>
      <c r="E5" s="229">
        <v>159976.53</v>
      </c>
      <c r="F5" s="81">
        <f t="shared" si="0"/>
        <v>147.09132953291652</v>
      </c>
      <c r="G5" s="108"/>
      <c r="H5" s="108"/>
      <c r="I5" s="108"/>
      <c r="J5" s="108"/>
    </row>
    <row r="6" spans="2:7" s="104" customFormat="1" ht="15" customHeight="1">
      <c r="B6" s="240">
        <v>741121</v>
      </c>
      <c r="C6" s="235" t="s">
        <v>522</v>
      </c>
      <c r="D6" s="107">
        <f>SUM(D7:D8)</f>
        <v>131770</v>
      </c>
      <c r="E6" s="107">
        <f>SUM(E7:E8)</f>
        <v>1777.05</v>
      </c>
      <c r="F6" s="81">
        <f t="shared" si="0"/>
        <v>1.3485998330424223</v>
      </c>
      <c r="G6" s="187"/>
    </row>
    <row r="7" spans="2:10" ht="17.25" customHeight="1">
      <c r="B7" s="231"/>
      <c r="C7" s="259" t="s">
        <v>395</v>
      </c>
      <c r="D7" s="229">
        <v>1770</v>
      </c>
      <c r="E7" s="229">
        <v>1777.05</v>
      </c>
      <c r="F7" s="81">
        <f t="shared" si="0"/>
        <v>100.39830508474577</v>
      </c>
      <c r="G7" s="108"/>
      <c r="H7" s="108"/>
      <c r="I7" s="108"/>
      <c r="J7" s="108"/>
    </row>
    <row r="8" spans="2:10" ht="17.25" customHeight="1">
      <c r="B8" s="231"/>
      <c r="C8" s="259" t="s">
        <v>552</v>
      </c>
      <c r="D8" s="229">
        <v>130000</v>
      </c>
      <c r="E8" s="229">
        <v>0</v>
      </c>
      <c r="F8" s="81">
        <f t="shared" si="0"/>
        <v>0</v>
      </c>
      <c r="G8" s="108"/>
      <c r="H8" s="108"/>
      <c r="I8" s="108"/>
      <c r="J8" s="108"/>
    </row>
    <row r="9" spans="2:7" ht="15" customHeight="1">
      <c r="B9" s="244">
        <v>742000</v>
      </c>
      <c r="C9" s="241" t="s">
        <v>523</v>
      </c>
      <c r="D9" s="243">
        <f>D10</f>
        <v>619690</v>
      </c>
      <c r="E9" s="243">
        <f>E10</f>
        <v>234270.71000000002</v>
      </c>
      <c r="F9" s="242">
        <f t="shared" si="0"/>
        <v>37.80450063741549</v>
      </c>
      <c r="G9" s="186"/>
    </row>
    <row r="10" spans="2:7" s="104" customFormat="1" ht="15.75" customHeight="1">
      <c r="B10" s="256">
        <v>742100</v>
      </c>
      <c r="C10" s="264" t="s">
        <v>524</v>
      </c>
      <c r="D10" s="248">
        <f>D11+D18</f>
        <v>619690</v>
      </c>
      <c r="E10" s="248">
        <f>E11+E18</f>
        <v>234270.71000000002</v>
      </c>
      <c r="F10" s="263">
        <f t="shared" si="0"/>
        <v>37.80450063741549</v>
      </c>
      <c r="G10" s="187"/>
    </row>
    <row r="11" spans="2:7" s="104" customFormat="1" ht="15" customHeight="1">
      <c r="B11" s="240">
        <v>742112</v>
      </c>
      <c r="C11" s="235" t="s">
        <v>525</v>
      </c>
      <c r="D11" s="107">
        <f>SUM(D12:D17)</f>
        <v>609690</v>
      </c>
      <c r="E11" s="107">
        <f>SUM(E12:E17)</f>
        <v>224270.71000000002</v>
      </c>
      <c r="F11" s="81">
        <f t="shared" si="0"/>
        <v>36.784383867211204</v>
      </c>
      <c r="G11" s="187"/>
    </row>
    <row r="12" spans="2:10" ht="27.75" customHeight="1">
      <c r="B12" s="219"/>
      <c r="C12" s="259" t="s">
        <v>433</v>
      </c>
      <c r="D12" s="188">
        <v>400000</v>
      </c>
      <c r="E12" s="188">
        <v>90000</v>
      </c>
      <c r="F12" s="81">
        <f t="shared" si="0"/>
        <v>22.5</v>
      </c>
      <c r="G12" s="108"/>
      <c r="H12" s="183"/>
      <c r="J12" s="108"/>
    </row>
    <row r="13" spans="2:10" ht="15.75" customHeight="1">
      <c r="B13" s="219"/>
      <c r="C13" s="259" t="s">
        <v>553</v>
      </c>
      <c r="D13" s="188">
        <v>35000</v>
      </c>
      <c r="E13" s="188">
        <v>0</v>
      </c>
      <c r="F13" s="81">
        <f t="shared" si="0"/>
        <v>0</v>
      </c>
      <c r="G13" s="108"/>
      <c r="H13" s="183"/>
      <c r="J13" s="108"/>
    </row>
    <row r="14" spans="2:10" ht="26.25" customHeight="1">
      <c r="B14" s="219"/>
      <c r="C14" s="259" t="s">
        <v>450</v>
      </c>
      <c r="D14" s="188">
        <v>106080</v>
      </c>
      <c r="E14" s="188">
        <v>105660.6</v>
      </c>
      <c r="F14" s="81">
        <f t="shared" si="0"/>
        <v>99.60463800904978</v>
      </c>
      <c r="G14" s="108"/>
      <c r="H14" s="183"/>
      <c r="J14" s="108"/>
    </row>
    <row r="15" spans="2:10" ht="15" customHeight="1">
      <c r="B15" s="231"/>
      <c r="C15" s="259" t="s">
        <v>448</v>
      </c>
      <c r="D15" s="229">
        <v>5000</v>
      </c>
      <c r="E15" s="229">
        <v>0</v>
      </c>
      <c r="F15" s="81">
        <f t="shared" si="0"/>
        <v>0</v>
      </c>
      <c r="G15" s="108"/>
      <c r="H15" s="108"/>
      <c r="I15" s="108"/>
      <c r="J15" s="108"/>
    </row>
    <row r="16" spans="2:10" ht="27.75" customHeight="1">
      <c r="B16" s="231"/>
      <c r="C16" s="259" t="s">
        <v>396</v>
      </c>
      <c r="D16" s="229">
        <v>2000</v>
      </c>
      <c r="E16" s="229">
        <v>2000</v>
      </c>
      <c r="F16" s="81">
        <f t="shared" si="0"/>
        <v>100</v>
      </c>
      <c r="G16" s="108"/>
      <c r="H16" s="108"/>
      <c r="I16" s="108"/>
      <c r="J16" s="108"/>
    </row>
    <row r="17" spans="2:10" ht="27.75" customHeight="1">
      <c r="B17" s="231"/>
      <c r="C17" s="259" t="s">
        <v>397</v>
      </c>
      <c r="D17" s="229">
        <v>61610</v>
      </c>
      <c r="E17" s="229">
        <v>26610.11</v>
      </c>
      <c r="F17" s="81">
        <f t="shared" si="0"/>
        <v>43.19121895796137</v>
      </c>
      <c r="G17" s="108"/>
      <c r="H17" s="108"/>
      <c r="I17" s="108"/>
      <c r="J17" s="108"/>
    </row>
    <row r="18" spans="2:7" s="104" customFormat="1" ht="15" customHeight="1">
      <c r="B18" s="240">
        <v>742114</v>
      </c>
      <c r="C18" s="235" t="s">
        <v>526</v>
      </c>
      <c r="D18" s="107">
        <f>SUM(D19:D20)</f>
        <v>10000</v>
      </c>
      <c r="E18" s="107">
        <f>SUM(E19:E20)</f>
        <v>10000</v>
      </c>
      <c r="F18" s="81">
        <f t="shared" si="0"/>
        <v>100</v>
      </c>
      <c r="G18" s="187"/>
    </row>
    <row r="19" spans="2:10" ht="15.75" customHeight="1">
      <c r="B19" s="219"/>
      <c r="C19" s="259" t="s">
        <v>554</v>
      </c>
      <c r="D19" s="188">
        <v>5000</v>
      </c>
      <c r="E19" s="188">
        <v>5000</v>
      </c>
      <c r="F19" s="81">
        <f t="shared" si="0"/>
        <v>100</v>
      </c>
      <c r="G19" s="108"/>
      <c r="H19" s="183"/>
      <c r="J19" s="108"/>
    </row>
    <row r="20" spans="2:10" ht="15.75" customHeight="1">
      <c r="B20" s="219"/>
      <c r="C20" s="259" t="s">
        <v>555</v>
      </c>
      <c r="D20" s="188">
        <v>5000</v>
      </c>
      <c r="E20" s="188">
        <v>5000</v>
      </c>
      <c r="F20" s="81">
        <f t="shared" si="0"/>
        <v>100</v>
      </c>
      <c r="G20" s="108"/>
      <c r="H20" s="183"/>
      <c r="J20" s="108"/>
    </row>
    <row r="21" spans="2:10" ht="16.5" customHeight="1">
      <c r="B21" s="219"/>
      <c r="C21" s="259"/>
      <c r="D21" s="188"/>
      <c r="E21" s="188"/>
      <c r="F21" s="216"/>
      <c r="G21" s="108"/>
      <c r="H21" s="183"/>
      <c r="J21" s="108"/>
    </row>
    <row r="22" spans="2:7" s="275" customFormat="1" ht="15" customHeight="1">
      <c r="B22" s="251">
        <v>777000</v>
      </c>
      <c r="C22" s="252" t="s">
        <v>377</v>
      </c>
      <c r="D22" s="276">
        <f>SUM(D23:D24)</f>
        <v>1200</v>
      </c>
      <c r="E22" s="276">
        <f>SUM(E23:E24)</f>
        <v>3321.61</v>
      </c>
      <c r="F22" s="254">
        <f>IF(D22=0,,E22/D22*100)</f>
        <v>276.80083333333334</v>
      </c>
      <c r="G22" s="255"/>
    </row>
    <row r="23" spans="2:7" ht="15" customHeight="1">
      <c r="B23" s="213">
        <v>777778</v>
      </c>
      <c r="C23" s="235" t="s">
        <v>378</v>
      </c>
      <c r="D23" s="99">
        <v>1000</v>
      </c>
      <c r="E23" s="99">
        <v>3321.61</v>
      </c>
      <c r="F23" s="81">
        <f>IF(D23=0,,E23/D23*100)</f>
        <v>332.161</v>
      </c>
      <c r="G23" s="108"/>
    </row>
    <row r="24" spans="2:7" ht="15" customHeight="1">
      <c r="B24" s="213">
        <v>777779</v>
      </c>
      <c r="C24" s="235" t="s">
        <v>379</v>
      </c>
      <c r="D24" s="99">
        <v>200</v>
      </c>
      <c r="E24" s="99">
        <v>0</v>
      </c>
      <c r="F24" s="81">
        <f>IF(D24=0,,E24/D24*100)</f>
        <v>0</v>
      </c>
      <c r="G24" s="108"/>
    </row>
    <row r="25" spans="2:7" s="104" customFormat="1" ht="15" customHeight="1">
      <c r="B25" s="105"/>
      <c r="C25" s="106"/>
      <c r="D25" s="188"/>
      <c r="E25" s="188"/>
      <c r="F25" s="192"/>
      <c r="G25" s="187"/>
    </row>
    <row r="26" spans="2:8" s="54" customFormat="1" ht="15" customHeight="1">
      <c r="B26" s="407" t="s">
        <v>446</v>
      </c>
      <c r="C26" s="374"/>
      <c r="D26" s="270">
        <f>'prihodi-1'!D5+'prihodi-2'!D6+'prihodi-4'!D7+'prihodi-4'!D40+'prihodi-5'!D22</f>
        <v>37584540</v>
      </c>
      <c r="E26" s="270">
        <f>'prihodi-1'!E5+'prihodi-2'!E6+'prihodi-4'!E7+'prihodi-4'!E40+'prihodi-5'!E22</f>
        <v>38995254.98</v>
      </c>
      <c r="F26" s="271">
        <f>IF(D26=0,,E26/D26*100)</f>
        <v>103.75344484726965</v>
      </c>
      <c r="G26" s="272"/>
      <c r="H26" s="273"/>
    </row>
    <row r="27" spans="2:8" s="54" customFormat="1" ht="15">
      <c r="B27" s="268"/>
      <c r="C27" s="269"/>
      <c r="D27" s="270"/>
      <c r="E27" s="270"/>
      <c r="F27" s="271"/>
      <c r="G27" s="272"/>
      <c r="H27" s="273"/>
    </row>
    <row r="28" spans="2:7" s="54" customFormat="1" ht="15" customHeight="1">
      <c r="B28" s="251">
        <v>810000</v>
      </c>
      <c r="C28" s="252" t="s">
        <v>380</v>
      </c>
      <c r="D28" s="253">
        <f>D29+D37</f>
        <v>0</v>
      </c>
      <c r="E28" s="253">
        <f>E29+E37</f>
        <v>8240</v>
      </c>
      <c r="F28" s="254">
        <f aca="true" t="shared" si="1" ref="F28:F45">IF(D28=0,,E28/D28*100)</f>
        <v>0</v>
      </c>
      <c r="G28" s="255"/>
    </row>
    <row r="29" spans="2:7" ht="15" customHeight="1">
      <c r="B29" s="52">
        <v>811000</v>
      </c>
      <c r="C29" s="241" t="s">
        <v>382</v>
      </c>
      <c r="D29" s="243">
        <f>D30+D35</f>
        <v>0</v>
      </c>
      <c r="E29" s="243">
        <f>E30+E35</f>
        <v>8240</v>
      </c>
      <c r="F29" s="242">
        <f t="shared" si="1"/>
        <v>0</v>
      </c>
      <c r="G29" s="186"/>
    </row>
    <row r="30" spans="2:7" s="104" customFormat="1" ht="15" customHeight="1">
      <c r="B30" s="256">
        <v>811100</v>
      </c>
      <c r="C30" s="267" t="s">
        <v>381</v>
      </c>
      <c r="D30" s="265">
        <f>D31</f>
        <v>0</v>
      </c>
      <c r="E30" s="265">
        <f>E31</f>
        <v>8240</v>
      </c>
      <c r="F30" s="277">
        <f t="shared" si="1"/>
        <v>0</v>
      </c>
      <c r="G30" s="187"/>
    </row>
    <row r="31" spans="2:10" ht="16.5" customHeight="1">
      <c r="B31" s="240">
        <v>811114</v>
      </c>
      <c r="C31" s="259" t="s">
        <v>569</v>
      </c>
      <c r="D31" s="188">
        <f>SUM(D32:D34)</f>
        <v>0</v>
      </c>
      <c r="E31" s="188">
        <f>SUM(E32:E34)</f>
        <v>8240</v>
      </c>
      <c r="F31" s="81">
        <f t="shared" si="1"/>
        <v>0</v>
      </c>
      <c r="G31" s="108"/>
      <c r="H31" s="183"/>
      <c r="J31" s="108"/>
    </row>
    <row r="32" spans="2:10" ht="16.5" customHeight="1">
      <c r="B32" s="240"/>
      <c r="C32" s="259" t="s">
        <v>468</v>
      </c>
      <c r="D32" s="188">
        <v>0</v>
      </c>
      <c r="E32" s="188">
        <v>2220</v>
      </c>
      <c r="F32" s="81">
        <f t="shared" si="1"/>
        <v>0</v>
      </c>
      <c r="G32" s="108"/>
      <c r="H32" s="183"/>
      <c r="J32" s="108"/>
    </row>
    <row r="33" spans="2:10" ht="16.5" customHeight="1">
      <c r="B33" s="240"/>
      <c r="C33" s="259" t="s">
        <v>570</v>
      </c>
      <c r="D33" s="188">
        <v>0</v>
      </c>
      <c r="E33" s="188">
        <v>5020</v>
      </c>
      <c r="F33" s="81">
        <f t="shared" si="1"/>
        <v>0</v>
      </c>
      <c r="G33" s="108"/>
      <c r="H33" s="183"/>
      <c r="J33" s="108"/>
    </row>
    <row r="34" spans="2:10" ht="16.5" customHeight="1">
      <c r="B34" s="240"/>
      <c r="C34" s="259" t="s">
        <v>571</v>
      </c>
      <c r="D34" s="188">
        <v>0</v>
      </c>
      <c r="E34" s="188">
        <v>1000</v>
      </c>
      <c r="F34" s="81">
        <f t="shared" si="1"/>
        <v>0</v>
      </c>
      <c r="G34" s="108"/>
      <c r="H34" s="183"/>
      <c r="J34" s="108"/>
    </row>
    <row r="35" spans="2:7" s="104" customFormat="1" ht="15" customHeight="1">
      <c r="B35" s="256">
        <v>811900</v>
      </c>
      <c r="C35" s="267" t="s">
        <v>383</v>
      </c>
      <c r="D35" s="248">
        <v>0</v>
      </c>
      <c r="E35" s="248">
        <v>0</v>
      </c>
      <c r="F35" s="263">
        <f t="shared" si="1"/>
        <v>0</v>
      </c>
      <c r="G35" s="187"/>
    </row>
    <row r="36" spans="2:10" ht="16.5" customHeight="1">
      <c r="B36" s="219"/>
      <c r="C36" s="259" t="s">
        <v>435</v>
      </c>
      <c r="D36" s="188">
        <v>0</v>
      </c>
      <c r="E36" s="188">
        <v>0</v>
      </c>
      <c r="F36" s="81">
        <f t="shared" si="1"/>
        <v>0</v>
      </c>
      <c r="G36" s="108"/>
      <c r="H36" s="183"/>
      <c r="J36" s="108"/>
    </row>
    <row r="37" spans="2:7" ht="15" customHeight="1">
      <c r="B37" s="52">
        <v>812000</v>
      </c>
      <c r="C37" s="241" t="s">
        <v>527</v>
      </c>
      <c r="D37" s="243">
        <f>D38+'prihodi-6'!D3</f>
        <v>0</v>
      </c>
      <c r="E37" s="243">
        <f>E38+'prihodi-6'!E3</f>
        <v>0</v>
      </c>
      <c r="F37" s="242">
        <f t="shared" si="1"/>
        <v>0</v>
      </c>
      <c r="G37" s="186"/>
    </row>
    <row r="38" spans="2:7" ht="27" customHeight="1">
      <c r="B38" s="256">
        <v>812100</v>
      </c>
      <c r="C38" s="266" t="s">
        <v>520</v>
      </c>
      <c r="D38" s="248">
        <f>D39</f>
        <v>0</v>
      </c>
      <c r="E38" s="248">
        <f>E39</f>
        <v>0</v>
      </c>
      <c r="F38" s="263">
        <f t="shared" si="1"/>
        <v>0</v>
      </c>
      <c r="G38" s="186"/>
    </row>
    <row r="39" spans="2:7" s="104" customFormat="1" ht="15" customHeight="1">
      <c r="B39" s="240">
        <v>812111</v>
      </c>
      <c r="C39" s="235" t="s">
        <v>521</v>
      </c>
      <c r="D39" s="107">
        <f>SUM(D40:D45)</f>
        <v>0</v>
      </c>
      <c r="E39" s="107">
        <f>SUM(E40:E45)</f>
        <v>0</v>
      </c>
      <c r="F39" s="81">
        <f t="shared" si="1"/>
        <v>0</v>
      </c>
      <c r="G39" s="187"/>
    </row>
    <row r="40" spans="2:10" ht="16.5" customHeight="1">
      <c r="B40" s="219"/>
      <c r="C40" s="259" t="s">
        <v>443</v>
      </c>
      <c r="D40" s="188">
        <v>0</v>
      </c>
      <c r="E40" s="188">
        <v>0</v>
      </c>
      <c r="F40" s="81">
        <f t="shared" si="1"/>
        <v>0</v>
      </c>
      <c r="G40" s="108"/>
      <c r="H40" s="183"/>
      <c r="J40" s="108"/>
    </row>
    <row r="41" spans="2:10" ht="16.5" customHeight="1">
      <c r="B41" s="219"/>
      <c r="C41" s="259" t="s">
        <v>440</v>
      </c>
      <c r="D41" s="188">
        <v>0</v>
      </c>
      <c r="E41" s="188">
        <v>0</v>
      </c>
      <c r="F41" s="81">
        <f t="shared" si="1"/>
        <v>0</v>
      </c>
      <c r="G41" s="108"/>
      <c r="H41" s="183"/>
      <c r="J41" s="108"/>
    </row>
    <row r="42" spans="2:10" ht="16.5" customHeight="1">
      <c r="B42" s="219"/>
      <c r="C42" s="259" t="s">
        <v>438</v>
      </c>
      <c r="D42" s="188">
        <v>0</v>
      </c>
      <c r="E42" s="188">
        <v>0</v>
      </c>
      <c r="F42" s="81">
        <f t="shared" si="1"/>
        <v>0</v>
      </c>
      <c r="G42" s="108"/>
      <c r="H42" s="183"/>
      <c r="J42" s="108"/>
    </row>
    <row r="43" spans="2:10" ht="16.5" customHeight="1">
      <c r="B43" s="219"/>
      <c r="C43" s="259" t="s">
        <v>452</v>
      </c>
      <c r="D43" s="188">
        <v>0</v>
      </c>
      <c r="E43" s="188">
        <v>0</v>
      </c>
      <c r="F43" s="81">
        <f t="shared" si="1"/>
        <v>0</v>
      </c>
      <c r="G43" s="108"/>
      <c r="H43" s="183"/>
      <c r="J43" s="108"/>
    </row>
    <row r="44" spans="1:10" ht="16.5" customHeight="1">
      <c r="A44" s="189"/>
      <c r="B44" s="219"/>
      <c r="C44" s="259" t="s">
        <v>439</v>
      </c>
      <c r="D44" s="188">
        <v>0</v>
      </c>
      <c r="E44" s="188">
        <v>0</v>
      </c>
      <c r="F44" s="81">
        <f t="shared" si="1"/>
        <v>0</v>
      </c>
      <c r="G44" s="108"/>
      <c r="H44" s="183"/>
      <c r="J44" s="108"/>
    </row>
    <row r="45" spans="1:10" ht="16.5" customHeight="1" thickBot="1">
      <c r="A45" s="350"/>
      <c r="B45" s="352"/>
      <c r="C45" s="344" t="s">
        <v>437</v>
      </c>
      <c r="D45" s="345">
        <v>0</v>
      </c>
      <c r="E45" s="345">
        <v>0</v>
      </c>
      <c r="F45" s="342">
        <f t="shared" si="1"/>
        <v>0</v>
      </c>
      <c r="G45" s="108"/>
      <c r="H45" s="183"/>
      <c r="J45" s="108"/>
    </row>
    <row r="52" spans="4:5" ht="12.75">
      <c r="D52" s="338"/>
      <c r="E52" s="338"/>
    </row>
    <row r="53" spans="2:7" ht="12.75">
      <c r="B53"/>
      <c r="D53" s="108"/>
      <c r="E53" s="108"/>
      <c r="F53" s="189"/>
      <c r="G53" s="190"/>
    </row>
    <row r="54" spans="4:7" ht="12.75">
      <c r="D54" s="108"/>
      <c r="E54" s="108"/>
      <c r="F54" s="189"/>
      <c r="G54" s="190"/>
    </row>
    <row r="55" spans="6:7" ht="12.75">
      <c r="F55" s="189"/>
      <c r="G55" s="191"/>
    </row>
  </sheetData>
  <sheetProtection/>
  <mergeCells count="1">
    <mergeCell ref="B26:C26"/>
  </mergeCells>
  <printOptions/>
  <pageMargins left="0.44" right="0.3" top="0.59" bottom="0.48" header="0.5" footer="0.5"/>
  <pageSetup horizontalDpi="600" verticalDpi="600" orientation="portrait" paperSize="9" scale="91" r:id="rId1"/>
  <headerFooter alignWithMargins="0">
    <oddFooter>&amp;R6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A1:J17"/>
  <sheetViews>
    <sheetView zoomScalePageLayoutView="0" workbookViewId="0" topLeftCell="B1">
      <selection activeCell="C20" sqref="C20"/>
    </sheetView>
  </sheetViews>
  <sheetFormatPr defaultColWidth="9.140625" defaultRowHeight="12.75"/>
  <cols>
    <col min="1" max="1" width="0.42578125" style="0" hidden="1" customWidth="1"/>
    <col min="2" max="2" width="13.28125" style="58" customWidth="1"/>
    <col min="3" max="3" width="55.421875" style="0" customWidth="1"/>
    <col min="4" max="5" width="15.28125" style="0" customWidth="1"/>
    <col min="6" max="6" width="7.7109375" style="0" customWidth="1"/>
    <col min="7" max="7" width="11.00390625" style="0" customWidth="1"/>
    <col min="8" max="8" width="15.7109375" style="0" customWidth="1"/>
    <col min="9" max="9" width="17.28125" style="0" customWidth="1"/>
    <col min="10" max="10" width="15.28125" style="0" customWidth="1"/>
  </cols>
  <sheetData>
    <row r="1" spans="2:6" ht="76.5" customHeight="1">
      <c r="B1" s="89" t="s">
        <v>114</v>
      </c>
      <c r="C1" s="90" t="s">
        <v>5</v>
      </c>
      <c r="D1" s="147" t="s">
        <v>267</v>
      </c>
      <c r="E1" s="147" t="s">
        <v>586</v>
      </c>
      <c r="F1" s="44" t="s">
        <v>251</v>
      </c>
    </row>
    <row r="2" spans="2:6" ht="18" customHeight="1">
      <c r="B2" s="307">
        <v>1</v>
      </c>
      <c r="C2" s="308">
        <v>2</v>
      </c>
      <c r="D2" s="309">
        <v>3</v>
      </c>
      <c r="E2" s="309">
        <v>4</v>
      </c>
      <c r="F2" s="310">
        <v>5</v>
      </c>
    </row>
    <row r="3" spans="2:7" s="104" customFormat="1" ht="15.75" customHeight="1">
      <c r="B3" s="256">
        <v>812200</v>
      </c>
      <c r="C3" s="264" t="s">
        <v>524</v>
      </c>
      <c r="D3" s="248">
        <f>D4+'prihodi-6'!D9</f>
        <v>0</v>
      </c>
      <c r="E3" s="248">
        <f>E4+'prihodi-6'!E9</f>
        <v>0</v>
      </c>
      <c r="F3" s="263">
        <f>IF(D3=0,,E3/D3*100)</f>
        <v>0</v>
      </c>
      <c r="G3" s="187"/>
    </row>
    <row r="4" spans="2:7" s="104" customFormat="1" ht="15" customHeight="1">
      <c r="B4" s="240">
        <v>812212</v>
      </c>
      <c r="C4" s="235" t="s">
        <v>376</v>
      </c>
      <c r="D4" s="107">
        <v>0</v>
      </c>
      <c r="E4" s="107">
        <v>0</v>
      </c>
      <c r="F4" s="81">
        <f>IF(D4=0,,E4/D4*100)</f>
        <v>0</v>
      </c>
      <c r="G4" s="187"/>
    </row>
    <row r="5" spans="2:10" ht="27.75" customHeight="1">
      <c r="B5" s="219"/>
      <c r="C5" s="259" t="s">
        <v>433</v>
      </c>
      <c r="D5" s="188">
        <v>0</v>
      </c>
      <c r="E5" s="188">
        <v>0</v>
      </c>
      <c r="F5" s="81">
        <f>IF(D5=0,,E5/D5*100)</f>
        <v>0</v>
      </c>
      <c r="G5" s="108"/>
      <c r="H5" s="183"/>
      <c r="J5" s="108"/>
    </row>
    <row r="6" spans="2:10" ht="26.25" customHeight="1">
      <c r="B6" s="361"/>
      <c r="C6" s="362" t="s">
        <v>442</v>
      </c>
      <c r="D6" s="363">
        <v>0</v>
      </c>
      <c r="E6" s="363">
        <v>0</v>
      </c>
      <c r="F6" s="360">
        <f aca="true" t="shared" si="0" ref="F6:F11">IF(D6=0,,E6/D6*100)</f>
        <v>0</v>
      </c>
      <c r="G6" s="108"/>
      <c r="H6" s="183"/>
      <c r="J6" s="108"/>
    </row>
    <row r="7" spans="2:10" ht="16.5" customHeight="1">
      <c r="B7" s="219"/>
      <c r="C7" s="259" t="s">
        <v>434</v>
      </c>
      <c r="D7" s="188">
        <v>0</v>
      </c>
      <c r="E7" s="188">
        <v>0</v>
      </c>
      <c r="F7" s="81">
        <f t="shared" si="0"/>
        <v>0</v>
      </c>
      <c r="G7" s="108"/>
      <c r="H7" s="183"/>
      <c r="J7" s="108"/>
    </row>
    <row r="8" spans="1:10" ht="16.5" customHeight="1" thickBot="1">
      <c r="A8" s="350"/>
      <c r="B8" s="219"/>
      <c r="C8" s="259" t="s">
        <v>437</v>
      </c>
      <c r="D8" s="188">
        <v>0</v>
      </c>
      <c r="E8" s="188">
        <v>0</v>
      </c>
      <c r="F8" s="81">
        <f t="shared" si="0"/>
        <v>0</v>
      </c>
      <c r="G8" s="108"/>
      <c r="H8" s="183"/>
      <c r="J8" s="108"/>
    </row>
    <row r="9" spans="2:7" s="104" customFormat="1" ht="15" customHeight="1">
      <c r="B9" s="357">
        <v>812214</v>
      </c>
      <c r="C9" s="358" t="s">
        <v>526</v>
      </c>
      <c r="D9" s="359">
        <v>0</v>
      </c>
      <c r="E9" s="359">
        <v>0</v>
      </c>
      <c r="F9" s="360">
        <f t="shared" si="0"/>
        <v>0</v>
      </c>
      <c r="G9" s="187"/>
    </row>
    <row r="10" spans="2:10" ht="16.5" customHeight="1">
      <c r="B10" s="219"/>
      <c r="C10" s="259" t="s">
        <v>435</v>
      </c>
      <c r="D10" s="188">
        <v>0</v>
      </c>
      <c r="E10" s="188">
        <v>0</v>
      </c>
      <c r="F10" s="81">
        <f t="shared" si="0"/>
        <v>0</v>
      </c>
      <c r="G10" s="108"/>
      <c r="H10" s="183"/>
      <c r="J10" s="108"/>
    </row>
    <row r="11" spans="2:10" ht="16.5" customHeight="1">
      <c r="B11" s="219"/>
      <c r="C11" s="259" t="s">
        <v>436</v>
      </c>
      <c r="D11" s="188">
        <v>0</v>
      </c>
      <c r="E11" s="188">
        <v>0</v>
      </c>
      <c r="F11" s="81">
        <f t="shared" si="0"/>
        <v>0</v>
      </c>
      <c r="G11" s="108"/>
      <c r="H11" s="183"/>
      <c r="J11" s="108"/>
    </row>
    <row r="12" spans="2:6" ht="12.75">
      <c r="B12" s="78"/>
      <c r="C12" s="79" t="s">
        <v>104</v>
      </c>
      <c r="D12" s="97"/>
      <c r="E12" s="97"/>
      <c r="F12" s="80"/>
    </row>
    <row r="13" spans="2:8" ht="19.5" customHeight="1" thickBot="1">
      <c r="B13" s="375" t="s">
        <v>528</v>
      </c>
      <c r="C13" s="376"/>
      <c r="D13" s="305">
        <f>'prihodi-5'!D26+'prihodi-5'!D28</f>
        <v>37584540</v>
      </c>
      <c r="E13" s="305">
        <f>'prihodi-5'!E26+'prihodi-5'!E28</f>
        <v>39003494.98</v>
      </c>
      <c r="F13" s="306">
        <f>IF(D13=0,,E13/D13*100)</f>
        <v>103.77536875534462</v>
      </c>
      <c r="G13" s="186"/>
      <c r="H13" s="108"/>
    </row>
    <row r="14" spans="4:5" ht="12.75">
      <c r="D14" s="139"/>
      <c r="E14" s="139"/>
    </row>
    <row r="15" spans="2:7" ht="12.75">
      <c r="B15"/>
      <c r="D15" s="108"/>
      <c r="E15" s="108"/>
      <c r="F15" s="189"/>
      <c r="G15" s="190"/>
    </row>
    <row r="16" spans="4:7" ht="12.75">
      <c r="D16" s="108"/>
      <c r="E16" s="108"/>
      <c r="F16" s="189"/>
      <c r="G16" s="190"/>
    </row>
    <row r="17" spans="6:7" ht="12.75">
      <c r="F17" s="189"/>
      <c r="G17" s="191"/>
    </row>
  </sheetData>
  <sheetProtection/>
  <mergeCells count="1">
    <mergeCell ref="B13:C13"/>
  </mergeCells>
  <printOptions/>
  <pageMargins left="0.44" right="0.3" top="0.59" bottom="0.72" header="0.5" footer="0.5"/>
  <pageSetup horizontalDpi="600" verticalDpi="600" orientation="portrait" paperSize="9" scale="91" r:id="rId1"/>
  <headerFooter alignWithMargins="0"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operater</dc:creator>
  <cp:keywords/>
  <dc:description/>
  <cp:lastModifiedBy>operater</cp:lastModifiedBy>
  <cp:lastPrinted>2016-03-02T08:06:43Z</cp:lastPrinted>
  <dcterms:created xsi:type="dcterms:W3CDTF">2004-07-23T11:14:23Z</dcterms:created>
  <dcterms:modified xsi:type="dcterms:W3CDTF">2016-03-02T08:06:55Z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