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-15" yWindow="-15" windowWidth="21660" windowHeight="4785" tabRatio="964" activeTab="4"/>
  </bookViews>
  <sheets>
    <sheet name="Naslovnica" sheetId="65120" r:id="rId1"/>
    <sheet name="Sadrzaj" sheetId="65121" r:id="rId2"/>
    <sheet name="Uvod" sheetId="304" r:id="rId3"/>
    <sheet name="CODE" sheetId="65119" state="veryHidden" r:id=""/>
    <sheet name="Prihodi" sheetId="65139" r:id="rId4"/>
    <sheet name="Rashodi" sheetId="300" r:id="rId5"/>
    <sheet name="1" sheetId="16" r:id="rId6"/>
    <sheet name="2" sheetId="65064" r:id="rId7"/>
    <sheet name="3" sheetId="65065" r:id="rId8"/>
    <sheet name="4" sheetId="65066" r:id="rId9"/>
    <sheet name="5" sheetId="65067" r:id="rId10"/>
    <sheet name="6" sheetId="65099" r:id="rId11"/>
    <sheet name="7" sheetId="65123" r:id="rId12"/>
    <sheet name="8" sheetId="65068" r:id="rId13"/>
    <sheet name="9" sheetId="65069" r:id="rId14"/>
    <sheet name="10" sheetId="65070" r:id="rId15"/>
    <sheet name="11" sheetId="65071" r:id="rId16"/>
    <sheet name="12" sheetId="65074" r:id="rId17"/>
    <sheet name="13" sheetId="65100" r:id="rId18"/>
    <sheet name="14" sheetId="65115" r:id="rId19"/>
    <sheet name="15" sheetId="65075" r:id="rId20"/>
    <sheet name="16" sheetId="65076" r:id="rId21"/>
    <sheet name="17" sheetId="65077" r:id="rId22"/>
    <sheet name="18" sheetId="65078" r:id="rId23"/>
    <sheet name="19" sheetId="65079" r:id="rId24"/>
    <sheet name="20" sheetId="65080" r:id="rId25"/>
    <sheet name="21" sheetId="65082" r:id="rId26"/>
    <sheet name="22" sheetId="65081" r:id="rId27"/>
    <sheet name="23" sheetId="65122" r:id="rId28"/>
    <sheet name="24" sheetId="65083" r:id="rId29"/>
    <sheet name="25" sheetId="65084" r:id="rId30"/>
    <sheet name="26" sheetId="65085" r:id="rId31"/>
    <sheet name="27" sheetId="65086" r:id="rId32"/>
    <sheet name="28" sheetId="65087" r:id="rId33"/>
    <sheet name="29" sheetId="65088" r:id="rId34"/>
    <sheet name="30" sheetId="65089" r:id="rId35"/>
    <sheet name="31" sheetId="65093" r:id="rId36"/>
    <sheet name="32" sheetId="65094" r:id="rId37"/>
    <sheet name="33" sheetId="65095" r:id="rId38"/>
    <sheet name="34" sheetId="65096" r:id="rId39"/>
    <sheet name="35" sheetId="65097" r:id="rId40"/>
    <sheet name="36" sheetId="65098" r:id="rId41"/>
    <sheet name="37" sheetId="65105" r:id="rId42"/>
    <sheet name="Sumarno" sheetId="65124" r:id="rId43"/>
    <sheet name="Funkcijska" sheetId="65137" r:id="rId44"/>
    <sheet name="Kap.pror." sheetId="65125" r:id="rId45"/>
    <sheet name="Kraj" sheetId="65061" r:id="rId46"/>
  </sheets>
  <definedNames>
    <definedName name="ACCOUNTEDPERIODTYPE1">#REF!</definedName>
    <definedName name="APPSUSERNAME1">#REF!</definedName>
    <definedName name="BUDGETORGID1">#REF!</definedName>
    <definedName name="BUDGETORGNAME1">#REF!</definedName>
    <definedName name="CHARTOFACCOUNTSID1">#REF!</definedName>
    <definedName name="CONNECTSTRING1">#REF!</definedName>
    <definedName name="CREATESUMMARYJNLS1">#REF!</definedName>
    <definedName name="CRITERIACOLUMN1">#REF!</definedName>
    <definedName name="DBNAME1">#REF!</definedName>
    <definedName name="DBUSERNAME1">#REF!</definedName>
    <definedName name="DELETELOGICTYPE1">#REF!</definedName>
    <definedName name="FFAPPCOLNAME1_1">#REF!</definedName>
    <definedName name="FFAPPCOLNAME2_1">#REF!</definedName>
    <definedName name="FFAPPCOLNAME3_1">#REF!</definedName>
    <definedName name="FFAPPCOLNAME4_1">#REF!</definedName>
    <definedName name="FFAPPCOLNAME5_1">#REF!</definedName>
    <definedName name="FFAPPCOLNAME6_1">#REF!</definedName>
    <definedName name="FFSEGMENT1_1">#REF!</definedName>
    <definedName name="FFSEGMENT2_1">#REF!</definedName>
    <definedName name="FFSEGMENT3_1">#REF!</definedName>
    <definedName name="FFSEGMENT4_1">#REF!</definedName>
    <definedName name="FFSEGMENT5_1">#REF!</definedName>
    <definedName name="FFSEGMENT6_1">#REF!</definedName>
    <definedName name="FFSEGSEPARATOR1">#REF!</definedName>
    <definedName name="FIELDNAMECOLUMN1">#REF!</definedName>
    <definedName name="FIELDNAMEROW1">#REF!</definedName>
    <definedName name="FIRSTDATAROW1">#REF!</definedName>
    <definedName name="FNDNAM1">#REF!</definedName>
    <definedName name="FNDUSERID1">#REF!</definedName>
    <definedName name="FUNCTIONALCURRENCY1">#REF!</definedName>
    <definedName name="GWYUID1">#REF!</definedName>
    <definedName name="IMPORTDFF1">#REF!</definedName>
    <definedName name="_xlnm.Print_Titles" localSheetId="44">Funkcijska!$1:$6</definedName>
    <definedName name="_xlnm.Print_Titles" localSheetId="4">Prihodi!$2:$4</definedName>
    <definedName name="_xlnm.Print_Titles" localSheetId="5">Rashodi!$1:$5</definedName>
    <definedName name="LABELTEXTCOLUMN1">#REF!</definedName>
    <definedName name="LABELTEXTROW1">#REF!</definedName>
    <definedName name="NOOFFFSEGMENTS1">#REF!</definedName>
    <definedName name="NUMBEROFDETAILFIELDS1">#REF!</definedName>
    <definedName name="NUMBEROFHEADERFIELDS1">#REF!</definedName>
    <definedName name="PERIODSETNAME1">#REF!</definedName>
    <definedName name="_xlnm.Print_Area" localSheetId="20">'15'!$B$1:$I$43</definedName>
    <definedName name="_xlnm.Print_Area" localSheetId="21">'16'!$A$1:$I$57</definedName>
    <definedName name="_xlnm.Print_Area" localSheetId="22">'17'!$A$1:$I$50</definedName>
    <definedName name="_xlnm.Print_Area" localSheetId="26">'21'!$A$1:$I$45</definedName>
    <definedName name="_xlnm.Print_Area" localSheetId="44">Funkcijska!$A$7:$F$114</definedName>
    <definedName name="_xlnm.Print_Area" localSheetId="4">Prihodi!$B$4:$F$213</definedName>
    <definedName name="_xlnm.Print_Area" localSheetId="5">Rashodi!$C$6:$G$116</definedName>
    <definedName name="_xlnm.Print_Area" localSheetId="1">Sadrzaj!$A$1:$J$48</definedName>
    <definedName name="_xlnm.Print_Area" localSheetId="2">Uvod!$A$1:$D$58</definedName>
    <definedName name="POSTERRORSTOSUSP1">#REF!</definedName>
    <definedName name="RESPONSIBILITYAPPLICATIONID1">#REF!</definedName>
    <definedName name="RESPONSIBILITYID1">#REF!</definedName>
    <definedName name="RESPONSIBILITYNAME1">#REF!</definedName>
    <definedName name="ROWSTOUPLOAD1">#REF!</definedName>
    <definedName name="SETOFBOOKSID1">#REF!</definedName>
    <definedName name="SETOFBOOKSNAME1">#REF!</definedName>
    <definedName name="STARTJOURNALIMPORT1">#REF!</definedName>
    <definedName name="TEMPLATENUMBER1">#REF!</definedName>
    <definedName name="TEMPLATESTYLE1">#REF!</definedName>
    <definedName name="TEMPLATETYPE1">#REF!</definedName>
  </definedNames>
  <calcPr calcId="124519" fullCalcOnLoad="1"/>
</workbook>
</file>

<file path=xl/calcChain.xml><?xml version="1.0" encoding="utf-8"?>
<calcChain xmlns="http://schemas.openxmlformats.org/spreadsheetml/2006/main">
  <c r="C30" i="304"/>
  <c r="C29"/>
  <c r="B40"/>
  <c r="B30"/>
  <c r="D30" s="1"/>
  <c r="B29"/>
  <c r="D29" s="1"/>
  <c r="F212" i="65139"/>
  <c r="F211"/>
  <c r="E210"/>
  <c r="D210"/>
  <c r="F210"/>
  <c r="F209"/>
  <c r="E208"/>
  <c r="D208"/>
  <c r="F208"/>
  <c r="E207"/>
  <c r="E206"/>
  <c r="E205"/>
  <c r="F204"/>
  <c r="F202"/>
  <c r="F201"/>
  <c r="F200"/>
  <c r="E199"/>
  <c r="D199"/>
  <c r="F199"/>
  <c r="F198"/>
  <c r="F197"/>
  <c r="E196"/>
  <c r="D196"/>
  <c r="F196"/>
  <c r="F195"/>
  <c r="F194"/>
  <c r="F193"/>
  <c r="F192"/>
  <c r="F191"/>
  <c r="F190"/>
  <c r="F189"/>
  <c r="F188"/>
  <c r="F187"/>
  <c r="E186"/>
  <c r="D186"/>
  <c r="F186"/>
  <c r="F185"/>
  <c r="E184"/>
  <c r="D184"/>
  <c r="F184"/>
  <c r="E183"/>
  <c r="E182"/>
  <c r="F181"/>
  <c r="F180"/>
  <c r="F178"/>
  <c r="E177"/>
  <c r="D177"/>
  <c r="F177"/>
  <c r="E176"/>
  <c r="E175"/>
  <c r="E174"/>
  <c r="F173"/>
  <c r="F172"/>
  <c r="F171"/>
  <c r="E170"/>
  <c r="D170"/>
  <c r="F170"/>
  <c r="F169"/>
  <c r="D169"/>
  <c r="F168"/>
  <c r="E167"/>
  <c r="E166"/>
  <c r="E165"/>
  <c r="D167"/>
  <c r="F167"/>
  <c r="D166"/>
  <c r="F166"/>
  <c r="F164"/>
  <c r="E163"/>
  <c r="D163"/>
  <c r="F163"/>
  <c r="F162"/>
  <c r="F161"/>
  <c r="F160"/>
  <c r="F159"/>
  <c r="F158"/>
  <c r="F157"/>
  <c r="E155"/>
  <c r="D155"/>
  <c r="F155"/>
  <c r="E154"/>
  <c r="E153"/>
  <c r="E152"/>
  <c r="F151"/>
  <c r="F150"/>
  <c r="E149"/>
  <c r="D149"/>
  <c r="F149"/>
  <c r="F148"/>
  <c r="E147"/>
  <c r="D147"/>
  <c r="F147"/>
  <c r="E146"/>
  <c r="E145"/>
  <c r="E144"/>
  <c r="D50"/>
  <c r="D49"/>
  <c r="D46"/>
  <c r="D45"/>
  <c r="D37"/>
  <c r="D36"/>
  <c r="D34"/>
  <c r="F34"/>
  <c r="D32"/>
  <c r="D27"/>
  <c r="D26"/>
  <c r="D19"/>
  <c r="D18"/>
  <c r="D15"/>
  <c r="D14"/>
  <c r="D11"/>
  <c r="F11"/>
  <c r="D7"/>
  <c r="D6"/>
  <c r="B20" i="304"/>
  <c r="G36" i="65105"/>
  <c r="G17"/>
  <c r="G13"/>
  <c r="G9"/>
  <c r="G8"/>
  <c r="G7"/>
  <c r="G36" i="65098"/>
  <c r="G17"/>
  <c r="G13"/>
  <c r="G9"/>
  <c r="G7"/>
  <c r="G36" i="65097"/>
  <c r="G17"/>
  <c r="G13"/>
  <c r="G9"/>
  <c r="G7"/>
  <c r="G36" i="65096"/>
  <c r="G17"/>
  <c r="G14"/>
  <c r="G13"/>
  <c r="G9"/>
  <c r="G8"/>
  <c r="G7"/>
  <c r="G34" i="65095"/>
  <c r="G30"/>
  <c r="G29"/>
  <c r="G26"/>
  <c r="G17"/>
  <c r="G13"/>
  <c r="G9"/>
  <c r="G8"/>
  <c r="G7"/>
  <c r="G35" i="65094"/>
  <c r="G16"/>
  <c r="G12"/>
  <c r="G9"/>
  <c r="G7"/>
  <c r="G33" i="65093"/>
  <c r="G29"/>
  <c r="G17"/>
  <c r="G14"/>
  <c r="G13"/>
  <c r="G9"/>
  <c r="G8"/>
  <c r="G7"/>
  <c r="G36" i="65089"/>
  <c r="G17"/>
  <c r="G13"/>
  <c r="G9"/>
  <c r="G8"/>
  <c r="G7"/>
  <c r="G38" i="65088"/>
  <c r="G36"/>
  <c r="I36"/>
  <c r="G17"/>
  <c r="G13"/>
  <c r="G9"/>
  <c r="G7"/>
  <c r="G36" i="65087"/>
  <c r="G17"/>
  <c r="G13"/>
  <c r="G9"/>
  <c r="G8"/>
  <c r="G7"/>
  <c r="G36" i="65086"/>
  <c r="I36"/>
  <c r="G17"/>
  <c r="G13"/>
  <c r="G9"/>
  <c r="G7"/>
  <c r="G42"/>
  <c r="I42"/>
  <c r="G36" i="65085"/>
  <c r="G17"/>
  <c r="G13"/>
  <c r="G9"/>
  <c r="G8"/>
  <c r="G7"/>
  <c r="G36" i="65084"/>
  <c r="G17"/>
  <c r="G13"/>
  <c r="G9"/>
  <c r="G8"/>
  <c r="G7"/>
  <c r="G36" i="65083"/>
  <c r="G17"/>
  <c r="G13"/>
  <c r="G9"/>
  <c r="G8"/>
  <c r="G7"/>
  <c r="G36" i="65122"/>
  <c r="G17"/>
  <c r="G13"/>
  <c r="G9"/>
  <c r="G7"/>
  <c r="G36" i="65081"/>
  <c r="G17"/>
  <c r="G13"/>
  <c r="G9"/>
  <c r="G8"/>
  <c r="G7"/>
  <c r="G36" i="65082"/>
  <c r="G17"/>
  <c r="G13"/>
  <c r="G9"/>
  <c r="G8"/>
  <c r="G7"/>
  <c r="G50" i="65080"/>
  <c r="G46"/>
  <c r="G43"/>
  <c r="G40"/>
  <c r="G33"/>
  <c r="G31"/>
  <c r="I31"/>
  <c r="G17"/>
  <c r="G13"/>
  <c r="G9"/>
  <c r="G7"/>
  <c r="G35" i="65079"/>
  <c r="G29"/>
  <c r="G17"/>
  <c r="G13"/>
  <c r="G9"/>
  <c r="G7"/>
  <c r="G37" i="65078"/>
  <c r="G30"/>
  <c r="G17"/>
  <c r="G13"/>
  <c r="G9"/>
  <c r="G7"/>
  <c r="G34" i="65077"/>
  <c r="G29"/>
  <c r="G17"/>
  <c r="G13"/>
  <c r="G9"/>
  <c r="G7"/>
  <c r="G47" i="65076"/>
  <c r="G43"/>
  <c r="G38"/>
  <c r="G36"/>
  <c r="G34"/>
  <c r="G33"/>
  <c r="I33"/>
  <c r="G20"/>
  <c r="G16"/>
  <c r="G12"/>
  <c r="G10"/>
  <c r="G7"/>
  <c r="G32" i="65075"/>
  <c r="G29"/>
  <c r="G17"/>
  <c r="G13"/>
  <c r="G9"/>
  <c r="G7"/>
  <c r="G36" i="65115"/>
  <c r="G17"/>
  <c r="G13"/>
  <c r="G9"/>
  <c r="G7"/>
  <c r="G36" i="65100"/>
  <c r="G17"/>
  <c r="G13"/>
  <c r="G9"/>
  <c r="G7"/>
  <c r="G36" i="65074"/>
  <c r="G17"/>
  <c r="G13"/>
  <c r="G9"/>
  <c r="G7"/>
  <c r="G36" i="65071"/>
  <c r="I36"/>
  <c r="G17"/>
  <c r="G13"/>
  <c r="G9"/>
  <c r="G7"/>
  <c r="I7"/>
  <c r="G36" i="65070"/>
  <c r="G17"/>
  <c r="G13"/>
  <c r="G9"/>
  <c r="G7"/>
  <c r="G36" i="65069"/>
  <c r="G17"/>
  <c r="G13"/>
  <c r="G9"/>
  <c r="G7"/>
  <c r="G36" i="65068"/>
  <c r="G17"/>
  <c r="G13"/>
  <c r="G9"/>
  <c r="G7"/>
  <c r="G36" i="65123"/>
  <c r="G17"/>
  <c r="G13"/>
  <c r="G9"/>
  <c r="G7"/>
  <c r="G36" i="65099"/>
  <c r="G17"/>
  <c r="G13"/>
  <c r="G9"/>
  <c r="G7"/>
  <c r="G36" i="65067"/>
  <c r="G17"/>
  <c r="G13"/>
  <c r="G9"/>
  <c r="G7"/>
  <c r="G37" i="65066"/>
  <c r="G29"/>
  <c r="G17"/>
  <c r="G13"/>
  <c r="G9"/>
  <c r="G7"/>
  <c r="G50" i="65065"/>
  <c r="G47"/>
  <c r="G35"/>
  <c r="G22"/>
  <c r="G18"/>
  <c r="G14"/>
  <c r="G12"/>
  <c r="G7"/>
  <c r="G36" i="65064"/>
  <c r="G17"/>
  <c r="G13"/>
  <c r="G9"/>
  <c r="G7"/>
  <c r="G36" i="16"/>
  <c r="G16"/>
  <c r="G13"/>
  <c r="G12"/>
  <c r="G9"/>
  <c r="G8"/>
  <c r="G7"/>
  <c r="D136" i="65139"/>
  <c r="D135"/>
  <c r="F135"/>
  <c r="D131"/>
  <c r="D124"/>
  <c r="D118"/>
  <c r="D117"/>
  <c r="F117"/>
  <c r="D115"/>
  <c r="D113"/>
  <c r="D111"/>
  <c r="D108"/>
  <c r="D103"/>
  <c r="D94"/>
  <c r="D93"/>
  <c r="D89"/>
  <c r="D84"/>
  <c r="D83"/>
  <c r="F83"/>
  <c r="D79"/>
  <c r="D75"/>
  <c r="D74"/>
  <c r="D71"/>
  <c r="D69"/>
  <c r="D66"/>
  <c r="D64"/>
  <c r="D60"/>
  <c r="D57"/>
  <c r="H14" i="65084"/>
  <c r="H8"/>
  <c r="H14" i="65083"/>
  <c r="H8"/>
  <c r="H14" i="65088"/>
  <c r="H8"/>
  <c r="H14" i="65123"/>
  <c r="H9"/>
  <c r="H8"/>
  <c r="E116" i="65139"/>
  <c r="E95"/>
  <c r="H38" i="65068"/>
  <c r="E76" i="65139"/>
  <c r="H14" i="65098"/>
  <c r="H13"/>
  <c r="H9"/>
  <c r="H8"/>
  <c r="H7"/>
  <c r="I7"/>
  <c r="H14" i="65096"/>
  <c r="H13"/>
  <c r="H9"/>
  <c r="H8"/>
  <c r="H7"/>
  <c r="I7"/>
  <c r="H14" i="65071"/>
  <c r="H13"/>
  <c r="H9"/>
  <c r="H8"/>
  <c r="H7"/>
  <c r="H14" i="65105"/>
  <c r="H13"/>
  <c r="H9"/>
  <c r="H8"/>
  <c r="H7"/>
  <c r="H42"/>
  <c r="H43"/>
  <c r="H14" i="65097"/>
  <c r="H13"/>
  <c r="H8"/>
  <c r="H7"/>
  <c r="H14" i="65095"/>
  <c r="H13"/>
  <c r="H9"/>
  <c r="H8"/>
  <c r="H7"/>
  <c r="H40"/>
  <c r="H13" i="65094"/>
  <c r="H12"/>
  <c r="H9"/>
  <c r="H8"/>
  <c r="H7"/>
  <c r="H14" i="65093"/>
  <c r="H13"/>
  <c r="H9"/>
  <c r="H8"/>
  <c r="H7"/>
  <c r="H39"/>
  <c r="H14" i="65089"/>
  <c r="H13"/>
  <c r="H9"/>
  <c r="H8"/>
  <c r="H7"/>
  <c r="H13" i="65088"/>
  <c r="H9"/>
  <c r="H7"/>
  <c r="H14" i="65087"/>
  <c r="H13"/>
  <c r="H9"/>
  <c r="H8"/>
  <c r="H7"/>
  <c r="H14" i="65086"/>
  <c r="H13"/>
  <c r="H9"/>
  <c r="H8"/>
  <c r="H7"/>
  <c r="H14" i="65085"/>
  <c r="H13"/>
  <c r="H9"/>
  <c r="H8"/>
  <c r="H7"/>
  <c r="H42"/>
  <c r="H13" i="65084"/>
  <c r="H9"/>
  <c r="H7"/>
  <c r="H13" i="65083"/>
  <c r="H9"/>
  <c r="H7"/>
  <c r="H42"/>
  <c r="H14" i="65122"/>
  <c r="H13"/>
  <c r="H9"/>
  <c r="H8"/>
  <c r="H7"/>
  <c r="H14" i="65081"/>
  <c r="H13"/>
  <c r="H9"/>
  <c r="H8"/>
  <c r="H7"/>
  <c r="H14" i="65082"/>
  <c r="H13"/>
  <c r="H9"/>
  <c r="H8"/>
  <c r="H7"/>
  <c r="H14" i="65080"/>
  <c r="H13"/>
  <c r="H9"/>
  <c r="H8"/>
  <c r="H7"/>
  <c r="H14" i="65079"/>
  <c r="H13"/>
  <c r="H9"/>
  <c r="H8"/>
  <c r="H7"/>
  <c r="H14" i="65078"/>
  <c r="H13"/>
  <c r="H9"/>
  <c r="H8"/>
  <c r="H7"/>
  <c r="H14" i="65077"/>
  <c r="H13"/>
  <c r="H9"/>
  <c r="H8"/>
  <c r="H7"/>
  <c r="H17" i="65076"/>
  <c r="H16"/>
  <c r="H12"/>
  <c r="H11"/>
  <c r="H10"/>
  <c r="H51"/>
  <c r="H52"/>
  <c r="H53"/>
  <c r="H14" i="65075"/>
  <c r="H13"/>
  <c r="H9"/>
  <c r="H8"/>
  <c r="H7"/>
  <c r="H14" i="65115"/>
  <c r="H13"/>
  <c r="H9"/>
  <c r="H8"/>
  <c r="H7"/>
  <c r="H42"/>
  <c r="H43"/>
  <c r="H14" i="65100"/>
  <c r="H13"/>
  <c r="H9"/>
  <c r="H8"/>
  <c r="H7"/>
  <c r="H14" i="65074"/>
  <c r="H13"/>
  <c r="H9"/>
  <c r="H8"/>
  <c r="H7"/>
  <c r="H14" i="65070"/>
  <c r="H13"/>
  <c r="H8"/>
  <c r="H7"/>
  <c r="H14" i="65069"/>
  <c r="H13"/>
  <c r="H9"/>
  <c r="H8"/>
  <c r="H7"/>
  <c r="H42"/>
  <c r="H14" i="65068"/>
  <c r="H13"/>
  <c r="H9"/>
  <c r="H8"/>
  <c r="H7"/>
  <c r="H13" i="65123"/>
  <c r="H7"/>
  <c r="H14" i="65099"/>
  <c r="H13"/>
  <c r="H8"/>
  <c r="H7"/>
  <c r="H14" i="65067"/>
  <c r="H13"/>
  <c r="H9"/>
  <c r="H8"/>
  <c r="H7"/>
  <c r="H42"/>
  <c r="H14" i="65066"/>
  <c r="H13"/>
  <c r="H9"/>
  <c r="H8"/>
  <c r="H7"/>
  <c r="H19" i="65065"/>
  <c r="H18"/>
  <c r="H14"/>
  <c r="H13"/>
  <c r="H12"/>
  <c r="I12"/>
  <c r="H14" i="65064"/>
  <c r="H13"/>
  <c r="H8"/>
  <c r="H7"/>
  <c r="H13" i="16"/>
  <c r="H12"/>
  <c r="H8"/>
  <c r="H7"/>
  <c r="H26" i="65067"/>
  <c r="H24" i="65084"/>
  <c r="H19"/>
  <c r="G42" i="65096"/>
  <c r="G43"/>
  <c r="I29" i="65095"/>
  <c r="I17"/>
  <c r="G41" i="65094"/>
  <c r="G42"/>
  <c r="I13" i="65074"/>
  <c r="E85" i="65139"/>
  <c r="E114"/>
  <c r="E112"/>
  <c r="F143"/>
  <c r="F141"/>
  <c r="F140"/>
  <c r="F139"/>
  <c r="F138"/>
  <c r="F137"/>
  <c r="E136"/>
  <c r="E135"/>
  <c r="F134"/>
  <c r="F133"/>
  <c r="F132"/>
  <c r="E131"/>
  <c r="F131"/>
  <c r="F130"/>
  <c r="F129"/>
  <c r="F128"/>
  <c r="F127"/>
  <c r="F126"/>
  <c r="F125"/>
  <c r="E124"/>
  <c r="F124"/>
  <c r="F123"/>
  <c r="F122"/>
  <c r="F121"/>
  <c r="F120"/>
  <c r="F119"/>
  <c r="E118"/>
  <c r="E117"/>
  <c r="F116"/>
  <c r="E115"/>
  <c r="F115"/>
  <c r="F114"/>
  <c r="E113"/>
  <c r="F113"/>
  <c r="F112"/>
  <c r="E111"/>
  <c r="F109"/>
  <c r="E108"/>
  <c r="F108"/>
  <c r="F107"/>
  <c r="F106"/>
  <c r="F105"/>
  <c r="F104"/>
  <c r="E103"/>
  <c r="F102"/>
  <c r="F101"/>
  <c r="F100"/>
  <c r="F99"/>
  <c r="F98"/>
  <c r="F97"/>
  <c r="F96"/>
  <c r="F95"/>
  <c r="E94"/>
  <c r="E93"/>
  <c r="F92"/>
  <c r="F91"/>
  <c r="F90"/>
  <c r="E89"/>
  <c r="F87"/>
  <c r="F86"/>
  <c r="F85"/>
  <c r="E84"/>
  <c r="E83"/>
  <c r="F82"/>
  <c r="F81"/>
  <c r="F80"/>
  <c r="E79"/>
  <c r="F78"/>
  <c r="F77"/>
  <c r="F76"/>
  <c r="E75"/>
  <c r="E74"/>
  <c r="F72"/>
  <c r="E71"/>
  <c r="F71"/>
  <c r="F70"/>
  <c r="E69"/>
  <c r="F69"/>
  <c r="F67"/>
  <c r="E66"/>
  <c r="F66"/>
  <c r="F65"/>
  <c r="E64"/>
  <c r="F64"/>
  <c r="F63"/>
  <c r="F62"/>
  <c r="F61"/>
  <c r="E60"/>
  <c r="F59"/>
  <c r="F58"/>
  <c r="E57"/>
  <c r="F54"/>
  <c r="F53"/>
  <c r="F52"/>
  <c r="F51"/>
  <c r="E50"/>
  <c r="E49"/>
  <c r="F48"/>
  <c r="F47"/>
  <c r="E46"/>
  <c r="E45"/>
  <c r="F44"/>
  <c r="F43"/>
  <c r="F42"/>
  <c r="F41"/>
  <c r="F40"/>
  <c r="F39"/>
  <c r="F38"/>
  <c r="E37"/>
  <c r="E36"/>
  <c r="C24" i="304"/>
  <c r="F35" i="65139"/>
  <c r="E34"/>
  <c r="F33"/>
  <c r="E32"/>
  <c r="F32"/>
  <c r="F31"/>
  <c r="F30"/>
  <c r="F29"/>
  <c r="F28"/>
  <c r="E27"/>
  <c r="F25"/>
  <c r="F24"/>
  <c r="F23"/>
  <c r="F22"/>
  <c r="F21"/>
  <c r="F20"/>
  <c r="E19"/>
  <c r="E18"/>
  <c r="C22" i="304"/>
  <c r="F17" i="65139"/>
  <c r="F16"/>
  <c r="E15"/>
  <c r="E14"/>
  <c r="C21" i="304"/>
  <c r="F13" i="65139"/>
  <c r="F12"/>
  <c r="E11"/>
  <c r="F10"/>
  <c r="F9"/>
  <c r="F8"/>
  <c r="E7"/>
  <c r="E72" i="65137"/>
  <c r="D72"/>
  <c r="F72" s="1"/>
  <c r="E65"/>
  <c r="D65"/>
  <c r="E64"/>
  <c r="E61" s="1"/>
  <c r="D64"/>
  <c r="D61" s="1"/>
  <c r="F16" i="300"/>
  <c r="F17"/>
  <c r="I40" i="65105"/>
  <c r="I39"/>
  <c r="I38"/>
  <c r="I37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6"/>
  <c r="I15"/>
  <c r="I14"/>
  <c r="I12"/>
  <c r="I11"/>
  <c r="I10"/>
  <c r="I9"/>
  <c r="I8"/>
  <c r="I40" i="65098"/>
  <c r="I39"/>
  <c r="I38"/>
  <c r="I37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6"/>
  <c r="I15"/>
  <c r="I14"/>
  <c r="I12"/>
  <c r="I11"/>
  <c r="I10"/>
  <c r="I9"/>
  <c r="I8"/>
  <c r="I40" i="65097"/>
  <c r="I39"/>
  <c r="I38"/>
  <c r="I37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6"/>
  <c r="I15"/>
  <c r="I14"/>
  <c r="I12"/>
  <c r="I11"/>
  <c r="I10"/>
  <c r="I9"/>
  <c r="I8"/>
  <c r="I40" i="65096"/>
  <c r="I39"/>
  <c r="I38"/>
  <c r="I37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6"/>
  <c r="I15"/>
  <c r="I14"/>
  <c r="I12"/>
  <c r="I11"/>
  <c r="I10"/>
  <c r="I9"/>
  <c r="I8"/>
  <c r="I38" i="65095"/>
  <c r="I37"/>
  <c r="I36"/>
  <c r="I35"/>
  <c r="I33"/>
  <c r="I32"/>
  <c r="I31"/>
  <c r="I30"/>
  <c r="I28"/>
  <c r="I27"/>
  <c r="I26"/>
  <c r="I25"/>
  <c r="I24"/>
  <c r="I23"/>
  <c r="I22"/>
  <c r="I21"/>
  <c r="I20"/>
  <c r="I19"/>
  <c r="I18"/>
  <c r="I16"/>
  <c r="I15"/>
  <c r="I14"/>
  <c r="I12"/>
  <c r="I11"/>
  <c r="I10"/>
  <c r="I9"/>
  <c r="I8"/>
  <c r="I39" i="65094"/>
  <c r="I38"/>
  <c r="I37"/>
  <c r="I36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5"/>
  <c r="I14"/>
  <c r="I13"/>
  <c r="I11"/>
  <c r="I10"/>
  <c r="I9"/>
  <c r="I8"/>
  <c r="I37" i="65093"/>
  <c r="I36"/>
  <c r="I35"/>
  <c r="I34"/>
  <c r="I32"/>
  <c r="I31"/>
  <c r="I30"/>
  <c r="I28"/>
  <c r="I27"/>
  <c r="I26"/>
  <c r="I25"/>
  <c r="I24"/>
  <c r="I23"/>
  <c r="I22"/>
  <c r="I21"/>
  <c r="I20"/>
  <c r="I19"/>
  <c r="I18"/>
  <c r="I16"/>
  <c r="I15"/>
  <c r="I14"/>
  <c r="I12"/>
  <c r="I11"/>
  <c r="I10"/>
  <c r="I9"/>
  <c r="I8"/>
  <c r="I40" i="65089"/>
  <c r="I39"/>
  <c r="I38"/>
  <c r="I37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6"/>
  <c r="I15"/>
  <c r="I14"/>
  <c r="I12"/>
  <c r="I11"/>
  <c r="I10"/>
  <c r="I9"/>
  <c r="I8"/>
  <c r="I40" i="65088"/>
  <c r="I39"/>
  <c r="I37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6"/>
  <c r="I15"/>
  <c r="I14"/>
  <c r="I12"/>
  <c r="I11"/>
  <c r="I10"/>
  <c r="I8"/>
  <c r="I40" i="65087"/>
  <c r="I39"/>
  <c r="I38"/>
  <c r="I37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6"/>
  <c r="I15"/>
  <c r="I14"/>
  <c r="I12"/>
  <c r="I11"/>
  <c r="I10"/>
  <c r="I9"/>
  <c r="I8"/>
  <c r="I40" i="65086"/>
  <c r="I39"/>
  <c r="I38"/>
  <c r="I37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6"/>
  <c r="I15"/>
  <c r="I14"/>
  <c r="I12"/>
  <c r="I11"/>
  <c r="I10"/>
  <c r="I9"/>
  <c r="I8"/>
  <c r="I40" i="65085"/>
  <c r="I39"/>
  <c r="I38"/>
  <c r="I37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6"/>
  <c r="I15"/>
  <c r="I14"/>
  <c r="I12"/>
  <c r="I11"/>
  <c r="I10"/>
  <c r="I9"/>
  <c r="I8"/>
  <c r="I40" i="65084"/>
  <c r="I39"/>
  <c r="I38"/>
  <c r="I37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6"/>
  <c r="I15"/>
  <c r="I14"/>
  <c r="I12"/>
  <c r="I11"/>
  <c r="I10"/>
  <c r="I9"/>
  <c r="I8"/>
  <c r="I40" i="65083"/>
  <c r="I39"/>
  <c r="I38"/>
  <c r="I37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6"/>
  <c r="I15"/>
  <c r="I14"/>
  <c r="I12"/>
  <c r="I11"/>
  <c r="I10"/>
  <c r="I9"/>
  <c r="I8"/>
  <c r="I40" i="65122"/>
  <c r="I39"/>
  <c r="I38"/>
  <c r="I37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6"/>
  <c r="I15"/>
  <c r="I14"/>
  <c r="I12"/>
  <c r="I11"/>
  <c r="I10"/>
  <c r="I9"/>
  <c r="I8"/>
  <c r="I40" i="65081"/>
  <c r="I39"/>
  <c r="I38"/>
  <c r="I37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6"/>
  <c r="I15"/>
  <c r="I14"/>
  <c r="I12"/>
  <c r="I11"/>
  <c r="I10"/>
  <c r="I9"/>
  <c r="I8"/>
  <c r="I40" i="65082"/>
  <c r="I39"/>
  <c r="I38"/>
  <c r="I37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6"/>
  <c r="I15"/>
  <c r="I14"/>
  <c r="I12"/>
  <c r="I11"/>
  <c r="I10"/>
  <c r="I9"/>
  <c r="I8"/>
  <c r="I53" i="65080"/>
  <c r="I52"/>
  <c r="I51"/>
  <c r="I49"/>
  <c r="I48"/>
  <c r="I47"/>
  <c r="I45"/>
  <c r="I44"/>
  <c r="I42"/>
  <c r="I41"/>
  <c r="I39"/>
  <c r="I38"/>
  <c r="I37"/>
  <c r="I36"/>
  <c r="I35"/>
  <c r="I34"/>
  <c r="I33"/>
  <c r="I32"/>
  <c r="I30"/>
  <c r="I29"/>
  <c r="I28"/>
  <c r="I27"/>
  <c r="I26"/>
  <c r="I25"/>
  <c r="I24"/>
  <c r="I23"/>
  <c r="I22"/>
  <c r="I21"/>
  <c r="I20"/>
  <c r="I19"/>
  <c r="I18"/>
  <c r="I16"/>
  <c r="I15"/>
  <c r="I14"/>
  <c r="I12"/>
  <c r="I11"/>
  <c r="I10"/>
  <c r="I9"/>
  <c r="I8"/>
  <c r="I39" i="65079"/>
  <c r="I38"/>
  <c r="I37"/>
  <c r="I36"/>
  <c r="I34"/>
  <c r="I33"/>
  <c r="I32"/>
  <c r="I31"/>
  <c r="I30"/>
  <c r="I28"/>
  <c r="I27"/>
  <c r="I26"/>
  <c r="I25"/>
  <c r="I24"/>
  <c r="I23"/>
  <c r="I22"/>
  <c r="I21"/>
  <c r="I20"/>
  <c r="I19"/>
  <c r="I18"/>
  <c r="I16"/>
  <c r="I15"/>
  <c r="I14"/>
  <c r="I12"/>
  <c r="I11"/>
  <c r="I10"/>
  <c r="I9"/>
  <c r="I8"/>
  <c r="I41" i="65078"/>
  <c r="I40"/>
  <c r="I39"/>
  <c r="I38"/>
  <c r="I36"/>
  <c r="I35"/>
  <c r="I34"/>
  <c r="I33"/>
  <c r="I32"/>
  <c r="I31"/>
  <c r="I29"/>
  <c r="I28"/>
  <c r="I27"/>
  <c r="I26"/>
  <c r="I25"/>
  <c r="I24"/>
  <c r="I23"/>
  <c r="I22"/>
  <c r="I21"/>
  <c r="I20"/>
  <c r="I19"/>
  <c r="I18"/>
  <c r="I16"/>
  <c r="I15"/>
  <c r="I14"/>
  <c r="I12"/>
  <c r="I11"/>
  <c r="I10"/>
  <c r="I9"/>
  <c r="I8"/>
  <c r="I38" i="65077"/>
  <c r="I37"/>
  <c r="I36"/>
  <c r="I35"/>
  <c r="I33"/>
  <c r="I32"/>
  <c r="I31"/>
  <c r="I30"/>
  <c r="I28"/>
  <c r="I27"/>
  <c r="I26"/>
  <c r="I25"/>
  <c r="I24"/>
  <c r="I23"/>
  <c r="I22"/>
  <c r="I21"/>
  <c r="I20"/>
  <c r="I19"/>
  <c r="I18"/>
  <c r="I16"/>
  <c r="I15"/>
  <c r="I14"/>
  <c r="I12"/>
  <c r="I11"/>
  <c r="I10"/>
  <c r="I9"/>
  <c r="I8"/>
  <c r="I49" i="65076"/>
  <c r="I48"/>
  <c r="I46"/>
  <c r="I45"/>
  <c r="I44"/>
  <c r="I42"/>
  <c r="I41"/>
  <c r="I40"/>
  <c r="I39"/>
  <c r="I37"/>
  <c r="I36"/>
  <c r="I35"/>
  <c r="I34"/>
  <c r="I32"/>
  <c r="I31"/>
  <c r="I30"/>
  <c r="I29"/>
  <c r="I28"/>
  <c r="I27"/>
  <c r="I26"/>
  <c r="I25"/>
  <c r="I24"/>
  <c r="I23"/>
  <c r="I22"/>
  <c r="I21"/>
  <c r="I19"/>
  <c r="I18"/>
  <c r="I17"/>
  <c r="I15"/>
  <c r="I14"/>
  <c r="I13"/>
  <c r="I12"/>
  <c r="I11"/>
  <c r="I9"/>
  <c r="I8"/>
  <c r="I36" i="65075"/>
  <c r="I35"/>
  <c r="I34"/>
  <c r="I33"/>
  <c r="I31"/>
  <c r="I30"/>
  <c r="I28"/>
  <c r="I27"/>
  <c r="I26"/>
  <c r="I25"/>
  <c r="I24"/>
  <c r="I23"/>
  <c r="I22"/>
  <c r="I21"/>
  <c r="I20"/>
  <c r="I19"/>
  <c r="I18"/>
  <c r="I16"/>
  <c r="I15"/>
  <c r="I14"/>
  <c r="I12"/>
  <c r="I11"/>
  <c r="I10"/>
  <c r="I8"/>
  <c r="I40" i="65115"/>
  <c r="I39"/>
  <c r="I38"/>
  <c r="I37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6"/>
  <c r="I15"/>
  <c r="I14"/>
  <c r="I12"/>
  <c r="I11"/>
  <c r="I10"/>
  <c r="I9"/>
  <c r="I8"/>
  <c r="I40" i="65100"/>
  <c r="I39"/>
  <c r="I38"/>
  <c r="I37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6"/>
  <c r="I15"/>
  <c r="I14"/>
  <c r="I12"/>
  <c r="I11"/>
  <c r="I10"/>
  <c r="I9"/>
  <c r="I8"/>
  <c r="I40" i="65074"/>
  <c r="I39"/>
  <c r="I38"/>
  <c r="I37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6"/>
  <c r="I15"/>
  <c r="I14"/>
  <c r="I12"/>
  <c r="I11"/>
  <c r="I10"/>
  <c r="I9"/>
  <c r="I8"/>
  <c r="I40" i="65071"/>
  <c r="I39"/>
  <c r="I38"/>
  <c r="I37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6"/>
  <c r="I15"/>
  <c r="I14"/>
  <c r="I12"/>
  <c r="I11"/>
  <c r="I10"/>
  <c r="I9"/>
  <c r="I8"/>
  <c r="I40" i="65070"/>
  <c r="I39"/>
  <c r="I38"/>
  <c r="I37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6"/>
  <c r="I15"/>
  <c r="I14"/>
  <c r="I12"/>
  <c r="I11"/>
  <c r="I10"/>
  <c r="I9"/>
  <c r="I8"/>
  <c r="I40" i="65069"/>
  <c r="I39"/>
  <c r="I38"/>
  <c r="I37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6"/>
  <c r="I15"/>
  <c r="I14"/>
  <c r="I12"/>
  <c r="I11"/>
  <c r="I10"/>
  <c r="I9"/>
  <c r="I8"/>
  <c r="I40" i="65068"/>
  <c r="I39"/>
  <c r="I38"/>
  <c r="I37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6"/>
  <c r="I15"/>
  <c r="I14"/>
  <c r="I12"/>
  <c r="I11"/>
  <c r="I10"/>
  <c r="I9"/>
  <c r="I8"/>
  <c r="I40" i="65123"/>
  <c r="I39"/>
  <c r="I38"/>
  <c r="I37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6"/>
  <c r="I15"/>
  <c r="I14"/>
  <c r="I12"/>
  <c r="I11"/>
  <c r="I10"/>
  <c r="I9"/>
  <c r="I8"/>
  <c r="I40" i="65099"/>
  <c r="I39"/>
  <c r="I38"/>
  <c r="I37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6"/>
  <c r="I15"/>
  <c r="I14"/>
  <c r="I12"/>
  <c r="I11"/>
  <c r="I10"/>
  <c r="I9"/>
  <c r="I8"/>
  <c r="I40" i="65067"/>
  <c r="I39"/>
  <c r="I38"/>
  <c r="I37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6"/>
  <c r="I15"/>
  <c r="I14"/>
  <c r="I12"/>
  <c r="I11"/>
  <c r="I10"/>
  <c r="I9"/>
  <c r="I8"/>
  <c r="I41" i="65066"/>
  <c r="I40"/>
  <c r="I39"/>
  <c r="I38"/>
  <c r="I36"/>
  <c r="I35"/>
  <c r="I34"/>
  <c r="I33"/>
  <c r="I32"/>
  <c r="I31"/>
  <c r="I30"/>
  <c r="I28"/>
  <c r="I27"/>
  <c r="I26"/>
  <c r="I25"/>
  <c r="I24"/>
  <c r="I23"/>
  <c r="I22"/>
  <c r="I21"/>
  <c r="I20"/>
  <c r="I19"/>
  <c r="I18"/>
  <c r="I16"/>
  <c r="I15"/>
  <c r="I14"/>
  <c r="I12"/>
  <c r="I11"/>
  <c r="I10"/>
  <c r="I9"/>
  <c r="I8"/>
  <c r="I54" i="65065"/>
  <c r="I53"/>
  <c r="I52"/>
  <c r="I51"/>
  <c r="I49"/>
  <c r="I48"/>
  <c r="I46"/>
  <c r="I45"/>
  <c r="I44"/>
  <c r="I43"/>
  <c r="I42"/>
  <c r="I41"/>
  <c r="I40"/>
  <c r="I39"/>
  <c r="I38"/>
  <c r="I37"/>
  <c r="I36"/>
  <c r="I34"/>
  <c r="I33"/>
  <c r="I32"/>
  <c r="I31"/>
  <c r="I30"/>
  <c r="I29"/>
  <c r="I28"/>
  <c r="I27"/>
  <c r="I26"/>
  <c r="I25"/>
  <c r="I24"/>
  <c r="I23"/>
  <c r="I21"/>
  <c r="I20"/>
  <c r="I19"/>
  <c r="I17"/>
  <c r="I16"/>
  <c r="I15"/>
  <c r="I14"/>
  <c r="I13"/>
  <c r="I11"/>
  <c r="I10"/>
  <c r="I9"/>
  <c r="I8"/>
  <c r="I40" i="65064"/>
  <c r="I39"/>
  <c r="I38"/>
  <c r="I37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6"/>
  <c r="I15"/>
  <c r="I14"/>
  <c r="I12"/>
  <c r="I11"/>
  <c r="I10"/>
  <c r="I9"/>
  <c r="I8"/>
  <c r="I40" i="16"/>
  <c r="I39"/>
  <c r="I38"/>
  <c r="I37"/>
  <c r="I35"/>
  <c r="I34"/>
  <c r="I33"/>
  <c r="I32"/>
  <c r="I31"/>
  <c r="I30"/>
  <c r="I29"/>
  <c r="I27"/>
  <c r="I26"/>
  <c r="I25"/>
  <c r="I24"/>
  <c r="I23"/>
  <c r="I22"/>
  <c r="I21"/>
  <c r="I20"/>
  <c r="I19"/>
  <c r="I18"/>
  <c r="I17"/>
  <c r="I15"/>
  <c r="I14"/>
  <c r="I13"/>
  <c r="I11"/>
  <c r="I10"/>
  <c r="I9"/>
  <c r="I8"/>
  <c r="E44" i="65125"/>
  <c r="F44"/>
  <c r="F10" i="65137"/>
  <c r="F12"/>
  <c r="F13"/>
  <c r="F14"/>
  <c r="F15"/>
  <c r="F16"/>
  <c r="D17"/>
  <c r="E17"/>
  <c r="F17"/>
  <c r="F18"/>
  <c r="F19"/>
  <c r="F20"/>
  <c r="F21"/>
  <c r="F22"/>
  <c r="F27"/>
  <c r="F28"/>
  <c r="F31"/>
  <c r="F33"/>
  <c r="F34"/>
  <c r="F35"/>
  <c r="F36"/>
  <c r="F37"/>
  <c r="F38"/>
  <c r="D40"/>
  <c r="E40"/>
  <c r="F40"/>
  <c r="F41"/>
  <c r="F42"/>
  <c r="F43"/>
  <c r="F44"/>
  <c r="F45"/>
  <c r="F46"/>
  <c r="D47"/>
  <c r="E47"/>
  <c r="F47"/>
  <c r="F48"/>
  <c r="F49"/>
  <c r="F50"/>
  <c r="F51"/>
  <c r="F52"/>
  <c r="F53"/>
  <c r="D54"/>
  <c r="E54"/>
  <c r="F54"/>
  <c r="F55"/>
  <c r="F56"/>
  <c r="F57"/>
  <c r="F58"/>
  <c r="F59"/>
  <c r="F60"/>
  <c r="F62"/>
  <c r="F63"/>
  <c r="F66"/>
  <c r="F67"/>
  <c r="F71"/>
  <c r="F73"/>
  <c r="F74"/>
  <c r="F75"/>
  <c r="F78"/>
  <c r="F79"/>
  <c r="F80"/>
  <c r="F81"/>
  <c r="F82"/>
  <c r="F83"/>
  <c r="F84"/>
  <c r="F85"/>
  <c r="C5" i="65124"/>
  <c r="D5"/>
  <c r="G5"/>
  <c r="C6"/>
  <c r="D6"/>
  <c r="C7"/>
  <c r="L7" s="1"/>
  <c r="D7"/>
  <c r="D42" s="1"/>
  <c r="C8"/>
  <c r="D8"/>
  <c r="C9"/>
  <c r="D9"/>
  <c r="C10"/>
  <c r="L10" s="1"/>
  <c r="D10"/>
  <c r="C11"/>
  <c r="L11" s="1"/>
  <c r="D11"/>
  <c r="C12"/>
  <c r="D12"/>
  <c r="C13"/>
  <c r="D13"/>
  <c r="L13" s="1"/>
  <c r="C14"/>
  <c r="L14" s="1"/>
  <c r="D14"/>
  <c r="C15"/>
  <c r="D15"/>
  <c r="C16"/>
  <c r="D16"/>
  <c r="C17"/>
  <c r="D17"/>
  <c r="C18"/>
  <c r="L18" s="1"/>
  <c r="D18"/>
  <c r="C19"/>
  <c r="L19" s="1"/>
  <c r="D19"/>
  <c r="C20"/>
  <c r="D20"/>
  <c r="C21"/>
  <c r="D21"/>
  <c r="L21" s="1"/>
  <c r="C22"/>
  <c r="L22" s="1"/>
  <c r="D22"/>
  <c r="C23"/>
  <c r="L23" s="1"/>
  <c r="D23"/>
  <c r="C24"/>
  <c r="L24" s="1"/>
  <c r="D24"/>
  <c r="C25"/>
  <c r="D25"/>
  <c r="L25" s="1"/>
  <c r="C26"/>
  <c r="L26" s="1"/>
  <c r="D26"/>
  <c r="C27"/>
  <c r="D27"/>
  <c r="C28"/>
  <c r="D28"/>
  <c r="C29"/>
  <c r="D29"/>
  <c r="L29" s="1"/>
  <c r="C30"/>
  <c r="L30" s="1"/>
  <c r="D30"/>
  <c r="C31"/>
  <c r="L31" s="1"/>
  <c r="D31"/>
  <c r="C32"/>
  <c r="L32" s="1"/>
  <c r="D32"/>
  <c r="C33"/>
  <c r="D33"/>
  <c r="L33" s="1"/>
  <c r="C34"/>
  <c r="D34"/>
  <c r="C35"/>
  <c r="D35"/>
  <c r="C36"/>
  <c r="D36"/>
  <c r="C37"/>
  <c r="D37"/>
  <c r="L37" s="1"/>
  <c r="C38"/>
  <c r="L38" s="1"/>
  <c r="D38"/>
  <c r="C39"/>
  <c r="D39"/>
  <c r="C40"/>
  <c r="L40" s="1"/>
  <c r="D40"/>
  <c r="C41"/>
  <c r="D41"/>
  <c r="L41" s="1"/>
  <c r="H17" i="65105"/>
  <c r="I17"/>
  <c r="H36"/>
  <c r="I36"/>
  <c r="H17" i="65098"/>
  <c r="F40" i="65124"/>
  <c r="H36" i="65098"/>
  <c r="I36"/>
  <c r="G42"/>
  <c r="G43"/>
  <c r="H17" i="65097"/>
  <c r="I17"/>
  <c r="H36"/>
  <c r="I36"/>
  <c r="H17" i="65096"/>
  <c r="I17"/>
  <c r="H36"/>
  <c r="I36"/>
  <c r="H17" i="65095"/>
  <c r="H29"/>
  <c r="H34"/>
  <c r="I34"/>
  <c r="H16" i="65094"/>
  <c r="I16"/>
  <c r="I35"/>
  <c r="H35"/>
  <c r="D38" i="65125"/>
  <c r="C38" s="1"/>
  <c r="H17" i="65093"/>
  <c r="I17"/>
  <c r="H29"/>
  <c r="H33"/>
  <c r="I33"/>
  <c r="H17" i="65089"/>
  <c r="I17"/>
  <c r="H36"/>
  <c r="I36"/>
  <c r="H17" i="65088"/>
  <c r="H36"/>
  <c r="D35" i="65125"/>
  <c r="C35" s="1"/>
  <c r="H17" i="65087"/>
  <c r="I17"/>
  <c r="H36"/>
  <c r="D34" i="65125"/>
  <c r="C34" s="1"/>
  <c r="H17" i="65086"/>
  <c r="I17"/>
  <c r="H36"/>
  <c r="D33" i="65125"/>
  <c r="C33"/>
  <c r="H17" i="65085"/>
  <c r="I17"/>
  <c r="H36"/>
  <c r="I36"/>
  <c r="H17" i="65084"/>
  <c r="F29" i="65124"/>
  <c r="H36" i="65084"/>
  <c r="D31" i="65125"/>
  <c r="C31" s="1"/>
  <c r="H17" i="65083"/>
  <c r="F28" i="65124"/>
  <c r="H36" i="65083"/>
  <c r="I36"/>
  <c r="H17" i="65122"/>
  <c r="I17"/>
  <c r="H36"/>
  <c r="I36"/>
  <c r="G42"/>
  <c r="H17" i="65081"/>
  <c r="F26" i="65124"/>
  <c r="H36" i="65081"/>
  <c r="I36"/>
  <c r="H17" i="65082"/>
  <c r="I17"/>
  <c r="H36"/>
  <c r="I36"/>
  <c r="H17" i="65080"/>
  <c r="I17"/>
  <c r="H31"/>
  <c r="G24" i="65124"/>
  <c r="I40" i="65080"/>
  <c r="H40"/>
  <c r="H24" i="65124"/>
  <c r="H43" i="65080"/>
  <c r="I43"/>
  <c r="H46"/>
  <c r="I46"/>
  <c r="H50"/>
  <c r="I50"/>
  <c r="H17" i="65079"/>
  <c r="I17"/>
  <c r="H29"/>
  <c r="G23" i="65124"/>
  <c r="H35" i="65079"/>
  <c r="I35"/>
  <c r="H17" i="65078"/>
  <c r="H30"/>
  <c r="I30"/>
  <c r="H37"/>
  <c r="H17" i="65077"/>
  <c r="F21" i="65124"/>
  <c r="H29" i="65077"/>
  <c r="I29"/>
  <c r="H34"/>
  <c r="I34"/>
  <c r="H7" i="65076"/>
  <c r="I7"/>
  <c r="H20"/>
  <c r="I20"/>
  <c r="H33"/>
  <c r="G20" i="65124"/>
  <c r="H38" i="65076"/>
  <c r="I38"/>
  <c r="H43"/>
  <c r="D22" i="65125"/>
  <c r="C22" s="1"/>
  <c r="H47" i="65076"/>
  <c r="K20" i="65124"/>
  <c r="H17" i="65075"/>
  <c r="H29"/>
  <c r="G19" i="65124"/>
  <c r="H32" i="65075"/>
  <c r="H17" i="65115"/>
  <c r="I17"/>
  <c r="I36"/>
  <c r="H36"/>
  <c r="D20" i="65125"/>
  <c r="C20" s="1"/>
  <c r="H17" i="65100"/>
  <c r="I17"/>
  <c r="H36"/>
  <c r="H17" i="65074"/>
  <c r="F16" i="65124"/>
  <c r="H36" i="65074"/>
  <c r="I36"/>
  <c r="H17" i="65071"/>
  <c r="F15" i="65124"/>
  <c r="H36" i="65071"/>
  <c r="I7" i="65070"/>
  <c r="H17"/>
  <c r="F14" i="65124"/>
  <c r="H36" i="65070"/>
  <c r="I36"/>
  <c r="G42"/>
  <c r="D29" i="65137"/>
  <c r="H17" i="65069"/>
  <c r="F13" i="65124"/>
  <c r="H36" i="65069"/>
  <c r="I36"/>
  <c r="I7" i="65068"/>
  <c r="H17"/>
  <c r="I17"/>
  <c r="H36"/>
  <c r="I36"/>
  <c r="G42"/>
  <c r="D11" i="65137"/>
  <c r="F11" s="1"/>
  <c r="H17" i="65123"/>
  <c r="I17"/>
  <c r="H36"/>
  <c r="I36"/>
  <c r="H17" i="65099"/>
  <c r="I17"/>
  <c r="H36"/>
  <c r="D12" i="65125"/>
  <c r="C12" s="1"/>
  <c r="G42" i="65099"/>
  <c r="H17" i="65067"/>
  <c r="I17"/>
  <c r="I36"/>
  <c r="H36"/>
  <c r="D11" i="65125"/>
  <c r="C11" s="1"/>
  <c r="H17" i="65066"/>
  <c r="I17"/>
  <c r="H29"/>
  <c r="G8" i="65124"/>
  <c r="H37" i="65066"/>
  <c r="I37"/>
  <c r="H7" i="65065"/>
  <c r="I7"/>
  <c r="H22"/>
  <c r="H35"/>
  <c r="G7" i="65124"/>
  <c r="H47" i="65065"/>
  <c r="I47"/>
  <c r="H50"/>
  <c r="D9" i="65125"/>
  <c r="C9" s="1"/>
  <c r="G56" i="65065"/>
  <c r="H17" i="65064"/>
  <c r="I17"/>
  <c r="I36"/>
  <c r="H36"/>
  <c r="D8" i="65125"/>
  <c r="C8" s="1"/>
  <c r="G42" i="65064"/>
  <c r="I12" i="16"/>
  <c r="H16"/>
  <c r="I16"/>
  <c r="I28"/>
  <c r="H36"/>
  <c r="D7" i="65125"/>
  <c r="C7" s="1"/>
  <c r="G7" i="300"/>
  <c r="E9"/>
  <c r="F9"/>
  <c r="F8" s="1"/>
  <c r="E10"/>
  <c r="G10" s="1"/>
  <c r="F10"/>
  <c r="E11"/>
  <c r="F11"/>
  <c r="G11" s="1"/>
  <c r="E12"/>
  <c r="G12" s="1"/>
  <c r="F12"/>
  <c r="G13"/>
  <c r="E15"/>
  <c r="E17"/>
  <c r="G17" s="1"/>
  <c r="G18"/>
  <c r="E20"/>
  <c r="E19" s="1"/>
  <c r="F20"/>
  <c r="F19"/>
  <c r="C34" i="304"/>
  <c r="G21" i="300"/>
  <c r="E23"/>
  <c r="G23"/>
  <c r="F23"/>
  <c r="F22" s="1"/>
  <c r="C35" i="304" s="1"/>
  <c r="E24" i="300"/>
  <c r="G24" s="1"/>
  <c r="F24"/>
  <c r="E25"/>
  <c r="G25" s="1"/>
  <c r="F25"/>
  <c r="E26"/>
  <c r="G26" s="1"/>
  <c r="F26"/>
  <c r="E27"/>
  <c r="F27"/>
  <c r="E28"/>
  <c r="G28"/>
  <c r="F28"/>
  <c r="E29"/>
  <c r="G29"/>
  <c r="F29"/>
  <c r="E30"/>
  <c r="G30" s="1"/>
  <c r="F30"/>
  <c r="E31"/>
  <c r="G31" s="1"/>
  <c r="F31"/>
  <c r="E32"/>
  <c r="G32" s="1"/>
  <c r="F32"/>
  <c r="E33"/>
  <c r="F33"/>
  <c r="G33" s="1"/>
  <c r="E34"/>
  <c r="F34"/>
  <c r="G34"/>
  <c r="E35"/>
  <c r="G35" s="1"/>
  <c r="F35"/>
  <c r="E36"/>
  <c r="F36"/>
  <c r="G36"/>
  <c r="E37"/>
  <c r="F37"/>
  <c r="G38"/>
  <c r="E40"/>
  <c r="G40" s="1"/>
  <c r="F40"/>
  <c r="E41"/>
  <c r="F41"/>
  <c r="E42"/>
  <c r="G42" s="1"/>
  <c r="F42"/>
  <c r="E43"/>
  <c r="G43" s="1"/>
  <c r="F43"/>
  <c r="E44"/>
  <c r="G44" s="1"/>
  <c r="F44"/>
  <c r="E45"/>
  <c r="G45"/>
  <c r="F45"/>
  <c r="E46"/>
  <c r="G46"/>
  <c r="F46"/>
  <c r="E47"/>
  <c r="F47"/>
  <c r="E48"/>
  <c r="F48"/>
  <c r="G48" s="1"/>
  <c r="E49"/>
  <c r="F49"/>
  <c r="G49" s="1"/>
  <c r="E50"/>
  <c r="F50"/>
  <c r="E51"/>
  <c r="F51"/>
  <c r="G51" s="1"/>
  <c r="E52"/>
  <c r="G52" s="1"/>
  <c r="F52"/>
  <c r="E53"/>
  <c r="G53" s="1"/>
  <c r="F53"/>
  <c r="E54"/>
  <c r="G54" s="1"/>
  <c r="F54"/>
  <c r="E55"/>
  <c r="F55"/>
  <c r="E56"/>
  <c r="F56"/>
  <c r="G56" s="1"/>
  <c r="E57"/>
  <c r="G57" s="1"/>
  <c r="F57"/>
  <c r="E58"/>
  <c r="F58"/>
  <c r="G58" s="1"/>
  <c r="E59"/>
  <c r="F59"/>
  <c r="G59" s="1"/>
  <c r="E60"/>
  <c r="F60"/>
  <c r="E61"/>
  <c r="F61"/>
  <c r="E62"/>
  <c r="G62" s="1"/>
  <c r="F62"/>
  <c r="E63"/>
  <c r="F63"/>
  <c r="G63" s="1"/>
  <c r="E64"/>
  <c r="F64"/>
  <c r="E65"/>
  <c r="F65"/>
  <c r="G65" s="1"/>
  <c r="E66"/>
  <c r="F66"/>
  <c r="G66"/>
  <c r="E67"/>
  <c r="G67" s="1"/>
  <c r="F67"/>
  <c r="E68"/>
  <c r="F68"/>
  <c r="G68" s="1"/>
  <c r="E69"/>
  <c r="G69" s="1"/>
  <c r="F69"/>
  <c r="E70"/>
  <c r="G70" s="1"/>
  <c r="F70"/>
  <c r="E71"/>
  <c r="F71"/>
  <c r="G71" s="1"/>
  <c r="G72"/>
  <c r="G73"/>
  <c r="E75"/>
  <c r="E74" s="1"/>
  <c r="F75"/>
  <c r="F74" s="1"/>
  <c r="C37" i="304" s="1"/>
  <c r="G76" i="300"/>
  <c r="G77"/>
  <c r="E79"/>
  <c r="F79"/>
  <c r="G79" s="1"/>
  <c r="E80"/>
  <c r="E78" s="1"/>
  <c r="F80"/>
  <c r="E81"/>
  <c r="G81" s="1"/>
  <c r="F81"/>
  <c r="E82"/>
  <c r="F82"/>
  <c r="G82" s="1"/>
  <c r="G83"/>
  <c r="G84"/>
  <c r="E86"/>
  <c r="G86" s="1"/>
  <c r="F86"/>
  <c r="E87"/>
  <c r="F87"/>
  <c r="G87"/>
  <c r="E88"/>
  <c r="F88"/>
  <c r="G88"/>
  <c r="E89"/>
  <c r="G89" s="1"/>
  <c r="F89"/>
  <c r="G90"/>
  <c r="G91"/>
  <c r="E93"/>
  <c r="E92" s="1"/>
  <c r="F93"/>
  <c r="F92" s="1"/>
  <c r="C47" i="304" s="1"/>
  <c r="C46" s="1"/>
  <c r="C48" s="1"/>
  <c r="E94" i="300"/>
  <c r="F94"/>
  <c r="G95"/>
  <c r="G96"/>
  <c r="C40" i="304"/>
  <c r="B45"/>
  <c r="C45"/>
  <c r="D45"/>
  <c r="I20" i="65124"/>
  <c r="I42" s="1"/>
  <c r="I24"/>
  <c r="K24"/>
  <c r="K42"/>
  <c r="I47" i="65076"/>
  <c r="F41" i="65124"/>
  <c r="F39"/>
  <c r="F34"/>
  <c r="F33"/>
  <c r="F32"/>
  <c r="F31"/>
  <c r="F30"/>
  <c r="I17" i="65084"/>
  <c r="I17" i="65083"/>
  <c r="F27" i="65124"/>
  <c r="I17" i="65081"/>
  <c r="F25" i="65124"/>
  <c r="F24"/>
  <c r="F23"/>
  <c r="F22"/>
  <c r="I17" i="65077"/>
  <c r="F18" i="65124"/>
  <c r="F17"/>
  <c r="I17" i="65074"/>
  <c r="I17" i="65071"/>
  <c r="I17" i="65070"/>
  <c r="I17" i="65069"/>
  <c r="F12" i="65124"/>
  <c r="F11"/>
  <c r="F9"/>
  <c r="F8"/>
  <c r="F7"/>
  <c r="F6"/>
  <c r="F42" s="1"/>
  <c r="F5"/>
  <c r="J41"/>
  <c r="D43" i="65125"/>
  <c r="C43" s="1"/>
  <c r="J40" i="65124"/>
  <c r="D42" i="65125"/>
  <c r="C42" s="1"/>
  <c r="I17" i="65098"/>
  <c r="J39" i="65124"/>
  <c r="D41" i="65125"/>
  <c r="C41"/>
  <c r="J38" i="65124"/>
  <c r="D40" i="65125"/>
  <c r="C40"/>
  <c r="J37" i="65124"/>
  <c r="D39" i="65125"/>
  <c r="C39" s="1"/>
  <c r="G37" i="65124"/>
  <c r="F37"/>
  <c r="J36"/>
  <c r="F36"/>
  <c r="J35"/>
  <c r="D37" i="65125"/>
  <c r="C37" s="1"/>
  <c r="G35" i="65124"/>
  <c r="F35"/>
  <c r="J34"/>
  <c r="D36" i="65125"/>
  <c r="C36" s="1"/>
  <c r="J33" i="65124"/>
  <c r="I36" i="65087"/>
  <c r="J32" i="65124"/>
  <c r="J31"/>
  <c r="J30"/>
  <c r="D32" i="65125"/>
  <c r="C32" s="1"/>
  <c r="I36" i="65084"/>
  <c r="J29" i="65124"/>
  <c r="J28"/>
  <c r="D30" i="65125"/>
  <c r="C30" s="1"/>
  <c r="J27" i="65124"/>
  <c r="D29" i="65125"/>
  <c r="C29" s="1"/>
  <c r="J26" i="65124"/>
  <c r="D28" i="65125"/>
  <c r="C28" s="1"/>
  <c r="J25" i="65124"/>
  <c r="D27" i="65125"/>
  <c r="C27"/>
  <c r="J23" i="65124"/>
  <c r="D25" i="65125"/>
  <c r="C25" s="1"/>
  <c r="I29" i="65079"/>
  <c r="J24" i="65124"/>
  <c r="D26" i="65125"/>
  <c r="C26" s="1"/>
  <c r="J22" i="65124"/>
  <c r="D24" i="65125"/>
  <c r="D44" s="1"/>
  <c r="G22" i="65124"/>
  <c r="J21"/>
  <c r="D23" i="65125"/>
  <c r="C23" s="1"/>
  <c r="G21" i="65124"/>
  <c r="I43" i="65076"/>
  <c r="J20" i="65124"/>
  <c r="F20"/>
  <c r="J19"/>
  <c r="D21" i="65125"/>
  <c r="C21" s="1"/>
  <c r="I29" i="65075"/>
  <c r="F19" i="65124"/>
  <c r="J18"/>
  <c r="J17"/>
  <c r="D19" i="65125"/>
  <c r="C19" s="1"/>
  <c r="J16" i="65124"/>
  <c r="D18" i="65125"/>
  <c r="C18"/>
  <c r="J15" i="65124"/>
  <c r="D17" i="65125"/>
  <c r="C17" s="1"/>
  <c r="J14" i="65124"/>
  <c r="D16" i="65125"/>
  <c r="C16" s="1"/>
  <c r="J13" i="65124"/>
  <c r="D15" i="65125"/>
  <c r="C15"/>
  <c r="J12" i="65124"/>
  <c r="D14" i="65125"/>
  <c r="C14"/>
  <c r="J11" i="65124"/>
  <c r="D13" i="65125"/>
  <c r="C13" s="1"/>
  <c r="F10" i="65124"/>
  <c r="J9"/>
  <c r="L9" s="1"/>
  <c r="J8"/>
  <c r="D10" i="65125"/>
  <c r="C10"/>
  <c r="I50" i="65065"/>
  <c r="J7" i="65124"/>
  <c r="I22" i="65065"/>
  <c r="J6" i="65124"/>
  <c r="I36" i="16"/>
  <c r="J5" i="65124"/>
  <c r="J42" s="1"/>
  <c r="E16"/>
  <c r="L16" s="1"/>
  <c r="I36" i="65099"/>
  <c r="J10" i="65124"/>
  <c r="I29" i="65066"/>
  <c r="I35" i="65065"/>
  <c r="E5" i="65124"/>
  <c r="L5" s="1"/>
  <c r="H42" i="16"/>
  <c r="I29" i="65093"/>
  <c r="G43" i="65068"/>
  <c r="G44"/>
  <c r="I44"/>
  <c r="C42" i="65124"/>
  <c r="G50" i="300"/>
  <c r="G55"/>
  <c r="D40" i="304"/>
  <c r="F103" i="65139"/>
  <c r="F79"/>
  <c r="F60"/>
  <c r="F57"/>
  <c r="F46"/>
  <c r="F89"/>
  <c r="F111"/>
  <c r="F75"/>
  <c r="F65" i="65137"/>
  <c r="F38" i="65124"/>
  <c r="I17" i="65088"/>
  <c r="I32" i="65075"/>
  <c r="I17"/>
  <c r="I36" i="65100"/>
  <c r="I7"/>
  <c r="I9" i="65088"/>
  <c r="I38"/>
  <c r="G64" i="300"/>
  <c r="G47"/>
  <c r="I37" i="65078"/>
  <c r="I17"/>
  <c r="G38" i="65075"/>
  <c r="G39"/>
  <c r="G40"/>
  <c r="I40"/>
  <c r="I7"/>
  <c r="E16" i="300"/>
  <c r="G16" s="1"/>
  <c r="I9" i="65075"/>
  <c r="G42" i="65100"/>
  <c r="G43"/>
  <c r="G61" i="300"/>
  <c r="G60"/>
  <c r="G41"/>
  <c r="G9"/>
  <c r="F78"/>
  <c r="C38" i="304" s="1"/>
  <c r="G94" i="300"/>
  <c r="F39"/>
  <c r="C36" i="304" s="1"/>
  <c r="F85" i="300"/>
  <c r="C42" i="304" s="1"/>
  <c r="C41" s="1"/>
  <c r="C43" s="1"/>
  <c r="G27" i="300"/>
  <c r="I13" i="65105"/>
  <c r="E41" i="65124"/>
  <c r="I13" i="65097"/>
  <c r="H42"/>
  <c r="E39" i="65124"/>
  <c r="L39"/>
  <c r="I13" i="65095"/>
  <c r="E37" i="65124"/>
  <c r="I12" i="65094"/>
  <c r="E36" i="65124"/>
  <c r="L36" s="1"/>
  <c r="E35"/>
  <c r="L35"/>
  <c r="I13" i="65093"/>
  <c r="I13" i="65089"/>
  <c r="H42"/>
  <c r="E34" i="65124"/>
  <c r="L34"/>
  <c r="I13" i="65088"/>
  <c r="H42"/>
  <c r="E33" i="65124"/>
  <c r="I13" i="65087"/>
  <c r="E32" i="65124"/>
  <c r="I13" i="65085"/>
  <c r="E30" i="65124"/>
  <c r="I13" i="65084"/>
  <c r="E29" i="65124"/>
  <c r="H42" i="65084"/>
  <c r="I13" i="65083"/>
  <c r="E28" i="65124"/>
  <c r="L28" s="1"/>
  <c r="E27"/>
  <c r="L27"/>
  <c r="I13" i="65122"/>
  <c r="E26" i="65124"/>
  <c r="I13" i="65081"/>
  <c r="H42" i="65082"/>
  <c r="E25" i="65124"/>
  <c r="I13" i="65082"/>
  <c r="E24" i="65124"/>
  <c r="I13" i="65080"/>
  <c r="E23" i="65124"/>
  <c r="I13" i="65079"/>
  <c r="I13" i="65078"/>
  <c r="E22" i="65124"/>
  <c r="I13" i="65077"/>
  <c r="E21" i="65124"/>
  <c r="H40" i="65077"/>
  <c r="I16" i="65076"/>
  <c r="E20" i="65124"/>
  <c r="L20" s="1"/>
  <c r="H38" i="65075"/>
  <c r="I13"/>
  <c r="E19" i="65124"/>
  <c r="I13" i="65115"/>
  <c r="E18" i="65124"/>
  <c r="H42" i="65074"/>
  <c r="F15" i="300"/>
  <c r="F14" s="1"/>
  <c r="C33" i="304" s="1"/>
  <c r="E14" i="65124"/>
  <c r="I13" i="65070"/>
  <c r="H42"/>
  <c r="I13" i="65069"/>
  <c r="E13" i="65124"/>
  <c r="I13" i="65123"/>
  <c r="E11" i="65124"/>
  <c r="H42" i="65123"/>
  <c r="I13" i="65099"/>
  <c r="E10" i="65124"/>
  <c r="H42" i="65099"/>
  <c r="I42"/>
  <c r="I7"/>
  <c r="E9" i="65124"/>
  <c r="I13" i="65067"/>
  <c r="E7" i="65124"/>
  <c r="I18" i="65065"/>
  <c r="I7" i="65064"/>
  <c r="H43" i="65097"/>
  <c r="H41" i="65077"/>
  <c r="H39" i="65075"/>
  <c r="H43" i="65074"/>
  <c r="E29" i="65137"/>
  <c r="F29" s="1"/>
  <c r="I42" i="65070"/>
  <c r="H44" i="65105"/>
  <c r="H44" i="65097"/>
  <c r="H42" i="65077"/>
  <c r="H40" i="65075"/>
  <c r="H56" i="65065"/>
  <c r="I56"/>
  <c r="H7" i="65124"/>
  <c r="H42" s="1"/>
  <c r="I13" i="65098"/>
  <c r="H42"/>
  <c r="E40" i="65124"/>
  <c r="I13" i="65096"/>
  <c r="H42"/>
  <c r="E38" i="65124"/>
  <c r="E15"/>
  <c r="L15"/>
  <c r="I13" i="65071"/>
  <c r="H42"/>
  <c r="I42" i="65098"/>
  <c r="H43"/>
  <c r="H43" i="65096"/>
  <c r="I42"/>
  <c r="H43" i="65071"/>
  <c r="H44" i="65098"/>
  <c r="H44" i="65096"/>
  <c r="F136" i="65139"/>
  <c r="E6"/>
  <c r="C20" i="304"/>
  <c r="F15" i="65139"/>
  <c r="E26"/>
  <c r="C23" i="304"/>
  <c r="C19" s="1"/>
  <c r="C18" s="1"/>
  <c r="F37" i="65139"/>
  <c r="E56"/>
  <c r="F118"/>
  <c r="D56"/>
  <c r="F7"/>
  <c r="F27"/>
  <c r="F84"/>
  <c r="F94"/>
  <c r="E110"/>
  <c r="E88"/>
  <c r="D110"/>
  <c r="F110"/>
  <c r="I38" i="65075"/>
  <c r="G37" i="300"/>
  <c r="C26" i="304"/>
  <c r="G42" i="65123"/>
  <c r="I7"/>
  <c r="G42" i="65071"/>
  <c r="G42" i="65074"/>
  <c r="I7"/>
  <c r="I7" i="65095"/>
  <c r="G40"/>
  <c r="I40"/>
  <c r="I7" i="65097"/>
  <c r="G42"/>
  <c r="I42"/>
  <c r="I13" i="65064"/>
  <c r="H42"/>
  <c r="E6" i="65124"/>
  <c r="I13" i="65066"/>
  <c r="E8" i="65124"/>
  <c r="L8" s="1"/>
  <c r="H43" i="65066"/>
  <c r="H43" i="65123"/>
  <c r="H44"/>
  <c r="H42" i="65068"/>
  <c r="I13"/>
  <c r="E12" i="65124"/>
  <c r="L12" s="1"/>
  <c r="H43" i="65078"/>
  <c r="H41" i="65079"/>
  <c r="H55" i="65080"/>
  <c r="H42" i="65087"/>
  <c r="E86" i="65137"/>
  <c r="E77" s="1"/>
  <c r="H40" i="65093"/>
  <c r="H41"/>
  <c r="I7" i="65094"/>
  <c r="H41"/>
  <c r="H41" i="65095"/>
  <c r="H42"/>
  <c r="E25" i="65137"/>
  <c r="C25" i="304"/>
  <c r="E5" i="65139"/>
  <c r="F56"/>
  <c r="E73"/>
  <c r="G42" i="65067"/>
  <c r="I42"/>
  <c r="I7"/>
  <c r="I7" i="65069"/>
  <c r="G42"/>
  <c r="D24" i="65137"/>
  <c r="D23" s="1"/>
  <c r="I7" i="65115"/>
  <c r="G42"/>
  <c r="I7" i="65086"/>
  <c r="E24" i="65137"/>
  <c r="E23" s="1"/>
  <c r="H43" i="65069"/>
  <c r="H44"/>
  <c r="E17" i="65124"/>
  <c r="L17"/>
  <c r="I13" i="65100"/>
  <c r="H42"/>
  <c r="H42" i="65081"/>
  <c r="I7" i="65122"/>
  <c r="H42"/>
  <c r="E31" i="65124"/>
  <c r="H42" i="65086"/>
  <c r="I13"/>
  <c r="E69" i="65137"/>
  <c r="E68" s="1"/>
  <c r="F6" i="65139"/>
  <c r="I42" i="65122"/>
  <c r="H43"/>
  <c r="H44" i="65089" s="1"/>
  <c r="E70" i="65137"/>
  <c r="H43" i="65100"/>
  <c r="E26" i="65137"/>
  <c r="G43" i="65115"/>
  <c r="I42"/>
  <c r="G43" i="65069"/>
  <c r="I43"/>
  <c r="I42"/>
  <c r="H42" i="65094"/>
  <c r="I41"/>
  <c r="H43" i="65089"/>
  <c r="E76" i="65137"/>
  <c r="E39"/>
  <c r="H44" i="65078"/>
  <c r="H45"/>
  <c r="H43" i="65068"/>
  <c r="E11" i="65137"/>
  <c r="I42" i="65068"/>
  <c r="E42" i="65124"/>
  <c r="G43" i="65074"/>
  <c r="I43"/>
  <c r="I42"/>
  <c r="I42" i="65123"/>
  <c r="E68" i="65139"/>
  <c r="E55"/>
  <c r="C27" i="304"/>
  <c r="H42" i="65079"/>
  <c r="E32" i="65137"/>
  <c r="E30" s="1"/>
  <c r="I42" i="65064"/>
  <c r="H43"/>
  <c r="H44" s="1"/>
  <c r="I44" s="1"/>
  <c r="E9" i="65137"/>
  <c r="E8"/>
  <c r="E7" s="1"/>
  <c r="F98" i="300"/>
  <c r="C109" s="1"/>
  <c r="G43" i="65097"/>
  <c r="D25" i="65137"/>
  <c r="F25" s="1"/>
  <c r="G41" i="65095"/>
  <c r="I41"/>
  <c r="G43" i="65071"/>
  <c r="I43"/>
  <c r="I42"/>
  <c r="H43" i="65079"/>
  <c r="G44" i="65069"/>
  <c r="I44"/>
  <c r="I43" i="65115"/>
  <c r="H44" i="65100"/>
  <c r="H44" i="65115"/>
  <c r="I44" s="1"/>
  <c r="G42" i="65095"/>
  <c r="I42"/>
  <c r="G44" i="65097"/>
  <c r="I44"/>
  <c r="I43"/>
  <c r="H44" i="65068"/>
  <c r="H43" i="65094"/>
  <c r="E142" i="65139"/>
  <c r="C2" i="65061"/>
  <c r="A3" s="1"/>
  <c r="G42" i="65124"/>
  <c r="E203" i="65139"/>
  <c r="E213"/>
  <c r="C28" i="304"/>
  <c r="D146" i="65139"/>
  <c r="D154"/>
  <c r="D165"/>
  <c r="F165"/>
  <c r="D176"/>
  <c r="D183"/>
  <c r="D207"/>
  <c r="F93"/>
  <c r="D88"/>
  <c r="F88"/>
  <c r="D73"/>
  <c r="F74"/>
  <c r="D20" i="304"/>
  <c r="B22"/>
  <c r="D22" s="1"/>
  <c r="F18" i="65139"/>
  <c r="B24" i="304"/>
  <c r="D24"/>
  <c r="F36" i="65139"/>
  <c r="B26" i="304"/>
  <c r="D26"/>
  <c r="F49" i="65139"/>
  <c r="B21" i="304"/>
  <c r="D21" s="1"/>
  <c r="D5" i="65139"/>
  <c r="F14"/>
  <c r="B23" i="304"/>
  <c r="D23" s="1"/>
  <c r="F26" i="65139"/>
  <c r="B25" i="304"/>
  <c r="D25" s="1"/>
  <c r="F45" i="65139"/>
  <c r="F19"/>
  <c r="F50"/>
  <c r="G42" i="65105"/>
  <c r="I7"/>
  <c r="I43" i="65098"/>
  <c r="G44"/>
  <c r="I44"/>
  <c r="G44" i="65096"/>
  <c r="I44"/>
  <c r="I43"/>
  <c r="G20" i="300"/>
  <c r="G43" i="65094"/>
  <c r="I43"/>
  <c r="I42"/>
  <c r="G39" i="65093"/>
  <c r="I7"/>
  <c r="G42" i="65089"/>
  <c r="I42"/>
  <c r="I7"/>
  <c r="G42" i="65088"/>
  <c r="I42"/>
  <c r="I7"/>
  <c r="G42" i="65087"/>
  <c r="I42"/>
  <c r="I7"/>
  <c r="E22" i="300"/>
  <c r="G22" s="1"/>
  <c r="I7" i="65085"/>
  <c r="G42"/>
  <c r="I42"/>
  <c r="I7" i="65084"/>
  <c r="G42"/>
  <c r="I42"/>
  <c r="G42" i="65083"/>
  <c r="I7"/>
  <c r="I7" i="65081"/>
  <c r="G42"/>
  <c r="I42"/>
  <c r="G42" i="65082"/>
  <c r="I7"/>
  <c r="G55" i="65080"/>
  <c r="I7"/>
  <c r="G41" i="65079"/>
  <c r="I7"/>
  <c r="G43" i="65078"/>
  <c r="I7"/>
  <c r="I7" i="65077"/>
  <c r="G40"/>
  <c r="I10" i="65076"/>
  <c r="G51"/>
  <c r="I39" i="65075"/>
  <c r="I43" i="65100"/>
  <c r="G44"/>
  <c r="I44" s="1"/>
  <c r="D26" i="65137"/>
  <c r="F26" s="1"/>
  <c r="I42" i="65100"/>
  <c r="G44" i="65115"/>
  <c r="F24" i="65137"/>
  <c r="E14" i="300"/>
  <c r="G14" s="1"/>
  <c r="I43" i="65068"/>
  <c r="G43" i="65066"/>
  <c r="I7"/>
  <c r="G42" i="16"/>
  <c r="I7"/>
  <c r="D182" i="65139"/>
  <c r="F182"/>
  <c r="F183"/>
  <c r="D145"/>
  <c r="F146"/>
  <c r="D206"/>
  <c r="F207"/>
  <c r="D175"/>
  <c r="F176"/>
  <c r="D153"/>
  <c r="F154"/>
  <c r="D68"/>
  <c r="F73"/>
  <c r="F5"/>
  <c r="G43" i="65105"/>
  <c r="I42"/>
  <c r="I39" i="65093"/>
  <c r="G40"/>
  <c r="D69" i="65137"/>
  <c r="F69" s="1"/>
  <c r="G43" i="65089"/>
  <c r="I43"/>
  <c r="I42" i="65083"/>
  <c r="I42" i="65082"/>
  <c r="D70" i="65137"/>
  <c r="F70"/>
  <c r="G43" i="65122"/>
  <c r="G44" i="65089" s="1"/>
  <c r="I55" i="65080"/>
  <c r="D76" i="65137"/>
  <c r="F76" s="1"/>
  <c r="D32"/>
  <c r="F32"/>
  <c r="G42" i="65079"/>
  <c r="I41"/>
  <c r="G44" i="65078"/>
  <c r="I43"/>
  <c r="D39" i="65137"/>
  <c r="F39" s="1"/>
  <c r="D86"/>
  <c r="D77" s="1"/>
  <c r="F77" s="1"/>
  <c r="G41" i="65077"/>
  <c r="I40"/>
  <c r="I51" i="65076"/>
  <c r="G52"/>
  <c r="G43" i="65123"/>
  <c r="G44" s="1"/>
  <c r="I44" s="1"/>
  <c r="I43" i="65066"/>
  <c r="I42" i="16"/>
  <c r="G43" i="65064"/>
  <c r="D9" i="65137"/>
  <c r="F9" s="1"/>
  <c r="E98" i="300"/>
  <c r="G98" s="1"/>
  <c r="F153" i="65139"/>
  <c r="D152"/>
  <c r="F152"/>
  <c r="F175"/>
  <c r="D174"/>
  <c r="F174"/>
  <c r="F206"/>
  <c r="D205"/>
  <c r="F205"/>
  <c r="F145"/>
  <c r="D144"/>
  <c r="D55"/>
  <c r="F68"/>
  <c r="G44" i="65105"/>
  <c r="I44"/>
  <c r="I43"/>
  <c r="G41" i="65093"/>
  <c r="I41"/>
  <c r="I40"/>
  <c r="D68" i="65137"/>
  <c r="F68" s="1"/>
  <c r="G43" i="65079"/>
  <c r="I43"/>
  <c r="I42"/>
  <c r="D30" i="65137"/>
  <c r="F30" s="1"/>
  <c r="I44" i="65078"/>
  <c r="G45"/>
  <c r="I45"/>
  <c r="F86" i="65137"/>
  <c r="G42" i="65077"/>
  <c r="I42"/>
  <c r="I41"/>
  <c r="I52" i="65076"/>
  <c r="G53"/>
  <c r="I53"/>
  <c r="G44" i="65064"/>
  <c r="I43"/>
  <c r="D203" i="65139"/>
  <c r="F144"/>
  <c r="B28" i="304"/>
  <c r="D28" s="1"/>
  <c r="F55" i="65139"/>
  <c r="B27" i="304"/>
  <c r="D27" s="1"/>
  <c r="D142" i="65139"/>
  <c r="D213"/>
  <c r="F213"/>
  <c r="F203"/>
  <c r="F142"/>
  <c r="I44" i="65089" l="1"/>
  <c r="B38" i="304"/>
  <c r="D38" s="1"/>
  <c r="G78" i="300"/>
  <c r="C39" i="304"/>
  <c r="C44" s="1"/>
  <c r="C49" s="1"/>
  <c r="C50" s="1"/>
  <c r="L44" i="65124" s="1"/>
  <c r="C52" i="304"/>
  <c r="C54" s="1"/>
  <c r="L43" i="65124"/>
  <c r="F6" i="300"/>
  <c r="C32" i="304"/>
  <c r="C31" s="1"/>
  <c r="C53" s="1"/>
  <c r="B37"/>
  <c r="D37" s="1"/>
  <c r="G74" i="300"/>
  <c r="B47" i="304"/>
  <c r="G92" i="300"/>
  <c r="G19"/>
  <c r="B34" i="304"/>
  <c r="D34" s="1"/>
  <c r="F61" i="65137"/>
  <c r="F23"/>
  <c r="L42" i="65124"/>
  <c r="C44" i="65125"/>
  <c r="G15" i="300"/>
  <c r="I43" i="65123"/>
  <c r="B33" i="304"/>
  <c r="D33" s="1"/>
  <c r="B35"/>
  <c r="D35" s="1"/>
  <c r="L6" i="65124"/>
  <c r="G75" i="300"/>
  <c r="E8"/>
  <c r="C24" i="65125"/>
  <c r="E85" i="300"/>
  <c r="E39"/>
  <c r="F64" i="65137"/>
  <c r="G80" i="300"/>
  <c r="G93"/>
  <c r="D8" i="65137"/>
  <c r="B19" i="304"/>
  <c r="I43" i="65122"/>
  <c r="B18" i="304" l="1"/>
  <c r="D19"/>
  <c r="G8" i="300"/>
  <c r="E6"/>
  <c r="G6" s="1"/>
  <c r="B32" i="304"/>
  <c r="L45" i="65124"/>
  <c r="D47" i="304"/>
  <c r="B46"/>
  <c r="B42"/>
  <c r="G85" i="300"/>
  <c r="B36" i="304"/>
  <c r="D36" s="1"/>
  <c r="G39" i="300"/>
  <c r="D7" i="65137"/>
  <c r="F7" s="1"/>
  <c r="F8"/>
  <c r="B39" i="304" l="1"/>
  <c r="B52"/>
  <c r="D18"/>
  <c r="D42"/>
  <c r="B41"/>
  <c r="D32"/>
  <c r="B31"/>
  <c r="D46"/>
  <c r="B48"/>
  <c r="D48" s="1"/>
  <c r="B44" l="1"/>
  <c r="D39"/>
  <c r="B54"/>
  <c r="D54" s="1"/>
  <c r="D52"/>
  <c r="D41"/>
  <c r="B43"/>
  <c r="D43" s="1"/>
  <c r="B53"/>
  <c r="D53" s="1"/>
  <c r="D31"/>
  <c r="B49" l="1"/>
  <c r="D44"/>
  <c r="B50" l="1"/>
  <c r="D50" s="1"/>
  <c r="D49"/>
</calcChain>
</file>

<file path=xl/sharedStrings.xml><?xml version="1.0" encoding="utf-8"?>
<sst xmlns="http://schemas.openxmlformats.org/spreadsheetml/2006/main" count="2164" uniqueCount="746">
  <si>
    <t>073</t>
  </si>
  <si>
    <t>Bolničke usluge</t>
  </si>
  <si>
    <t>074</t>
  </si>
  <si>
    <t>Usluge zdravstvene zaštite</t>
  </si>
  <si>
    <t>075</t>
  </si>
  <si>
    <t>IiR Zdravstvo</t>
  </si>
  <si>
    <t>076</t>
  </si>
  <si>
    <t>Zdravstvo n. k.</t>
  </si>
  <si>
    <t>08</t>
  </si>
  <si>
    <t>Rekreacija, kultura i religija     (56+….+61)</t>
  </si>
  <si>
    <t>081</t>
  </si>
  <si>
    <t>082</t>
  </si>
  <si>
    <t xml:space="preserve">Usluge kulture </t>
  </si>
  <si>
    <t>083</t>
  </si>
  <si>
    <t>084</t>
  </si>
  <si>
    <t>085</t>
  </si>
  <si>
    <t>IiR Rekreacija, kultura i religija</t>
  </si>
  <si>
    <t>086</t>
  </si>
  <si>
    <t>Rekreacija, kultura i religija n. k.</t>
  </si>
  <si>
    <t>09</t>
  </si>
  <si>
    <t>Obrazovanje         (63+…..+70)</t>
  </si>
  <si>
    <t>091</t>
  </si>
  <si>
    <t>Predškolsko i osnovno obrazovanje</t>
  </si>
  <si>
    <t>092</t>
  </si>
  <si>
    <t>Srednje obrazovanje</t>
  </si>
  <si>
    <t>093</t>
  </si>
  <si>
    <t>Obrazovanje poslije srednje škole koje nije visoko obrazovanje</t>
  </si>
  <si>
    <t>094</t>
  </si>
  <si>
    <t>Visoko obrazovanje</t>
  </si>
  <si>
    <t>095</t>
  </si>
  <si>
    <t>096</t>
  </si>
  <si>
    <t>Pomoćne usluge obrazovanju</t>
  </si>
  <si>
    <t>097</t>
  </si>
  <si>
    <t>IiR Obrazovanje</t>
  </si>
  <si>
    <t>098</t>
  </si>
  <si>
    <t>Obrazovanje n. k.</t>
  </si>
  <si>
    <t>10</t>
  </si>
  <si>
    <t>Socijalna zaštita      (72+…..+80)</t>
  </si>
  <si>
    <t>101</t>
  </si>
  <si>
    <t>Bolest i hendikepiranost</t>
  </si>
  <si>
    <t>102</t>
  </si>
  <si>
    <t>Starost</t>
  </si>
  <si>
    <t>103</t>
  </si>
  <si>
    <t>Nasljednici</t>
  </si>
  <si>
    <t>104</t>
  </si>
  <si>
    <t>105</t>
  </si>
  <si>
    <t>106</t>
  </si>
  <si>
    <t>Stanovanje</t>
  </si>
  <si>
    <t>107</t>
  </si>
  <si>
    <t>Socijalno isključenje n. k.</t>
  </si>
  <si>
    <t>108</t>
  </si>
  <si>
    <t>IiR Socijalna zaštita</t>
  </si>
  <si>
    <t>109</t>
  </si>
  <si>
    <t>Socijalna zaštita n. k.</t>
  </si>
  <si>
    <t>Ukupni rashodi (zbroj funkcija) (2+11+17+24+34+41+48+55+62+71)</t>
  </si>
  <si>
    <t>INDEX
4/3</t>
  </si>
  <si>
    <t xml:space="preserve">IiR Zaštita životne sredine </t>
  </si>
  <si>
    <t xml:space="preserve">Religijske i druge zajedničke usluge </t>
  </si>
  <si>
    <t>Opće javne usluge       (3+…..+10)</t>
  </si>
  <si>
    <t>Izvršni i zakonodavni organi, financijski i fiskalni poslovi, vanjski poslovi</t>
  </si>
  <si>
    <t>Transferi općeg karaktera između različitih razina vlasti</t>
  </si>
  <si>
    <t>Obrana      (12+….+16)</t>
  </si>
  <si>
    <t>Vojna obrana</t>
  </si>
  <si>
    <t>Civilna obrana</t>
  </si>
  <si>
    <t>Inozemna vojna pomoć</t>
  </si>
  <si>
    <t>IiR Obrana</t>
  </si>
  <si>
    <t>Obrana n. k.</t>
  </si>
  <si>
    <t xml:space="preserve">Usluge prouvpožarne zaštite </t>
  </si>
  <si>
    <t>Promet</t>
  </si>
  <si>
    <t>Zaštita raznovrsnosti flore i faune i zaštita okoliša</t>
  </si>
  <si>
    <t>Vodoopskrba</t>
  </si>
  <si>
    <t>Izvanbolničke usluge</t>
  </si>
  <si>
    <t>Usluge športa i rekreacije</t>
  </si>
  <si>
    <t xml:space="preserve">Usluge emitiranja i izdavaštva </t>
  </si>
  <si>
    <t>Obrazovanje koje nije definirano razinom</t>
  </si>
  <si>
    <t>Obitelj i djeca</t>
  </si>
  <si>
    <t>Neuposlenost</t>
  </si>
  <si>
    <t>I - PRIHODI, PRIMICI I FINANCIRANJE</t>
  </si>
  <si>
    <t xml:space="preserve">II - RASHODI I IZDACI  </t>
  </si>
  <si>
    <t>Ministarstvo
(razdjel)</t>
  </si>
  <si>
    <t>Proračunska
institucija</t>
  </si>
  <si>
    <t>Ekonomski 
kod</t>
  </si>
  <si>
    <t>OPIS</t>
  </si>
  <si>
    <t>01</t>
  </si>
  <si>
    <t>0001</t>
  </si>
  <si>
    <t xml:space="preserve"> Doprinosi poslodavca</t>
  </si>
  <si>
    <t xml:space="preserve"> Putni troškovi</t>
  </si>
  <si>
    <t xml:space="preserve"> Izdaci za energiju</t>
  </si>
  <si>
    <t xml:space="preserve"> Izdaci za usluge prijevoza i goriva</t>
  </si>
  <si>
    <t xml:space="preserve"> Izdaci za tekuće održavanje</t>
  </si>
  <si>
    <t xml:space="preserve"> Tekuće održavanje cesta</t>
  </si>
  <si>
    <t xml:space="preserve"> Kapitalni grantovi</t>
  </si>
  <si>
    <t xml:space="preserve"> Izdaci za nabavku stalnih sredstava</t>
  </si>
  <si>
    <t xml:space="preserve"> Nabavka građevina</t>
  </si>
  <si>
    <t xml:space="preserve"> Nabavka opreme</t>
  </si>
  <si>
    <t xml:space="preserve"> Ukupan broj zaposlenih:</t>
  </si>
  <si>
    <t xml:space="preserve"> Ukupno za proračunsku instituciju:</t>
  </si>
  <si>
    <t xml:space="preserve"> Ukupno za ministarstvo (razdjel):</t>
  </si>
  <si>
    <t xml:space="preserve"> Grantovi političkim strankama</t>
  </si>
  <si>
    <t xml:space="preserve"> Tekuća pričuva Vlade</t>
  </si>
  <si>
    <t xml:space="preserve"> Tekuća pričuva predsjednika Vlade</t>
  </si>
  <si>
    <t xml:space="preserve"> Grantovi za povratak raseljenih osoba</t>
  </si>
  <si>
    <t xml:space="preserve"> Grantovi za šport i kulturu</t>
  </si>
  <si>
    <t xml:space="preserve"> Grantovi za informiranje</t>
  </si>
  <si>
    <t xml:space="preserve"> Grantovi za financiranje vjerskih zajednica</t>
  </si>
  <si>
    <t>616000</t>
  </si>
  <si>
    <t xml:space="preserve"> Rekonstrukcija i investicijsko održavanje</t>
  </si>
  <si>
    <t xml:space="preserve"> Grantovi za zdravstvene i socijalne potrebe</t>
  </si>
  <si>
    <t>614200</t>
  </si>
  <si>
    <t>614300</t>
  </si>
  <si>
    <t>614100</t>
  </si>
  <si>
    <t xml:space="preserve"> Tekuća pričuva ministra financija</t>
  </si>
  <si>
    <t>Potrošačka
jedinica</t>
  </si>
  <si>
    <t xml:space="preserve"> Ostali grantovi-povrat i drugo</t>
  </si>
  <si>
    <t xml:space="preserve"> Isplate stipendija</t>
  </si>
  <si>
    <t xml:space="preserve"> Ukupno za potrošačku jedinicu:</t>
  </si>
  <si>
    <t xml:space="preserve"> Grant za razvoj poduzetništva i obrta</t>
  </si>
  <si>
    <t xml:space="preserve"> Grantovi za branitelje i stradalnike dom. rata</t>
  </si>
  <si>
    <t xml:space="preserve"> Grant za zaštitu od prirodnih i drugih nesreća</t>
  </si>
  <si>
    <t>SKUPŠTINA ŽUPANIJE POSAVSKE</t>
  </si>
  <si>
    <t>STRUČNA SLUŽBA SKUPŠTINE ŽUPANIJE POSAVSKE</t>
  </si>
  <si>
    <t>0002</t>
  </si>
  <si>
    <t>VLADA ŽUPANIJE POSAVSKE</t>
  </si>
  <si>
    <t>11</t>
  </si>
  <si>
    <t xml:space="preserve"> Rashodi - Tekuća pričuva</t>
  </si>
  <si>
    <t xml:space="preserve"> Tekuća pričuva zamjenika pred. Vlade</t>
  </si>
  <si>
    <t>URED ZA RASELJENE</t>
  </si>
  <si>
    <t>URED ZA ZAKONODAVSTVO</t>
  </si>
  <si>
    <t>0003</t>
  </si>
  <si>
    <t>0004</t>
  </si>
  <si>
    <t>ZAJEDNIČKA SLUŽBA VLADE</t>
  </si>
  <si>
    <t>12</t>
  </si>
  <si>
    <t>MINISTARSTVO UNUTARNJIH POSLOVA ŽUPANIJE POSAVSKE</t>
  </si>
  <si>
    <t>13</t>
  </si>
  <si>
    <t>MINISTARSTVO PRAVOSUĐA I UPRAVE</t>
  </si>
  <si>
    <t>14</t>
  </si>
  <si>
    <t>02</t>
  </si>
  <si>
    <t>05</t>
  </si>
  <si>
    <t>15</t>
  </si>
  <si>
    <t>16</t>
  </si>
  <si>
    <t>MINISTARSTVO FINANCIJA</t>
  </si>
  <si>
    <t>MINISTARSTVO ZDRAVSTVA, RADA I SOCIJALNE POLITIKE</t>
  </si>
  <si>
    <t>17</t>
  </si>
  <si>
    <t>18</t>
  </si>
  <si>
    <t>MINISTARSTVO POLJOPRIVREDE, VODOPRIVREDE I ŠUMARSTVA</t>
  </si>
  <si>
    <t>19</t>
  </si>
  <si>
    <t>MINISTARSTVO PROSVJETE, ZNANOSTI, KULTURE I ŠPORTA</t>
  </si>
  <si>
    <t>20</t>
  </si>
  <si>
    <t>MINISTARSTVO PROSVJETE - OSNOVNA ŠKOLA ORAŠJE</t>
  </si>
  <si>
    <t>03</t>
  </si>
  <si>
    <t>0005</t>
  </si>
  <si>
    <t>0006</t>
  </si>
  <si>
    <t>0007</t>
  </si>
  <si>
    <t>21</t>
  </si>
  <si>
    <t>22</t>
  </si>
  <si>
    <t>AGENCIJA ZA PRIVATIZACIJU</t>
  </si>
  <si>
    <t>UPRAVA ZA CIVILNU ZAŠTITU ŽUPANIJE POSAVSKE</t>
  </si>
  <si>
    <t>23</t>
  </si>
  <si>
    <t>KANTONALNI SUD ODŽAK</t>
  </si>
  <si>
    <t>24</t>
  </si>
  <si>
    <t>26</t>
  </si>
  <si>
    <t>27</t>
  </si>
  <si>
    <t>KANTONALNO TUŽITELJSTVO</t>
  </si>
  <si>
    <t xml:space="preserve"> UKUPNI IZDACI </t>
  </si>
  <si>
    <t>SLUŽBA ZA ODNOSE S JAVNOŠĆU</t>
  </si>
  <si>
    <t xml:space="preserve"> Grantovi za šumarstvo</t>
  </si>
  <si>
    <t xml:space="preserve"> Doprinosi poslodavca i ostali doprinosi</t>
  </si>
  <si>
    <t xml:space="preserve"> Plaće i naknade troškova zaposlenih</t>
  </si>
  <si>
    <t xml:space="preserve"> Izdaci za materijal, sitan inv. i usluge</t>
  </si>
  <si>
    <t xml:space="preserve"> Nabavka materijala i sitnog inventara</t>
  </si>
  <si>
    <t xml:space="preserve"> Izdaci osiguranja, bank. usluga i usluga p.p.</t>
  </si>
  <si>
    <t xml:space="preserve"> Ugovorene i druge posebne usluge</t>
  </si>
  <si>
    <t>MINISTARSTVO PROSVJETE - SREDNJA ŠKOLA PERE ZEČEVIĆA ODŽAK</t>
  </si>
  <si>
    <t>MINISTARSTVO PROSVJETE - OSNOVNA ŠKOLA VLADIMIRA NAZORA ODŽAK</t>
  </si>
  <si>
    <t>MINISTARSTVO PROSVJETE - OSNOVNA ŠKOLA RUĐERA BOŠKOVIĆA DONJA MAHALA</t>
  </si>
  <si>
    <t>MINISTARSTVO PROSVJETE - OSNOVNA ŠKOLA FRA ILIJE STARČEVIĆA TOLISA</t>
  </si>
  <si>
    <t>MINISTARSTVO PROSVJETE - OSNOVNA ŠKOLA STJEPANA RADIĆA OŠTRA LUKA-BOK</t>
  </si>
  <si>
    <t>MINISTARSTVO PROSVJETE - OSNOVNA ŠKOLA A.G. MATOŠA VIDOVICE</t>
  </si>
  <si>
    <t>MINISTARSTVO PROSVJETE - OSNOVNA ŠKOLA BRAĆE RADIĆA DOMALJEVAC</t>
  </si>
  <si>
    <t xml:space="preserve"> </t>
  </si>
  <si>
    <t xml:space="preserve"> Grant za zaštitu okoliša</t>
  </si>
  <si>
    <t>MINISTARSTVO GOSPODARSTVA I PROSTORNOG UREĐENJA</t>
  </si>
  <si>
    <t>MINISTARSTVO PROMETA, VEZA, TURIZMA I ZAŠTITE OKOLIŠA</t>
  </si>
  <si>
    <t>MINISTARSTVO BRANITELJA</t>
  </si>
  <si>
    <t xml:space="preserve"> Vozački ispiti-vlastiti prihodi</t>
  </si>
  <si>
    <t>28</t>
  </si>
  <si>
    <t>ŽUPANIJSKA UPRAVA ZA INSPEKCIJSKE POSLOVE</t>
  </si>
  <si>
    <t>I PRIHODI OD POREZA</t>
  </si>
  <si>
    <t>Ekonomski kod</t>
  </si>
  <si>
    <t xml:space="preserve"> Otplate domaćeg pozajmljivanja</t>
  </si>
  <si>
    <t xml:space="preserve"> Izdaci za negativne tečajne razlike</t>
  </si>
  <si>
    <t>II NEPOREZNI PRIHODI</t>
  </si>
  <si>
    <t>1.Porez na dobit pojedinaca i poduzeća</t>
  </si>
  <si>
    <t>3.Porez na imovinu</t>
  </si>
  <si>
    <t>5.Porez na dohodak</t>
  </si>
  <si>
    <t>6.Prihodi od neizravnih poreza</t>
  </si>
  <si>
    <t>7.Ostali porezi</t>
  </si>
  <si>
    <t>3.Novčane kazne</t>
  </si>
  <si>
    <t xml:space="preserve"> Kamate na domaće pozajmljivanje-OPEC fond</t>
  </si>
  <si>
    <t xml:space="preserve"> MINISTARSTVO PRAVOSUĐA I UPRAVE - OPĆINSKI SUD ORAŠJE</t>
  </si>
  <si>
    <t>MINISTARSTVO PRAVOSUĐA I UPRAVE - ZAVOD ZA PRUŽANJE PRAVNE POMOĆI</t>
  </si>
  <si>
    <t>06</t>
  </si>
  <si>
    <t>I  OPĆI DIO</t>
  </si>
  <si>
    <t>Članak 1.</t>
  </si>
  <si>
    <t xml:space="preserve">Bosna i Hercegovina </t>
  </si>
  <si>
    <t xml:space="preserve">FEDERACIJA BOSNE I HERCEGOVINE </t>
  </si>
  <si>
    <t>ŽUPANIJA POSAVSKA</t>
  </si>
  <si>
    <t xml:space="preserve">Skupština </t>
  </si>
  <si>
    <t xml:space="preserve">Broj: </t>
  </si>
  <si>
    <t xml:space="preserve">Domaljevac, </t>
  </si>
  <si>
    <t xml:space="preserve"> Bruto plaće i naknade plaća</t>
  </si>
  <si>
    <t xml:space="preserve"> Naknade troškova zaposlenih</t>
  </si>
  <si>
    <t xml:space="preserve"> Izdaci za komunikaciju i komunalne usluge</t>
  </si>
  <si>
    <t xml:space="preserve"> Unajmljivanje imovine, opreme i nemat.imovine</t>
  </si>
  <si>
    <t xml:space="preserve"> Tekući grantovi i drugi tekući rashodi</t>
  </si>
  <si>
    <t xml:space="preserve"> Izdaci za kamate </t>
  </si>
  <si>
    <t xml:space="preserve"> Izdaci za otplate dugova</t>
  </si>
  <si>
    <t xml:space="preserve"> Izdaci za kamate</t>
  </si>
  <si>
    <t>614500</t>
  </si>
  <si>
    <t xml:space="preserve"> Agencija za državnu službu ŽP</t>
  </si>
  <si>
    <t xml:space="preserve"> Agencija za državnu službu</t>
  </si>
  <si>
    <t>615100</t>
  </si>
  <si>
    <t>1.Prihodi od poduzetničkih aktivnosti i imovine i prihodi od pozitivnih tečajnih razlika</t>
  </si>
  <si>
    <t>Ekonom. 
kod</t>
  </si>
  <si>
    <t xml:space="preserve"> Kamate na domaće pozajmljivanje-Koreja</t>
  </si>
  <si>
    <t>Izdaci za otplate dugova</t>
  </si>
  <si>
    <t xml:space="preserve"> Kamate na domaće pozajmljivanje-OPEC</t>
  </si>
  <si>
    <t xml:space="preserve"> Transfer za zdravstvene institucije i centre za soc.rad</t>
  </si>
  <si>
    <t xml:space="preserve"> Otplate domaćeg pozajmljivanja - OPEC</t>
  </si>
  <si>
    <t xml:space="preserve"> Kamate na domaće pozajmljivanje-Austrija</t>
  </si>
  <si>
    <t>Članak 2.</t>
  </si>
  <si>
    <t>II POSEBAN DIO</t>
  </si>
  <si>
    <t>Članak 3.</t>
  </si>
  <si>
    <t xml:space="preserve"> Grant za razvoj turizma</t>
  </si>
  <si>
    <t>MINISTARSTVO PRAVOSUĐA I UPRAVE - OPĆINSKO PRAVOBRANITELJSTVO ODŽAK</t>
  </si>
  <si>
    <t>MINISTARSTVO PRAVOSUĐA I UPRAVE - OPĆINSKO PRAVOBRANITELJSTVO ORAŠJE</t>
  </si>
  <si>
    <t xml:space="preserve"> Grantovi za financiranje višeg i visokog obrazovanja    
 i Zavoda za školstvo</t>
  </si>
  <si>
    <t xml:space="preserve"> Grantovi za financiranje višeg i visokog obrazovanja i Zavoda za
 školstvo</t>
  </si>
  <si>
    <t xml:space="preserve"> Grant za Crveni križ Županije Posavske</t>
  </si>
  <si>
    <t>ŽUPANIJSKO PRAVOBRANITELJSTVO</t>
  </si>
  <si>
    <t xml:space="preserve"> Grant za Gospodarsku komoru ŽP</t>
  </si>
  <si>
    <t>Bosna i Hercegovina
Federacija Bosne i Hercegovine
Županija Posavska
V L A D A</t>
  </si>
  <si>
    <t>Bosnia and Herzegovina
Federation of Bosnia and Herzegovina
Posavina County
G O V E R N M E N T</t>
  </si>
  <si>
    <t>SADRŽAJ</t>
  </si>
  <si>
    <t>1.</t>
  </si>
  <si>
    <t xml:space="preserve">Opći dio </t>
  </si>
  <si>
    <t>2.</t>
  </si>
  <si>
    <t>Prihodi, primici i financiranje</t>
  </si>
  <si>
    <t>3.</t>
  </si>
  <si>
    <t>4.</t>
  </si>
  <si>
    <t>Posebni dio</t>
  </si>
  <si>
    <t>Skupština Županije Posavske</t>
  </si>
  <si>
    <t>Vlada Županije Posavske</t>
  </si>
  <si>
    <t>Ured za raseljene</t>
  </si>
  <si>
    <t>Ured za zakonodavstvo</t>
  </si>
  <si>
    <t>Stručna služba Skupštine Županije Posavske</t>
  </si>
  <si>
    <t>Služba za odnose s javnošću</t>
  </si>
  <si>
    <t>Zajednička služba Vlade</t>
  </si>
  <si>
    <t>Ministarstvo unutarnjih poslova Županije Posavske</t>
  </si>
  <si>
    <t>Ministarstvo pravosuđa i uprave</t>
  </si>
  <si>
    <t>Ministarstvo pravosuđa i uprave - Općinski sud Orašje</t>
  </si>
  <si>
    <t>Ministarstvo pravosuđa i uprave - Općinsko pravobraniteljstvo Orašje</t>
  </si>
  <si>
    <t>Ministarstvo pravosuđa i uprave - Općinsko pravobraniteljstvo Odžak</t>
  </si>
  <si>
    <t>Ministarstvo pravosuđa i uprave - Zavod za pružanje pravne pomoći</t>
  </si>
  <si>
    <t>Ministarstvo gospodarstva i prostornog uređenja</t>
  </si>
  <si>
    <t>Ministarstvo financija</t>
  </si>
  <si>
    <t>Ministarstvo zdravstva, rada i socijalne politike</t>
  </si>
  <si>
    <t>Ministarstvo prometa, veza, turizma i zaštite okoliša</t>
  </si>
  <si>
    <t>Ministarstvo poljoprivrede, vodoprivrede i šumarstva</t>
  </si>
  <si>
    <t>Ministarstvo prosvjete, znanosti, kulture i športa</t>
  </si>
  <si>
    <t>Stranica</t>
  </si>
  <si>
    <t>Ministarstvo prosvjete - Srednja škola Pere Zečevića Odžak</t>
  </si>
  <si>
    <t>Ministarstvo prosvjete - Osnovna škola Orašje</t>
  </si>
  <si>
    <t>Ministarstvo prosvjete - Osnovna škola Vladimira Nazora Odžak</t>
  </si>
  <si>
    <t>Ministarstvo prosvjete - Osnovna škola Ruđera Boškovića Donja Mahala</t>
  </si>
  <si>
    <t>Ministarstvo prosvjete - Osnovna škola Fra Ilije Starčevića Tolisa</t>
  </si>
  <si>
    <t>Ministarstvo prosvjete - Osnovna škola Stjepana Radića Oštra Luka-Bok</t>
  </si>
  <si>
    <t>Ministarstvo prosvjete - Osnovna škola A.G.Matoša Vidovice</t>
  </si>
  <si>
    <t>Ministarstvo prosvjete - Osnovna škola Braće Radića Domaljevac</t>
  </si>
  <si>
    <t>Ministarstvo branitelja</t>
  </si>
  <si>
    <t>Agencija za privatizaciju</t>
  </si>
  <si>
    <t>Uprava za civilnu zaštitu Županije Posavske</t>
  </si>
  <si>
    <t>Kantonalni sud Odžak</t>
  </si>
  <si>
    <t>Županijsko pravobraniteljstvo</t>
  </si>
  <si>
    <t>Kantonalno tužiteljstvo</t>
  </si>
  <si>
    <t>Županijska uprava za inspekcijske poslove</t>
  </si>
  <si>
    <t>Završne odredbe</t>
  </si>
  <si>
    <t>RB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</si>
  <si>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</si>
  <si>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</si>
  <si>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</si>
  <si>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</si>
  <si>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</si>
  <si>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</si>
  <si>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</si>
  <si>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</si>
  <si>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</si>
  <si>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</si>
  <si>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</si>
  <si>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</si>
  <si>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</si>
  <si>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</si>
  <si>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</si>
  <si>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</si>
  <si>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</si>
  <si>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</si>
  <si>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</si>
  <si>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</si>
  <si>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</si>
  <si>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</si>
  <si>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</si>
  <si>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</si>
  <si>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</si>
  <si>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</si>
  <si>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</si>
  <si>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</si>
  <si>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</si>
  <si>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</si>
  <si>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</si>
  <si>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</si>
  <si>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</si>
  <si>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</si>
  <si>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</si>
  <si>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</si>
  <si>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O P I S</t>
  </si>
  <si>
    <t xml:space="preserve"> Grant za Kuću nade Odžak</t>
  </si>
  <si>
    <t>MINISTARSTVO PROSVJETE - ŠKOLSKI CENTAR FRA MARTINA NEDIĆA ORAŠJE</t>
  </si>
  <si>
    <t>MINISTARSTVO PROSVJETE - SREDNJA STRUKOVNA ŠKOLA ORAŠJE</t>
  </si>
  <si>
    <t>41.</t>
  </si>
  <si>
    <t>Ministarstvo prosvjete - Školski centar Fra Martina Nedića Orašje</t>
  </si>
  <si>
    <t>Ministarstvo prosvjete - Srednja strukovna škola Orašje</t>
  </si>
  <si>
    <t>Otplate domaćeg pozajmljivanja-MMF</t>
  </si>
  <si>
    <t>INDEKS
4/3</t>
  </si>
  <si>
    <t xml:space="preserve"> Grant za sufinanciranje osn.i srednjeg obrazovanja
 djece s posebnim potrebama</t>
  </si>
  <si>
    <t xml:space="preserve"> Grant za sufinanciranje osn.i srednjeg obrazovanja djece s 
 posebnim potrebama</t>
  </si>
  <si>
    <t xml:space="preserve"> Grant za Udrugu roditelja djece s posebnim potrebama Orašje</t>
  </si>
  <si>
    <t xml:space="preserve"> Otplate domaćeg pozajmljivanja - MMF</t>
  </si>
  <si>
    <t xml:space="preserve"> Kamate na domaće pozajmljivanje-MMF</t>
  </si>
  <si>
    <t xml:space="preserve"> Grant za sanaciju šteta uzrokovanih poplavom</t>
  </si>
  <si>
    <t xml:space="preserve"> Grant za Sveučilište u Mostaru</t>
  </si>
  <si>
    <t xml:space="preserve"> Grant za sufinanciranje nabavke udžbenika 
 učenicima</t>
  </si>
  <si>
    <t xml:space="preserve"> Grantovi nižim razinama vlasti</t>
  </si>
  <si>
    <t xml:space="preserve"> Grant za sufinanciranje nabavke udžbenika učenicima </t>
  </si>
  <si>
    <t>Članak 4.</t>
  </si>
  <si>
    <t>Ured za gospodarski razvoj Županije Posavske</t>
  </si>
  <si>
    <t>42.</t>
  </si>
  <si>
    <t>URED ZA GOSPODARSKI RAZVOJ ŽUPANIJE POSAVSKE</t>
  </si>
  <si>
    <t>Članak 5.</t>
  </si>
  <si>
    <t>Predsjednik</t>
  </si>
  <si>
    <t>Joso Marković</t>
  </si>
  <si>
    <t xml:space="preserve">   Porezi na dobit pojedinaca (zaostale uplate poreza)</t>
  </si>
  <si>
    <t xml:space="preserve">   Porez na dobit od gospodarskih i profesionalnih djelatnosti</t>
  </si>
  <si>
    <t xml:space="preserve">   Porez na prihod od imovine i imovinskih prava</t>
  </si>
  <si>
    <t xml:space="preserve">   Porez na dobit</t>
  </si>
  <si>
    <t xml:space="preserve">   Porez po odbitku</t>
  </si>
  <si>
    <t xml:space="preserve">   Porez na dobit poduzeća</t>
  </si>
  <si>
    <t>2.Porezi na plaću i radnu snagu (zaostale uplate poreza)</t>
  </si>
  <si>
    <t xml:space="preserve">   Porezi na plaću i druga osobna primanja</t>
  </si>
  <si>
    <t xml:space="preserve">   Porezi na dodatna primanja</t>
  </si>
  <si>
    <t xml:space="preserve">   Porez na imovinu od fizičkih osoba</t>
  </si>
  <si>
    <t xml:space="preserve">   Porez na imovinu od pravnih osoba</t>
  </si>
  <si>
    <t xml:space="preserve">   Porez na imovinu za motorna vozila</t>
  </si>
  <si>
    <t xml:space="preserve">   Porez na naslijeđe i darove</t>
  </si>
  <si>
    <t xml:space="preserve">   Porez na promet nepokretnosti - fizičkih osoba</t>
  </si>
  <si>
    <t xml:space="preserve">   Porez na promet nepokretnosti - pravnih osoba</t>
  </si>
  <si>
    <t>4.Domaći porezi na dobra i usluge (zaostale obveze na 
   temelju poreza na promet dobara i usluga)</t>
  </si>
  <si>
    <t xml:space="preserve">   Porez na promet proizvoda (opća stopa od 20%)</t>
  </si>
  <si>
    <t xml:space="preserve">   Kaznena kamata</t>
  </si>
  <si>
    <t xml:space="preserve">   Porez na promet usluga, osim usluga u građevinarstvu</t>
  </si>
  <si>
    <t xml:space="preserve">   Porezi na prodaju dobara i usluga, ukupni promet ili 
   dodanu vrijednost</t>
  </si>
  <si>
    <t xml:space="preserve">   Porez na promet posebnih usluga</t>
  </si>
  <si>
    <t xml:space="preserve">   Porez na dobitke od igara na sreću</t>
  </si>
  <si>
    <t xml:space="preserve">   Ostali porezi na promet proizvoda i usluga</t>
  </si>
  <si>
    <t xml:space="preserve">   Porez na promet osnovnih proizvoda poljoprivrede, ribarstva i 
   proizvoda koji služe za ljudsku prehranu</t>
  </si>
  <si>
    <t xml:space="preserve">   Porez na dohodak</t>
  </si>
  <si>
    <t xml:space="preserve">   Prihodi od poreza na dohodak po konačnom obračunu</t>
  </si>
  <si>
    <t xml:space="preserve">   Prihodi od poreza na dohodak fiz.osoba od nesam.djelatnosti</t>
  </si>
  <si>
    <t xml:space="preserve">   Prihodi od poreza na dohodak fizi.osoba od samost.djelatnosti</t>
  </si>
  <si>
    <t xml:space="preserve">   Prihodi od poreza na dohodak fiz.os.od imovine i imov.prava</t>
  </si>
  <si>
    <t xml:space="preserve">   Prihodi od poreza na dohodak fiz.osoba od ulaganja kapitala</t>
  </si>
  <si>
    <t xml:space="preserve">   Prihodi od poreza na dohodak fizičkih osoba na dobitke od 
   nagradnih igara i igara na sreću</t>
  </si>
  <si>
    <t xml:space="preserve">   Prihodi od poreza na dohodak od dr.samostalnih djelatnosti</t>
  </si>
  <si>
    <t xml:space="preserve">   Prihodi od neizravnih poreza</t>
  </si>
  <si>
    <t xml:space="preserve">   Prihodi od neizravnih poreza koji pripadaju županijama</t>
  </si>
  <si>
    <t xml:space="preserve">   Prihodi od neizravnih poreza koji pripadaju Direkciji cesta</t>
  </si>
  <si>
    <t xml:space="preserve">   Ostali porezi</t>
  </si>
  <si>
    <t xml:space="preserve">   Pos.porez na plaću za zašt.od prir.i dr.nesr.(zaost.obveze)</t>
  </si>
  <si>
    <t xml:space="preserve">   Poseban porez za zaštitu od prirodnih i drugih nesreća po 
   osnovi ugovora o djelu i povr.i privr.poslova (zaostale obveze)</t>
  </si>
  <si>
    <t xml:space="preserve">   Prihodi od nefinanc.jav.poduzeća i financ.jav.institucija</t>
  </si>
  <si>
    <t xml:space="preserve">   Prihodi od davanja prava na eksploataciju prirodnih resursa</t>
  </si>
  <si>
    <t xml:space="preserve">   Ostali prihodi od imovine</t>
  </si>
  <si>
    <t xml:space="preserve">   Prihodi od kamate za depozite u banci</t>
  </si>
  <si>
    <t xml:space="preserve">   Kamata i divid.primljene od pozajmica i udj.u kapitalu</t>
  </si>
  <si>
    <t xml:space="preserve">   Kamate primljene od pozajmica Federaciji</t>
  </si>
  <si>
    <t xml:space="preserve">   Prihodi od pozitivnih tečajnih razlika</t>
  </si>
  <si>
    <t xml:space="preserve">   Administrativne pristojbe</t>
  </si>
  <si>
    <t xml:space="preserve">   Županijske administrativne pristojbe</t>
  </si>
  <si>
    <t xml:space="preserve">   Sudske pristojbe</t>
  </si>
  <si>
    <t xml:space="preserve">   Županijske sudske pristojbe</t>
  </si>
  <si>
    <t xml:space="preserve">   Ostale proračunske naknade</t>
  </si>
  <si>
    <t xml:space="preserve">   Županijske naknade</t>
  </si>
  <si>
    <t xml:space="preserve">   Ostale županijske naknade</t>
  </si>
  <si>
    <t xml:space="preserve">   Naknade za korištenje šuma</t>
  </si>
  <si>
    <t xml:space="preserve">   Naknada za obavljeni tehn.pregl.vozila koja pripada županijama</t>
  </si>
  <si>
    <t xml:space="preserve">   Naknada za opće korisne funkcije šuma</t>
  </si>
  <si>
    <t xml:space="preserve">   Naknada za korištenje državnih šuma</t>
  </si>
  <si>
    <t xml:space="preserve">   Naknada za opće korisne funkc.šuma utvrđene žup.propisima</t>
  </si>
  <si>
    <t xml:space="preserve">   Naknada za obavljanje stručnih poslova u privatnim šumama 
   utvrđena županijskim propisima</t>
  </si>
  <si>
    <t xml:space="preserve">   Naknade i pristojbe po Federalnim zakonima i drugim    
   propisima</t>
  </si>
  <si>
    <t xml:space="preserve">   Naknada za korištenje podataka premjera i katastra</t>
  </si>
  <si>
    <t xml:space="preserve">   Naknada za vršenje usluga iz oblasti premjera i katastra</t>
  </si>
  <si>
    <t xml:space="preserve">   Vodne naknade</t>
  </si>
  <si>
    <t xml:space="preserve">   Posebna vodna naknada za zaštitu od poplava</t>
  </si>
  <si>
    <t xml:space="preserve">   Opća vodna naknada</t>
  </si>
  <si>
    <t xml:space="preserve">   Cestovne naknade</t>
  </si>
  <si>
    <t xml:space="preserve">   Naknada za uporabu cesta za vozila pravnih osoba</t>
  </si>
  <si>
    <t xml:space="preserve">   Naknada za uporabu cesta za vozila građana</t>
  </si>
  <si>
    <t xml:space="preserve">   Naknada za korištenje cestovnog zemljišta</t>
  </si>
  <si>
    <t xml:space="preserve">   Zaostale obveze po osnovi naknada za korištenje šuma</t>
  </si>
  <si>
    <t xml:space="preserve">   Naknada za korištenje općekorisnih funkcija šuma</t>
  </si>
  <si>
    <t xml:space="preserve">   Naknada za zaštitu okoliša</t>
  </si>
  <si>
    <t xml:space="preserve">   Naknada zagađivača okoliša pravnih osoba</t>
  </si>
  <si>
    <t xml:space="preserve">   Prihodi od pružanja javnih usluga</t>
  </si>
  <si>
    <t xml:space="preserve">   Federalna naknada za izvršene veterinarsko-zdravstvene 
   preglede i kontrolu u zemlji</t>
  </si>
  <si>
    <t xml:space="preserve">   Posebna vodna naknada za zaštitu voda za transportna 
   sredstva koja za pogon koriste naftu ili naftne derivate</t>
  </si>
  <si>
    <t xml:space="preserve">   Posebna vodna naknada za zaštitu voda (ispuštanje otpadnih 
   voda, uzgoj ribe, upotrebu umj.đubriva i kemik.za zašt.bilja)</t>
  </si>
  <si>
    <t xml:space="preserve">   Posebna vodna naknada za korištenje površinskih i 
   podzemnih voda za javnu vodoopskrbu</t>
  </si>
  <si>
    <t xml:space="preserve">   Posebna vodna naknada za korištenje površ.i podzem.voda za
   flaš.vode i min.vode za uzgoj ribe u ribnj.za navod.i dr.namj.</t>
  </si>
  <si>
    <t xml:space="preserve">   Posebna vodna naknada za korištenje površinskih i podzemnih 
   voda za industrijske procese, uključujući i termoelektrane</t>
  </si>
  <si>
    <t xml:space="preserve">   Posebne naknade za okoliš koje plaćaju pravne osobe pri 
   svakoj registraciji motornih vozila</t>
  </si>
  <si>
    <t xml:space="preserve">   Posebne naknade za okoliš koje plaćaju fizičke osobe pri 
   svakoj registraciji motornih vozila</t>
  </si>
  <si>
    <t xml:space="preserve">   Posebne naknade za zaštitu od prirodnih i dr.nesreća</t>
  </si>
  <si>
    <t xml:space="preserve">   Posebna naknada za zaštitu od prirodnih i drugih nesreća gdje 
   je osnovica sumarni iznos neto plaće za isplatu</t>
  </si>
  <si>
    <t xml:space="preserve">   Posebna naknada za zaštitu od prirodnih i drugih nesreća gdje 
   je osnovica sumarni iznos neto prim.po osnovi dr.samostalne 
   djelatnosti i povremenog samostalnog rada</t>
  </si>
  <si>
    <t xml:space="preserve">   Naknada za vatrogasne jedinice iz premije osiguranja imovine 
   od požara i prirodnih sila</t>
  </si>
  <si>
    <t xml:space="preserve">   Naknada iz funkcionalne premije osiguranja od 
   autoodgovornosti za vatrogasne jedinice</t>
  </si>
  <si>
    <t xml:space="preserve">   Naknada za zajedničke profesionalne vatrogasne jedinice iz 
   premije osiguranja imovine od požara i prirodnih sila</t>
  </si>
  <si>
    <t xml:space="preserve">   Prihodi od pružanja usluga građanima</t>
  </si>
  <si>
    <t xml:space="preserve">   Prihodi od pružanja usluga pravnim osobama</t>
  </si>
  <si>
    <t xml:space="preserve">   Prihodi od pružanja usluga drugima</t>
  </si>
  <si>
    <t xml:space="preserve">   Prihodi od pružanja usluga drugim razinama vlasti</t>
  </si>
  <si>
    <t xml:space="preserve">   Vlastiti prihodi proračunskih korisnika</t>
  </si>
  <si>
    <t xml:space="preserve">   Neplanirane uplate - prihodi</t>
  </si>
  <si>
    <t xml:space="preserve">   Prihodi od trošk.naplate po osn.pokret.postupka prin.naplate</t>
  </si>
  <si>
    <t xml:space="preserve">   Ostale neplanirane uplate</t>
  </si>
  <si>
    <t xml:space="preserve">   Novčane kazne</t>
  </si>
  <si>
    <t xml:space="preserve">   Novčane kazne po županijskim propisima</t>
  </si>
  <si>
    <t xml:space="preserve">   Ostale kazne</t>
  </si>
  <si>
    <t xml:space="preserve">   Ostali prihodi</t>
  </si>
  <si>
    <t xml:space="preserve">   Novčane kazne za prekršaje koje su registrirane u registru 
   novčanih kazni i troškovi prekršajnog postupka</t>
  </si>
  <si>
    <t>3. Donacije</t>
  </si>
  <si>
    <t xml:space="preserve">   Donacije</t>
  </si>
  <si>
    <t xml:space="preserve">   Domaće donacije</t>
  </si>
  <si>
    <t xml:space="preserve">   Donacije iz inozemstva</t>
  </si>
  <si>
    <t>V  PRIHODI PO OSNOVI ZAOSTALIH OBVEZA</t>
  </si>
  <si>
    <t xml:space="preserve">   Uplate zaostalih obveza od por.na promet visokotar.proizvoda</t>
  </si>
  <si>
    <t xml:space="preserve">   Uplate zaost.obveza od nakn.Za puteve iz cijene naft.derivata</t>
  </si>
  <si>
    <t>VI KAPITALNI PRIMICI</t>
  </si>
  <si>
    <t xml:space="preserve">   Kapitalni primici od prodaje stalnih sredstava</t>
  </si>
  <si>
    <t>1.Kapitalni primici od prodaje stalnih sredstava</t>
  </si>
  <si>
    <t xml:space="preserve">   Porez na imovinu</t>
  </si>
  <si>
    <t xml:space="preserve">   Porezi na plaće (zaostale uplate poreza)</t>
  </si>
  <si>
    <t xml:space="preserve">2.Naknade i pristojbe i prihodi od pružanja javnih usluga </t>
  </si>
  <si>
    <t xml:space="preserve">   Naknade za korištenje, zaštitu i unapređenje šuma 
   utvrđene županijskim propisima</t>
  </si>
  <si>
    <t xml:space="preserve">   Naknade i pristojbe za veterinarske i sanitarne preglede 
   životinja i biljaka</t>
  </si>
  <si>
    <t>INDEKS
(3/2)</t>
  </si>
  <si>
    <t>UKUPNO PRIHODI, PRIMICI I FINANCIRANJE</t>
  </si>
  <si>
    <t xml:space="preserve">       1.1.1.  Porezi na dobit pojedinaca i poduzeća</t>
  </si>
  <si>
    <t xml:space="preserve">       1.1.2.  Porez na plaću i radnu snagu (zaost.obveze)</t>
  </si>
  <si>
    <t xml:space="preserve">       1.1.3.  Porez na imovinu</t>
  </si>
  <si>
    <t xml:space="preserve">       1.1.4.  Domaći porezi na dobra i usluge (zaost.uplate)</t>
  </si>
  <si>
    <t xml:space="preserve">       1.1.5.  Porez na dohodak</t>
  </si>
  <si>
    <t xml:space="preserve">       1.1.6.  Prihodi od neizravnih poreza</t>
  </si>
  <si>
    <t xml:space="preserve">       1.1.7.  Ostali porezi</t>
  </si>
  <si>
    <t>1.2.  NEPOREZNI PRIHODI</t>
  </si>
  <si>
    <t>4. PRIMICI OD PRODAJE NEFINANCIJSKE IMOVINE</t>
  </si>
  <si>
    <t>5. IZDACI ZA NABAVKU NEFINANCIJSKE IMOVINE</t>
  </si>
  <si>
    <t>3. TEKUĆA BILANCA (1-2)</t>
  </si>
  <si>
    <t>6. NETO NABAVKA NEFINANCIJSKE IMOVINE (4-5)</t>
  </si>
  <si>
    <t>1.1.  PRIHODI OD POREZA (1.1.1.+...+1.1.7.)</t>
  </si>
  <si>
    <t>8. PRIMICI OD FINANCIJSKE IMOVINE I ZADUŽIVANJA</t>
  </si>
  <si>
    <t>9. IZDACI ZA NABAVKU FINANCIJSKE IMOVINE I 
    OTPLATE DUGOVA</t>
  </si>
  <si>
    <t>1.5.  PRIHODI PO OSNOVI ZAOSTALIH OBVEZA</t>
  </si>
  <si>
    <t>1. PRORAČUNSKI PRIHODI (1.1.+1.2.+1.3.+1.4.+1.5.)</t>
  </si>
  <si>
    <t xml:space="preserve">       9.1.  Izdaci za otplate dugova</t>
  </si>
  <si>
    <t>10. NETO FINANCIRANJE (8-9)</t>
  </si>
  <si>
    <t>11. UKUPAN FINANCIJSKI REZULTAT (7+10)</t>
  </si>
  <si>
    <t>12. POKRIĆE OSTVARENOG DEFICITA (12=11)</t>
  </si>
  <si>
    <t xml:space="preserve">      17010001 Ministarstvo zdravstva, rada i socijalne politike - 
      Civilne žrtve rata</t>
  </si>
  <si>
    <t xml:space="preserve">      99999999 Riznica ŽP - Proračunska potpora</t>
  </si>
  <si>
    <t xml:space="preserve">      20030002 Osnovna škola Vladimira Nazora Odžak</t>
  </si>
  <si>
    <t>7. UKUPAN SUFICIT/DEFICIT (3+6)</t>
  </si>
  <si>
    <t xml:space="preserve">      99999999 Riznica ŽP - Sanacija šteta od poplava</t>
  </si>
  <si>
    <t>UKUPNO POREZNI I NEPOREZNI PRIHODI (I+II)</t>
  </si>
  <si>
    <t>UKUPNO PRIHODI (I+II+III+IV+V)</t>
  </si>
  <si>
    <t xml:space="preserve">   Naknade za korištenje poljopr.zemljišta u nepoljopr.svrhe</t>
  </si>
  <si>
    <t>INDEKS 4/3</t>
  </si>
  <si>
    <t>INDEKS 7/6</t>
  </si>
  <si>
    <t xml:space="preserve"> Grantovi za poljoprivredu</t>
  </si>
  <si>
    <t xml:space="preserve"> Grantovi za vodoprivredu</t>
  </si>
  <si>
    <t xml:space="preserve"> Grant za uređenje poljoprivrednog zemljišta</t>
  </si>
  <si>
    <t xml:space="preserve"> Transfer za sufinanciranje prijevoza učenika</t>
  </si>
  <si>
    <t>Ministarstvo unutarnjih poslova</t>
  </si>
  <si>
    <t>Proračunski
korisnik</t>
  </si>
  <si>
    <t>Stručna služba Skupštine</t>
  </si>
  <si>
    <t>Ministarstvo prosvjete, znanosti, kulture i športa - Srednja škola Pere Zečevića Odžak</t>
  </si>
  <si>
    <t>Ministarstvo prosvjete, znanosti, kulture i športa - Školski centar fra Martina Nedića Orašje</t>
  </si>
  <si>
    <t>Ministarstvo prosvjete, znanosti, kulture i športa - Srednja strukovna škola Orašje</t>
  </si>
  <si>
    <t>Ministarstvo prosvjete, znanosti, kulture i športa - Osnovna škola Orašje</t>
  </si>
  <si>
    <t>Ministarstvo prosvjete, znanosti, kulture i športa - Osnovna škola Vladimira Nazora Odžak</t>
  </si>
  <si>
    <t>Ministarstvo prosvjete, znanosti, kulture i športa - Osnovna škola Ruđera Boškovića Donja Mahala</t>
  </si>
  <si>
    <t>Ministarstvo prosvjete, znanosti, kulture i športa - Osnovna škola fra Ilije Starčevića Tolisa</t>
  </si>
  <si>
    <t>Ministarstvo prosvjete, znanosti, kulture i športa - Osnovna škola Stjepana Radića Oštra Luka-Bok</t>
  </si>
  <si>
    <t>Ministarstvo prosvjete, znanosti, kulture i športa - Osnovna škola A.G.Matoša Vidovice</t>
  </si>
  <si>
    <t>Ministarstvo prosvjete, znanosti, kulture i športa - Osnovna škola Braće Radića Domaljevac</t>
  </si>
  <si>
    <t>Bruto plaće
611100</t>
  </si>
  <si>
    <t>Nakn.trošk.zaposlenih
611200</t>
  </si>
  <si>
    <t xml:space="preserve">Tekući grantovi
614000 </t>
  </si>
  <si>
    <t>Kapitalni grantovi
615000</t>
  </si>
  <si>
    <t>Izdaci za kamate
616000</t>
  </si>
  <si>
    <t>Otplate dugova
823000</t>
  </si>
  <si>
    <t>UKUPNO</t>
  </si>
  <si>
    <t>NAZIV</t>
  </si>
  <si>
    <t>Dopr.posl.
612000</t>
  </si>
  <si>
    <t>Mat.trošk.
613000</t>
  </si>
  <si>
    <t>Nab.staln.
sredstava
821000</t>
  </si>
  <si>
    <t>UKUPNO:</t>
  </si>
  <si>
    <t>Tekuća pričuva</t>
  </si>
  <si>
    <t>43.</t>
  </si>
  <si>
    <t>44.</t>
  </si>
  <si>
    <t>Proračun</t>
  </si>
  <si>
    <t>Izvor financiranja</t>
  </si>
  <si>
    <t>3=4+5+6</t>
  </si>
  <si>
    <t>1. Primljeni tekući grantovi od inozemnih vlada i 
   međunarodnih organizacija</t>
  </si>
  <si>
    <t xml:space="preserve">   Primljeni tekući grantovi od inoz.vlada i međ.organizacija</t>
  </si>
  <si>
    <t xml:space="preserve">   Primljeni tekući grantovi od međunarodnih organizacija</t>
  </si>
  <si>
    <t>2. Primljeni tekući grantovi od ostalih razina vlasti</t>
  </si>
  <si>
    <t xml:space="preserve">   Primljeni tekući grantovi od ostalih razina vlasti i fondova</t>
  </si>
  <si>
    <t xml:space="preserve">   Primljeni tekući grantovi od ostalih razina vlasti</t>
  </si>
  <si>
    <t xml:space="preserve">   Primljeni tekući grantovi od FBiH</t>
  </si>
  <si>
    <t xml:space="preserve">   Primljeni namjenski grantovi od drugih razina vlasti</t>
  </si>
  <si>
    <t xml:space="preserve">   Primljeni namjenski grantovi za obrazovanje</t>
  </si>
  <si>
    <t>IV KAPITALNI GRANTOVI</t>
  </si>
  <si>
    <t>1. Primljeni kapitalni grantovi od inozemnih vlada i 
   međunarodnih organizacija</t>
  </si>
  <si>
    <t xml:space="preserve">   Primljeni kapitalni grantovi od inozemnih vlada i 
   međunarodnih organizacija</t>
  </si>
  <si>
    <t xml:space="preserve">   Primljeni kapitalni grantovi od inozemnih vlada</t>
  </si>
  <si>
    <t>2. Kapitalni grantovi od ostalih razina vlasti</t>
  </si>
  <si>
    <t xml:space="preserve">   Kapitalni grantovi od ostalih razina vlasti i fondova</t>
  </si>
  <si>
    <t xml:space="preserve">   Primljeni kapitalni grantovi od Federacije</t>
  </si>
  <si>
    <t>UKUPNO PRIHODI, TEKUĆI I KAPITALNI GRANTOVI I PRIMICI:</t>
  </si>
  <si>
    <t>Rashodi i izdaci</t>
  </si>
  <si>
    <t>Pokriće deficita</t>
  </si>
  <si>
    <t>III TEKUĆI GRANTOVI (GRANTOVI I DONACIJE)</t>
  </si>
  <si>
    <t>1.3.  TEKUĆI GRANTOVI (GRANTOVI I DONACIJE)</t>
  </si>
  <si>
    <t>1.4.  KAPITALNI GRANTOVI</t>
  </si>
  <si>
    <t>PRORAČUN za 
2016.godinu</t>
  </si>
  <si>
    <t>PRORAČUN za
2016.</t>
  </si>
  <si>
    <t>PRORAČUN za 2016.</t>
  </si>
  <si>
    <t>45.</t>
  </si>
  <si>
    <t>Funk. kod</t>
  </si>
  <si>
    <t>Opis</t>
  </si>
  <si>
    <t>011</t>
  </si>
  <si>
    <t>012</t>
  </si>
  <si>
    <t>Strana ekonomska pomoć</t>
  </si>
  <si>
    <t>013</t>
  </si>
  <si>
    <t>Opće usluge</t>
  </si>
  <si>
    <t>014</t>
  </si>
  <si>
    <t>Osnovno istraživanje</t>
  </si>
  <si>
    <t>015</t>
  </si>
  <si>
    <t>IiR Opće javne usluge</t>
  </si>
  <si>
    <t>016</t>
  </si>
  <si>
    <t>Opće javne usluge n. k.</t>
  </si>
  <si>
    <t>017</t>
  </si>
  <si>
    <t xml:space="preserve">Transakcije vezane za javni dug </t>
  </si>
  <si>
    <t>018</t>
  </si>
  <si>
    <t>021</t>
  </si>
  <si>
    <t>022</t>
  </si>
  <si>
    <t>023</t>
  </si>
  <si>
    <t>024</t>
  </si>
  <si>
    <t>025</t>
  </si>
  <si>
    <t>Javni red i sigurnost       (18+….+23)</t>
  </si>
  <si>
    <t>031</t>
  </si>
  <si>
    <t>Policijske usluge</t>
  </si>
  <si>
    <t>032</t>
  </si>
  <si>
    <t>033</t>
  </si>
  <si>
    <t>Sudovi</t>
  </si>
  <si>
    <t>034</t>
  </si>
  <si>
    <t>Zatvori</t>
  </si>
  <si>
    <t>035</t>
  </si>
  <si>
    <t>IiR  Javni red i sigurnost</t>
  </si>
  <si>
    <t>036</t>
  </si>
  <si>
    <t>Javni red i sigurnost n. k.</t>
  </si>
  <si>
    <t>04</t>
  </si>
  <si>
    <t>Ekonomski poslovi    (25+….+33)</t>
  </si>
  <si>
    <t>041</t>
  </si>
  <si>
    <t>Opći ekonomski, komercijalni i poslovi po pitanju rada</t>
  </si>
  <si>
    <t>042</t>
  </si>
  <si>
    <t>Poljoprivreda, šumarstvo, lov i ribolov</t>
  </si>
  <si>
    <t>043</t>
  </si>
  <si>
    <t>Gorivo i energija</t>
  </si>
  <si>
    <t>044</t>
  </si>
  <si>
    <t xml:space="preserve">Rudarstvo, proizvodnja i izgradnja </t>
  </si>
  <si>
    <t>045</t>
  </si>
  <si>
    <t>046</t>
  </si>
  <si>
    <t>Komunikacije</t>
  </si>
  <si>
    <t>047</t>
  </si>
  <si>
    <t>Ostale industrije</t>
  </si>
  <si>
    <t>048</t>
  </si>
  <si>
    <t>IiR Ekonomski poslovi</t>
  </si>
  <si>
    <t>049</t>
  </si>
  <si>
    <t>Ekonomski poslovi n. k.</t>
  </si>
  <si>
    <t>Zaštita životne sredine      (35+…..+40)</t>
  </si>
  <si>
    <t>051</t>
  </si>
  <si>
    <t xml:space="preserve">Upravljanje otpadom </t>
  </si>
  <si>
    <t>052</t>
  </si>
  <si>
    <t>Upravljanje otpadnim vodama</t>
  </si>
  <si>
    <t>053</t>
  </si>
  <si>
    <t>Smanjenje zagađenosti</t>
  </si>
  <si>
    <t>054</t>
  </si>
  <si>
    <t>055</t>
  </si>
  <si>
    <t>056</t>
  </si>
  <si>
    <t>Zaštita životne sredine n. k.</t>
  </si>
  <si>
    <t>Stambeni i zajednički poslovi    (42+….+47)</t>
  </si>
  <si>
    <t>061</t>
  </si>
  <si>
    <t>Stambeni razvoj</t>
  </si>
  <si>
    <t>062</t>
  </si>
  <si>
    <t>Razvoj zajednice</t>
  </si>
  <si>
    <t>063</t>
  </si>
  <si>
    <t>064</t>
  </si>
  <si>
    <t>Ulična rasvjeta</t>
  </si>
  <si>
    <t>065</t>
  </si>
  <si>
    <t>IiR Stambeni i zajednički poslovi</t>
  </si>
  <si>
    <t>066</t>
  </si>
  <si>
    <t>Stambeni i zajednički poslovi n. k.</t>
  </si>
  <si>
    <t>07</t>
  </si>
  <si>
    <t>Zdravstvo    (49+….+54)</t>
  </si>
  <si>
    <t>071</t>
  </si>
  <si>
    <t>Medicinski proizvodi, uređaji i oprema</t>
  </si>
  <si>
    <t>072</t>
  </si>
  <si>
    <t xml:space="preserve"> Grant za Udr.roditelja djece s pos.potrebama 
 Angelus Domaljevac</t>
  </si>
  <si>
    <t xml:space="preserve"> Ostali grantovi-izvršenje sudskih presuda i rješenja o izvršenju</t>
  </si>
  <si>
    <t xml:space="preserve"> Grant za Udrugu roditelja djece s posebnim potrebama Angelus Domaljevac</t>
  </si>
  <si>
    <t xml:space="preserve"> Nabavka stalnih sredstava u obliku prava</t>
  </si>
  <si>
    <t xml:space="preserve">   Porez na ukupan prihod fizičkih osoba</t>
  </si>
  <si>
    <t xml:space="preserve">   Porez na promet proizvoda (niža stopa)</t>
  </si>
  <si>
    <r>
      <t xml:space="preserve">      19010001 Ministarstvo poljopr., vodoprivrede i šumarstva 
      </t>
    </r>
    <r>
      <rPr>
        <b/>
        <sz val="10"/>
        <color indexed="8"/>
        <rFont val="Calibri"/>
        <family val="2"/>
        <charset val="238"/>
      </rPr>
      <t>(razgraničenja)</t>
    </r>
  </si>
  <si>
    <t xml:space="preserve">   Ostali prihodi za korištenje, zaštitu i unapređenje šuma po 
   županijskim propisima</t>
  </si>
  <si>
    <r>
      <t xml:space="preserve">      99999999 Riznica </t>
    </r>
    <r>
      <rPr>
        <b/>
        <sz val="10"/>
        <color indexed="8"/>
        <rFont val="Calibri"/>
        <family val="2"/>
        <charset val="238"/>
      </rPr>
      <t>(razgraničenja)</t>
    </r>
  </si>
  <si>
    <t xml:space="preserve">   Posebna vodna naknada za vađenje materijala iz vodotoka</t>
  </si>
  <si>
    <r>
      <t xml:space="preserve">      23010001 Uprava za civilnu zaštitu </t>
    </r>
    <r>
      <rPr>
        <b/>
        <sz val="10"/>
        <color indexed="8"/>
        <rFont val="Calibri"/>
        <family val="2"/>
        <charset val="238"/>
      </rPr>
      <t>(razgraničenja)</t>
    </r>
  </si>
  <si>
    <t xml:space="preserve">   Ostali povrati</t>
  </si>
  <si>
    <t xml:space="preserve">     19010001 Min.poljoprivrede, vodoprivrede i šumarstva - DR.SHARE</t>
  </si>
  <si>
    <t xml:space="preserve">      27010001 Kant.tužiteljstvo - IPA</t>
  </si>
  <si>
    <t xml:space="preserve">      20010001 Ministarstvo prosvjete, znanosti, kulture i športa - 
      Nabavka sigurnosnih golova</t>
  </si>
  <si>
    <r>
      <t xml:space="preserve">      20030007 Osnovna škola Braće Radića Domaljevac
      </t>
    </r>
    <r>
      <rPr>
        <b/>
        <sz val="10"/>
        <color indexed="8"/>
        <rFont val="Calibri"/>
        <family val="2"/>
        <charset val="238"/>
      </rPr>
      <t>(razgraničenja)</t>
    </r>
  </si>
  <si>
    <t xml:space="preserve">      20030002 Osnovna škola Vladimira Nazora Odžak </t>
  </si>
  <si>
    <t xml:space="preserve">      11010001 Vlada ŽP - Fed.minist.prostornog uređenja</t>
  </si>
  <si>
    <r>
      <t xml:space="preserve">      18010001 Ministarstvo prometa, veza, turizma i zašt.okoliša
      </t>
    </r>
    <r>
      <rPr>
        <sz val="10"/>
        <color indexed="8"/>
        <rFont val="Calibri"/>
        <family val="2"/>
        <charset val="238"/>
      </rPr>
      <t>- GSM licence</t>
    </r>
  </si>
  <si>
    <t xml:space="preserve">      18010001 Ministarstvo prometa, veza, turizma i zašt.okoliša
      - Federalno ministarstvo raseljenih osoba i izbjeglica</t>
  </si>
  <si>
    <t xml:space="preserve">      20030005 Osnovna škola Stjepana Radića O.Luka-Bok</t>
  </si>
  <si>
    <t>2. PRORAČUNSKI RASHODI (2.1.+2.2.)</t>
  </si>
  <si>
    <t>2.1.  Rashodi - Tekuća pričuva</t>
  </si>
  <si>
    <t>2.2.  Plaće i naknade troškova zaposlenih</t>
  </si>
  <si>
    <t>2.3.  Doprinosi poslodavca i ostali doprinosi</t>
  </si>
  <si>
    <t>2.4.  Izdaci za materijal, sitan inventar i usluge</t>
  </si>
  <si>
    <t>2.5.  Tekući grantovi i drugi tekući rashodi</t>
  </si>
  <si>
    <t>2.6.  Kapitalni grantovi</t>
  </si>
  <si>
    <t>2.7.  Izdaci za kamate</t>
  </si>
  <si>
    <t xml:space="preserve">       5.1.  Izdaci za nabavku stalnih sredstava</t>
  </si>
  <si>
    <t>UKUPNO POKRIĆE DEFICITA</t>
  </si>
  <si>
    <t>UKUPNO RASHODI I IZDACI</t>
  </si>
  <si>
    <t xml:space="preserve">     Na temelju članka 26. stavak (1.) točka f) Ustava Županije Posavske ("Narodne novine Županije Posavske", broj: 1/96, 3/96, 7/99, 3/00, 5/00 i 7/04) i članka 37.(3.) Zakona o proračunima u Federaciji Bosne i Hercegovine ("Službene novine Federacije BiH", broj: 102/13, 9/14, 13/14, 8/15, 91/15 i 102/15), Skupština Županije Posavske na  _____ sjednici održanoj dana ______________ 2016. godine usvaja</t>
  </si>
  <si>
    <t xml:space="preserve">   Prihodi od zakupa javnog vodnog dobra na površinskim vodama I kategorije</t>
  </si>
  <si>
    <t xml:space="preserve">   Prihodi od prodaje stanova koji su u vlasništvu nadležne razine vlasti</t>
  </si>
  <si>
    <t xml:space="preserve">   Naknada za postavljanje reklamnih panoa</t>
  </si>
  <si>
    <t xml:space="preserve">   Prihodi od mjenice</t>
  </si>
  <si>
    <t xml:space="preserve">      16010001 Ministarstvo financija - Refundacija kamata</t>
  </si>
  <si>
    <t xml:space="preserve">   Primljeni kapitalni grantovi od općina</t>
  </si>
  <si>
    <t xml:space="preserve">      11010001 Vlada ŽP - Ured za Hrvate izvan RH</t>
  </si>
  <si>
    <r>
      <t xml:space="preserve">      99999999 Riznica ŽP - Sanacija šteta od poplava </t>
    </r>
    <r>
      <rPr>
        <b/>
        <sz val="10"/>
        <color indexed="8"/>
        <rFont val="Calibri"/>
        <family val="2"/>
        <charset val="238"/>
      </rPr>
      <t>(razgraničenja)</t>
    </r>
  </si>
  <si>
    <r>
      <t xml:space="preserve">   Naknada u postupku promjene namjene šumskog zemljišta (krčenje šuma) 
   </t>
    </r>
    <r>
      <rPr>
        <b/>
        <sz val="10"/>
        <color indexed="8"/>
        <rFont val="Calibri"/>
        <family val="2"/>
        <charset val="238"/>
      </rPr>
      <t>(razgraničenja)</t>
    </r>
  </si>
  <si>
    <r>
      <t xml:space="preserve">   Prihodi od iznajmljivanja zemljišta </t>
    </r>
    <r>
      <rPr>
        <b/>
        <sz val="10"/>
        <color indexed="8"/>
        <rFont val="Calibri"/>
        <family val="2"/>
        <charset val="238"/>
      </rPr>
      <t>(razgraničenja)</t>
    </r>
  </si>
  <si>
    <t>Minist.prosv., znanosti, kulture i športa - Osnovna škola fra Ilije Starčevića Tolisa</t>
  </si>
  <si>
    <t>PRORAČUN za 2017.</t>
  </si>
  <si>
    <t>PRORAČUN za 
2017.godinu</t>
  </si>
  <si>
    <t>Orašje, prosinac 2016.godine</t>
  </si>
  <si>
    <t>Proračun ŽP za 2017. godinu (po korisnicima i ekonom.klasifikacijama izdataka)</t>
  </si>
  <si>
    <t>Funkcijska klasifikacija rashoda i izdataka Proračuna Županije Posavske za 2017. godinu</t>
  </si>
  <si>
    <t>Izdaci za nabavku stalnih sredstava za 2017.g.(po pror.korisn.i izv.financiranja)</t>
  </si>
  <si>
    <r>
      <t>PRORAČUN 
ŽUPANIJE POSAVSKE</t>
    </r>
    <r>
      <rPr>
        <b/>
        <sz val="10"/>
        <rFont val="Arial"/>
        <family val="2"/>
      </rPr>
      <t xml:space="preserve">
</t>
    </r>
    <r>
      <rPr>
        <b/>
        <sz val="14"/>
        <rFont val="Arial"/>
        <family val="2"/>
      </rPr>
      <t>za 2017. godinu</t>
    </r>
  </si>
  <si>
    <t>P R O R A Č U N</t>
  </si>
  <si>
    <t xml:space="preserve"> Županije Posavske za 2017. godinu</t>
  </si>
  <si>
    <t xml:space="preserve">     "Prihodi, primici i financiranje" i "Rashodi i izdaci" po grupama utvrđuju se u Računu prihoda i rashoda za 2017.godinu kako slijedi:</t>
  </si>
  <si>
    <t xml:space="preserve">     Proračun Županije Posavske za 2017.godinu sastoji se od:</t>
  </si>
  <si>
    <t>PRORAČUN ŽUPANIJE POSAVSKE ZA 2017. GODINU (po korisnicima i ekonomskim klasifikacijama izdataka)</t>
  </si>
  <si>
    <t>FUNKCIJSKA KLASIFIKACIJA RASHODA I IZDATAKA PRORAČUNA ŽUPANIJE POSAVSKE ZA 2017.GODINU</t>
  </si>
  <si>
    <t>PRORAČUN za 2017. godinu</t>
  </si>
  <si>
    <t>IZDACI ZA NABAVKU STALNIH SREDSTAVA ŽUPANIJE POSAVSKE ZA 2017. GODINU (po proračunskim korisnicima i izvorima financiranja)</t>
  </si>
  <si>
    <t xml:space="preserve">     Ovaj Proračun stupa na snagu narednog dana od dana objave u "Narodnim novinama Županije Posavske", a primjenjivat će se za fiskalnu 2017. godinu.</t>
  </si>
  <si>
    <t xml:space="preserve"> Naknade troškova zaposlenih - volonteri ()</t>
  </si>
  <si>
    <t xml:space="preserve"> Ugovorene i druge posebne usluge-volonterski rad ()</t>
  </si>
  <si>
    <t xml:space="preserve"> Ugovorene i druge posebne usluge-volonteri ()</t>
  </si>
  <si>
    <t xml:space="preserve">      20030006 Osnovna škola A.G.Matoša Vidovice</t>
  </si>
  <si>
    <t xml:space="preserve">      20030007 Osnovna škola Braće Radića Domaljevac</t>
  </si>
  <si>
    <t xml:space="preserve">   Primici od prodaje zemljišta</t>
  </si>
  <si>
    <t xml:space="preserve">   Primici od prodaje prometnih vozila</t>
  </si>
  <si>
    <t xml:space="preserve"> Potpora riznici</t>
  </si>
  <si>
    <t xml:space="preserve"> Grantovi neprofitnim organizacijama i udrugama građana</t>
  </si>
  <si>
    <t xml:space="preserve"> Grantovi neprofitnim organizacijama i udrugama 
 građana</t>
  </si>
  <si>
    <t>54 (61)</t>
  </si>
  <si>
    <t>45 (53)</t>
  </si>
  <si>
    <t>46 (47)</t>
  </si>
  <si>
    <t>21 (21)</t>
  </si>
  <si>
    <t>32 (32)</t>
  </si>
  <si>
    <t xml:space="preserve"> Naknade troškova zaposlenih - volonteri (60)</t>
  </si>
  <si>
    <t xml:space="preserve"> Ugovorene i druge posebne usluge-volonteri (60)</t>
  </si>
  <si>
    <t xml:space="preserve">      20020002 Srednja škola Pere Zečevića Odžak - Federalno ministarstvo 
      prostornog uređenja</t>
  </si>
  <si>
    <t xml:space="preserve">      20020002 Srednja škola Pere Zečevića Odžak - Ured za Hrvate izvan RH</t>
  </si>
  <si>
    <t>54 (55)</t>
  </si>
  <si>
    <t>108 (114)</t>
  </si>
  <si>
    <t>45 (45)</t>
  </si>
  <si>
    <t>57 (58)</t>
  </si>
  <si>
    <t>953 (977)</t>
  </si>
  <si>
    <t xml:space="preserve"> Grant za Udr.roditelja djece s pos.potreb.Orašje</t>
  </si>
  <si>
    <t>Namjenski prihodi</t>
  </si>
  <si>
    <t>Grantovi i donacije</t>
  </si>
  <si>
    <t>Minist.prosv., znan., kult.i šp.- Osnovna škola Stjepana Radića Oštra Luka-Bok</t>
  </si>
  <si>
    <t>Minist.prosvj., znanosti, kulture i športa - Osnovna škola A.G.Matoša Vidovice</t>
  </si>
  <si>
    <t>Minist.prosv., znan., kulture i športa - Osnovna škola Braće Radića Domaljevac</t>
  </si>
  <si>
    <t>951 (981)</t>
  </si>
  <si>
    <t>55 (56)</t>
  </si>
  <si>
    <t>54 (54)</t>
  </si>
  <si>
    <t>107 (114)</t>
  </si>
  <si>
    <t>33 (33)</t>
  </si>
  <si>
    <t>44 (44)</t>
  </si>
  <si>
    <t xml:space="preserve">   Primljeni tekući grantovi od inozemnih vlada</t>
  </si>
  <si>
    <t xml:space="preserve">      23010001 Uprava za civilnu zaštitu -  Ambasada Švicarske u Sarajevu</t>
  </si>
  <si>
    <t xml:space="preserve">      20030002 Osnovna škola Vladimira Nazora Odžak - Federalno ministarstvo 
      obrazovanja i nauke</t>
  </si>
  <si>
    <t xml:space="preserve">      20030007 Osnovna škola Braće Radića Domaljevac - Federalno ministarstvo 
      obrazovanja i nauke</t>
  </si>
  <si>
    <t xml:space="preserve">      99999999 Riznica ŽP - Federalni stožer civilne zaštite</t>
  </si>
  <si>
    <r>
      <t xml:space="preserve">      20030005 Osnovna škola Stjepana Radića O.Luka-Bok </t>
    </r>
    <r>
      <rPr>
        <b/>
        <sz val="10"/>
        <color indexed="8"/>
        <rFont val="Calibri"/>
        <family val="2"/>
        <charset val="238"/>
      </rPr>
      <t>(razgraničenja)</t>
    </r>
  </si>
  <si>
    <t xml:space="preserve">   Primljeni kapitalni grantovi od Države</t>
  </si>
  <si>
    <r>
      <t xml:space="preserve">      20030006 Osnovna škola A.G.Matoša Vidovice </t>
    </r>
    <r>
      <rPr>
        <b/>
        <sz val="10"/>
        <color indexed="8"/>
        <rFont val="Calibri"/>
        <family val="2"/>
        <charset val="238"/>
      </rPr>
      <t>(razgraničenja)</t>
    </r>
  </si>
  <si>
    <t xml:space="preserve">      20020002 Srednja škola Pere Zečevića Odžak - Federalno ministarstvo 
      obrazovanja i nauke</t>
  </si>
  <si>
    <t xml:space="preserve">      20030001 Osnovna škola Orašje</t>
  </si>
  <si>
    <t xml:space="preserve">      11010001 Vlada Županije Posavske</t>
  </si>
</sst>
</file>

<file path=xl/styles.xml><?xml version="1.0" encoding="utf-8"?>
<styleSheet xmlns="http://schemas.openxmlformats.org/spreadsheetml/2006/main">
  <numFmts count="6">
    <numFmt numFmtId="5" formatCode="#,##0\ &quot;KM&quot;;\-#,##0\ &quot;KM&quot;"/>
    <numFmt numFmtId="171" formatCode="_-* #,##0.00\ _k_n_-;\-* #,##0.00\ _k_n_-;_-* &quot;-&quot;??\ _k_n_-;_-@_-"/>
    <numFmt numFmtId="179" formatCode="_-* #,##0.00_-;\-* #,##0.00_-;_-* &quot;-&quot;??_-;_-@_-"/>
    <numFmt numFmtId="196" formatCode="_-* #,##0_-;\-* #,##0_-;_-* &quot;-&quot;??_-;_-@_-"/>
    <numFmt numFmtId="209" formatCode="000"/>
    <numFmt numFmtId="212" formatCode="0.000%"/>
  </numFmts>
  <fonts count="32">
    <font>
      <sz val="10"/>
      <name val="Arial"/>
      <charset val="238"/>
    </font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sz val="10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</font>
    <font>
      <b/>
      <i/>
      <sz val="14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i/>
      <sz val="10"/>
      <name val="Arial"/>
      <family val="2"/>
      <charset val="238"/>
    </font>
    <font>
      <b/>
      <i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i/>
      <sz val="10"/>
      <color indexed="8"/>
      <name val="Calibri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179" fontId="11" fillId="0" borderId="0" applyFont="0" applyFill="0" applyBorder="0" applyAlignment="0" applyProtection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2" fillId="0" borderId="0"/>
    <xf numFmtId="0" fontId="10" fillId="0" borderId="0"/>
    <xf numFmtId="9" fontId="1" fillId="0" borderId="0" applyFont="0" applyFill="0" applyBorder="0" applyAlignment="0" applyProtection="0"/>
    <xf numFmtId="171" fontId="11" fillId="0" borderId="0" applyFont="0" applyFill="0" applyBorder="0" applyAlignment="0" applyProtection="0"/>
  </cellStyleXfs>
  <cellXfs count="460">
    <xf numFmtId="0" fontId="0" fillId="0" borderId="0" xfId="0"/>
    <xf numFmtId="0" fontId="3" fillId="0" borderId="0" xfId="4" applyFont="1"/>
    <xf numFmtId="0" fontId="3" fillId="0" borderId="0" xfId="4" applyFont="1" applyAlignment="1">
      <alignment horizontal="center"/>
    </xf>
    <xf numFmtId="0" fontId="3" fillId="0" borderId="1" xfId="4" applyFont="1" applyBorder="1" applyAlignment="1">
      <alignment horizontal="center" vertical="center" textRotation="90" wrapText="1"/>
    </xf>
    <xf numFmtId="0" fontId="3" fillId="0" borderId="2" xfId="4" applyFont="1" applyBorder="1" applyAlignment="1">
      <alignment horizontal="center" vertical="center" textRotation="90" wrapText="1"/>
    </xf>
    <xf numFmtId="0" fontId="3" fillId="0" borderId="2" xfId="4" applyFont="1" applyFill="1" applyBorder="1" applyAlignment="1">
      <alignment horizontal="center" vertical="center" textRotation="90" wrapText="1"/>
    </xf>
    <xf numFmtId="0" fontId="3" fillId="0" borderId="2" xfId="4" applyFont="1" applyBorder="1" applyAlignment="1">
      <alignment horizontal="center" vertical="center" wrapText="1"/>
    </xf>
    <xf numFmtId="0" fontId="3" fillId="0" borderId="2" xfId="4" applyFont="1" applyBorder="1" applyAlignment="1">
      <alignment horizontal="center" vertical="center"/>
    </xf>
    <xf numFmtId="0" fontId="3" fillId="0" borderId="3" xfId="4" applyFont="1" applyBorder="1" applyAlignment="1">
      <alignment horizontal="center"/>
    </xf>
    <xf numFmtId="0" fontId="3" fillId="0" borderId="4" xfId="4" applyFont="1" applyBorder="1" applyAlignment="1">
      <alignment horizontal="center"/>
    </xf>
    <xf numFmtId="49" fontId="3" fillId="0" borderId="3" xfId="4" applyNumberFormat="1" applyFont="1" applyBorder="1" applyAlignment="1">
      <alignment horizontal="center"/>
    </xf>
    <xf numFmtId="49" fontId="3" fillId="0" borderId="4" xfId="4" applyNumberFormat="1" applyFont="1" applyBorder="1" applyAlignment="1">
      <alignment horizontal="center"/>
    </xf>
    <xf numFmtId="0" fontId="3" fillId="0" borderId="4" xfId="4" applyFont="1" applyBorder="1"/>
    <xf numFmtId="0" fontId="2" fillId="0" borderId="0" xfId="4"/>
    <xf numFmtId="0" fontId="2" fillId="0" borderId="3" xfId="4" applyBorder="1"/>
    <xf numFmtId="0" fontId="2" fillId="0" borderId="4" xfId="4" applyBorder="1"/>
    <xf numFmtId="0" fontId="2" fillId="0" borderId="4" xfId="4" applyBorder="1" applyAlignment="1">
      <alignment horizontal="center"/>
    </xf>
    <xf numFmtId="0" fontId="3" fillId="0" borderId="3" xfId="4" applyFont="1" applyBorder="1"/>
    <xf numFmtId="0" fontId="4" fillId="0" borderId="4" xfId="4" applyFont="1" applyBorder="1"/>
    <xf numFmtId="0" fontId="2" fillId="0" borderId="4" xfId="4" applyFill="1" applyBorder="1"/>
    <xf numFmtId="3" fontId="3" fillId="0" borderId="4" xfId="4" applyNumberFormat="1" applyFont="1" applyBorder="1"/>
    <xf numFmtId="0" fontId="2" fillId="0" borderId="5" xfId="4" applyBorder="1"/>
    <xf numFmtId="0" fontId="2" fillId="0" borderId="6" xfId="4" applyBorder="1"/>
    <xf numFmtId="0" fontId="2" fillId="0" borderId="6" xfId="4" applyBorder="1" applyAlignment="1">
      <alignment horizontal="center"/>
    </xf>
    <xf numFmtId="0" fontId="2" fillId="0" borderId="0" xfId="4" applyAlignment="1">
      <alignment horizontal="center"/>
    </xf>
    <xf numFmtId="3" fontId="3" fillId="0" borderId="4" xfId="4" applyNumberFormat="1" applyFont="1" applyBorder="1" applyAlignment="1">
      <alignment horizontal="right"/>
    </xf>
    <xf numFmtId="0" fontId="2" fillId="0" borderId="4" xfId="4" applyFont="1" applyBorder="1"/>
    <xf numFmtId="0" fontId="3" fillId="0" borderId="4" xfId="4" applyFont="1" applyBorder="1" applyAlignment="1">
      <alignment horizontal="left"/>
    </xf>
    <xf numFmtId="0" fontId="3" fillId="0" borderId="7" xfId="4" applyFont="1" applyBorder="1"/>
    <xf numFmtId="0" fontId="0" fillId="0" borderId="4" xfId="0" applyBorder="1"/>
    <xf numFmtId="0" fontId="2" fillId="0" borderId="8" xfId="4" applyBorder="1"/>
    <xf numFmtId="0" fontId="3" fillId="0" borderId="8" xfId="4" applyFont="1" applyBorder="1"/>
    <xf numFmtId="49" fontId="0" fillId="0" borderId="3" xfId="0" applyNumberFormat="1" applyBorder="1" applyAlignment="1">
      <alignment horizontal="center"/>
    </xf>
    <xf numFmtId="0" fontId="3" fillId="0" borderId="4" xfId="0" applyFont="1" applyBorder="1"/>
    <xf numFmtId="0" fontId="3" fillId="0" borderId="8" xfId="4" applyFont="1" applyBorder="1" applyAlignment="1">
      <alignment horizontal="center"/>
    </xf>
    <xf numFmtId="0" fontId="2" fillId="0" borderId="9" xfId="4" applyBorder="1"/>
    <xf numFmtId="0" fontId="2" fillId="0" borderId="3" xfId="4" applyBorder="1" applyAlignment="1">
      <alignment horizontal="center"/>
    </xf>
    <xf numFmtId="49" fontId="2" fillId="0" borderId="3" xfId="4" applyNumberFormat="1" applyBorder="1" applyAlignment="1">
      <alignment horizontal="center"/>
    </xf>
    <xf numFmtId="49" fontId="2" fillId="0" borderId="3" xfId="4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2" fillId="0" borderId="5" xfId="4" applyBorder="1" applyAlignment="1">
      <alignment horizontal="center"/>
    </xf>
    <xf numFmtId="0" fontId="3" fillId="2" borderId="1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/>
    </xf>
    <xf numFmtId="3" fontId="2" fillId="0" borderId="4" xfId="4" applyNumberFormat="1" applyBorder="1"/>
    <xf numFmtId="3" fontId="4" fillId="0" borderId="4" xfId="4" applyNumberFormat="1" applyFont="1" applyBorder="1"/>
    <xf numFmtId="3" fontId="2" fillId="0" borderId="6" xfId="4" applyNumberFormat="1" applyBorder="1"/>
    <xf numFmtId="0" fontId="2" fillId="0" borderId="0" xfId="4" applyFont="1" applyAlignment="1">
      <alignment horizontal="left"/>
    </xf>
    <xf numFmtId="0" fontId="7" fillId="0" borderId="0" xfId="4" applyFont="1" applyAlignment="1">
      <alignment horizontal="left"/>
    </xf>
    <xf numFmtId="3" fontId="2" fillId="0" borderId="9" xfId="4" applyNumberFormat="1" applyBorder="1"/>
    <xf numFmtId="3" fontId="3" fillId="3" borderId="4" xfId="4" applyNumberFormat="1" applyFont="1" applyFill="1" applyBorder="1"/>
    <xf numFmtId="0" fontId="3" fillId="0" borderId="3" xfId="0" applyFont="1" applyBorder="1" applyAlignment="1">
      <alignment horizontal="center"/>
    </xf>
    <xf numFmtId="0" fontId="9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4" xfId="4" applyFont="1" applyBorder="1" applyAlignment="1">
      <alignment horizontal="center"/>
    </xf>
    <xf numFmtId="0" fontId="4" fillId="0" borderId="4" xfId="4" applyFont="1" applyBorder="1" applyAlignment="1">
      <alignment horizontal="left"/>
    </xf>
    <xf numFmtId="0" fontId="0" fillId="0" borderId="10" xfId="0" applyBorder="1"/>
    <xf numFmtId="0" fontId="3" fillId="0" borderId="11" xfId="4" applyFont="1" applyBorder="1" applyAlignment="1">
      <alignment horizontal="center"/>
    </xf>
    <xf numFmtId="0" fontId="2" fillId="0" borderId="12" xfId="4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2" fillId="0" borderId="10" xfId="4" applyFill="1" applyBorder="1"/>
    <xf numFmtId="0" fontId="2" fillId="0" borderId="11" xfId="4" applyBorder="1" applyAlignment="1">
      <alignment horizontal="center"/>
    </xf>
    <xf numFmtId="3" fontId="4" fillId="0" borderId="4" xfId="4" applyNumberFormat="1" applyFont="1" applyBorder="1" applyAlignment="1">
      <alignment horizontal="right"/>
    </xf>
    <xf numFmtId="0" fontId="4" fillId="0" borderId="3" xfId="4" applyFont="1" applyBorder="1" applyAlignment="1">
      <alignment horizontal="center"/>
    </xf>
    <xf numFmtId="0" fontId="4" fillId="0" borderId="4" xfId="0" applyFont="1" applyBorder="1"/>
    <xf numFmtId="0" fontId="3" fillId="0" borderId="2" xfId="4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12" xfId="4" applyFont="1" applyBorder="1"/>
    <xf numFmtId="0" fontId="10" fillId="0" borderId="0" xfId="0" applyFont="1"/>
    <xf numFmtId="0" fontId="0" fillId="0" borderId="4" xfId="0" applyBorder="1" applyAlignment="1">
      <alignment wrapText="1"/>
    </xf>
    <xf numFmtId="0" fontId="3" fillId="0" borderId="4" xfId="0" applyFont="1" applyBorder="1" applyAlignment="1">
      <alignment horizontal="right" wrapText="1"/>
    </xf>
    <xf numFmtId="0" fontId="3" fillId="0" borderId="4" xfId="0" applyFont="1" applyFill="1" applyBorder="1" applyAlignment="1">
      <alignment wrapText="1"/>
    </xf>
    <xf numFmtId="0" fontId="3" fillId="0" borderId="3" xfId="0" applyFont="1" applyBorder="1" applyAlignment="1">
      <alignment horizontal="right" wrapText="1"/>
    </xf>
    <xf numFmtId="0" fontId="3" fillId="0" borderId="12" xfId="4" applyFont="1" applyBorder="1"/>
    <xf numFmtId="0" fontId="2" fillId="0" borderId="10" xfId="4" applyBorder="1" applyAlignment="1">
      <alignment horizontal="center"/>
    </xf>
    <xf numFmtId="0" fontId="2" fillId="0" borderId="13" xfId="4" applyBorder="1" applyAlignment="1">
      <alignment horizontal="center"/>
    </xf>
    <xf numFmtId="0" fontId="2" fillId="0" borderId="14" xfId="4" applyBorder="1"/>
    <xf numFmtId="0" fontId="2" fillId="0" borderId="0" xfId="4" applyBorder="1"/>
    <xf numFmtId="49" fontId="4" fillId="0" borderId="3" xfId="0" applyNumberFormat="1" applyFont="1" applyBorder="1" applyAlignment="1">
      <alignment horizontal="center"/>
    </xf>
    <xf numFmtId="0" fontId="2" fillId="0" borderId="0" xfId="4" applyFont="1"/>
    <xf numFmtId="3" fontId="2" fillId="0" borderId="4" xfId="4" applyNumberForma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0" fillId="0" borderId="0" xfId="0" applyBorder="1" applyAlignment="1"/>
    <xf numFmtId="0" fontId="0" fillId="0" borderId="15" xfId="0" applyBorder="1" applyAlignment="1">
      <alignment horizontal="center"/>
    </xf>
    <xf numFmtId="0" fontId="7" fillId="0" borderId="0" xfId="0" applyFont="1" applyBorder="1" applyAlignment="1"/>
    <xf numFmtId="3" fontId="2" fillId="0" borderId="16" xfId="4" applyNumberFormat="1" applyBorder="1"/>
    <xf numFmtId="2" fontId="3" fillId="0" borderId="0" xfId="4" applyNumberFormat="1" applyFont="1"/>
    <xf numFmtId="3" fontId="2" fillId="0" borderId="0" xfId="4" applyNumberFormat="1"/>
    <xf numFmtId="3" fontId="3" fillId="0" borderId="0" xfId="4" applyNumberFormat="1" applyFont="1"/>
    <xf numFmtId="3" fontId="3" fillId="0" borderId="8" xfId="0" applyNumberFormat="1" applyFont="1" applyBorder="1"/>
    <xf numFmtId="3" fontId="0" fillId="0" borderId="8" xfId="0" applyNumberFormat="1" applyBorder="1"/>
    <xf numFmtId="3" fontId="2" fillId="0" borderId="0" xfId="4" applyNumberFormat="1" applyFont="1"/>
    <xf numFmtId="0" fontId="4" fillId="0" borderId="0" xfId="4" applyFont="1"/>
    <xf numFmtId="0" fontId="4" fillId="0" borderId="3" xfId="4" applyFont="1" applyBorder="1"/>
    <xf numFmtId="0" fontId="3" fillId="0" borderId="17" xfId="4" applyFont="1" applyBorder="1" applyAlignment="1">
      <alignment horizontal="center"/>
    </xf>
    <xf numFmtId="0" fontId="4" fillId="0" borderId="0" xfId="0" applyFont="1"/>
    <xf numFmtId="0" fontId="4" fillId="0" borderId="3" xfId="0" applyFont="1" applyBorder="1" applyAlignment="1">
      <alignment horizontal="center"/>
    </xf>
    <xf numFmtId="0" fontId="4" fillId="0" borderId="4" xfId="0" applyFont="1" applyFill="1" applyBorder="1" applyAlignment="1">
      <alignment wrapText="1"/>
    </xf>
    <xf numFmtId="3" fontId="4" fillId="0" borderId="8" xfId="0" applyNumberFormat="1" applyFont="1" applyBorder="1"/>
    <xf numFmtId="3" fontId="0" fillId="0" borderId="0" xfId="0" applyNumberFormat="1"/>
    <xf numFmtId="49" fontId="0" fillId="0" borderId="12" xfId="0" applyNumberFormat="1" applyBorder="1" applyAlignment="1">
      <alignment horizontal="center"/>
    </xf>
    <xf numFmtId="0" fontId="3" fillId="0" borderId="0" xfId="4" applyFont="1" applyAlignment="1">
      <alignment horizontal="left"/>
    </xf>
    <xf numFmtId="0" fontId="6" fillId="0" borderId="0" xfId="4" applyFont="1" applyAlignment="1">
      <alignment horizontal="left"/>
    </xf>
    <xf numFmtId="0" fontId="10" fillId="0" borderId="0" xfId="4" applyFont="1" applyAlignment="1">
      <alignment horizontal="left"/>
    </xf>
    <xf numFmtId="0" fontId="10" fillId="0" borderId="0" xfId="4" applyFont="1"/>
    <xf numFmtId="3" fontId="3" fillId="0" borderId="4" xfId="4" applyNumberFormat="1" applyFont="1" applyFill="1" applyBorder="1"/>
    <xf numFmtId="3" fontId="10" fillId="0" borderId="4" xfId="4" applyNumberFormat="1" applyFont="1" applyBorder="1"/>
    <xf numFmtId="0" fontId="2" fillId="0" borderId="4" xfId="4" applyFont="1" applyFill="1" applyBorder="1"/>
    <xf numFmtId="0" fontId="2" fillId="0" borderId="0" xfId="4" applyFont="1" applyFill="1"/>
    <xf numFmtId="0" fontId="2" fillId="0" borderId="0" xfId="4" applyFill="1"/>
    <xf numFmtId="0" fontId="3" fillId="0" borderId="0" xfId="4" applyFont="1" applyFill="1"/>
    <xf numFmtId="0" fontId="0" fillId="0" borderId="4" xfId="0" applyFill="1" applyBorder="1" applyAlignment="1">
      <alignment wrapText="1"/>
    </xf>
    <xf numFmtId="0" fontId="0" fillId="0" borderId="4" xfId="0" applyFill="1" applyBorder="1"/>
    <xf numFmtId="0" fontId="4" fillId="0" borderId="4" xfId="4" applyFont="1" applyFill="1" applyBorder="1"/>
    <xf numFmtId="3" fontId="4" fillId="0" borderId="4" xfId="4" applyNumberFormat="1" applyFont="1" applyFill="1" applyBorder="1"/>
    <xf numFmtId="0" fontId="2" fillId="0" borderId="12" xfId="4" applyFill="1" applyBorder="1" applyAlignment="1">
      <alignment horizontal="center"/>
    </xf>
    <xf numFmtId="0" fontId="2" fillId="0" borderId="4" xfId="4" applyFill="1" applyBorder="1" applyAlignment="1">
      <alignment horizontal="center"/>
    </xf>
    <xf numFmtId="0" fontId="2" fillId="0" borderId="3" xfId="4" applyFill="1" applyBorder="1" applyAlignment="1">
      <alignment horizontal="center"/>
    </xf>
    <xf numFmtId="3" fontId="4" fillId="0" borderId="4" xfId="4" applyNumberFormat="1" applyFont="1" applyFill="1" applyBorder="1" applyProtection="1">
      <protection locked="0"/>
    </xf>
    <xf numFmtId="49" fontId="0" fillId="0" borderId="3" xfId="0" applyNumberFormat="1" applyFill="1" applyBorder="1" applyAlignment="1">
      <alignment horizontal="center"/>
    </xf>
    <xf numFmtId="0" fontId="0" fillId="0" borderId="15" xfId="0" applyBorder="1"/>
    <xf numFmtId="0" fontId="9" fillId="0" borderId="0" xfId="0" applyFont="1" applyAlignment="1">
      <alignment horizontal="center" vertical="top"/>
    </xf>
    <xf numFmtId="0" fontId="6" fillId="0" borderId="0" xfId="0" applyFont="1" applyBorder="1"/>
    <xf numFmtId="0" fontId="6" fillId="0" borderId="4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0" borderId="12" xfId="4" applyFont="1" applyFill="1" applyBorder="1" applyAlignment="1">
      <alignment horizontal="center"/>
    </xf>
    <xf numFmtId="1" fontId="4" fillId="0" borderId="0" xfId="4" applyNumberFormat="1" applyFont="1"/>
    <xf numFmtId="2" fontId="4" fillId="0" borderId="0" xfId="4" applyNumberFormat="1" applyFont="1"/>
    <xf numFmtId="3" fontId="3" fillId="0" borderId="4" xfId="4" applyNumberFormat="1" applyFont="1" applyFill="1" applyBorder="1" applyAlignment="1">
      <alignment horizontal="right"/>
    </xf>
    <xf numFmtId="49" fontId="3" fillId="0" borderId="3" xfId="4" applyNumberFormat="1" applyFont="1" applyFill="1" applyBorder="1" applyAlignment="1">
      <alignment horizontal="center"/>
    </xf>
    <xf numFmtId="49" fontId="3" fillId="0" borderId="4" xfId="4" applyNumberFormat="1" applyFont="1" applyFill="1" applyBorder="1" applyAlignment="1">
      <alignment horizontal="center"/>
    </xf>
    <xf numFmtId="3" fontId="3" fillId="0" borderId="0" xfId="4" applyNumberFormat="1" applyFont="1" applyAlignment="1">
      <alignment horizontal="center"/>
    </xf>
    <xf numFmtId="0" fontId="5" fillId="0" borderId="0" xfId="4" applyFont="1" applyBorder="1" applyAlignment="1">
      <alignment horizontal="left"/>
    </xf>
    <xf numFmtId="0" fontId="3" fillId="2" borderId="2" xfId="0" applyFont="1" applyFill="1" applyBorder="1" applyAlignment="1">
      <alignment horizontal="center" vertical="center" wrapText="1"/>
    </xf>
    <xf numFmtId="4" fontId="2" fillId="0" borderId="0" xfId="4" applyNumberFormat="1"/>
    <xf numFmtId="4" fontId="3" fillId="2" borderId="19" xfId="4" applyNumberFormat="1" applyFont="1" applyFill="1" applyBorder="1" applyAlignment="1">
      <alignment horizontal="center" vertical="center" wrapText="1"/>
    </xf>
    <xf numFmtId="4" fontId="2" fillId="0" borderId="20" xfId="4" applyNumberFormat="1" applyBorder="1"/>
    <xf numFmtId="4" fontId="3" fillId="0" borderId="20" xfId="4" applyNumberFormat="1" applyFont="1" applyBorder="1"/>
    <xf numFmtId="4" fontId="2" fillId="0" borderId="21" xfId="4" applyNumberFormat="1" applyBorder="1"/>
    <xf numFmtId="4" fontId="7" fillId="0" borderId="0" xfId="4" applyNumberFormat="1" applyFont="1" applyAlignment="1">
      <alignment horizontal="left"/>
    </xf>
    <xf numFmtId="4" fontId="3" fillId="0" borderId="0" xfId="4" applyNumberFormat="1" applyFont="1" applyAlignment="1">
      <alignment horizontal="left"/>
    </xf>
    <xf numFmtId="4" fontId="3" fillId="0" borderId="0" xfId="4" applyNumberFormat="1" applyFont="1" applyFill="1" applyAlignment="1">
      <alignment horizontal="left"/>
    </xf>
    <xf numFmtId="4" fontId="2" fillId="0" borderId="16" xfId="4" applyNumberFormat="1" applyBorder="1"/>
    <xf numFmtId="4" fontId="3" fillId="0" borderId="22" xfId="4" applyNumberFormat="1" applyFont="1" applyFill="1" applyBorder="1" applyAlignment="1">
      <alignment horizontal="center" vertical="center" wrapText="1"/>
    </xf>
    <xf numFmtId="0" fontId="3" fillId="0" borderId="23" xfId="4" applyFont="1" applyBorder="1" applyAlignment="1">
      <alignment horizontal="center"/>
    </xf>
    <xf numFmtId="4" fontId="3" fillId="0" borderId="23" xfId="4" applyNumberFormat="1" applyFont="1" applyBorder="1" applyAlignment="1">
      <alignment horizontal="center"/>
    </xf>
    <xf numFmtId="4" fontId="3" fillId="0" borderId="23" xfId="4" applyNumberFormat="1" applyFont="1" applyFill="1" applyBorder="1"/>
    <xf numFmtId="4" fontId="4" fillId="0" borderId="23" xfId="4" applyNumberFormat="1" applyFont="1" applyFill="1" applyBorder="1"/>
    <xf numFmtId="4" fontId="2" fillId="0" borderId="23" xfId="4" applyNumberFormat="1" applyBorder="1"/>
    <xf numFmtId="4" fontId="3" fillId="0" borderId="23" xfId="4" applyNumberFormat="1" applyFont="1" applyBorder="1"/>
    <xf numFmtId="4" fontId="2" fillId="0" borderId="24" xfId="4" applyNumberFormat="1" applyBorder="1"/>
    <xf numFmtId="3" fontId="2" fillId="0" borderId="10" xfId="4" applyNumberFormat="1" applyBorder="1"/>
    <xf numFmtId="3" fontId="3" fillId="3" borderId="10" xfId="4" applyNumberFormat="1" applyFont="1" applyFill="1" applyBorder="1"/>
    <xf numFmtId="3" fontId="4" fillId="0" borderId="10" xfId="4" applyNumberFormat="1" applyFont="1" applyBorder="1"/>
    <xf numFmtId="3" fontId="2" fillId="0" borderId="10" xfId="4" applyNumberFormat="1" applyFill="1" applyBorder="1"/>
    <xf numFmtId="0" fontId="3" fillId="0" borderId="10" xfId="4" applyFont="1" applyBorder="1" applyAlignment="1">
      <alignment horizontal="center"/>
    </xf>
    <xf numFmtId="3" fontId="3" fillId="0" borderId="10" xfId="4" applyNumberFormat="1" applyFont="1" applyFill="1" applyBorder="1" applyAlignment="1">
      <alignment horizontal="right"/>
    </xf>
    <xf numFmtId="3" fontId="3" fillId="0" borderId="10" xfId="4" applyNumberFormat="1" applyFont="1" applyBorder="1"/>
    <xf numFmtId="3" fontId="4" fillId="0" borderId="10" xfId="4" applyNumberFormat="1" applyFont="1" applyFill="1" applyBorder="1"/>
    <xf numFmtId="3" fontId="3" fillId="0" borderId="4" xfId="4" applyNumberFormat="1" applyFont="1" applyBorder="1" applyAlignment="1">
      <alignment horizontal="center"/>
    </xf>
    <xf numFmtId="3" fontId="2" fillId="0" borderId="4" xfId="4" applyNumberFormat="1" applyFont="1" applyFill="1" applyBorder="1"/>
    <xf numFmtId="3" fontId="8" fillId="0" borderId="4" xfId="4" applyNumberFormat="1" applyFont="1" applyFill="1" applyBorder="1"/>
    <xf numFmtId="4" fontId="3" fillId="0" borderId="23" xfId="4" applyNumberFormat="1" applyFont="1" applyBorder="1" applyAlignment="1">
      <alignment horizontal="right"/>
    </xf>
    <xf numFmtId="3" fontId="10" fillId="0" borderId="4" xfId="4" applyNumberFormat="1" applyFont="1" applyFill="1" applyBorder="1"/>
    <xf numFmtId="4" fontId="3" fillId="0" borderId="23" xfId="4" applyNumberFormat="1" applyFont="1" applyFill="1" applyBorder="1" applyAlignment="1">
      <alignment horizontal="right"/>
    </xf>
    <xf numFmtId="4" fontId="3" fillId="0" borderId="24" xfId="4" applyNumberFormat="1" applyFont="1" applyBorder="1"/>
    <xf numFmtId="3" fontId="3" fillId="0" borderId="6" xfId="4" applyNumberFormat="1" applyFont="1" applyBorder="1"/>
    <xf numFmtId="4" fontId="4" fillId="0" borderId="23" xfId="4" applyNumberFormat="1" applyFont="1" applyBorder="1" applyAlignment="1">
      <alignment horizontal="right"/>
    </xf>
    <xf numFmtId="0" fontId="3" fillId="2" borderId="2" xfId="4" applyFont="1" applyFill="1" applyBorder="1" applyAlignment="1">
      <alignment horizontal="center" vertical="center" wrapText="1"/>
    </xf>
    <xf numFmtId="0" fontId="4" fillId="0" borderId="4" xfId="4" applyFont="1" applyFill="1" applyBorder="1" applyAlignment="1">
      <alignment wrapText="1"/>
    </xf>
    <xf numFmtId="3" fontId="4" fillId="0" borderId="0" xfId="4" applyNumberFormat="1" applyFont="1"/>
    <xf numFmtId="3" fontId="4" fillId="0" borderId="0" xfId="0" applyNumberFormat="1" applyFont="1"/>
    <xf numFmtId="3" fontId="4" fillId="0" borderId="8" xfId="0" applyNumberFormat="1" applyFont="1" applyFill="1" applyBorder="1"/>
    <xf numFmtId="0" fontId="3" fillId="0" borderId="0" xfId="0" applyFont="1" applyBorder="1"/>
    <xf numFmtId="3" fontId="0" fillId="0" borderId="0" xfId="0" applyNumberFormat="1" applyBorder="1"/>
    <xf numFmtId="5" fontId="9" fillId="0" borderId="14" xfId="4" applyNumberFormat="1" applyFont="1" applyBorder="1" applyAlignment="1"/>
    <xf numFmtId="5" fontId="15" fillId="0" borderId="14" xfId="0" applyNumberFormat="1" applyFont="1" applyBorder="1" applyAlignment="1"/>
    <xf numFmtId="0" fontId="2" fillId="0" borderId="3" xfId="4" applyBorder="1" applyAlignment="1">
      <alignment vertical="center"/>
    </xf>
    <xf numFmtId="0" fontId="2" fillId="0" borderId="4" xfId="4" applyBorder="1" applyAlignment="1">
      <alignment vertical="center"/>
    </xf>
    <xf numFmtId="0" fontId="2" fillId="0" borderId="8" xfId="4" applyBorder="1" applyAlignment="1">
      <alignment vertical="center"/>
    </xf>
    <xf numFmtId="0" fontId="2" fillId="0" borderId="4" xfId="4" applyBorder="1" applyAlignment="1">
      <alignment horizontal="center" vertical="center"/>
    </xf>
    <xf numFmtId="0" fontId="0" fillId="0" borderId="4" xfId="0" applyFill="1" applyBorder="1" applyAlignment="1">
      <alignment vertical="center" wrapText="1"/>
    </xf>
    <xf numFmtId="3" fontId="4" fillId="0" borderId="4" xfId="4" applyNumberFormat="1" applyFont="1" applyFill="1" applyBorder="1" applyAlignment="1">
      <alignment vertical="center"/>
    </xf>
    <xf numFmtId="4" fontId="4" fillId="0" borderId="23" xfId="4" applyNumberFormat="1" applyFont="1" applyFill="1" applyBorder="1" applyAlignment="1">
      <alignment vertical="center"/>
    </xf>
    <xf numFmtId="0" fontId="10" fillId="0" borderId="0" xfId="4" applyFont="1" applyAlignment="1">
      <alignment vertical="center"/>
    </xf>
    <xf numFmtId="0" fontId="2" fillId="0" borderId="0" xfId="4" applyAlignment="1">
      <alignment vertical="center"/>
    </xf>
    <xf numFmtId="0" fontId="0" fillId="0" borderId="4" xfId="0" applyBorder="1" applyAlignment="1">
      <alignment vertical="center" wrapText="1"/>
    </xf>
    <xf numFmtId="0" fontId="4" fillId="0" borderId="3" xfId="4" applyFont="1" applyBorder="1" applyAlignment="1">
      <alignment vertical="center"/>
    </xf>
    <xf numFmtId="0" fontId="4" fillId="0" borderId="4" xfId="4" applyFont="1" applyBorder="1" applyAlignment="1">
      <alignment vertical="center"/>
    </xf>
    <xf numFmtId="0" fontId="4" fillId="0" borderId="4" xfId="4" applyFont="1" applyBorder="1" applyAlignment="1">
      <alignment horizontal="center" vertical="center"/>
    </xf>
    <xf numFmtId="0" fontId="4" fillId="0" borderId="4" xfId="4" applyFont="1" applyFill="1" applyBorder="1" applyAlignment="1">
      <alignment vertical="center" wrapText="1"/>
    </xf>
    <xf numFmtId="3" fontId="4" fillId="0" borderId="10" xfId="4" applyNumberFormat="1" applyFont="1" applyBorder="1" applyAlignment="1">
      <alignment vertical="center"/>
    </xf>
    <xf numFmtId="0" fontId="4" fillId="0" borderId="0" xfId="4" applyFont="1" applyAlignment="1">
      <alignment vertical="center"/>
    </xf>
    <xf numFmtId="3" fontId="4" fillId="0" borderId="0" xfId="4" applyNumberFormat="1" applyFont="1" applyAlignment="1">
      <alignment vertical="center"/>
    </xf>
    <xf numFmtId="4" fontId="8" fillId="0" borderId="23" xfId="4" applyNumberFormat="1" applyFont="1" applyFill="1" applyBorder="1"/>
    <xf numFmtId="0" fontId="10" fillId="0" borderId="4" xfId="0" applyFont="1" applyBorder="1" applyAlignment="1">
      <alignment wrapText="1"/>
    </xf>
    <xf numFmtId="0" fontId="0" fillId="0" borderId="3" xfId="0" applyBorder="1" applyAlignment="1">
      <alignment horizontal="right"/>
    </xf>
    <xf numFmtId="3" fontId="8" fillId="0" borderId="8" xfId="0" applyNumberFormat="1" applyFont="1" applyBorder="1"/>
    <xf numFmtId="4" fontId="8" fillId="0" borderId="20" xfId="0" applyNumberFormat="1" applyFont="1" applyBorder="1"/>
    <xf numFmtId="3" fontId="8" fillId="0" borderId="0" xfId="0" applyNumberFormat="1" applyFont="1"/>
    <xf numFmtId="0" fontId="8" fillId="0" borderId="0" xfId="0" applyFont="1"/>
    <xf numFmtId="0" fontId="8" fillId="0" borderId="3" xfId="0" applyFont="1" applyBorder="1" applyAlignment="1">
      <alignment horizontal="right"/>
    </xf>
    <xf numFmtId="0" fontId="8" fillId="0" borderId="4" xfId="0" applyFont="1" applyBorder="1" applyAlignment="1">
      <alignment wrapText="1"/>
    </xf>
    <xf numFmtId="4" fontId="8" fillId="0" borderId="0" xfId="0" applyNumberFormat="1" applyFont="1"/>
    <xf numFmtId="3" fontId="10" fillId="0" borderId="8" xfId="0" applyNumberFormat="1" applyFont="1" applyFill="1" applyBorder="1"/>
    <xf numFmtId="4" fontId="10" fillId="0" borderId="20" xfId="0" applyNumberFormat="1" applyFont="1" applyFill="1" applyBorder="1"/>
    <xf numFmtId="0" fontId="10" fillId="0" borderId="3" xfId="0" applyFont="1" applyBorder="1" applyAlignment="1">
      <alignment horizontal="right"/>
    </xf>
    <xf numFmtId="3" fontId="16" fillId="0" borderId="8" xfId="0" applyNumberFormat="1" applyFont="1" applyFill="1" applyBorder="1"/>
    <xf numFmtId="4" fontId="10" fillId="0" borderId="20" xfId="0" applyNumberFormat="1" applyFont="1" applyBorder="1"/>
    <xf numFmtId="3" fontId="10" fillId="0" borderId="8" xfId="0" applyNumberFormat="1" applyFont="1" applyBorder="1"/>
    <xf numFmtId="0" fontId="3" fillId="0" borderId="3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3" fillId="4" borderId="4" xfId="0" applyFont="1" applyFill="1" applyBorder="1" applyAlignment="1">
      <alignment wrapText="1"/>
    </xf>
    <xf numFmtId="0" fontId="3" fillId="0" borderId="4" xfId="0" applyFont="1" applyFill="1" applyBorder="1"/>
    <xf numFmtId="4" fontId="8" fillId="0" borderId="20" xfId="0" applyNumberFormat="1" applyFont="1" applyFill="1" applyBorder="1"/>
    <xf numFmtId="3" fontId="17" fillId="0" borderId="8" xfId="0" applyNumberFormat="1" applyFont="1" applyFill="1" applyBorder="1"/>
    <xf numFmtId="0" fontId="8" fillId="0" borderId="4" xfId="0" applyFont="1" applyFill="1" applyBorder="1"/>
    <xf numFmtId="3" fontId="8" fillId="0" borderId="8" xfId="0" applyNumberFormat="1" applyFont="1" applyFill="1" applyBorder="1"/>
    <xf numFmtId="3" fontId="12" fillId="0" borderId="0" xfId="0" applyNumberFormat="1" applyFont="1"/>
    <xf numFmtId="0" fontId="17" fillId="0" borderId="3" xfId="0" applyFont="1" applyBorder="1" applyAlignment="1">
      <alignment horizontal="right"/>
    </xf>
    <xf numFmtId="0" fontId="8" fillId="0" borderId="4" xfId="0" applyFont="1" applyFill="1" applyBorder="1" applyAlignment="1">
      <alignment wrapText="1"/>
    </xf>
    <xf numFmtId="0" fontId="16" fillId="0" borderId="3" xfId="0" applyFont="1" applyBorder="1" applyAlignment="1">
      <alignment horizontal="right"/>
    </xf>
    <xf numFmtId="3" fontId="3" fillId="0" borderId="8" xfId="0" applyNumberFormat="1" applyFont="1" applyFill="1" applyBorder="1"/>
    <xf numFmtId="0" fontId="17" fillId="0" borderId="4" xfId="0" applyFont="1" applyFill="1" applyBorder="1" applyAlignment="1">
      <alignment wrapText="1"/>
    </xf>
    <xf numFmtId="0" fontId="17" fillId="0" borderId="4" xfId="0" applyFont="1" applyFill="1" applyBorder="1"/>
    <xf numFmtId="0" fontId="12" fillId="0" borderId="3" xfId="0" applyFont="1" applyBorder="1" applyAlignment="1">
      <alignment horizontal="right" wrapText="1"/>
    </xf>
    <xf numFmtId="0" fontId="12" fillId="0" borderId="4" xfId="0" applyFont="1" applyBorder="1" applyAlignment="1">
      <alignment horizontal="right" wrapText="1"/>
    </xf>
    <xf numFmtId="3" fontId="12" fillId="0" borderId="4" xfId="0" applyNumberFormat="1" applyFont="1" applyBorder="1"/>
    <xf numFmtId="0" fontId="12" fillId="0" borderId="0" xfId="0" applyFont="1"/>
    <xf numFmtId="0" fontId="0" fillId="0" borderId="0" xfId="0" applyFill="1" applyBorder="1" applyAlignment="1"/>
    <xf numFmtId="0" fontId="3" fillId="0" borderId="4" xfId="0" applyFont="1" applyFill="1" applyBorder="1" applyAlignment="1"/>
    <xf numFmtId="0" fontId="4" fillId="0" borderId="4" xfId="0" applyFont="1" applyFill="1" applyBorder="1" applyAlignment="1">
      <alignment horizontal="left" vertical="center"/>
    </xf>
    <xf numFmtId="0" fontId="18" fillId="0" borderId="0" xfId="0" applyFont="1"/>
    <xf numFmtId="0" fontId="18" fillId="0" borderId="0" xfId="0" applyFont="1" applyBorder="1" applyAlignment="1"/>
    <xf numFmtId="0" fontId="3" fillId="4" borderId="4" xfId="0" applyFont="1" applyFill="1" applyBorder="1" applyAlignment="1"/>
    <xf numFmtId="0" fontId="18" fillId="0" borderId="4" xfId="0" applyFont="1" applyBorder="1" applyAlignment="1">
      <alignment horizontal="center"/>
    </xf>
    <xf numFmtId="0" fontId="18" fillId="0" borderId="4" xfId="0" applyFont="1" applyBorder="1" applyAlignment="1">
      <alignment horizontal="center" wrapText="1"/>
    </xf>
    <xf numFmtId="0" fontId="3" fillId="0" borderId="4" xfId="0" applyFont="1" applyFill="1" applyBorder="1" applyAlignment="1">
      <alignment horizontal="left" vertical="center"/>
    </xf>
    <xf numFmtId="3" fontId="3" fillId="0" borderId="4" xfId="0" applyNumberFormat="1" applyFont="1" applyFill="1" applyBorder="1" applyAlignment="1"/>
    <xf numFmtId="0" fontId="3" fillId="4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3" fillId="0" borderId="0" xfId="0" applyFont="1" applyBorder="1" applyAlignment="1"/>
    <xf numFmtId="3" fontId="3" fillId="4" borderId="4" xfId="0" applyNumberFormat="1" applyFont="1" applyFill="1" applyBorder="1" applyAlignment="1"/>
    <xf numFmtId="0" fontId="3" fillId="4" borderId="25" xfId="0" applyFont="1" applyFill="1" applyBorder="1" applyAlignment="1">
      <alignment horizontal="left" vertical="center"/>
    </xf>
    <xf numFmtId="3" fontId="3" fillId="4" borderId="25" xfId="0" applyNumberFormat="1" applyFont="1" applyFill="1" applyBorder="1" applyAlignment="1"/>
    <xf numFmtId="0" fontId="3" fillId="4" borderId="26" xfId="0" applyFont="1" applyFill="1" applyBorder="1" applyAlignment="1"/>
    <xf numFmtId="3" fontId="3" fillId="4" borderId="26" xfId="0" applyNumberFormat="1" applyFont="1" applyFill="1" applyBorder="1" applyAlignment="1"/>
    <xf numFmtId="0" fontId="3" fillId="0" borderId="27" xfId="0" applyFont="1" applyFill="1" applyBorder="1" applyAlignment="1"/>
    <xf numFmtId="4" fontId="0" fillId="0" borderId="27" xfId="0" applyNumberFormat="1" applyFill="1" applyBorder="1" applyAlignment="1"/>
    <xf numFmtId="3" fontId="4" fillId="0" borderId="4" xfId="0" applyNumberFormat="1" applyFont="1" applyFill="1" applyBorder="1" applyAlignment="1">
      <alignment horizontal="right" vertical="center"/>
    </xf>
    <xf numFmtId="3" fontId="4" fillId="0" borderId="4" xfId="0" applyNumberFormat="1" applyFont="1" applyFill="1" applyBorder="1" applyAlignment="1">
      <alignment horizontal="right"/>
    </xf>
    <xf numFmtId="0" fontId="19" fillId="0" borderId="28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/>
    </xf>
    <xf numFmtId="2" fontId="3" fillId="4" borderId="4" xfId="0" applyNumberFormat="1" applyFont="1" applyFill="1" applyBorder="1" applyAlignment="1"/>
    <xf numFmtId="2" fontId="3" fillId="0" borderId="4" xfId="0" applyNumberFormat="1" applyFont="1" applyFill="1" applyBorder="1" applyAlignment="1">
      <alignment horizontal="right"/>
    </xf>
    <xf numFmtId="2" fontId="0" fillId="0" borderId="4" xfId="0" applyNumberFormat="1" applyFill="1" applyBorder="1" applyAlignment="1">
      <alignment horizontal="right" vertical="center"/>
    </xf>
    <xf numFmtId="2" fontId="0" fillId="0" borderId="4" xfId="0" applyNumberFormat="1" applyFill="1" applyBorder="1" applyAlignment="1">
      <alignment horizontal="right"/>
    </xf>
    <xf numFmtId="2" fontId="3" fillId="4" borderId="4" xfId="0" applyNumberFormat="1" applyFont="1" applyFill="1" applyBorder="1" applyAlignment="1">
      <alignment horizontal="right"/>
    </xf>
    <xf numFmtId="2" fontId="3" fillId="4" borderId="25" xfId="0" applyNumberFormat="1" applyFont="1" applyFill="1" applyBorder="1" applyAlignment="1">
      <alignment horizontal="right"/>
    </xf>
    <xf numFmtId="2" fontId="3" fillId="4" borderId="26" xfId="0" applyNumberFormat="1" applyFont="1" applyFill="1" applyBorder="1" applyAlignment="1">
      <alignment horizontal="right"/>
    </xf>
    <xf numFmtId="2" fontId="0" fillId="0" borderId="27" xfId="0" applyNumberFormat="1" applyFill="1" applyBorder="1" applyAlignment="1">
      <alignment horizontal="right"/>
    </xf>
    <xf numFmtId="2" fontId="4" fillId="0" borderId="4" xfId="0" applyNumberFormat="1" applyFont="1" applyFill="1" applyBorder="1" applyAlignment="1">
      <alignment horizontal="right" vertical="center"/>
    </xf>
    <xf numFmtId="3" fontId="0" fillId="0" borderId="8" xfId="0" applyNumberFormat="1" applyFill="1" applyBorder="1"/>
    <xf numFmtId="0" fontId="6" fillId="0" borderId="8" xfId="0" applyFont="1" applyBorder="1" applyAlignment="1"/>
    <xf numFmtId="0" fontId="6" fillId="0" borderId="29" xfId="0" applyFont="1" applyBorder="1" applyAlignment="1"/>
    <xf numFmtId="0" fontId="6" fillId="0" borderId="10" xfId="0" applyFont="1" applyBorder="1" applyAlignment="1"/>
    <xf numFmtId="3" fontId="0" fillId="0" borderId="4" xfId="0" applyNumberFormat="1" applyBorder="1"/>
    <xf numFmtId="3" fontId="3" fillId="0" borderId="4" xfId="0" applyNumberFormat="1" applyFont="1" applyBorder="1"/>
    <xf numFmtId="0" fontId="0" fillId="0" borderId="4" xfId="0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3" fillId="2" borderId="0" xfId="0" applyFont="1" applyFill="1"/>
    <xf numFmtId="0" fontId="3" fillId="2" borderId="4" xfId="0" applyFont="1" applyFill="1" applyBorder="1"/>
    <xf numFmtId="3" fontId="3" fillId="2" borderId="4" xfId="0" applyNumberFormat="1" applyFont="1" applyFill="1" applyBorder="1"/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3" fontId="3" fillId="2" borderId="0" xfId="0" applyNumberFormat="1" applyFont="1" applyFill="1"/>
    <xf numFmtId="4" fontId="3" fillId="0" borderId="0" xfId="4" applyNumberFormat="1" applyFont="1" applyAlignment="1">
      <alignment horizontal="center"/>
    </xf>
    <xf numFmtId="0" fontId="3" fillId="4" borderId="4" xfId="0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0" xfId="0" applyAlignment="1">
      <alignment wrapText="1"/>
    </xf>
    <xf numFmtId="4" fontId="2" fillId="0" borderId="0" xfId="4" applyNumberFormat="1" applyFont="1"/>
    <xf numFmtId="3" fontId="2" fillId="0" borderId="0" xfId="4" applyNumberFormat="1" applyFill="1"/>
    <xf numFmtId="4" fontId="2" fillId="0" borderId="0" xfId="4" applyNumberFormat="1" applyFill="1"/>
    <xf numFmtId="0" fontId="0" fillId="0" borderId="0" xfId="0" applyAlignment="1"/>
    <xf numFmtId="0" fontId="0" fillId="0" borderId="5" xfId="0" applyBorder="1" applyAlignment="1">
      <alignment horizontal="center"/>
    </xf>
    <xf numFmtId="0" fontId="0" fillId="0" borderId="6" xfId="0" applyBorder="1"/>
    <xf numFmtId="0" fontId="20" fillId="0" borderId="0" xfId="0" applyFont="1" applyFill="1" applyBorder="1" applyAlignment="1"/>
    <xf numFmtId="0" fontId="21" fillId="0" borderId="0" xfId="0" applyFont="1" applyFill="1" applyBorder="1" applyAlignment="1">
      <alignment horizontal="centerContinuous"/>
    </xf>
    <xf numFmtId="0" fontId="21" fillId="0" borderId="0" xfId="0" applyFont="1" applyAlignment="1">
      <alignment horizontal="centerContinuous"/>
    </xf>
    <xf numFmtId="0" fontId="22" fillId="0" borderId="0" xfId="0" applyFont="1" applyFill="1" applyBorder="1" applyAlignment="1"/>
    <xf numFmtId="0" fontId="22" fillId="0" borderId="0" xfId="0" applyFont="1" applyAlignment="1">
      <alignment horizontal="center"/>
    </xf>
    <xf numFmtId="0" fontId="22" fillId="0" borderId="0" xfId="0" applyFont="1" applyAlignment="1">
      <alignment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Continuous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Continuous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209" fontId="3" fillId="2" borderId="4" xfId="0" applyNumberFormat="1" applyFont="1" applyFill="1" applyBorder="1" applyAlignment="1">
      <alignment horizontal="left" vertical="center" wrapText="1"/>
    </xf>
    <xf numFmtId="3" fontId="3" fillId="2" borderId="4" xfId="0" applyNumberFormat="1" applyFont="1" applyFill="1" applyBorder="1" applyAlignment="1">
      <alignment horizontal="right" vertical="center"/>
    </xf>
    <xf numFmtId="49" fontId="4" fillId="0" borderId="4" xfId="0" applyNumberFormat="1" applyFont="1" applyFill="1" applyBorder="1" applyAlignment="1">
      <alignment horizontal="center" vertical="center" wrapText="1"/>
    </xf>
    <xf numFmtId="209" fontId="4" fillId="0" borderId="4" xfId="0" applyNumberFormat="1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wrapText="1"/>
    </xf>
    <xf numFmtId="4" fontId="3" fillId="2" borderId="4" xfId="0" applyNumberFormat="1" applyFont="1" applyFill="1" applyBorder="1"/>
    <xf numFmtId="4" fontId="4" fillId="0" borderId="4" xfId="0" applyNumberFormat="1" applyFont="1" applyFill="1" applyBorder="1"/>
    <xf numFmtId="4" fontId="4" fillId="0" borderId="4" xfId="0" applyNumberFormat="1" applyFont="1" applyBorder="1"/>
    <xf numFmtId="4" fontId="3" fillId="2" borderId="4" xfId="0" applyNumberFormat="1" applyFont="1" applyFill="1" applyBorder="1" applyAlignment="1">
      <alignment vertical="center"/>
    </xf>
    <xf numFmtId="0" fontId="8" fillId="0" borderId="2" xfId="4" applyFont="1" applyFill="1" applyBorder="1" applyAlignment="1">
      <alignment horizontal="center" vertical="center" wrapText="1"/>
    </xf>
    <xf numFmtId="0" fontId="10" fillId="0" borderId="4" xfId="4" applyFont="1" applyFill="1" applyBorder="1"/>
    <xf numFmtId="0" fontId="10" fillId="0" borderId="4" xfId="4" applyFont="1" applyFill="1" applyBorder="1" applyAlignment="1">
      <alignment wrapText="1"/>
    </xf>
    <xf numFmtId="0" fontId="19" fillId="0" borderId="30" xfId="5" applyFont="1" applyFill="1" applyBorder="1" applyAlignment="1">
      <alignment horizontal="center" vertical="center" wrapText="1"/>
    </xf>
    <xf numFmtId="0" fontId="19" fillId="0" borderId="20" xfId="5" applyFont="1" applyFill="1" applyBorder="1" applyAlignment="1">
      <alignment horizontal="center" vertical="center" wrapText="1"/>
    </xf>
    <xf numFmtId="0" fontId="0" fillId="0" borderId="0" xfId="0" applyFill="1"/>
    <xf numFmtId="3" fontId="6" fillId="0" borderId="0" xfId="0" applyNumberFormat="1" applyFont="1" applyFill="1"/>
    <xf numFmtId="0" fontId="6" fillId="0" borderId="0" xfId="0" applyFont="1" applyFill="1"/>
    <xf numFmtId="4" fontId="8" fillId="0" borderId="0" xfId="0" applyNumberFormat="1" applyFont="1" applyFill="1"/>
    <xf numFmtId="171" fontId="8" fillId="0" borderId="0" xfId="0" applyNumberFormat="1" applyFont="1" applyFill="1"/>
    <xf numFmtId="0" fontId="8" fillId="0" borderId="0" xfId="0" applyFont="1" applyFill="1"/>
    <xf numFmtId="0" fontId="24" fillId="0" borderId="4" xfId="0" applyFont="1" applyBorder="1"/>
    <xf numFmtId="0" fontId="25" fillId="0" borderId="4" xfId="0" applyFont="1" applyFill="1" applyBorder="1" applyAlignment="1">
      <alignment wrapText="1"/>
    </xf>
    <xf numFmtId="0" fontId="25" fillId="0" borderId="4" xfId="0" applyFont="1" applyBorder="1"/>
    <xf numFmtId="0" fontId="24" fillId="0" borderId="4" xfId="0" applyFont="1" applyBorder="1" applyAlignment="1">
      <alignment wrapText="1"/>
    </xf>
    <xf numFmtId="3" fontId="8" fillId="0" borderId="0" xfId="0" applyNumberFormat="1" applyFont="1" applyFill="1"/>
    <xf numFmtId="171" fontId="8" fillId="0" borderId="0" xfId="7" applyFont="1" applyFill="1"/>
    <xf numFmtId="9" fontId="8" fillId="0" borderId="0" xfId="0" applyNumberFormat="1" applyFont="1" applyFill="1"/>
    <xf numFmtId="9" fontId="8" fillId="0" borderId="0" xfId="0" applyNumberFormat="1" applyFont="1"/>
    <xf numFmtId="171" fontId="8" fillId="0" borderId="0" xfId="7" applyFont="1"/>
    <xf numFmtId="0" fontId="24" fillId="0" borderId="4" xfId="0" applyFont="1" applyFill="1" applyBorder="1"/>
    <xf numFmtId="0" fontId="26" fillId="0" borderId="4" xfId="0" applyFont="1" applyFill="1" applyBorder="1"/>
    <xf numFmtId="0" fontId="24" fillId="0" borderId="4" xfId="0" applyFont="1" applyFill="1" applyBorder="1" applyAlignment="1">
      <alignment wrapText="1"/>
    </xf>
    <xf numFmtId="0" fontId="26" fillId="0" borderId="4" xfId="0" applyFont="1" applyFill="1" applyBorder="1" applyAlignment="1">
      <alignment wrapText="1"/>
    </xf>
    <xf numFmtId="0" fontId="0" fillId="0" borderId="28" xfId="0" applyBorder="1" applyAlignment="1">
      <alignment horizontal="right"/>
    </xf>
    <xf numFmtId="0" fontId="24" fillId="0" borderId="12" xfId="0" applyFont="1" applyBorder="1"/>
    <xf numFmtId="3" fontId="0" fillId="0" borderId="30" xfId="0" applyNumberFormat="1" applyBorder="1"/>
    <xf numFmtId="0" fontId="0" fillId="0" borderId="12" xfId="0" applyFill="1" applyBorder="1" applyAlignment="1">
      <alignment wrapText="1"/>
    </xf>
    <xf numFmtId="3" fontId="4" fillId="0" borderId="30" xfId="0" applyNumberFormat="1" applyFont="1" applyFill="1" applyBorder="1"/>
    <xf numFmtId="0" fontId="10" fillId="0" borderId="28" xfId="0" applyFont="1" applyBorder="1" applyAlignment="1">
      <alignment horizontal="right"/>
    </xf>
    <xf numFmtId="0" fontId="0" fillId="0" borderId="12" xfId="0" applyBorder="1"/>
    <xf numFmtId="3" fontId="10" fillId="0" borderId="30" xfId="0" applyNumberFormat="1" applyFont="1" applyBorder="1"/>
    <xf numFmtId="4" fontId="23" fillId="7" borderId="20" xfId="0" applyNumberFormat="1" applyFont="1" applyFill="1" applyBorder="1"/>
    <xf numFmtId="4" fontId="8" fillId="7" borderId="20" xfId="0" applyNumberFormat="1" applyFont="1" applyFill="1" applyBorder="1"/>
    <xf numFmtId="4" fontId="10" fillId="0" borderId="31" xfId="0" applyNumberFormat="1" applyFont="1" applyBorder="1"/>
    <xf numFmtId="4" fontId="10" fillId="0" borderId="31" xfId="0" applyNumberFormat="1" applyFont="1" applyFill="1" applyBorder="1"/>
    <xf numFmtId="4" fontId="23" fillId="0" borderId="20" xfId="0" applyNumberFormat="1" applyFont="1" applyBorder="1"/>
    <xf numFmtId="4" fontId="23" fillId="7" borderId="32" xfId="0" applyNumberFormat="1" applyFont="1" applyFill="1" applyBorder="1"/>
    <xf numFmtId="0" fontId="8" fillId="0" borderId="4" xfId="0" applyFont="1" applyFill="1" applyBorder="1" applyAlignment="1">
      <alignment horizontal="left" vertical="center"/>
    </xf>
    <xf numFmtId="0" fontId="8" fillId="0" borderId="25" xfId="0" applyFont="1" applyFill="1" applyBorder="1" applyAlignment="1">
      <alignment horizontal="left" vertical="center"/>
    </xf>
    <xf numFmtId="2" fontId="10" fillId="0" borderId="4" xfId="0" applyNumberFormat="1" applyFont="1" applyFill="1" applyBorder="1" applyAlignment="1">
      <alignment horizontal="right" vertical="center"/>
    </xf>
    <xf numFmtId="3" fontId="8" fillId="0" borderId="4" xfId="0" applyNumberFormat="1" applyFont="1" applyFill="1" applyBorder="1" applyAlignment="1"/>
    <xf numFmtId="2" fontId="8" fillId="0" borderId="4" xfId="0" applyNumberFormat="1" applyFont="1" applyFill="1" applyBorder="1" applyAlignment="1">
      <alignment horizontal="right"/>
    </xf>
    <xf numFmtId="3" fontId="8" fillId="0" borderId="4" xfId="0" applyNumberFormat="1" applyFont="1" applyFill="1" applyBorder="1" applyAlignment="1">
      <alignment horizontal="right" vertical="center"/>
    </xf>
    <xf numFmtId="2" fontId="8" fillId="0" borderId="4" xfId="0" applyNumberFormat="1" applyFont="1" applyFill="1" applyBorder="1" applyAlignment="1">
      <alignment horizontal="right" vertical="center"/>
    </xf>
    <xf numFmtId="3" fontId="8" fillId="0" borderId="25" xfId="0" applyNumberFormat="1" applyFont="1" applyFill="1" applyBorder="1" applyAlignment="1">
      <alignment horizontal="right" vertical="center"/>
    </xf>
    <xf numFmtId="2" fontId="8" fillId="0" borderId="25" xfId="0" applyNumberFormat="1" applyFont="1" applyFill="1" applyBorder="1" applyAlignment="1">
      <alignment horizontal="right" vertical="center"/>
    </xf>
    <xf numFmtId="0" fontId="10" fillId="0" borderId="4" xfId="4" applyFont="1" applyBorder="1"/>
    <xf numFmtId="3" fontId="3" fillId="0" borderId="0" xfId="0" applyNumberFormat="1" applyFont="1" applyFill="1" applyBorder="1" applyAlignment="1"/>
    <xf numFmtId="2" fontId="3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justify" wrapText="1"/>
    </xf>
    <xf numFmtId="10" fontId="0" fillId="0" borderId="0" xfId="0" applyNumberFormat="1"/>
    <xf numFmtId="212" fontId="0" fillId="0" borderId="0" xfId="6" applyNumberFormat="1" applyFont="1"/>
    <xf numFmtId="4" fontId="31" fillId="0" borderId="0" xfId="6" applyNumberFormat="1" applyFont="1"/>
    <xf numFmtId="4" fontId="27" fillId="7" borderId="20" xfId="0" applyNumberFormat="1" applyFont="1" applyFill="1" applyBorder="1"/>
    <xf numFmtId="4" fontId="28" fillId="0" borderId="20" xfId="0" applyNumberFormat="1" applyFont="1" applyBorder="1"/>
    <xf numFmtId="4" fontId="28" fillId="0" borderId="20" xfId="0" applyNumberFormat="1" applyFont="1" applyFill="1" applyBorder="1"/>
    <xf numFmtId="0" fontId="10" fillId="0" borderId="4" xfId="0" applyFont="1" applyBorder="1"/>
    <xf numFmtId="0" fontId="3" fillId="2" borderId="19" xfId="5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/>
    </xf>
    <xf numFmtId="0" fontId="12" fillId="7" borderId="4" xfId="0" applyFont="1" applyFill="1" applyBorder="1"/>
    <xf numFmtId="3" fontId="12" fillId="7" borderId="4" xfId="0" applyNumberFormat="1" applyFont="1" applyFill="1" applyBorder="1"/>
    <xf numFmtId="0" fontId="8" fillId="7" borderId="3" xfId="0" applyFont="1" applyFill="1" applyBorder="1" applyAlignment="1">
      <alignment horizontal="center"/>
    </xf>
    <xf numFmtId="0" fontId="8" fillId="7" borderId="4" xfId="0" applyFont="1" applyFill="1" applyBorder="1" applyAlignment="1">
      <alignment wrapText="1"/>
    </xf>
    <xf numFmtId="3" fontId="8" fillId="7" borderId="8" xfId="0" applyNumberFormat="1" applyFont="1" applyFill="1" applyBorder="1"/>
    <xf numFmtId="0" fontId="8" fillId="7" borderId="4" xfId="0" applyFont="1" applyFill="1" applyBorder="1"/>
    <xf numFmtId="0" fontId="8" fillId="7" borderId="4" xfId="1" applyNumberFormat="1" applyFont="1" applyFill="1" applyBorder="1" applyAlignment="1">
      <alignment wrapText="1"/>
    </xf>
    <xf numFmtId="3" fontId="8" fillId="7" borderId="4" xfId="0" applyNumberFormat="1" applyFont="1" applyFill="1" applyBorder="1"/>
    <xf numFmtId="0" fontId="12" fillId="7" borderId="4" xfId="0" applyFont="1" applyFill="1" applyBorder="1" applyAlignment="1">
      <alignment wrapText="1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 applyAlignment="1">
      <alignment wrapText="1"/>
    </xf>
    <xf numFmtId="3" fontId="3" fillId="7" borderId="8" xfId="0" applyNumberFormat="1" applyFont="1" applyFill="1" applyBorder="1"/>
    <xf numFmtId="0" fontId="17" fillId="7" borderId="3" xfId="0" applyFont="1" applyFill="1" applyBorder="1" applyAlignment="1">
      <alignment horizontal="center"/>
    </xf>
    <xf numFmtId="3" fontId="12" fillId="7" borderId="8" xfId="0" applyNumberFormat="1" applyFont="1" applyFill="1" applyBorder="1"/>
    <xf numFmtId="3" fontId="12" fillId="7" borderId="33" xfId="0" applyNumberFormat="1" applyFont="1" applyFill="1" applyBorder="1"/>
    <xf numFmtId="3" fontId="10" fillId="0" borderId="4" xfId="5" applyNumberFormat="1" applyFill="1" applyBorder="1"/>
    <xf numFmtId="3" fontId="3" fillId="0" borderId="4" xfId="5" applyNumberFormat="1" applyFont="1" applyFill="1" applyBorder="1"/>
    <xf numFmtId="3" fontId="10" fillId="0" borderId="10" xfId="5" applyNumberFormat="1" applyFill="1" applyBorder="1"/>
    <xf numFmtId="3" fontId="4" fillId="0" borderId="4" xfId="5" applyNumberFormat="1" applyFont="1" applyFill="1" applyBorder="1"/>
    <xf numFmtId="3" fontId="3" fillId="0" borderId="4" xfId="5" applyNumberFormat="1" applyFont="1" applyFill="1" applyBorder="1" applyAlignment="1">
      <alignment horizontal="right"/>
    </xf>
    <xf numFmtId="3" fontId="10" fillId="0" borderId="4" xfId="5" applyNumberFormat="1" applyFont="1" applyFill="1" applyBorder="1"/>
    <xf numFmtId="0" fontId="2" fillId="3" borderId="4" xfId="4" applyFont="1" applyFill="1" applyBorder="1" applyAlignment="1">
      <alignment wrapText="1"/>
    </xf>
    <xf numFmtId="0" fontId="3" fillId="0" borderId="4" xfId="4" applyFont="1" applyFill="1" applyBorder="1"/>
    <xf numFmtId="3" fontId="3" fillId="0" borderId="10" xfId="5" applyNumberFormat="1" applyFont="1" applyFill="1" applyBorder="1"/>
    <xf numFmtId="3" fontId="30" fillId="0" borderId="0" xfId="3" applyNumberFormat="1" applyFill="1"/>
    <xf numFmtId="0" fontId="10" fillId="0" borderId="0" xfId="0" applyFont="1" applyFill="1"/>
    <xf numFmtId="0" fontId="30" fillId="0" borderId="0" xfId="3" applyFill="1"/>
    <xf numFmtId="0" fontId="29" fillId="0" borderId="0" xfId="2" applyFill="1"/>
    <xf numFmtId="3" fontId="0" fillId="0" borderId="0" xfId="0" applyNumberFormat="1" applyFill="1"/>
    <xf numFmtId="3" fontId="4" fillId="0" borderId="4" xfId="4" applyNumberFormat="1" applyFont="1" applyFill="1" applyBorder="1" applyAlignment="1">
      <alignment horizontal="right"/>
    </xf>
    <xf numFmtId="4" fontId="27" fillId="0" borderId="20" xfId="0" applyNumberFormat="1" applyFont="1" applyBorder="1"/>
    <xf numFmtId="3" fontId="2" fillId="0" borderId="4" xfId="4" applyNumberFormat="1" applyFont="1" applyBorder="1"/>
    <xf numFmtId="0" fontId="2" fillId="0" borderId="3" xfId="0" applyFont="1" applyBorder="1" applyAlignment="1">
      <alignment horizontal="right"/>
    </xf>
    <xf numFmtId="3" fontId="2" fillId="0" borderId="8" xfId="0" applyNumberFormat="1" applyFont="1" applyBorder="1"/>
    <xf numFmtId="4" fontId="2" fillId="0" borderId="20" xfId="0" applyNumberFormat="1" applyFont="1" applyBorder="1"/>
    <xf numFmtId="3" fontId="2" fillId="0" borderId="8" xfId="0" applyNumberFormat="1" applyFont="1" applyFill="1" applyBorder="1"/>
    <xf numFmtId="4" fontId="2" fillId="0" borderId="34" xfId="0" applyNumberFormat="1" applyFont="1" applyBorder="1"/>
    <xf numFmtId="0" fontId="1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9" fillId="0" borderId="0" xfId="0" applyFont="1" applyAlignment="1">
      <alignment horizontal="center" vertical="top"/>
    </xf>
    <xf numFmtId="0" fontId="0" fillId="0" borderId="0" xfId="0" applyAlignment="1"/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1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8" xfId="0" applyFont="1" applyBorder="1" applyAlignment="1">
      <alignment wrapText="1"/>
    </xf>
    <xf numFmtId="0" fontId="0" fillId="0" borderId="29" xfId="0" applyBorder="1" applyAlignment="1"/>
    <xf numFmtId="0" fontId="0" fillId="0" borderId="10" xfId="0" applyBorder="1" applyAlignment="1"/>
    <xf numFmtId="0" fontId="9" fillId="0" borderId="0" xfId="0" applyFont="1" applyAlignment="1">
      <alignment horizontal="center"/>
    </xf>
    <xf numFmtId="0" fontId="6" fillId="0" borderId="8" xfId="0" applyFont="1" applyBorder="1" applyAlignment="1"/>
    <xf numFmtId="0" fontId="6" fillId="0" borderId="29" xfId="0" applyFont="1" applyBorder="1" applyAlignment="1"/>
    <xf numFmtId="0" fontId="6" fillId="0" borderId="10" xfId="0" applyFont="1" applyBorder="1" applyAlignment="1"/>
    <xf numFmtId="0" fontId="6" fillId="0" borderId="4" xfId="0" applyFont="1" applyBorder="1" applyAlignment="1"/>
    <xf numFmtId="0" fontId="3" fillId="2" borderId="8" xfId="0" applyFont="1" applyFill="1" applyBorder="1" applyAlignment="1"/>
    <xf numFmtId="0" fontId="3" fillId="2" borderId="29" xfId="0" applyFont="1" applyFill="1" applyBorder="1" applyAlignment="1"/>
    <xf numFmtId="0" fontId="3" fillId="2" borderId="10" xfId="0" applyFont="1" applyFill="1" applyBorder="1" applyAlignment="1"/>
    <xf numFmtId="0" fontId="0" fillId="0" borderId="0" xfId="0" applyAlignment="1">
      <alignment horizontal="justify" vertical="top"/>
    </xf>
    <xf numFmtId="0" fontId="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justify" wrapText="1"/>
    </xf>
    <xf numFmtId="0" fontId="0" fillId="0" borderId="0" xfId="0" applyAlignment="1">
      <alignment horizontal="justify" wrapText="1"/>
    </xf>
    <xf numFmtId="196" fontId="5" fillId="0" borderId="14" xfId="1" applyNumberFormat="1" applyFont="1" applyBorder="1" applyAlignment="1">
      <alignment horizontal="left" wrapText="1"/>
    </xf>
    <xf numFmtId="0" fontId="0" fillId="0" borderId="14" xfId="0" applyBorder="1" applyAlignment="1">
      <alignment wrapText="1"/>
    </xf>
    <xf numFmtId="0" fontId="12" fillId="0" borderId="35" xfId="0" applyFont="1" applyBorder="1" applyAlignment="1">
      <alignment horizontal="right" wrapText="1"/>
    </xf>
    <xf numFmtId="0" fontId="12" fillId="0" borderId="10" xfId="0" applyFont="1" applyBorder="1" applyAlignment="1">
      <alignment horizontal="right" wrapText="1"/>
    </xf>
    <xf numFmtId="0" fontId="12" fillId="7" borderId="13" xfId="0" applyFont="1" applyFill="1" applyBorder="1" applyAlignment="1">
      <alignment horizontal="right" wrapText="1"/>
    </xf>
    <xf numFmtId="0" fontId="12" fillId="7" borderId="36" xfId="0" applyFont="1" applyFill="1" applyBorder="1" applyAlignment="1">
      <alignment horizontal="right" wrapText="1"/>
    </xf>
    <xf numFmtId="3" fontId="5" fillId="0" borderId="14" xfId="4" applyNumberFormat="1" applyFont="1" applyBorder="1" applyAlignment="1">
      <alignment horizontal="left"/>
    </xf>
    <xf numFmtId="3" fontId="0" fillId="0" borderId="14" xfId="0" applyNumberFormat="1" applyBorder="1" applyAlignment="1"/>
    <xf numFmtId="0" fontId="5" fillId="0" borderId="0" xfId="4" applyFont="1" applyBorder="1" applyAlignment="1">
      <alignment horizontal="left"/>
    </xf>
    <xf numFmtId="0" fontId="7" fillId="0" borderId="0" xfId="4" applyFont="1" applyAlignment="1">
      <alignment horizontal="left"/>
    </xf>
    <xf numFmtId="0" fontId="0" fillId="0" borderId="0" xfId="0" applyFill="1" applyAlignment="1">
      <alignment horizontal="justify" vertical="top"/>
    </xf>
    <xf numFmtId="0" fontId="3" fillId="0" borderId="0" xfId="4" applyFont="1" applyAlignment="1">
      <alignment horizontal="left"/>
    </xf>
    <xf numFmtId="0" fontId="3" fillId="0" borderId="14" xfId="4" applyFont="1" applyBorder="1" applyAlignment="1">
      <alignment horizontal="right"/>
    </xf>
    <xf numFmtId="0" fontId="3" fillId="0" borderId="0" xfId="4" applyFont="1" applyFill="1" applyAlignment="1">
      <alignment horizontal="left"/>
    </xf>
    <xf numFmtId="0" fontId="15" fillId="0" borderId="0" xfId="0" applyFont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justify"/>
    </xf>
    <xf numFmtId="0" fontId="10" fillId="0" borderId="0" xfId="0" applyFont="1" applyAlignment="1">
      <alignment horizontal="justify" vertical="top"/>
    </xf>
  </cellXfs>
  <cellStyles count="8">
    <cellStyle name="Comma_izvrsenje300903-s planom 2" xfId="1"/>
    <cellStyle name="Dobro" xfId="2" builtinId="26"/>
    <cellStyle name="Loše" xfId="3" builtinId="27"/>
    <cellStyle name="Normal_sablon1-230704" xfId="4"/>
    <cellStyle name="Normal_sablon1-230704 2" xfId="5"/>
    <cellStyle name="Obično" xfId="0" builtinId="0"/>
    <cellStyle name="Postotak" xfId="6" builtinId="5"/>
    <cellStyle name="Zarez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123825</xdr:colOff>
      <xdr:row>0</xdr:row>
      <xdr:rowOff>238125</xdr:rowOff>
    </xdr:from>
    <xdr:to>
      <xdr:col>6</xdr:col>
      <xdr:colOff>295275</xdr:colOff>
      <xdr:row>8</xdr:row>
      <xdr:rowOff>0</xdr:rowOff>
    </xdr:to>
    <xdr:pic>
      <xdr:nvPicPr>
        <xdr:cNvPr id="14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81225" y="161925"/>
          <a:ext cx="1381125" cy="11334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123825</xdr:colOff>
      <xdr:row>0</xdr:row>
      <xdr:rowOff>238125</xdr:rowOff>
    </xdr:from>
    <xdr:to>
      <xdr:col>6</xdr:col>
      <xdr:colOff>295275</xdr:colOff>
      <xdr:row>8</xdr:row>
      <xdr:rowOff>0</xdr:rowOff>
    </xdr:to>
    <xdr:pic>
      <xdr:nvPicPr>
        <xdr:cNvPr id="145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81225" y="161925"/>
          <a:ext cx="1381125" cy="11334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6"/>
  <sheetViews>
    <sheetView workbookViewId="0">
      <selection activeCell="K18" sqref="K18"/>
    </sheetView>
  </sheetViews>
  <sheetFormatPr defaultRowHeight="12.75"/>
  <cols>
    <col min="3" max="3" width="12.5703125" customWidth="1"/>
    <col min="4" max="4" width="4.5703125" customWidth="1"/>
    <col min="6" max="6" width="4.42578125" customWidth="1"/>
    <col min="9" max="9" width="20" customWidth="1"/>
  </cols>
  <sheetData>
    <row r="1" spans="1:9">
      <c r="A1" s="416"/>
      <c r="B1" s="416"/>
      <c r="C1" s="416"/>
      <c r="D1" s="416"/>
      <c r="E1" s="416"/>
      <c r="F1" s="416"/>
      <c r="G1" s="416"/>
      <c r="H1" s="416"/>
      <c r="I1" s="416"/>
    </row>
    <row r="2" spans="1:9">
      <c r="A2" s="417" t="s">
        <v>241</v>
      </c>
      <c r="B2" s="418"/>
      <c r="C2" s="418"/>
      <c r="G2" s="417" t="s">
        <v>242</v>
      </c>
      <c r="H2" s="418"/>
      <c r="I2" s="418"/>
    </row>
    <row r="3" spans="1:9">
      <c r="A3" s="418"/>
      <c r="B3" s="418"/>
      <c r="C3" s="418"/>
      <c r="G3" s="418"/>
      <c r="H3" s="418"/>
      <c r="I3" s="418"/>
    </row>
    <row r="4" spans="1:9">
      <c r="A4" s="418"/>
      <c r="B4" s="418"/>
      <c r="C4" s="418"/>
      <c r="G4" s="418"/>
      <c r="H4" s="418"/>
      <c r="I4" s="418"/>
    </row>
    <row r="5" spans="1:9">
      <c r="A5" s="418"/>
      <c r="B5" s="418"/>
      <c r="C5" s="418"/>
      <c r="G5" s="418"/>
      <c r="H5" s="418"/>
      <c r="I5" s="418"/>
    </row>
    <row r="6" spans="1:9">
      <c r="A6" s="418"/>
      <c r="B6" s="418"/>
      <c r="C6" s="418"/>
      <c r="G6" s="418"/>
      <c r="H6" s="418"/>
      <c r="I6" s="418"/>
    </row>
    <row r="7" spans="1:9">
      <c r="A7" s="418"/>
      <c r="B7" s="418"/>
      <c r="C7" s="418"/>
      <c r="G7" s="418"/>
      <c r="H7" s="418"/>
      <c r="I7" s="418"/>
    </row>
    <row r="8" spans="1:9">
      <c r="A8" s="123"/>
      <c r="B8" s="123"/>
      <c r="C8" s="123"/>
      <c r="D8" s="123"/>
      <c r="E8" s="123"/>
      <c r="F8" s="123"/>
      <c r="G8" s="123"/>
      <c r="H8" s="123"/>
      <c r="I8" s="123"/>
    </row>
    <row r="12" spans="1:9" ht="18.75">
      <c r="G12" s="413"/>
      <c r="H12" s="414"/>
      <c r="I12" s="414"/>
    </row>
    <row r="20" spans="1:9" ht="12.75" customHeight="1">
      <c r="A20" s="419" t="s">
        <v>689</v>
      </c>
      <c r="B20" s="420"/>
      <c r="C20" s="420"/>
      <c r="D20" s="420"/>
      <c r="E20" s="420"/>
      <c r="F20" s="420"/>
      <c r="G20" s="420"/>
      <c r="H20" s="420"/>
      <c r="I20" s="420"/>
    </row>
    <row r="21" spans="1:9">
      <c r="A21" s="420"/>
      <c r="B21" s="420"/>
      <c r="C21" s="420"/>
      <c r="D21" s="420"/>
      <c r="E21" s="420"/>
      <c r="F21" s="420"/>
      <c r="G21" s="420"/>
      <c r="H21" s="420"/>
      <c r="I21" s="420"/>
    </row>
    <row r="22" spans="1:9">
      <c r="A22" s="416"/>
      <c r="B22" s="416"/>
      <c r="C22" s="416"/>
      <c r="D22" s="416"/>
      <c r="E22" s="416"/>
      <c r="F22" s="416"/>
      <c r="G22" s="416"/>
      <c r="H22" s="416"/>
      <c r="I22" s="416"/>
    </row>
    <row r="23" spans="1:9">
      <c r="A23" s="416"/>
      <c r="B23" s="416"/>
      <c r="C23" s="416"/>
      <c r="D23" s="416"/>
      <c r="E23" s="416"/>
      <c r="F23" s="416"/>
      <c r="G23" s="416"/>
      <c r="H23" s="416"/>
      <c r="I23" s="416"/>
    </row>
    <row r="24" spans="1:9">
      <c r="A24" s="416"/>
      <c r="B24" s="416"/>
      <c r="C24" s="416"/>
      <c r="D24" s="416"/>
      <c r="E24" s="416"/>
      <c r="F24" s="416"/>
      <c r="G24" s="416"/>
      <c r="H24" s="416"/>
      <c r="I24" s="416"/>
    </row>
    <row r="25" spans="1:9">
      <c r="A25" s="416"/>
      <c r="B25" s="416"/>
      <c r="C25" s="416"/>
      <c r="D25" s="416"/>
      <c r="E25" s="416"/>
      <c r="F25" s="416"/>
      <c r="G25" s="416"/>
      <c r="H25" s="416"/>
      <c r="I25" s="416"/>
    </row>
    <row r="26" spans="1:9">
      <c r="A26" s="416"/>
      <c r="B26" s="416"/>
      <c r="C26" s="416"/>
      <c r="D26" s="416"/>
      <c r="E26" s="416"/>
      <c r="F26" s="416"/>
      <c r="G26" s="416"/>
      <c r="H26" s="416"/>
      <c r="I26" s="416"/>
    </row>
    <row r="54" spans="1:9">
      <c r="A54" s="415" t="s">
        <v>685</v>
      </c>
      <c r="B54" s="416"/>
      <c r="C54" s="416"/>
      <c r="D54" s="416"/>
      <c r="E54" s="416"/>
      <c r="F54" s="416"/>
      <c r="G54" s="416"/>
      <c r="H54" s="416"/>
      <c r="I54" s="416"/>
    </row>
    <row r="55" spans="1:9">
      <c r="A55" s="416"/>
      <c r="B55" s="416"/>
      <c r="C55" s="416"/>
      <c r="D55" s="416"/>
      <c r="E55" s="416"/>
      <c r="F55" s="416"/>
      <c r="G55" s="416"/>
      <c r="H55" s="416"/>
      <c r="I55" s="416"/>
    </row>
    <row r="56" spans="1:9" ht="15.75">
      <c r="A56" s="124"/>
      <c r="B56" s="124"/>
      <c r="C56" s="124"/>
      <c r="D56" s="124"/>
      <c r="E56" s="124"/>
      <c r="F56" s="124"/>
      <c r="G56" s="124"/>
      <c r="H56" s="124"/>
      <c r="I56" s="124"/>
    </row>
  </sheetData>
  <mergeCells count="6">
    <mergeCell ref="G12:I12"/>
    <mergeCell ref="A54:I55"/>
    <mergeCell ref="A1:I1"/>
    <mergeCell ref="A2:C7"/>
    <mergeCell ref="G2:I7"/>
    <mergeCell ref="A20:I26"/>
  </mergeCells>
  <phoneticPr fontId="0" type="noConversion"/>
  <pageMargins left="0.66" right="0.45" top="1" bottom="1" header="0.5" footer="0.5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B2:K47"/>
  <sheetViews>
    <sheetView topLeftCell="A10" workbookViewId="0">
      <selection activeCell="G7" sqref="G7:G41"/>
    </sheetView>
  </sheetViews>
  <sheetFormatPr defaultRowHeight="12.75"/>
  <cols>
    <col min="1" max="1" width="1.5703125" style="13" customWidth="1"/>
    <col min="2" max="4" width="5.7109375" style="13" bestFit="1" customWidth="1"/>
    <col min="5" max="5" width="10.5703125" style="24" customWidth="1"/>
    <col min="6" max="6" width="43.7109375" style="13" customWidth="1"/>
    <col min="7" max="8" width="15.7109375" style="13" customWidth="1"/>
    <col min="9" max="9" width="8.7109375" style="140" customWidth="1"/>
    <col min="10" max="16384" width="9.140625" style="13"/>
  </cols>
  <sheetData>
    <row r="2" spans="2:11" s="112" customFormat="1" ht="15" customHeight="1">
      <c r="B2" s="450" t="s">
        <v>127</v>
      </c>
      <c r="C2" s="450"/>
      <c r="D2" s="450"/>
      <c r="E2" s="450"/>
      <c r="F2" s="450"/>
      <c r="G2" s="450"/>
      <c r="H2" s="450"/>
      <c r="I2" s="147"/>
    </row>
    <row r="3" spans="2:11" s="1" customFormat="1" ht="16.5" thickBot="1">
      <c r="E3" s="2"/>
      <c r="F3" s="449"/>
      <c r="G3" s="449"/>
      <c r="H3" s="181"/>
      <c r="I3" s="182"/>
    </row>
    <row r="4" spans="2:11" s="1" customFormat="1" ht="76.5" customHeight="1">
      <c r="B4" s="3" t="s">
        <v>79</v>
      </c>
      <c r="C4" s="4" t="s">
        <v>80</v>
      </c>
      <c r="D4" s="5" t="s">
        <v>112</v>
      </c>
      <c r="E4" s="6" t="s">
        <v>81</v>
      </c>
      <c r="F4" s="7" t="s">
        <v>82</v>
      </c>
      <c r="G4" s="316" t="s">
        <v>557</v>
      </c>
      <c r="H4" s="316" t="s">
        <v>683</v>
      </c>
      <c r="I4" s="149" t="s">
        <v>497</v>
      </c>
    </row>
    <row r="5" spans="2:11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34">
        <v>6</v>
      </c>
      <c r="H5" s="9">
        <v>7</v>
      </c>
      <c r="I5" s="150">
        <v>8</v>
      </c>
    </row>
    <row r="6" spans="2:11" s="2" customFormat="1" ht="12.95" customHeight="1">
      <c r="B6" s="10" t="s">
        <v>123</v>
      </c>
      <c r="C6" s="11" t="s">
        <v>83</v>
      </c>
      <c r="D6" s="11" t="s">
        <v>128</v>
      </c>
      <c r="E6" s="9"/>
      <c r="F6" s="9"/>
      <c r="G6" s="34"/>
      <c r="H6" s="9"/>
      <c r="I6" s="151"/>
    </row>
    <row r="7" spans="2:11" s="1" customFormat="1" ht="12.95" customHeight="1">
      <c r="B7" s="17"/>
      <c r="C7" s="12"/>
      <c r="D7" s="12"/>
      <c r="E7" s="9">
        <v>611000</v>
      </c>
      <c r="F7" s="12" t="s">
        <v>167</v>
      </c>
      <c r="G7" s="20">
        <f>SUM(G8:G11)</f>
        <v>30840</v>
      </c>
      <c r="H7" s="392">
        <f>SUM(H8:H11)</f>
        <v>47600</v>
      </c>
      <c r="I7" s="200">
        <f t="shared" ref="I7:I42" si="0">IF(G7=0,"",H7/G7*100)</f>
        <v>154.34500648508433</v>
      </c>
    </row>
    <row r="8" spans="2:11" ht="12.95" customHeight="1">
      <c r="B8" s="14"/>
      <c r="C8" s="15"/>
      <c r="D8" s="15"/>
      <c r="E8" s="16">
        <v>611100</v>
      </c>
      <c r="F8" s="26" t="s">
        <v>210</v>
      </c>
      <c r="G8" s="82">
        <v>27800</v>
      </c>
      <c r="H8" s="391">
        <f>28000+11700+1370+590</f>
        <v>41660</v>
      </c>
      <c r="I8" s="153">
        <f t="shared" si="0"/>
        <v>149.85611510791367</v>
      </c>
    </row>
    <row r="9" spans="2:11" ht="12.95" customHeight="1">
      <c r="B9" s="14"/>
      <c r="C9" s="15"/>
      <c r="D9" s="15"/>
      <c r="E9" s="16">
        <v>611200</v>
      </c>
      <c r="F9" s="15" t="s">
        <v>211</v>
      </c>
      <c r="G9" s="82">
        <f>2800+240</f>
        <v>3040</v>
      </c>
      <c r="H9" s="391">
        <f>3040+2900</f>
        <v>5940</v>
      </c>
      <c r="I9" s="153">
        <f t="shared" si="0"/>
        <v>195.39473684210526</v>
      </c>
    </row>
    <row r="10" spans="2:11" ht="12.95" customHeight="1">
      <c r="B10" s="14"/>
      <c r="C10" s="15"/>
      <c r="D10" s="15"/>
      <c r="E10" s="16">
        <v>611200</v>
      </c>
      <c r="F10" s="363" t="s">
        <v>699</v>
      </c>
      <c r="G10" s="82">
        <v>0</v>
      </c>
      <c r="H10" s="391">
        <v>0</v>
      </c>
      <c r="I10" s="153" t="str">
        <f t="shared" si="0"/>
        <v/>
      </c>
      <c r="K10" s="89"/>
    </row>
    <row r="11" spans="2:11" ht="12.95" customHeight="1">
      <c r="B11" s="14"/>
      <c r="C11" s="15"/>
      <c r="D11" s="15"/>
      <c r="E11" s="16"/>
      <c r="F11" s="26"/>
      <c r="G11" s="43"/>
      <c r="H11" s="391"/>
      <c r="I11" s="153" t="str">
        <f t="shared" si="0"/>
        <v/>
      </c>
    </row>
    <row r="12" spans="2:11" ht="12.95" customHeight="1">
      <c r="B12" s="14"/>
      <c r="C12" s="15"/>
      <c r="D12" s="15"/>
      <c r="E12" s="16"/>
      <c r="F12" s="15"/>
      <c r="G12" s="20"/>
      <c r="H12" s="392"/>
      <c r="I12" s="153" t="str">
        <f t="shared" si="0"/>
        <v/>
      </c>
    </row>
    <row r="13" spans="2:11" s="1" customFormat="1" ht="12.95" customHeight="1">
      <c r="B13" s="17"/>
      <c r="C13" s="12"/>
      <c r="D13" s="12"/>
      <c r="E13" s="9">
        <v>612000</v>
      </c>
      <c r="F13" s="12" t="s">
        <v>166</v>
      </c>
      <c r="G13" s="20">
        <f>G14</f>
        <v>3100</v>
      </c>
      <c r="H13" s="392">
        <f>H14</f>
        <v>5010</v>
      </c>
      <c r="I13" s="200">
        <f t="shared" si="0"/>
        <v>161.61290322580646</v>
      </c>
    </row>
    <row r="14" spans="2:11" ht="12.95" customHeight="1">
      <c r="B14" s="14"/>
      <c r="C14" s="15"/>
      <c r="D14" s="15"/>
      <c r="E14" s="16">
        <v>612100</v>
      </c>
      <c r="F14" s="18" t="s">
        <v>85</v>
      </c>
      <c r="G14" s="43">
        <v>3100</v>
      </c>
      <c r="H14" s="391">
        <f>3500+1290+150+70</f>
        <v>5010</v>
      </c>
      <c r="I14" s="153">
        <f t="shared" si="0"/>
        <v>161.61290322580646</v>
      </c>
    </row>
    <row r="15" spans="2:11" ht="12.95" customHeight="1">
      <c r="B15" s="14"/>
      <c r="C15" s="15"/>
      <c r="D15" s="15"/>
      <c r="E15" s="16"/>
      <c r="F15" s="15"/>
      <c r="G15" s="43"/>
      <c r="H15" s="43"/>
      <c r="I15" s="153" t="str">
        <f t="shared" si="0"/>
        <v/>
      </c>
    </row>
    <row r="16" spans="2:11" ht="12.95" customHeight="1">
      <c r="B16" s="14"/>
      <c r="C16" s="15"/>
      <c r="D16" s="15"/>
      <c r="E16" s="16"/>
      <c r="F16" s="15"/>
      <c r="G16" s="49"/>
      <c r="H16" s="49"/>
      <c r="I16" s="153" t="str">
        <f t="shared" si="0"/>
        <v/>
      </c>
    </row>
    <row r="17" spans="2:11" s="1" customFormat="1" ht="12.95" customHeight="1">
      <c r="B17" s="17"/>
      <c r="C17" s="12"/>
      <c r="D17" s="12"/>
      <c r="E17" s="9">
        <v>613000</v>
      </c>
      <c r="F17" s="12" t="s">
        <v>168</v>
      </c>
      <c r="G17" s="49">
        <f>SUM(G18:G27)</f>
        <v>23300</v>
      </c>
      <c r="H17" s="49">
        <f>SUM(H18:H27)</f>
        <v>15300</v>
      </c>
      <c r="I17" s="200">
        <f t="shared" si="0"/>
        <v>65.665236051502134</v>
      </c>
    </row>
    <row r="18" spans="2:11" ht="12.95" customHeight="1">
      <c r="B18" s="14"/>
      <c r="C18" s="15"/>
      <c r="D18" s="15"/>
      <c r="E18" s="16">
        <v>613100</v>
      </c>
      <c r="F18" s="15" t="s">
        <v>86</v>
      </c>
      <c r="G18" s="43">
        <v>300</v>
      </c>
      <c r="H18" s="43">
        <v>300</v>
      </c>
      <c r="I18" s="153">
        <f t="shared" si="0"/>
        <v>100</v>
      </c>
    </row>
    <row r="19" spans="2:11" ht="12.95" customHeight="1">
      <c r="B19" s="14"/>
      <c r="C19" s="15"/>
      <c r="D19" s="15"/>
      <c r="E19" s="16">
        <v>613200</v>
      </c>
      <c r="F19" s="15" t="s">
        <v>87</v>
      </c>
      <c r="G19" s="43">
        <v>0</v>
      </c>
      <c r="H19" s="43">
        <v>0</v>
      </c>
      <c r="I19" s="153" t="str">
        <f t="shared" si="0"/>
        <v/>
      </c>
    </row>
    <row r="20" spans="2:11" ht="12.95" customHeight="1">
      <c r="B20" s="14"/>
      <c r="C20" s="15"/>
      <c r="D20" s="15"/>
      <c r="E20" s="16">
        <v>613300</v>
      </c>
      <c r="F20" s="26" t="s">
        <v>212</v>
      </c>
      <c r="G20" s="43">
        <v>0</v>
      </c>
      <c r="H20" s="43">
        <v>0</v>
      </c>
      <c r="I20" s="153" t="str">
        <f t="shared" si="0"/>
        <v/>
      </c>
    </row>
    <row r="21" spans="2:11" ht="12.95" customHeight="1">
      <c r="B21" s="14"/>
      <c r="C21" s="15"/>
      <c r="D21" s="15"/>
      <c r="E21" s="16">
        <v>613400</v>
      </c>
      <c r="F21" s="15" t="s">
        <v>169</v>
      </c>
      <c r="G21" s="43">
        <v>0</v>
      </c>
      <c r="H21" s="43">
        <v>0</v>
      </c>
      <c r="I21" s="153" t="str">
        <f t="shared" si="0"/>
        <v/>
      </c>
    </row>
    <row r="22" spans="2:11" ht="12.95" customHeight="1">
      <c r="B22" s="14"/>
      <c r="C22" s="15"/>
      <c r="D22" s="15"/>
      <c r="E22" s="16">
        <v>613500</v>
      </c>
      <c r="F22" s="15" t="s">
        <v>88</v>
      </c>
      <c r="G22" s="43">
        <v>0</v>
      </c>
      <c r="H22" s="43">
        <v>0</v>
      </c>
      <c r="I22" s="153" t="str">
        <f t="shared" si="0"/>
        <v/>
      </c>
    </row>
    <row r="23" spans="2:11" ht="12.95" customHeight="1">
      <c r="B23" s="14"/>
      <c r="C23" s="15"/>
      <c r="D23" s="15"/>
      <c r="E23" s="16">
        <v>613600</v>
      </c>
      <c r="F23" s="26" t="s">
        <v>213</v>
      </c>
      <c r="G23" s="43">
        <v>0</v>
      </c>
      <c r="H23" s="43">
        <v>0</v>
      </c>
      <c r="I23" s="153" t="str">
        <f t="shared" si="0"/>
        <v/>
      </c>
    </row>
    <row r="24" spans="2:11" ht="12.95" customHeight="1">
      <c r="B24" s="14"/>
      <c r="C24" s="15"/>
      <c r="D24" s="15"/>
      <c r="E24" s="16">
        <v>613700</v>
      </c>
      <c r="F24" s="15" t="s">
        <v>89</v>
      </c>
      <c r="G24" s="43">
        <v>0</v>
      </c>
      <c r="H24" s="43">
        <v>0</v>
      </c>
      <c r="I24" s="153" t="str">
        <f t="shared" si="0"/>
        <v/>
      </c>
    </row>
    <row r="25" spans="2:11" ht="12.95" customHeight="1">
      <c r="B25" s="14"/>
      <c r="C25" s="15"/>
      <c r="D25" s="15"/>
      <c r="E25" s="16">
        <v>613800</v>
      </c>
      <c r="F25" s="15" t="s">
        <v>170</v>
      </c>
      <c r="G25" s="43">
        <v>0</v>
      </c>
      <c r="H25" s="43">
        <v>0</v>
      </c>
      <c r="I25" s="153" t="str">
        <f t="shared" si="0"/>
        <v/>
      </c>
      <c r="K25" s="81"/>
    </row>
    <row r="26" spans="2:11" ht="12.95" customHeight="1">
      <c r="B26" s="14"/>
      <c r="C26" s="15"/>
      <c r="D26" s="15"/>
      <c r="E26" s="16">
        <v>613900</v>
      </c>
      <c r="F26" s="15" t="s">
        <v>171</v>
      </c>
      <c r="G26" s="43">
        <v>23000</v>
      </c>
      <c r="H26" s="43">
        <f>7500+7500</f>
        <v>15000</v>
      </c>
      <c r="I26" s="153">
        <f t="shared" si="0"/>
        <v>65.217391304347828</v>
      </c>
    </row>
    <row r="27" spans="2:11" ht="12.95" customHeight="1">
      <c r="B27" s="14"/>
      <c r="C27" s="15"/>
      <c r="D27" s="15"/>
      <c r="E27" s="16">
        <v>613900</v>
      </c>
      <c r="F27" s="363" t="s">
        <v>701</v>
      </c>
      <c r="G27" s="44">
        <v>0</v>
      </c>
      <c r="H27" s="44">
        <v>0</v>
      </c>
      <c r="I27" s="153" t="str">
        <f t="shared" si="0"/>
        <v/>
      </c>
    </row>
    <row r="28" spans="2:11" s="1" customFormat="1" ht="12.95" customHeight="1">
      <c r="B28" s="17"/>
      <c r="C28" s="12"/>
      <c r="D28" s="12"/>
      <c r="E28" s="59"/>
      <c r="F28" s="12"/>
      <c r="G28" s="43"/>
      <c r="H28" s="43"/>
      <c r="I28" s="153" t="str">
        <f t="shared" si="0"/>
        <v/>
      </c>
    </row>
    <row r="29" spans="2:11" ht="12.95" customHeight="1">
      <c r="B29" s="14"/>
      <c r="C29" s="15"/>
      <c r="D29" s="30"/>
      <c r="E29" s="61"/>
      <c r="F29" s="58"/>
      <c r="G29" s="43"/>
      <c r="H29" s="43"/>
      <c r="I29" s="153" t="str">
        <f t="shared" si="0"/>
        <v/>
      </c>
    </row>
    <row r="30" spans="2:11" ht="12.95" customHeight="1">
      <c r="B30" s="14"/>
      <c r="C30" s="15"/>
      <c r="D30" s="15"/>
      <c r="E30" s="60"/>
      <c r="F30" s="15"/>
      <c r="G30" s="43"/>
      <c r="H30" s="43"/>
      <c r="I30" s="153" t="str">
        <f t="shared" si="0"/>
        <v/>
      </c>
    </row>
    <row r="31" spans="2:11" ht="12.95" customHeight="1">
      <c r="B31" s="14"/>
      <c r="C31" s="15"/>
      <c r="D31" s="15"/>
      <c r="E31" s="16"/>
      <c r="F31" s="15"/>
      <c r="G31" s="43"/>
      <c r="H31" s="43"/>
      <c r="I31" s="153" t="str">
        <f t="shared" si="0"/>
        <v/>
      </c>
    </row>
    <row r="32" spans="2:11" ht="12.95" customHeight="1">
      <c r="B32" s="14"/>
      <c r="C32" s="15"/>
      <c r="D32" s="15"/>
      <c r="E32" s="16"/>
      <c r="F32" s="15"/>
      <c r="G32" s="43"/>
      <c r="H32" s="43"/>
      <c r="I32" s="153" t="str">
        <f t="shared" si="0"/>
        <v/>
      </c>
    </row>
    <row r="33" spans="2:9" ht="12.95" customHeight="1">
      <c r="B33" s="14"/>
      <c r="C33" s="15"/>
      <c r="D33" s="15"/>
      <c r="E33" s="16"/>
      <c r="F33" s="15"/>
      <c r="G33" s="43"/>
      <c r="H33" s="43"/>
      <c r="I33" s="153" t="str">
        <f t="shared" si="0"/>
        <v/>
      </c>
    </row>
    <row r="34" spans="2:9" ht="12.95" customHeight="1">
      <c r="B34" s="14"/>
      <c r="C34" s="15"/>
      <c r="D34" s="15"/>
      <c r="E34" s="16"/>
      <c r="F34" s="19"/>
      <c r="G34" s="43"/>
      <c r="H34" s="43"/>
      <c r="I34" s="153" t="str">
        <f t="shared" si="0"/>
        <v/>
      </c>
    </row>
    <row r="35" spans="2:9" ht="12.95" customHeight="1">
      <c r="B35" s="14"/>
      <c r="C35" s="15"/>
      <c r="D35" s="15"/>
      <c r="E35" s="16"/>
      <c r="F35" s="15"/>
      <c r="G35" s="20"/>
      <c r="H35" s="20"/>
      <c r="I35" s="153" t="str">
        <f t="shared" si="0"/>
        <v/>
      </c>
    </row>
    <row r="36" spans="2:9" s="1" customFormat="1" ht="12.95" customHeight="1">
      <c r="B36" s="17"/>
      <c r="C36" s="12"/>
      <c r="D36" s="12"/>
      <c r="E36" s="9">
        <v>821000</v>
      </c>
      <c r="F36" s="12" t="s">
        <v>92</v>
      </c>
      <c r="G36" s="20">
        <f>SUM(G37:G38)</f>
        <v>0</v>
      </c>
      <c r="H36" s="20">
        <f>SUM(H37:H38)</f>
        <v>1500</v>
      </c>
      <c r="I36" s="200" t="str">
        <f t="shared" si="0"/>
        <v/>
      </c>
    </row>
    <row r="37" spans="2:9" ht="12.95" customHeight="1">
      <c r="B37" s="14"/>
      <c r="C37" s="15"/>
      <c r="D37" s="15"/>
      <c r="E37" s="16">
        <v>821200</v>
      </c>
      <c r="F37" s="15" t="s">
        <v>93</v>
      </c>
      <c r="G37" s="82">
        <v>0</v>
      </c>
      <c r="H37" s="82">
        <v>0</v>
      </c>
      <c r="I37" s="153" t="str">
        <f t="shared" si="0"/>
        <v/>
      </c>
    </row>
    <row r="38" spans="2:9" ht="12.95" customHeight="1">
      <c r="B38" s="14"/>
      <c r="C38" s="15"/>
      <c r="D38" s="15"/>
      <c r="E38" s="16">
        <v>821300</v>
      </c>
      <c r="F38" s="15" t="s">
        <v>94</v>
      </c>
      <c r="G38" s="43">
        <v>0</v>
      </c>
      <c r="H38" s="43">
        <v>1500</v>
      </c>
      <c r="I38" s="153" t="str">
        <f t="shared" si="0"/>
        <v/>
      </c>
    </row>
    <row r="39" spans="2:9" ht="12.95" customHeight="1">
      <c r="B39" s="14"/>
      <c r="C39" s="15"/>
      <c r="D39" s="15"/>
      <c r="E39" s="16"/>
      <c r="F39" s="15"/>
      <c r="G39" s="43"/>
      <c r="H39" s="43"/>
      <c r="I39" s="153" t="str">
        <f t="shared" si="0"/>
        <v/>
      </c>
    </row>
    <row r="40" spans="2:9" ht="12.95" customHeight="1">
      <c r="B40" s="14"/>
      <c r="C40" s="15"/>
      <c r="D40" s="15"/>
      <c r="E40" s="16"/>
      <c r="F40" s="15"/>
      <c r="G40" s="20"/>
      <c r="H40" s="20"/>
      <c r="I40" s="153" t="str">
        <f t="shared" si="0"/>
        <v/>
      </c>
    </row>
    <row r="41" spans="2:9" s="1" customFormat="1" ht="12.95" customHeight="1">
      <c r="B41" s="17"/>
      <c r="C41" s="12"/>
      <c r="D41" s="12"/>
      <c r="E41" s="9"/>
      <c r="F41" s="12" t="s">
        <v>95</v>
      </c>
      <c r="G41" s="20">
        <v>1</v>
      </c>
      <c r="H41" s="20">
        <v>2</v>
      </c>
      <c r="I41" s="153"/>
    </row>
    <row r="42" spans="2:9" s="1" customFormat="1" ht="12.95" customHeight="1">
      <c r="B42" s="17"/>
      <c r="C42" s="12"/>
      <c r="D42" s="12"/>
      <c r="E42" s="9"/>
      <c r="F42" s="12" t="s">
        <v>115</v>
      </c>
      <c r="G42" s="20">
        <f>G7+G13+G17+G36</f>
        <v>57240</v>
      </c>
      <c r="H42" s="20">
        <f>H7+H13+H17+H36</f>
        <v>69410</v>
      </c>
      <c r="I42" s="200">
        <f t="shared" si="0"/>
        <v>121.26135569531795</v>
      </c>
    </row>
    <row r="43" spans="2:9" s="1" customFormat="1" ht="12.95" customHeight="1">
      <c r="B43" s="17"/>
      <c r="C43" s="12"/>
      <c r="D43" s="12"/>
      <c r="E43" s="9"/>
      <c r="F43" s="12" t="s">
        <v>96</v>
      </c>
      <c r="G43" s="20"/>
      <c r="H43" s="20"/>
      <c r="I43" s="155"/>
    </row>
    <row r="44" spans="2:9" s="1" customFormat="1" ht="12.95" customHeight="1">
      <c r="B44" s="17"/>
      <c r="C44" s="12"/>
      <c r="D44" s="12"/>
      <c r="E44" s="9"/>
      <c r="F44" s="12" t="s">
        <v>97</v>
      </c>
      <c r="G44" s="20"/>
      <c r="H44" s="43"/>
      <c r="I44" s="154"/>
    </row>
    <row r="45" spans="2:9" ht="12.95" customHeight="1" thickBot="1">
      <c r="B45" s="21"/>
      <c r="C45" s="22"/>
      <c r="D45" s="22"/>
      <c r="E45" s="23"/>
      <c r="F45" s="22"/>
      <c r="G45" s="48"/>
      <c r="H45" s="22"/>
      <c r="I45" s="156"/>
    </row>
    <row r="47" spans="2:9">
      <c r="B47" s="81"/>
    </row>
  </sheetData>
  <mergeCells count="2">
    <mergeCell ref="B2:H2"/>
    <mergeCell ref="F3:G3"/>
  </mergeCells>
  <phoneticPr fontId="2" type="noConversion"/>
  <pageMargins left="0.19685039370078741" right="0.19685039370078741" top="0.59055118110236227" bottom="0.59055118110236227" header="0.51181102362204722" footer="0.51181102362204722"/>
  <pageSetup paperSize="9" scale="88" firstPageNumber="10" orientation="portrait" useFirstPageNumber="1" horizontalDpi="180" verticalDpi="180" r:id="rId1"/>
  <headerFooter alignWithMargins="0">
    <oddFooter>&amp;R12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42"/>
  <dimension ref="B2:K50"/>
  <sheetViews>
    <sheetView topLeftCell="A7" workbookViewId="0">
      <selection activeCell="G7" sqref="G7:G41"/>
    </sheetView>
  </sheetViews>
  <sheetFormatPr defaultRowHeight="12.75"/>
  <cols>
    <col min="1" max="1" width="1.5703125" style="13" customWidth="1"/>
    <col min="2" max="4" width="5.7109375" style="13" bestFit="1" customWidth="1"/>
    <col min="5" max="5" width="10.5703125" style="24" customWidth="1"/>
    <col min="6" max="6" width="43.7109375" style="13" customWidth="1"/>
    <col min="7" max="8" width="15.7109375" style="13" customWidth="1"/>
    <col min="9" max="9" width="8.7109375" style="140" customWidth="1"/>
    <col min="10" max="16384" width="9.140625" style="13"/>
  </cols>
  <sheetData>
    <row r="2" spans="2:11" s="112" customFormat="1" ht="15" customHeight="1">
      <c r="B2" s="450" t="s">
        <v>164</v>
      </c>
      <c r="C2" s="450"/>
      <c r="D2" s="450"/>
      <c r="E2" s="450"/>
      <c r="F2" s="450"/>
      <c r="G2" s="450"/>
      <c r="H2" s="450"/>
      <c r="I2" s="147"/>
    </row>
    <row r="3" spans="2:11" s="1" customFormat="1" ht="16.5" thickBot="1">
      <c r="E3" s="2"/>
      <c r="F3" s="449"/>
      <c r="G3" s="449"/>
      <c r="H3" s="181"/>
      <c r="I3" s="182"/>
    </row>
    <row r="4" spans="2:11" s="1" customFormat="1" ht="76.5" customHeight="1">
      <c r="B4" s="3" t="s">
        <v>79</v>
      </c>
      <c r="C4" s="4" t="s">
        <v>80</v>
      </c>
      <c r="D4" s="5" t="s">
        <v>112</v>
      </c>
      <c r="E4" s="6" t="s">
        <v>81</v>
      </c>
      <c r="F4" s="7" t="s">
        <v>82</v>
      </c>
      <c r="G4" s="316" t="s">
        <v>557</v>
      </c>
      <c r="H4" s="316" t="s">
        <v>683</v>
      </c>
      <c r="I4" s="149" t="s">
        <v>497</v>
      </c>
    </row>
    <row r="5" spans="2:11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34">
        <v>6</v>
      </c>
      <c r="H5" s="9">
        <v>7</v>
      </c>
      <c r="I5" s="150">
        <v>8</v>
      </c>
    </row>
    <row r="6" spans="2:11" s="2" customFormat="1" ht="12.95" customHeight="1">
      <c r="B6" s="10" t="s">
        <v>123</v>
      </c>
      <c r="C6" s="11" t="s">
        <v>83</v>
      </c>
      <c r="D6" s="11" t="s">
        <v>129</v>
      </c>
      <c r="E6" s="9"/>
      <c r="F6" s="9"/>
      <c r="G6" s="34"/>
      <c r="H6" s="9"/>
      <c r="I6" s="151"/>
    </row>
    <row r="7" spans="2:11" s="1" customFormat="1" ht="12.95" customHeight="1">
      <c r="B7" s="17"/>
      <c r="C7" s="12"/>
      <c r="D7" s="12"/>
      <c r="E7" s="9">
        <v>611000</v>
      </c>
      <c r="F7" s="12" t="s">
        <v>167</v>
      </c>
      <c r="G7" s="20">
        <f>SUM(G8:G11)</f>
        <v>75820</v>
      </c>
      <c r="H7" s="392">
        <f>SUM(H8:H11)</f>
        <v>76050</v>
      </c>
      <c r="I7" s="200">
        <f t="shared" ref="I7:I42" si="0">IF(G7=0,"",H7/G7*100)</f>
        <v>100.30335003956741</v>
      </c>
    </row>
    <row r="8" spans="2:11" ht="12.95" customHeight="1">
      <c r="B8" s="14"/>
      <c r="C8" s="15"/>
      <c r="D8" s="15"/>
      <c r="E8" s="16">
        <v>611100</v>
      </c>
      <c r="F8" s="26" t="s">
        <v>210</v>
      </c>
      <c r="G8" s="82">
        <v>61200</v>
      </c>
      <c r="H8" s="391">
        <f>61900+3050</f>
        <v>64950</v>
      </c>
      <c r="I8" s="153">
        <f t="shared" si="0"/>
        <v>106.12745098039215</v>
      </c>
      <c r="J8" s="90"/>
    </row>
    <row r="9" spans="2:11" ht="12.95" customHeight="1">
      <c r="B9" s="14"/>
      <c r="C9" s="15"/>
      <c r="D9" s="15"/>
      <c r="E9" s="16">
        <v>611200</v>
      </c>
      <c r="F9" s="15" t="s">
        <v>211</v>
      </c>
      <c r="G9" s="82">
        <f>10800+3*240</f>
        <v>11520</v>
      </c>
      <c r="H9" s="391">
        <v>11100</v>
      </c>
      <c r="I9" s="153">
        <f t="shared" si="0"/>
        <v>96.354166666666657</v>
      </c>
      <c r="J9" s="94"/>
    </row>
    <row r="10" spans="2:11" ht="12.95" customHeight="1">
      <c r="B10" s="14"/>
      <c r="C10" s="15"/>
      <c r="D10" s="15"/>
      <c r="E10" s="16">
        <v>611200</v>
      </c>
      <c r="F10" s="363" t="s">
        <v>699</v>
      </c>
      <c r="G10" s="82">
        <v>3100</v>
      </c>
      <c r="H10" s="391">
        <v>0</v>
      </c>
      <c r="I10" s="153">
        <f t="shared" si="0"/>
        <v>0</v>
      </c>
      <c r="K10" s="89"/>
    </row>
    <row r="11" spans="2:11" ht="12.75" customHeight="1">
      <c r="B11" s="14"/>
      <c r="C11" s="15"/>
      <c r="D11" s="15"/>
      <c r="E11" s="16"/>
      <c r="F11" s="26"/>
      <c r="G11" s="43"/>
      <c r="H11" s="391"/>
      <c r="I11" s="153" t="str">
        <f t="shared" si="0"/>
        <v/>
      </c>
    </row>
    <row r="12" spans="2:11" ht="12.95" customHeight="1">
      <c r="B12" s="14"/>
      <c r="C12" s="15"/>
      <c r="D12" s="15"/>
      <c r="E12" s="16"/>
      <c r="F12" s="15"/>
      <c r="G12" s="20"/>
      <c r="H12" s="392"/>
      <c r="I12" s="153" t="str">
        <f t="shared" si="0"/>
        <v/>
      </c>
    </row>
    <row r="13" spans="2:11" s="1" customFormat="1" ht="12.95" customHeight="1">
      <c r="B13" s="17"/>
      <c r="C13" s="12"/>
      <c r="D13" s="12"/>
      <c r="E13" s="9">
        <v>612000</v>
      </c>
      <c r="F13" s="12" t="s">
        <v>166</v>
      </c>
      <c r="G13" s="20">
        <f>G14</f>
        <v>6800</v>
      </c>
      <c r="H13" s="392">
        <f>H14</f>
        <v>7330</v>
      </c>
      <c r="I13" s="200">
        <f t="shared" si="0"/>
        <v>107.79411764705881</v>
      </c>
    </row>
    <row r="14" spans="2:11" ht="12.95" customHeight="1">
      <c r="B14" s="14"/>
      <c r="C14" s="15"/>
      <c r="D14" s="15"/>
      <c r="E14" s="16">
        <v>612100</v>
      </c>
      <c r="F14" s="18" t="s">
        <v>85</v>
      </c>
      <c r="G14" s="82">
        <v>6800</v>
      </c>
      <c r="H14" s="391">
        <f>7000+330</f>
        <v>7330</v>
      </c>
      <c r="I14" s="153">
        <f t="shared" si="0"/>
        <v>107.79411764705881</v>
      </c>
    </row>
    <row r="15" spans="2:11" ht="12.95" customHeight="1">
      <c r="B15" s="14"/>
      <c r="C15" s="15"/>
      <c r="D15" s="15"/>
      <c r="E15" s="16"/>
      <c r="F15" s="15"/>
      <c r="G15" s="43"/>
      <c r="H15" s="43"/>
      <c r="I15" s="153" t="str">
        <f t="shared" si="0"/>
        <v/>
      </c>
    </row>
    <row r="16" spans="2:11" ht="12.95" customHeight="1">
      <c r="B16" s="14"/>
      <c r="C16" s="15"/>
      <c r="D16" s="15"/>
      <c r="E16" s="16"/>
      <c r="F16" s="15"/>
      <c r="G16" s="49"/>
      <c r="H16" s="49"/>
      <c r="I16" s="153" t="str">
        <f t="shared" si="0"/>
        <v/>
      </c>
    </row>
    <row r="17" spans="2:9" s="1" customFormat="1" ht="12.95" customHeight="1">
      <c r="B17" s="17"/>
      <c r="C17" s="12"/>
      <c r="D17" s="12"/>
      <c r="E17" s="9">
        <v>613000</v>
      </c>
      <c r="F17" s="12" t="s">
        <v>168</v>
      </c>
      <c r="G17" s="49">
        <f>SUM(G18:G27)</f>
        <v>16200</v>
      </c>
      <c r="H17" s="49">
        <f>SUM(H18:H27)</f>
        <v>6700</v>
      </c>
      <c r="I17" s="200">
        <f t="shared" si="0"/>
        <v>41.358024691358025</v>
      </c>
    </row>
    <row r="18" spans="2:9" ht="12.95" customHeight="1">
      <c r="B18" s="14"/>
      <c r="C18" s="15"/>
      <c r="D18" s="15"/>
      <c r="E18" s="16">
        <v>613100</v>
      </c>
      <c r="F18" s="15" t="s">
        <v>86</v>
      </c>
      <c r="G18" s="82">
        <v>950</v>
      </c>
      <c r="H18" s="82">
        <v>1000</v>
      </c>
      <c r="I18" s="153">
        <f t="shared" si="0"/>
        <v>105.26315789473684</v>
      </c>
    </row>
    <row r="19" spans="2:9" ht="12.95" customHeight="1">
      <c r="B19" s="14"/>
      <c r="C19" s="15"/>
      <c r="D19" s="15"/>
      <c r="E19" s="16">
        <v>613200</v>
      </c>
      <c r="F19" s="15" t="s">
        <v>87</v>
      </c>
      <c r="G19" s="43">
        <v>0</v>
      </c>
      <c r="H19" s="43">
        <v>0</v>
      </c>
      <c r="I19" s="153" t="str">
        <f t="shared" si="0"/>
        <v/>
      </c>
    </row>
    <row r="20" spans="2:9" ht="12.95" customHeight="1">
      <c r="B20" s="14"/>
      <c r="C20" s="15"/>
      <c r="D20" s="15"/>
      <c r="E20" s="16">
        <v>613300</v>
      </c>
      <c r="F20" s="26" t="s">
        <v>212</v>
      </c>
      <c r="G20" s="43">
        <v>2500</v>
      </c>
      <c r="H20" s="43">
        <v>2500</v>
      </c>
      <c r="I20" s="153">
        <f t="shared" si="0"/>
        <v>100</v>
      </c>
    </row>
    <row r="21" spans="2:9" ht="12.95" customHeight="1">
      <c r="B21" s="14"/>
      <c r="C21" s="15"/>
      <c r="D21" s="15"/>
      <c r="E21" s="16">
        <v>613400</v>
      </c>
      <c r="F21" s="15" t="s">
        <v>169</v>
      </c>
      <c r="G21" s="82">
        <v>0</v>
      </c>
      <c r="H21" s="82">
        <v>400</v>
      </c>
      <c r="I21" s="153" t="str">
        <f t="shared" si="0"/>
        <v/>
      </c>
    </row>
    <row r="22" spans="2:9" ht="12.95" customHeight="1">
      <c r="B22" s="14"/>
      <c r="C22" s="15"/>
      <c r="D22" s="15"/>
      <c r="E22" s="16">
        <v>613500</v>
      </c>
      <c r="F22" s="15" t="s">
        <v>88</v>
      </c>
      <c r="G22" s="43">
        <v>0</v>
      </c>
      <c r="H22" s="43">
        <v>0</v>
      </c>
      <c r="I22" s="153" t="str">
        <f t="shared" si="0"/>
        <v/>
      </c>
    </row>
    <row r="23" spans="2:9" ht="12.95" customHeight="1">
      <c r="B23" s="14"/>
      <c r="C23" s="15"/>
      <c r="D23" s="15"/>
      <c r="E23" s="16">
        <v>613600</v>
      </c>
      <c r="F23" s="26" t="s">
        <v>213</v>
      </c>
      <c r="G23" s="43">
        <v>0</v>
      </c>
      <c r="H23" s="43">
        <v>0</v>
      </c>
      <c r="I23" s="153" t="str">
        <f t="shared" si="0"/>
        <v/>
      </c>
    </row>
    <row r="24" spans="2:9" ht="12.95" customHeight="1">
      <c r="B24" s="14"/>
      <c r="C24" s="15"/>
      <c r="D24" s="15"/>
      <c r="E24" s="16">
        <v>613700</v>
      </c>
      <c r="F24" s="15" t="s">
        <v>89</v>
      </c>
      <c r="G24" s="43">
        <v>400</v>
      </c>
      <c r="H24" s="43">
        <v>400</v>
      </c>
      <c r="I24" s="153">
        <f t="shared" si="0"/>
        <v>100</v>
      </c>
    </row>
    <row r="25" spans="2:9" ht="12.95" customHeight="1">
      <c r="B25" s="14"/>
      <c r="C25" s="15"/>
      <c r="D25" s="15"/>
      <c r="E25" s="16">
        <v>613800</v>
      </c>
      <c r="F25" s="15" t="s">
        <v>170</v>
      </c>
      <c r="G25" s="43">
        <v>0</v>
      </c>
      <c r="H25" s="43">
        <v>0</v>
      </c>
      <c r="I25" s="153" t="str">
        <f t="shared" si="0"/>
        <v/>
      </c>
    </row>
    <row r="26" spans="2:9" ht="12.95" customHeight="1">
      <c r="B26" s="14"/>
      <c r="C26" s="15"/>
      <c r="D26" s="15"/>
      <c r="E26" s="16">
        <v>613900</v>
      </c>
      <c r="F26" s="15" t="s">
        <v>171</v>
      </c>
      <c r="G26" s="82">
        <v>8800</v>
      </c>
      <c r="H26" s="82">
        <v>2400</v>
      </c>
      <c r="I26" s="153">
        <f t="shared" si="0"/>
        <v>27.27272727272727</v>
      </c>
    </row>
    <row r="27" spans="2:9" ht="12.95" customHeight="1">
      <c r="B27" s="14"/>
      <c r="C27" s="15"/>
      <c r="D27" s="15"/>
      <c r="E27" s="16">
        <v>613900</v>
      </c>
      <c r="F27" s="363" t="s">
        <v>701</v>
      </c>
      <c r="G27" s="117">
        <v>3550</v>
      </c>
      <c r="H27" s="117">
        <v>0</v>
      </c>
      <c r="I27" s="153">
        <f t="shared" si="0"/>
        <v>0</v>
      </c>
    </row>
    <row r="28" spans="2:9" s="1" customFormat="1" ht="12.95" customHeight="1">
      <c r="B28" s="17"/>
      <c r="C28" s="12"/>
      <c r="D28" s="12"/>
      <c r="E28" s="59"/>
      <c r="F28" s="12"/>
      <c r="G28" s="82"/>
      <c r="H28" s="82"/>
      <c r="I28" s="153" t="str">
        <f t="shared" si="0"/>
        <v/>
      </c>
    </row>
    <row r="29" spans="2:9" ht="12.95" customHeight="1">
      <c r="B29" s="14"/>
      <c r="C29" s="15"/>
      <c r="D29" s="30"/>
      <c r="E29" s="61"/>
      <c r="F29" s="58"/>
      <c r="G29" s="82"/>
      <c r="H29" s="82"/>
      <c r="I29" s="153" t="str">
        <f t="shared" si="0"/>
        <v/>
      </c>
    </row>
    <row r="30" spans="2:9" ht="12.95" customHeight="1">
      <c r="B30" s="14"/>
      <c r="C30" s="15"/>
      <c r="D30" s="15"/>
      <c r="E30" s="60"/>
      <c r="F30" s="15"/>
      <c r="G30" s="82"/>
      <c r="H30" s="82"/>
      <c r="I30" s="153" t="str">
        <f t="shared" si="0"/>
        <v/>
      </c>
    </row>
    <row r="31" spans="2:9" ht="12.95" customHeight="1">
      <c r="B31" s="14"/>
      <c r="C31" s="15"/>
      <c r="D31" s="15"/>
      <c r="E31" s="16"/>
      <c r="F31" s="15"/>
      <c r="G31" s="82"/>
      <c r="H31" s="82"/>
      <c r="I31" s="153" t="str">
        <f t="shared" si="0"/>
        <v/>
      </c>
    </row>
    <row r="32" spans="2:9" ht="12.95" customHeight="1">
      <c r="B32" s="14"/>
      <c r="C32" s="15"/>
      <c r="D32" s="15"/>
      <c r="E32" s="16"/>
      <c r="F32" s="15"/>
      <c r="G32" s="82"/>
      <c r="H32" s="82"/>
      <c r="I32" s="153" t="str">
        <f t="shared" si="0"/>
        <v/>
      </c>
    </row>
    <row r="33" spans="2:9" ht="12.95" customHeight="1">
      <c r="B33" s="14"/>
      <c r="C33" s="15"/>
      <c r="D33" s="15"/>
      <c r="E33" s="16"/>
      <c r="F33" s="15"/>
      <c r="G33" s="82"/>
      <c r="H33" s="82"/>
      <c r="I33" s="153" t="str">
        <f t="shared" si="0"/>
        <v/>
      </c>
    </row>
    <row r="34" spans="2:9" ht="12.95" customHeight="1">
      <c r="B34" s="14"/>
      <c r="C34" s="15"/>
      <c r="D34" s="15"/>
      <c r="E34" s="16"/>
      <c r="F34" s="19"/>
      <c r="G34" s="82"/>
      <c r="H34" s="82"/>
      <c r="I34" s="153" t="str">
        <f t="shared" si="0"/>
        <v/>
      </c>
    </row>
    <row r="35" spans="2:9" ht="12.95" customHeight="1">
      <c r="B35" s="14"/>
      <c r="C35" s="15"/>
      <c r="D35" s="15"/>
      <c r="E35" s="16"/>
      <c r="F35" s="15"/>
      <c r="G35" s="108"/>
      <c r="H35" s="108"/>
      <c r="I35" s="153" t="str">
        <f t="shared" si="0"/>
        <v/>
      </c>
    </row>
    <row r="36" spans="2:9" s="1" customFormat="1" ht="12.95" customHeight="1">
      <c r="B36" s="17"/>
      <c r="C36" s="12"/>
      <c r="D36" s="12"/>
      <c r="E36" s="9">
        <v>821000</v>
      </c>
      <c r="F36" s="12" t="s">
        <v>92</v>
      </c>
      <c r="G36" s="108">
        <f>SUM(G37:G38)</f>
        <v>4450</v>
      </c>
      <c r="H36" s="108">
        <f>SUM(H37:H38)</f>
        <v>2500</v>
      </c>
      <c r="I36" s="200">
        <f t="shared" si="0"/>
        <v>56.17977528089888</v>
      </c>
    </row>
    <row r="37" spans="2:9" ht="12.95" customHeight="1">
      <c r="B37" s="14"/>
      <c r="C37" s="15"/>
      <c r="D37" s="15"/>
      <c r="E37" s="16">
        <v>821200</v>
      </c>
      <c r="F37" s="15" t="s">
        <v>93</v>
      </c>
      <c r="G37" s="82">
        <v>0</v>
      </c>
      <c r="H37" s="82">
        <v>0</v>
      </c>
      <c r="I37" s="153" t="str">
        <f t="shared" si="0"/>
        <v/>
      </c>
    </row>
    <row r="38" spans="2:9" ht="12.95" customHeight="1">
      <c r="B38" s="14"/>
      <c r="C38" s="15"/>
      <c r="D38" s="15"/>
      <c r="E38" s="16">
        <v>821300</v>
      </c>
      <c r="F38" s="15" t="s">
        <v>94</v>
      </c>
      <c r="G38" s="82">
        <v>4450</v>
      </c>
      <c r="H38" s="82">
        <v>2500</v>
      </c>
      <c r="I38" s="153">
        <f t="shared" si="0"/>
        <v>56.17977528089888</v>
      </c>
    </row>
    <row r="39" spans="2:9" ht="12.95" customHeight="1">
      <c r="B39" s="14"/>
      <c r="C39" s="15"/>
      <c r="D39" s="15"/>
      <c r="E39" s="16"/>
      <c r="F39" s="15"/>
      <c r="G39" s="43"/>
      <c r="H39" s="43"/>
      <c r="I39" s="153" t="str">
        <f t="shared" si="0"/>
        <v/>
      </c>
    </row>
    <row r="40" spans="2:9" ht="12.95" customHeight="1">
      <c r="B40" s="14"/>
      <c r="C40" s="15"/>
      <c r="D40" s="15"/>
      <c r="E40" s="16"/>
      <c r="F40" s="15"/>
      <c r="G40" s="20"/>
      <c r="H40" s="20"/>
      <c r="I40" s="153" t="str">
        <f t="shared" si="0"/>
        <v/>
      </c>
    </row>
    <row r="41" spans="2:9" s="1" customFormat="1" ht="12.95" customHeight="1">
      <c r="B41" s="17"/>
      <c r="C41" s="12"/>
      <c r="D41" s="12"/>
      <c r="E41" s="9"/>
      <c r="F41" s="12" t="s">
        <v>95</v>
      </c>
      <c r="G41" s="108">
        <v>3</v>
      </c>
      <c r="H41" s="108">
        <v>3</v>
      </c>
      <c r="I41" s="153"/>
    </row>
    <row r="42" spans="2:9" s="1" customFormat="1" ht="12.95" customHeight="1">
      <c r="B42" s="17"/>
      <c r="C42" s="12"/>
      <c r="D42" s="12"/>
      <c r="E42" s="9"/>
      <c r="F42" s="12" t="s">
        <v>115</v>
      </c>
      <c r="G42" s="20">
        <f>G7+G13+G17+G36</f>
        <v>103270</v>
      </c>
      <c r="H42" s="20">
        <f>H7+H13+H17+H36</f>
        <v>92580</v>
      </c>
      <c r="I42" s="200">
        <f t="shared" si="0"/>
        <v>89.648494238404183</v>
      </c>
    </row>
    <row r="43" spans="2:9" s="1" customFormat="1" ht="12.95" customHeight="1">
      <c r="B43" s="17"/>
      <c r="C43" s="12"/>
      <c r="D43" s="12"/>
      <c r="E43" s="9"/>
      <c r="F43" s="12" t="s">
        <v>96</v>
      </c>
      <c r="G43" s="20"/>
      <c r="H43" s="20"/>
      <c r="I43" s="152"/>
    </row>
    <row r="44" spans="2:9" s="1" customFormat="1" ht="12.95" customHeight="1">
      <c r="B44" s="17"/>
      <c r="C44" s="12"/>
      <c r="D44" s="12"/>
      <c r="E44" s="9"/>
      <c r="F44" s="12" t="s">
        <v>97</v>
      </c>
      <c r="G44" s="20"/>
      <c r="H44" s="20"/>
      <c r="I44" s="152"/>
    </row>
    <row r="45" spans="2:9" ht="12.95" customHeight="1" thickBot="1">
      <c r="B45" s="21"/>
      <c r="C45" s="22"/>
      <c r="D45" s="22"/>
      <c r="E45" s="23"/>
      <c r="F45" s="22"/>
      <c r="G45" s="48"/>
      <c r="H45" s="22"/>
      <c r="I45" s="156"/>
    </row>
    <row r="47" spans="2:9">
      <c r="B47" s="81"/>
    </row>
    <row r="48" spans="2:9">
      <c r="B48" s="81"/>
    </row>
    <row r="49" spans="2:2">
      <c r="B49" s="81"/>
    </row>
    <row r="50" spans="2:2">
      <c r="B50" s="81"/>
    </row>
  </sheetData>
  <mergeCells count="2">
    <mergeCell ref="B2:H2"/>
    <mergeCell ref="F3:G3"/>
  </mergeCells>
  <phoneticPr fontId="2" type="noConversion"/>
  <pageMargins left="0.19685039370078741" right="0.19685039370078741" top="0.59055118110236227" bottom="0.59055118110236227" header="0.51181102362204722" footer="0.51181102362204722"/>
  <pageSetup paperSize="9" scale="88" firstPageNumber="10" orientation="portrait" useFirstPageNumber="1" horizontalDpi="180" verticalDpi="180" r:id="rId1"/>
  <headerFooter alignWithMargins="0">
    <oddFooter>&amp;R13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46"/>
  <dimension ref="B2:K50"/>
  <sheetViews>
    <sheetView topLeftCell="A10" workbookViewId="0">
      <selection activeCell="G7" sqref="G7:G41"/>
    </sheetView>
  </sheetViews>
  <sheetFormatPr defaultRowHeight="12.75"/>
  <cols>
    <col min="1" max="1" width="1.5703125" style="13" customWidth="1"/>
    <col min="2" max="4" width="5.7109375" style="13" bestFit="1" customWidth="1"/>
    <col min="5" max="5" width="10.5703125" style="24" customWidth="1"/>
    <col min="6" max="6" width="43.7109375" style="13" customWidth="1"/>
    <col min="7" max="8" width="15.7109375" style="13" customWidth="1"/>
    <col min="9" max="9" width="8.7109375" style="140" customWidth="1"/>
    <col min="10" max="16384" width="9.140625" style="13"/>
  </cols>
  <sheetData>
    <row r="2" spans="2:11" ht="15" customHeight="1">
      <c r="B2" s="450" t="s">
        <v>346</v>
      </c>
      <c r="C2" s="450"/>
      <c r="D2" s="450"/>
      <c r="E2" s="450"/>
      <c r="F2" s="450"/>
      <c r="G2" s="450"/>
      <c r="H2" s="450"/>
      <c r="I2" s="147"/>
    </row>
    <row r="3" spans="2:11" s="1" customFormat="1" ht="16.5" thickBot="1">
      <c r="E3" s="2"/>
      <c r="F3" s="449"/>
      <c r="G3" s="449"/>
      <c r="H3" s="181"/>
      <c r="I3" s="182"/>
    </row>
    <row r="4" spans="2:11" s="1" customFormat="1" ht="76.5" customHeight="1">
      <c r="B4" s="3" t="s">
        <v>79</v>
      </c>
      <c r="C4" s="4" t="s">
        <v>80</v>
      </c>
      <c r="D4" s="5" t="s">
        <v>112</v>
      </c>
      <c r="E4" s="6" t="s">
        <v>81</v>
      </c>
      <c r="F4" s="7" t="s">
        <v>82</v>
      </c>
      <c r="G4" s="316" t="s">
        <v>557</v>
      </c>
      <c r="H4" s="316" t="s">
        <v>683</v>
      </c>
      <c r="I4" s="149" t="s">
        <v>497</v>
      </c>
    </row>
    <row r="5" spans="2:11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34">
        <v>6</v>
      </c>
      <c r="H5" s="9">
        <v>7</v>
      </c>
      <c r="I5" s="150">
        <v>8</v>
      </c>
    </row>
    <row r="6" spans="2:11" s="2" customFormat="1" ht="12.95" customHeight="1">
      <c r="B6" s="10" t="s">
        <v>123</v>
      </c>
      <c r="C6" s="11" t="s">
        <v>83</v>
      </c>
      <c r="D6" s="11" t="s">
        <v>150</v>
      </c>
      <c r="E6" s="9"/>
      <c r="F6" s="9"/>
      <c r="G6" s="34"/>
      <c r="H6" s="9"/>
      <c r="I6" s="151"/>
    </row>
    <row r="7" spans="2:11" s="1" customFormat="1" ht="12.95" customHeight="1">
      <c r="B7" s="17"/>
      <c r="C7" s="12"/>
      <c r="D7" s="12"/>
      <c r="E7" s="9">
        <v>611000</v>
      </c>
      <c r="F7" s="12" t="s">
        <v>167</v>
      </c>
      <c r="G7" s="20">
        <f>SUM(G8:G11)</f>
        <v>76860</v>
      </c>
      <c r="H7" s="392">
        <f>SUM(H8:H11)</f>
        <v>108460</v>
      </c>
      <c r="I7" s="152">
        <f t="shared" ref="I7:I44" si="0">IF(G7=0,"",H7/G7*100)</f>
        <v>141.1137132448608</v>
      </c>
    </row>
    <row r="8" spans="2:11" ht="12.95" customHeight="1">
      <c r="B8" s="14"/>
      <c r="C8" s="15"/>
      <c r="D8" s="15"/>
      <c r="E8" s="16">
        <v>611100</v>
      </c>
      <c r="F8" s="26" t="s">
        <v>210</v>
      </c>
      <c r="G8" s="82">
        <v>52300</v>
      </c>
      <c r="H8" s="391">
        <f>72200+3500+12260</f>
        <v>87960</v>
      </c>
      <c r="I8" s="153">
        <f t="shared" si="0"/>
        <v>168.18355640535373</v>
      </c>
      <c r="J8" s="90"/>
    </row>
    <row r="9" spans="2:11" ht="12.95" customHeight="1">
      <c r="B9" s="14"/>
      <c r="C9" s="15"/>
      <c r="D9" s="15"/>
      <c r="E9" s="16">
        <v>611200</v>
      </c>
      <c r="F9" s="15" t="s">
        <v>211</v>
      </c>
      <c r="G9" s="82">
        <f>13600+1200+4*240</f>
        <v>15760</v>
      </c>
      <c r="H9" s="391">
        <f>18200+2300</f>
        <v>20500</v>
      </c>
      <c r="I9" s="153">
        <f t="shared" si="0"/>
        <v>130.07614213197968</v>
      </c>
      <c r="J9" s="94"/>
    </row>
    <row r="10" spans="2:11" ht="12.95" customHeight="1">
      <c r="B10" s="14"/>
      <c r="C10" s="15"/>
      <c r="D10" s="15"/>
      <c r="E10" s="16">
        <v>611200</v>
      </c>
      <c r="F10" s="363" t="s">
        <v>699</v>
      </c>
      <c r="G10" s="82">
        <v>8800</v>
      </c>
      <c r="H10" s="391">
        <v>0</v>
      </c>
      <c r="I10" s="153">
        <f t="shared" si="0"/>
        <v>0</v>
      </c>
      <c r="K10" s="89"/>
    </row>
    <row r="11" spans="2:11" ht="12.75" customHeight="1">
      <c r="B11" s="14"/>
      <c r="C11" s="15"/>
      <c r="D11" s="15"/>
      <c r="E11" s="16"/>
      <c r="F11" s="26"/>
      <c r="G11" s="43"/>
      <c r="H11" s="391"/>
      <c r="I11" s="152" t="str">
        <f t="shared" si="0"/>
        <v/>
      </c>
    </row>
    <row r="12" spans="2:11" ht="12.95" customHeight="1">
      <c r="B12" s="14"/>
      <c r="C12" s="15"/>
      <c r="D12" s="15"/>
      <c r="E12" s="16"/>
      <c r="F12" s="15"/>
      <c r="G12" s="20"/>
      <c r="H12" s="392"/>
      <c r="I12" s="152" t="str">
        <f t="shared" si="0"/>
        <v/>
      </c>
    </row>
    <row r="13" spans="2:11" s="1" customFormat="1" ht="12.95" customHeight="1">
      <c r="B13" s="17"/>
      <c r="C13" s="12"/>
      <c r="D13" s="12"/>
      <c r="E13" s="9">
        <v>612000</v>
      </c>
      <c r="F13" s="12" t="s">
        <v>166</v>
      </c>
      <c r="G13" s="20">
        <f>G14</f>
        <v>5900</v>
      </c>
      <c r="H13" s="392">
        <f>H14</f>
        <v>10030</v>
      </c>
      <c r="I13" s="152">
        <f t="shared" si="0"/>
        <v>170</v>
      </c>
    </row>
    <row r="14" spans="2:11" ht="12.95" customHeight="1">
      <c r="B14" s="14"/>
      <c r="C14" s="15"/>
      <c r="D14" s="15"/>
      <c r="E14" s="16">
        <v>612100</v>
      </c>
      <c r="F14" s="18" t="s">
        <v>85</v>
      </c>
      <c r="G14" s="82">
        <v>5900</v>
      </c>
      <c r="H14" s="391">
        <f>8300+380+1350</f>
        <v>10030</v>
      </c>
      <c r="I14" s="153">
        <f t="shared" si="0"/>
        <v>170</v>
      </c>
    </row>
    <row r="15" spans="2:11" ht="12.95" customHeight="1">
      <c r="B15" s="14"/>
      <c r="C15" s="15"/>
      <c r="D15" s="15"/>
      <c r="E15" s="16"/>
      <c r="F15" s="15"/>
      <c r="G15" s="43"/>
      <c r="H15" s="43"/>
      <c r="I15" s="152" t="str">
        <f t="shared" si="0"/>
        <v/>
      </c>
    </row>
    <row r="16" spans="2:11" ht="12.95" customHeight="1">
      <c r="B16" s="14"/>
      <c r="C16" s="15"/>
      <c r="D16" s="15"/>
      <c r="E16" s="16"/>
      <c r="F16" s="15"/>
      <c r="G16" s="49"/>
      <c r="H16" s="49"/>
      <c r="I16" s="152" t="str">
        <f t="shared" si="0"/>
        <v/>
      </c>
    </row>
    <row r="17" spans="2:9" s="1" customFormat="1" ht="12.95" customHeight="1">
      <c r="B17" s="17"/>
      <c r="C17" s="12"/>
      <c r="D17" s="12"/>
      <c r="E17" s="9">
        <v>613000</v>
      </c>
      <c r="F17" s="12" t="s">
        <v>168</v>
      </c>
      <c r="G17" s="49">
        <f>SUM(G18:G27)</f>
        <v>13900</v>
      </c>
      <c r="H17" s="49">
        <f>SUM(H18:H27)</f>
        <v>8000</v>
      </c>
      <c r="I17" s="152">
        <f t="shared" si="0"/>
        <v>57.553956834532372</v>
      </c>
    </row>
    <row r="18" spans="2:9" ht="12.95" customHeight="1">
      <c r="B18" s="14"/>
      <c r="C18" s="15"/>
      <c r="D18" s="15"/>
      <c r="E18" s="16">
        <v>613100</v>
      </c>
      <c r="F18" s="15" t="s">
        <v>86</v>
      </c>
      <c r="G18" s="82">
        <v>2800</v>
      </c>
      <c r="H18" s="82">
        <v>5000</v>
      </c>
      <c r="I18" s="153">
        <f t="shared" si="0"/>
        <v>178.57142857142858</v>
      </c>
    </row>
    <row r="19" spans="2:9" ht="12.95" customHeight="1">
      <c r="B19" s="14"/>
      <c r="C19" s="15"/>
      <c r="D19" s="15"/>
      <c r="E19" s="16">
        <v>613200</v>
      </c>
      <c r="F19" s="15" t="s">
        <v>87</v>
      </c>
      <c r="G19" s="43">
        <v>0</v>
      </c>
      <c r="H19" s="43">
        <v>0</v>
      </c>
      <c r="I19" s="153" t="str">
        <f t="shared" si="0"/>
        <v/>
      </c>
    </row>
    <row r="20" spans="2:9" ht="12.95" customHeight="1">
      <c r="B20" s="14"/>
      <c r="C20" s="15"/>
      <c r="D20" s="15"/>
      <c r="E20" s="16">
        <v>613300</v>
      </c>
      <c r="F20" s="26" t="s">
        <v>212</v>
      </c>
      <c r="G20" s="43">
        <v>600</v>
      </c>
      <c r="H20" s="43">
        <v>700</v>
      </c>
      <c r="I20" s="153">
        <f t="shared" si="0"/>
        <v>116.66666666666667</v>
      </c>
    </row>
    <row r="21" spans="2:9" ht="12.95" customHeight="1">
      <c r="B21" s="14"/>
      <c r="C21" s="15"/>
      <c r="D21" s="15"/>
      <c r="E21" s="16">
        <v>613400</v>
      </c>
      <c r="F21" s="15" t="s">
        <v>169</v>
      </c>
      <c r="G21" s="82">
        <v>600</v>
      </c>
      <c r="H21" s="82">
        <v>500</v>
      </c>
      <c r="I21" s="153">
        <f t="shared" si="0"/>
        <v>83.333333333333343</v>
      </c>
    </row>
    <row r="22" spans="2:9" ht="12.95" customHeight="1">
      <c r="B22" s="14"/>
      <c r="C22" s="15"/>
      <c r="D22" s="15"/>
      <c r="E22" s="16">
        <v>613500</v>
      </c>
      <c r="F22" s="15" t="s">
        <v>88</v>
      </c>
      <c r="G22" s="43">
        <v>0</v>
      </c>
      <c r="H22" s="43">
        <v>0</v>
      </c>
      <c r="I22" s="153" t="str">
        <f t="shared" si="0"/>
        <v/>
      </c>
    </row>
    <row r="23" spans="2:9" ht="12.95" customHeight="1">
      <c r="B23" s="14"/>
      <c r="C23" s="15"/>
      <c r="D23" s="15"/>
      <c r="E23" s="16">
        <v>613600</v>
      </c>
      <c r="F23" s="26" t="s">
        <v>213</v>
      </c>
      <c r="G23" s="43">
        <v>0</v>
      </c>
      <c r="H23" s="43">
        <v>0</v>
      </c>
      <c r="I23" s="153" t="str">
        <f t="shared" si="0"/>
        <v/>
      </c>
    </row>
    <row r="24" spans="2:9" ht="12.95" customHeight="1">
      <c r="B24" s="14"/>
      <c r="C24" s="15"/>
      <c r="D24" s="15"/>
      <c r="E24" s="16">
        <v>613700</v>
      </c>
      <c r="F24" s="15" t="s">
        <v>89</v>
      </c>
      <c r="G24" s="43">
        <v>300</v>
      </c>
      <c r="H24" s="43">
        <v>300</v>
      </c>
      <c r="I24" s="153">
        <f t="shared" si="0"/>
        <v>100</v>
      </c>
    </row>
    <row r="25" spans="2:9" ht="12.95" customHeight="1">
      <c r="B25" s="14"/>
      <c r="C25" s="15"/>
      <c r="D25" s="15"/>
      <c r="E25" s="16">
        <v>613800</v>
      </c>
      <c r="F25" s="15" t="s">
        <v>170</v>
      </c>
      <c r="G25" s="43">
        <v>0</v>
      </c>
      <c r="H25" s="43">
        <v>0</v>
      </c>
      <c r="I25" s="153" t="str">
        <f t="shared" si="0"/>
        <v/>
      </c>
    </row>
    <row r="26" spans="2:9" ht="12.95" customHeight="1">
      <c r="B26" s="14"/>
      <c r="C26" s="15"/>
      <c r="D26" s="15"/>
      <c r="E26" s="16">
        <v>613900</v>
      </c>
      <c r="F26" s="15" t="s">
        <v>171</v>
      </c>
      <c r="G26" s="82">
        <v>1500</v>
      </c>
      <c r="H26" s="82">
        <v>1500</v>
      </c>
      <c r="I26" s="153">
        <f t="shared" si="0"/>
        <v>100</v>
      </c>
    </row>
    <row r="27" spans="2:9" ht="12.95" customHeight="1">
      <c r="B27" s="14"/>
      <c r="C27" s="15"/>
      <c r="D27" s="15"/>
      <c r="E27" s="16">
        <v>613900</v>
      </c>
      <c r="F27" s="363" t="s">
        <v>701</v>
      </c>
      <c r="G27" s="117">
        <v>8100</v>
      </c>
      <c r="H27" s="117">
        <v>0</v>
      </c>
      <c r="I27" s="153">
        <f t="shared" si="0"/>
        <v>0</v>
      </c>
    </row>
    <row r="28" spans="2:9" s="1" customFormat="1" ht="12.95" customHeight="1">
      <c r="B28" s="17"/>
      <c r="C28" s="12"/>
      <c r="D28" s="12"/>
      <c r="E28" s="59"/>
      <c r="F28" s="12"/>
      <c r="G28" s="82"/>
      <c r="H28" s="82"/>
      <c r="I28" s="152" t="str">
        <f t="shared" si="0"/>
        <v/>
      </c>
    </row>
    <row r="29" spans="2:9" ht="12.95" customHeight="1">
      <c r="B29" s="14"/>
      <c r="C29" s="15"/>
      <c r="D29" s="30"/>
      <c r="E29" s="61"/>
      <c r="F29" s="58"/>
      <c r="G29" s="82"/>
      <c r="H29" s="82"/>
      <c r="I29" s="152" t="str">
        <f t="shared" si="0"/>
        <v/>
      </c>
    </row>
    <row r="30" spans="2:9" ht="12.95" customHeight="1">
      <c r="B30" s="14"/>
      <c r="C30" s="15"/>
      <c r="D30" s="15"/>
      <c r="E30" s="60"/>
      <c r="F30" s="15"/>
      <c r="G30" s="82"/>
      <c r="H30" s="82"/>
      <c r="I30" s="152" t="str">
        <f t="shared" si="0"/>
        <v/>
      </c>
    </row>
    <row r="31" spans="2:9" ht="12.95" customHeight="1">
      <c r="B31" s="14"/>
      <c r="C31" s="15"/>
      <c r="D31" s="15"/>
      <c r="E31" s="16"/>
      <c r="F31" s="15"/>
      <c r="G31" s="82"/>
      <c r="H31" s="82"/>
      <c r="I31" s="152" t="str">
        <f t="shared" si="0"/>
        <v/>
      </c>
    </row>
    <row r="32" spans="2:9" ht="12.95" customHeight="1">
      <c r="B32" s="14"/>
      <c r="C32" s="15"/>
      <c r="D32" s="15"/>
      <c r="E32" s="16"/>
      <c r="F32" s="15"/>
      <c r="G32" s="82"/>
      <c r="H32" s="82"/>
      <c r="I32" s="152" t="str">
        <f t="shared" si="0"/>
        <v/>
      </c>
    </row>
    <row r="33" spans="2:9" ht="12.95" customHeight="1">
      <c r="B33" s="14"/>
      <c r="C33" s="15"/>
      <c r="D33" s="15"/>
      <c r="E33" s="16"/>
      <c r="F33" s="15"/>
      <c r="G33" s="82"/>
      <c r="H33" s="82"/>
      <c r="I33" s="152" t="str">
        <f t="shared" si="0"/>
        <v/>
      </c>
    </row>
    <row r="34" spans="2:9" ht="12.95" customHeight="1">
      <c r="B34" s="14"/>
      <c r="C34" s="15"/>
      <c r="D34" s="15"/>
      <c r="E34" s="16"/>
      <c r="F34" s="19"/>
      <c r="G34" s="82"/>
      <c r="H34" s="82"/>
      <c r="I34" s="152" t="str">
        <f t="shared" si="0"/>
        <v/>
      </c>
    </row>
    <row r="35" spans="2:9" ht="12.95" customHeight="1">
      <c r="B35" s="14"/>
      <c r="C35" s="15"/>
      <c r="D35" s="15"/>
      <c r="E35" s="16"/>
      <c r="F35" s="15"/>
      <c r="G35" s="108"/>
      <c r="H35" s="108"/>
      <c r="I35" s="152" t="str">
        <f t="shared" si="0"/>
        <v/>
      </c>
    </row>
    <row r="36" spans="2:9" s="1" customFormat="1" ht="12.95" customHeight="1">
      <c r="B36" s="17"/>
      <c r="C36" s="12"/>
      <c r="D36" s="12"/>
      <c r="E36" s="9">
        <v>821000</v>
      </c>
      <c r="F36" s="12" t="s">
        <v>92</v>
      </c>
      <c r="G36" s="108">
        <f>SUM(G37:G38)</f>
        <v>4500</v>
      </c>
      <c r="H36" s="108">
        <f>SUM(H37:H38)</f>
        <v>2000</v>
      </c>
      <c r="I36" s="152">
        <f t="shared" si="0"/>
        <v>44.444444444444443</v>
      </c>
    </row>
    <row r="37" spans="2:9" ht="12.95" customHeight="1">
      <c r="B37" s="14"/>
      <c r="C37" s="15"/>
      <c r="D37" s="15"/>
      <c r="E37" s="16">
        <v>821200</v>
      </c>
      <c r="F37" s="15" t="s">
        <v>93</v>
      </c>
      <c r="G37" s="82">
        <v>0</v>
      </c>
      <c r="H37" s="82">
        <v>0</v>
      </c>
      <c r="I37" s="153" t="str">
        <f t="shared" si="0"/>
        <v/>
      </c>
    </row>
    <row r="38" spans="2:9" ht="12.95" customHeight="1">
      <c r="B38" s="14"/>
      <c r="C38" s="15"/>
      <c r="D38" s="15"/>
      <c r="E38" s="16">
        <v>821300</v>
      </c>
      <c r="F38" s="15" t="s">
        <v>94</v>
      </c>
      <c r="G38" s="82">
        <v>4500</v>
      </c>
      <c r="H38" s="82">
        <v>2000</v>
      </c>
      <c r="I38" s="153">
        <f t="shared" si="0"/>
        <v>44.444444444444443</v>
      </c>
    </row>
    <row r="39" spans="2:9" ht="12.95" customHeight="1">
      <c r="B39" s="14"/>
      <c r="C39" s="15"/>
      <c r="D39" s="15"/>
      <c r="E39" s="16"/>
      <c r="F39" s="15"/>
      <c r="G39" s="43"/>
      <c r="H39" s="43"/>
      <c r="I39" s="153" t="str">
        <f t="shared" si="0"/>
        <v/>
      </c>
    </row>
    <row r="40" spans="2:9" ht="12.95" customHeight="1">
      <c r="B40" s="14"/>
      <c r="C40" s="15"/>
      <c r="D40" s="15"/>
      <c r="E40" s="16"/>
      <c r="F40" s="15"/>
      <c r="G40" s="20"/>
      <c r="H40" s="20"/>
      <c r="I40" s="153" t="str">
        <f t="shared" si="0"/>
        <v/>
      </c>
    </row>
    <row r="41" spans="2:9" s="1" customFormat="1" ht="12.95" customHeight="1">
      <c r="B41" s="17"/>
      <c r="C41" s="12"/>
      <c r="D41" s="12"/>
      <c r="E41" s="9"/>
      <c r="F41" s="12" t="s">
        <v>95</v>
      </c>
      <c r="G41" s="108">
        <v>4</v>
      </c>
      <c r="H41" s="108">
        <v>5</v>
      </c>
      <c r="I41" s="153"/>
    </row>
    <row r="42" spans="2:9" s="1" customFormat="1" ht="12.95" customHeight="1">
      <c r="B42" s="17"/>
      <c r="C42" s="12"/>
      <c r="D42" s="12"/>
      <c r="E42" s="9"/>
      <c r="F42" s="12" t="s">
        <v>115</v>
      </c>
      <c r="G42" s="20">
        <f>G7+G13+G17+G36</f>
        <v>101160</v>
      </c>
      <c r="H42" s="20">
        <f>H7+H13+H17+H36</f>
        <v>128490</v>
      </c>
      <c r="I42" s="152">
        <f t="shared" si="0"/>
        <v>127.01660735468565</v>
      </c>
    </row>
    <row r="43" spans="2:9" s="1" customFormat="1" ht="12.95" customHeight="1">
      <c r="B43" s="17"/>
      <c r="C43" s="12"/>
      <c r="D43" s="12"/>
      <c r="E43" s="9"/>
      <c r="F43" s="12" t="s">
        <v>96</v>
      </c>
      <c r="G43" s="20">
        <f>G42+'6'!G42+'5'!G42+'4'!G43+'3'!G56</f>
        <v>3403340</v>
      </c>
      <c r="H43" s="20">
        <f>H42+'6'!H42+'5'!H42+'4'!H43+'3'!H56</f>
        <v>2909330</v>
      </c>
      <c r="I43" s="152">
        <f t="shared" si="0"/>
        <v>85.484553409297931</v>
      </c>
    </row>
    <row r="44" spans="2:9" s="1" customFormat="1" ht="12.95" customHeight="1">
      <c r="B44" s="17"/>
      <c r="C44" s="12"/>
      <c r="D44" s="12"/>
      <c r="E44" s="9"/>
      <c r="F44" s="12" t="s">
        <v>97</v>
      </c>
      <c r="G44" s="20">
        <f>G43</f>
        <v>3403340</v>
      </c>
      <c r="H44" s="20">
        <f>H43</f>
        <v>2909330</v>
      </c>
      <c r="I44" s="152">
        <f t="shared" si="0"/>
        <v>85.484553409297931</v>
      </c>
    </row>
    <row r="45" spans="2:9" ht="12.95" customHeight="1" thickBot="1">
      <c r="B45" s="21"/>
      <c r="C45" s="22"/>
      <c r="D45" s="22"/>
      <c r="E45" s="23"/>
      <c r="F45" s="22"/>
      <c r="G45" s="48"/>
      <c r="H45" s="22"/>
      <c r="I45" s="156"/>
    </row>
    <row r="47" spans="2:9">
      <c r="B47" s="81"/>
    </row>
    <row r="48" spans="2:9">
      <c r="B48" s="81"/>
    </row>
    <row r="49" spans="2:2">
      <c r="B49" s="81"/>
    </row>
    <row r="50" spans="2:2">
      <c r="B50" s="81"/>
    </row>
  </sheetData>
  <mergeCells count="2">
    <mergeCell ref="B2:H2"/>
    <mergeCell ref="F3:G3"/>
  </mergeCells>
  <phoneticPr fontId="2" type="noConversion"/>
  <pageMargins left="0.19685039370078741" right="0.19685039370078741" top="0.59055118110236227" bottom="0.59055118110236227" header="0.51181102362204722" footer="0.51181102362204722"/>
  <pageSetup paperSize="9" scale="88" firstPageNumber="10" orientation="portrait" useFirstPageNumber="1" horizontalDpi="180" verticalDpi="180" r:id="rId1"/>
  <headerFooter alignWithMargins="0">
    <oddFooter>&amp;R14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1"/>
  <dimension ref="B2:L50"/>
  <sheetViews>
    <sheetView topLeftCell="A10" workbookViewId="0">
      <selection activeCell="G7" sqref="G7:G41"/>
    </sheetView>
  </sheetViews>
  <sheetFormatPr defaultRowHeight="12.75"/>
  <cols>
    <col min="1" max="1" width="1.5703125" style="13" customWidth="1"/>
    <col min="2" max="2" width="7" style="13" bestFit="1" customWidth="1"/>
    <col min="3" max="4" width="5.7109375" style="13" bestFit="1" customWidth="1"/>
    <col min="5" max="5" width="10.85546875" style="24" customWidth="1"/>
    <col min="6" max="6" width="43.7109375" style="13" customWidth="1"/>
    <col min="7" max="8" width="15.7109375" style="13" customWidth="1"/>
    <col min="9" max="9" width="8.7109375" style="140" customWidth="1"/>
    <col min="10" max="16384" width="9.140625" style="13"/>
  </cols>
  <sheetData>
    <row r="2" spans="2:12" s="112" customFormat="1" ht="15" customHeight="1">
      <c r="B2" s="450" t="s">
        <v>130</v>
      </c>
      <c r="C2" s="450"/>
      <c r="D2" s="450"/>
      <c r="E2" s="450"/>
      <c r="F2" s="450"/>
      <c r="G2" s="450"/>
      <c r="H2" s="450"/>
      <c r="I2" s="147"/>
    </row>
    <row r="3" spans="2:12" s="1" customFormat="1" ht="16.5" thickBot="1">
      <c r="E3" s="2"/>
      <c r="F3" s="449"/>
      <c r="G3" s="449"/>
      <c r="H3" s="181"/>
      <c r="I3" s="182"/>
    </row>
    <row r="4" spans="2:12" s="1" customFormat="1" ht="76.5" customHeight="1">
      <c r="B4" s="3" t="s">
        <v>79</v>
      </c>
      <c r="C4" s="4" t="s">
        <v>80</v>
      </c>
      <c r="D4" s="5" t="s">
        <v>112</v>
      </c>
      <c r="E4" s="6" t="s">
        <v>81</v>
      </c>
      <c r="F4" s="7" t="s">
        <v>82</v>
      </c>
      <c r="G4" s="316" t="s">
        <v>557</v>
      </c>
      <c r="H4" s="316" t="s">
        <v>683</v>
      </c>
      <c r="I4" s="149" t="s">
        <v>497</v>
      </c>
    </row>
    <row r="5" spans="2:12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34">
        <v>6</v>
      </c>
      <c r="H5" s="9">
        <v>7</v>
      </c>
      <c r="I5" s="150">
        <v>8</v>
      </c>
    </row>
    <row r="6" spans="2:12" s="2" customFormat="1" ht="12.95" customHeight="1">
      <c r="B6" s="10" t="s">
        <v>131</v>
      </c>
      <c r="C6" s="11" t="s">
        <v>83</v>
      </c>
      <c r="D6" s="11" t="s">
        <v>84</v>
      </c>
      <c r="E6" s="9"/>
      <c r="F6" s="9"/>
      <c r="G6" s="34"/>
      <c r="H6" s="9"/>
      <c r="I6" s="151"/>
    </row>
    <row r="7" spans="2:12" s="1" customFormat="1" ht="12.95" customHeight="1">
      <c r="B7" s="17"/>
      <c r="C7" s="12"/>
      <c r="D7" s="12"/>
      <c r="E7" s="9">
        <v>611000</v>
      </c>
      <c r="F7" s="12" t="s">
        <v>167</v>
      </c>
      <c r="G7" s="108">
        <f>SUM(G8:G11)</f>
        <v>241160</v>
      </c>
      <c r="H7" s="392">
        <f>SUM(H8:H11)</f>
        <v>229230</v>
      </c>
      <c r="I7" s="152">
        <f t="shared" ref="I7:I44" si="0">IF(G7=0,"",H7/G7*100)</f>
        <v>95.053076795488465</v>
      </c>
    </row>
    <row r="8" spans="2:12" ht="12.95" customHeight="1">
      <c r="B8" s="14"/>
      <c r="C8" s="15"/>
      <c r="D8" s="15"/>
      <c r="E8" s="16">
        <v>611100</v>
      </c>
      <c r="F8" s="26" t="s">
        <v>210</v>
      </c>
      <c r="G8" s="82">
        <v>162100</v>
      </c>
      <c r="H8" s="391">
        <f>166600+8230</f>
        <v>174830</v>
      </c>
      <c r="I8" s="153">
        <f t="shared" si="0"/>
        <v>107.85317705120296</v>
      </c>
      <c r="J8" s="81"/>
    </row>
    <row r="9" spans="2:12" ht="12.95" customHeight="1">
      <c r="B9" s="14"/>
      <c r="C9" s="15"/>
      <c r="D9" s="15"/>
      <c r="E9" s="16">
        <v>611200</v>
      </c>
      <c r="F9" s="15" t="s">
        <v>211</v>
      </c>
      <c r="G9" s="82">
        <f>54900+14*240</f>
        <v>58260</v>
      </c>
      <c r="H9" s="391">
        <f>51400+3000</f>
        <v>54400</v>
      </c>
      <c r="I9" s="153">
        <f t="shared" si="0"/>
        <v>93.374527978029519</v>
      </c>
    </row>
    <row r="10" spans="2:12" ht="12.95" customHeight="1">
      <c r="B10" s="14"/>
      <c r="C10" s="15"/>
      <c r="D10" s="15"/>
      <c r="E10" s="16">
        <v>611200</v>
      </c>
      <c r="F10" s="363" t="s">
        <v>699</v>
      </c>
      <c r="G10" s="82">
        <v>20800</v>
      </c>
      <c r="H10" s="391">
        <v>0</v>
      </c>
      <c r="I10" s="153">
        <f t="shared" si="0"/>
        <v>0</v>
      </c>
      <c r="K10" s="89"/>
    </row>
    <row r="11" spans="2:12" ht="12.95" customHeight="1">
      <c r="B11" s="14"/>
      <c r="C11" s="15"/>
      <c r="D11" s="15"/>
      <c r="E11" s="16"/>
      <c r="F11" s="26"/>
      <c r="G11" s="82"/>
      <c r="H11" s="391"/>
      <c r="I11" s="152" t="str">
        <f t="shared" si="0"/>
        <v/>
      </c>
      <c r="K11" s="81"/>
    </row>
    <row r="12" spans="2:12" ht="12.95" customHeight="1">
      <c r="B12" s="14"/>
      <c r="C12" s="15"/>
      <c r="D12" s="15"/>
      <c r="E12" s="16"/>
      <c r="F12" s="15"/>
      <c r="G12" s="108"/>
      <c r="H12" s="392"/>
      <c r="I12" s="152" t="str">
        <f t="shared" si="0"/>
        <v/>
      </c>
      <c r="K12" s="81"/>
    </row>
    <row r="13" spans="2:12" s="1" customFormat="1" ht="12.95" customHeight="1">
      <c r="B13" s="17"/>
      <c r="C13" s="12"/>
      <c r="D13" s="12"/>
      <c r="E13" s="9">
        <v>612000</v>
      </c>
      <c r="F13" s="12" t="s">
        <v>166</v>
      </c>
      <c r="G13" s="108">
        <f>G14</f>
        <v>17600</v>
      </c>
      <c r="H13" s="392">
        <f>H14</f>
        <v>19600</v>
      </c>
      <c r="I13" s="152">
        <f t="shared" si="0"/>
        <v>111.36363636363636</v>
      </c>
      <c r="K13" s="95"/>
      <c r="L13" s="95"/>
    </row>
    <row r="14" spans="2:12" ht="12.95" customHeight="1">
      <c r="B14" s="14"/>
      <c r="C14" s="15"/>
      <c r="D14" s="15"/>
      <c r="E14" s="16">
        <v>612100</v>
      </c>
      <c r="F14" s="18" t="s">
        <v>85</v>
      </c>
      <c r="G14" s="82">
        <v>17600</v>
      </c>
      <c r="H14" s="391">
        <f>18700+900</f>
        <v>19600</v>
      </c>
      <c r="I14" s="153">
        <f t="shared" si="0"/>
        <v>111.36363636363636</v>
      </c>
    </row>
    <row r="15" spans="2:12" ht="12.95" customHeight="1">
      <c r="B15" s="14"/>
      <c r="C15" s="15"/>
      <c r="D15" s="15"/>
      <c r="E15" s="16"/>
      <c r="F15" s="15"/>
      <c r="G15" s="82"/>
      <c r="H15" s="82"/>
      <c r="I15" s="152" t="str">
        <f t="shared" si="0"/>
        <v/>
      </c>
    </row>
    <row r="16" spans="2:12" ht="12.95" customHeight="1">
      <c r="B16" s="14"/>
      <c r="C16" s="15"/>
      <c r="D16" s="15"/>
      <c r="E16" s="16"/>
      <c r="F16" s="15"/>
      <c r="G16" s="108"/>
      <c r="H16" s="108"/>
      <c r="I16" s="152" t="str">
        <f t="shared" si="0"/>
        <v/>
      </c>
    </row>
    <row r="17" spans="2:10" s="1" customFormat="1" ht="12.95" customHeight="1">
      <c r="B17" s="17"/>
      <c r="C17" s="12"/>
      <c r="D17" s="12"/>
      <c r="E17" s="9">
        <v>613000</v>
      </c>
      <c r="F17" s="12" t="s">
        <v>168</v>
      </c>
      <c r="G17" s="49">
        <f>SUM(G18:G27)</f>
        <v>400400</v>
      </c>
      <c r="H17" s="49">
        <f>SUM(H18:H27)</f>
        <v>385000</v>
      </c>
      <c r="I17" s="152">
        <f t="shared" si="0"/>
        <v>96.15384615384616</v>
      </c>
    </row>
    <row r="18" spans="2:10" ht="12.95" customHeight="1">
      <c r="B18" s="14"/>
      <c r="C18" s="15"/>
      <c r="D18" s="15"/>
      <c r="E18" s="16">
        <v>613100</v>
      </c>
      <c r="F18" s="15" t="s">
        <v>86</v>
      </c>
      <c r="G18" s="82">
        <v>6000</v>
      </c>
      <c r="H18" s="82">
        <v>7000</v>
      </c>
      <c r="I18" s="153">
        <f t="shared" si="0"/>
        <v>116.66666666666667</v>
      </c>
    </row>
    <row r="19" spans="2:10" ht="12.95" customHeight="1">
      <c r="B19" s="14"/>
      <c r="C19" s="15"/>
      <c r="D19" s="15"/>
      <c r="E19" s="16">
        <v>613200</v>
      </c>
      <c r="F19" s="15" t="s">
        <v>87</v>
      </c>
      <c r="G19" s="43">
        <v>104200</v>
      </c>
      <c r="H19" s="43">
        <v>105000</v>
      </c>
      <c r="I19" s="153">
        <f t="shared" si="0"/>
        <v>100.76775431861805</v>
      </c>
    </row>
    <row r="20" spans="2:10" ht="12.95" customHeight="1">
      <c r="B20" s="14"/>
      <c r="C20" s="15"/>
      <c r="D20" s="15"/>
      <c r="E20" s="16">
        <v>613300</v>
      </c>
      <c r="F20" s="26" t="s">
        <v>212</v>
      </c>
      <c r="G20" s="43">
        <v>44000</v>
      </c>
      <c r="H20" s="43">
        <v>44000</v>
      </c>
      <c r="I20" s="153">
        <f t="shared" si="0"/>
        <v>100</v>
      </c>
    </row>
    <row r="21" spans="2:10" ht="12.95" customHeight="1">
      <c r="B21" s="14"/>
      <c r="C21" s="15"/>
      <c r="D21" s="15"/>
      <c r="E21" s="16">
        <v>613400</v>
      </c>
      <c r="F21" s="15" t="s">
        <v>169</v>
      </c>
      <c r="G21" s="43">
        <v>79000</v>
      </c>
      <c r="H21" s="43">
        <v>84000</v>
      </c>
      <c r="I21" s="153">
        <f t="shared" si="0"/>
        <v>106.32911392405062</v>
      </c>
    </row>
    <row r="22" spans="2:10" ht="12.95" customHeight="1">
      <c r="B22" s="14"/>
      <c r="C22" s="15"/>
      <c r="D22" s="15"/>
      <c r="E22" s="16">
        <v>613500</v>
      </c>
      <c r="F22" s="15" t="s">
        <v>88</v>
      </c>
      <c r="G22" s="43">
        <v>41400</v>
      </c>
      <c r="H22" s="43">
        <v>39500</v>
      </c>
      <c r="I22" s="153">
        <f t="shared" si="0"/>
        <v>95.410628019323667</v>
      </c>
    </row>
    <row r="23" spans="2:10" ht="12.95" customHeight="1">
      <c r="B23" s="14"/>
      <c r="C23" s="15"/>
      <c r="D23" s="15"/>
      <c r="E23" s="16">
        <v>613600</v>
      </c>
      <c r="F23" s="26" t="s">
        <v>213</v>
      </c>
      <c r="G23" s="43">
        <v>0</v>
      </c>
      <c r="H23" s="43">
        <v>0</v>
      </c>
      <c r="I23" s="153" t="str">
        <f t="shared" si="0"/>
        <v/>
      </c>
    </row>
    <row r="24" spans="2:10" ht="12.95" customHeight="1">
      <c r="B24" s="14"/>
      <c r="C24" s="15"/>
      <c r="D24" s="15"/>
      <c r="E24" s="16">
        <v>613700</v>
      </c>
      <c r="F24" s="15" t="s">
        <v>89</v>
      </c>
      <c r="G24" s="43">
        <v>40000</v>
      </c>
      <c r="H24" s="43">
        <v>42000</v>
      </c>
      <c r="I24" s="153">
        <f t="shared" si="0"/>
        <v>105</v>
      </c>
    </row>
    <row r="25" spans="2:10" ht="12.95" customHeight="1">
      <c r="B25" s="14"/>
      <c r="C25" s="15"/>
      <c r="D25" s="15"/>
      <c r="E25" s="16">
        <v>613800</v>
      </c>
      <c r="F25" s="15" t="s">
        <v>170</v>
      </c>
      <c r="G25" s="43">
        <v>7600</v>
      </c>
      <c r="H25" s="43">
        <v>8500</v>
      </c>
      <c r="I25" s="153">
        <f t="shared" si="0"/>
        <v>111.8421052631579</v>
      </c>
      <c r="J25" s="81"/>
    </row>
    <row r="26" spans="2:10" ht="12.95" customHeight="1">
      <c r="B26" s="14"/>
      <c r="C26" s="15"/>
      <c r="D26" s="15"/>
      <c r="E26" s="16">
        <v>613900</v>
      </c>
      <c r="F26" s="15" t="s">
        <v>171</v>
      </c>
      <c r="G26" s="82">
        <v>57000</v>
      </c>
      <c r="H26" s="82">
        <v>55000</v>
      </c>
      <c r="I26" s="153">
        <f t="shared" si="0"/>
        <v>96.491228070175438</v>
      </c>
    </row>
    <row r="27" spans="2:10" ht="12.95" customHeight="1">
      <c r="B27" s="14"/>
      <c r="C27" s="15"/>
      <c r="D27" s="15"/>
      <c r="E27" s="16">
        <v>613900</v>
      </c>
      <c r="F27" s="363" t="s">
        <v>701</v>
      </c>
      <c r="G27" s="44">
        <v>21200</v>
      </c>
      <c r="H27" s="44">
        <v>0</v>
      </c>
      <c r="I27" s="153">
        <f t="shared" si="0"/>
        <v>0</v>
      </c>
    </row>
    <row r="28" spans="2:10" s="1" customFormat="1" ht="12.95" customHeight="1">
      <c r="B28" s="17"/>
      <c r="C28" s="12"/>
      <c r="D28" s="12"/>
      <c r="E28" s="59"/>
      <c r="F28" s="12"/>
      <c r="G28" s="43"/>
      <c r="H28" s="43"/>
      <c r="I28" s="152" t="str">
        <f t="shared" si="0"/>
        <v/>
      </c>
    </row>
    <row r="29" spans="2:10" ht="12.95" customHeight="1">
      <c r="B29" s="14"/>
      <c r="C29" s="15"/>
      <c r="D29" s="30"/>
      <c r="E29" s="61"/>
      <c r="F29" s="58"/>
      <c r="G29" s="43"/>
      <c r="H29" s="43"/>
      <c r="I29" s="152" t="str">
        <f t="shared" si="0"/>
        <v/>
      </c>
    </row>
    <row r="30" spans="2:10" ht="12.95" customHeight="1">
      <c r="B30" s="14"/>
      <c r="C30" s="15"/>
      <c r="D30" s="15"/>
      <c r="E30" s="60"/>
      <c r="F30" s="15"/>
      <c r="G30" s="43"/>
      <c r="H30" s="43"/>
      <c r="I30" s="152" t="str">
        <f t="shared" si="0"/>
        <v/>
      </c>
    </row>
    <row r="31" spans="2:10" ht="12.95" customHeight="1">
      <c r="B31" s="14"/>
      <c r="C31" s="15"/>
      <c r="D31" s="15"/>
      <c r="E31" s="16"/>
      <c r="F31" s="15"/>
      <c r="G31" s="43"/>
      <c r="H31" s="43"/>
      <c r="I31" s="152" t="str">
        <f t="shared" si="0"/>
        <v/>
      </c>
    </row>
    <row r="32" spans="2:10" ht="12.95" customHeight="1">
      <c r="B32" s="14"/>
      <c r="C32" s="15"/>
      <c r="D32" s="15"/>
      <c r="E32" s="16"/>
      <c r="F32" s="15"/>
      <c r="G32" s="43"/>
      <c r="H32" s="43"/>
      <c r="I32" s="152" t="str">
        <f t="shared" si="0"/>
        <v/>
      </c>
    </row>
    <row r="33" spans="2:9" ht="12.95" customHeight="1">
      <c r="B33" s="14"/>
      <c r="C33" s="15"/>
      <c r="D33" s="15"/>
      <c r="E33" s="16"/>
      <c r="F33" s="15"/>
      <c r="G33" s="43"/>
      <c r="H33" s="43"/>
      <c r="I33" s="152" t="str">
        <f t="shared" si="0"/>
        <v/>
      </c>
    </row>
    <row r="34" spans="2:9" ht="12.95" customHeight="1">
      <c r="B34" s="14"/>
      <c r="C34" s="15"/>
      <c r="D34" s="15"/>
      <c r="E34" s="16"/>
      <c r="F34" s="19"/>
      <c r="G34" s="43"/>
      <c r="H34" s="43"/>
      <c r="I34" s="152" t="str">
        <f t="shared" si="0"/>
        <v/>
      </c>
    </row>
    <row r="35" spans="2:9" ht="12.95" customHeight="1">
      <c r="B35" s="14"/>
      <c r="C35" s="15"/>
      <c r="D35" s="15"/>
      <c r="E35" s="16"/>
      <c r="F35" s="15"/>
      <c r="G35" s="20"/>
      <c r="H35" s="20"/>
      <c r="I35" s="152" t="str">
        <f t="shared" si="0"/>
        <v/>
      </c>
    </row>
    <row r="36" spans="2:9" s="1" customFormat="1" ht="12.95" customHeight="1">
      <c r="B36" s="17"/>
      <c r="C36" s="12"/>
      <c r="D36" s="12"/>
      <c r="E36" s="9">
        <v>821000</v>
      </c>
      <c r="F36" s="12" t="s">
        <v>92</v>
      </c>
      <c r="G36" s="20">
        <f>SUM(G37:G38)</f>
        <v>82450</v>
      </c>
      <c r="H36" s="20">
        <f>SUM(H37:H38)</f>
        <v>75000</v>
      </c>
      <c r="I36" s="152">
        <f t="shared" si="0"/>
        <v>90.964220739842332</v>
      </c>
    </row>
    <row r="37" spans="2:9" ht="12.95" customHeight="1">
      <c r="B37" s="14"/>
      <c r="C37" s="15"/>
      <c r="D37" s="15"/>
      <c r="E37" s="16">
        <v>821200</v>
      </c>
      <c r="F37" s="15" t="s">
        <v>93</v>
      </c>
      <c r="G37" s="82">
        <v>7450</v>
      </c>
      <c r="H37" s="82">
        <v>0</v>
      </c>
      <c r="I37" s="153">
        <f t="shared" si="0"/>
        <v>0</v>
      </c>
    </row>
    <row r="38" spans="2:9" ht="12.95" customHeight="1">
      <c r="B38" s="14"/>
      <c r="C38" s="15"/>
      <c r="D38" s="15"/>
      <c r="E38" s="16">
        <v>821300</v>
      </c>
      <c r="F38" s="15" t="s">
        <v>94</v>
      </c>
      <c r="G38" s="82">
        <v>75000</v>
      </c>
      <c r="H38" s="82">
        <f>55000+20000</f>
        <v>75000</v>
      </c>
      <c r="I38" s="153">
        <f t="shared" si="0"/>
        <v>100</v>
      </c>
    </row>
    <row r="39" spans="2:9" ht="12.95" customHeight="1">
      <c r="B39" s="14"/>
      <c r="C39" s="15"/>
      <c r="D39" s="15"/>
      <c r="E39" s="16"/>
      <c r="F39" s="15"/>
      <c r="G39" s="43"/>
      <c r="H39" s="43"/>
      <c r="I39" s="153" t="str">
        <f t="shared" si="0"/>
        <v/>
      </c>
    </row>
    <row r="40" spans="2:9" ht="12.95" customHeight="1">
      <c r="B40" s="14"/>
      <c r="C40" s="15"/>
      <c r="D40" s="15"/>
      <c r="E40" s="16"/>
      <c r="F40" s="15"/>
      <c r="G40" s="20"/>
      <c r="H40" s="20"/>
      <c r="I40" s="153" t="str">
        <f t="shared" si="0"/>
        <v/>
      </c>
    </row>
    <row r="41" spans="2:9" s="1" customFormat="1" ht="12.95" customHeight="1">
      <c r="B41" s="17"/>
      <c r="C41" s="12"/>
      <c r="D41" s="12"/>
      <c r="E41" s="9"/>
      <c r="F41" s="12" t="s">
        <v>95</v>
      </c>
      <c r="G41" s="108">
        <v>14</v>
      </c>
      <c r="H41" s="108">
        <v>14</v>
      </c>
      <c r="I41" s="153"/>
    </row>
    <row r="42" spans="2:9" s="1" customFormat="1" ht="12.95" customHeight="1">
      <c r="B42" s="17"/>
      <c r="C42" s="12"/>
      <c r="D42" s="12"/>
      <c r="E42" s="9"/>
      <c r="F42" s="12" t="s">
        <v>115</v>
      </c>
      <c r="G42" s="20">
        <f>G7+G13+G17+G36</f>
        <v>741610</v>
      </c>
      <c r="H42" s="20">
        <f>H7+H13+H17+H36</f>
        <v>708830</v>
      </c>
      <c r="I42" s="152">
        <f t="shared" si="0"/>
        <v>95.579887002602447</v>
      </c>
    </row>
    <row r="43" spans="2:9" s="1" customFormat="1" ht="12.95" customHeight="1">
      <c r="B43" s="17"/>
      <c r="C43" s="12"/>
      <c r="D43" s="12"/>
      <c r="E43" s="9"/>
      <c r="F43" s="12" t="s">
        <v>96</v>
      </c>
      <c r="G43" s="20">
        <f>G42</f>
        <v>741610</v>
      </c>
      <c r="H43" s="20">
        <f>H42</f>
        <v>708830</v>
      </c>
      <c r="I43" s="152">
        <f t="shared" si="0"/>
        <v>95.579887002602447</v>
      </c>
    </row>
    <row r="44" spans="2:9" s="1" customFormat="1" ht="12.95" customHeight="1">
      <c r="B44" s="17"/>
      <c r="C44" s="12"/>
      <c r="D44" s="12"/>
      <c r="E44" s="9"/>
      <c r="F44" s="12" t="s">
        <v>97</v>
      </c>
      <c r="G44" s="20">
        <f>G43</f>
        <v>741610</v>
      </c>
      <c r="H44" s="20">
        <f>H43</f>
        <v>708830</v>
      </c>
      <c r="I44" s="152">
        <f t="shared" si="0"/>
        <v>95.579887002602447</v>
      </c>
    </row>
    <row r="45" spans="2:9" ht="12.95" customHeight="1" thickBot="1">
      <c r="B45" s="21"/>
      <c r="C45" s="22"/>
      <c r="D45" s="22"/>
      <c r="E45" s="23"/>
      <c r="F45" s="22"/>
      <c r="G45" s="48"/>
      <c r="H45" s="22"/>
      <c r="I45" s="156"/>
    </row>
    <row r="47" spans="2:9">
      <c r="B47" s="81"/>
    </row>
    <row r="48" spans="2:9">
      <c r="B48" s="81"/>
    </row>
    <row r="49" spans="2:2">
      <c r="B49" s="81"/>
    </row>
    <row r="50" spans="2:2">
      <c r="B50" s="81"/>
    </row>
  </sheetData>
  <mergeCells count="2">
    <mergeCell ref="B2:H2"/>
    <mergeCell ref="F3:G3"/>
  </mergeCells>
  <phoneticPr fontId="2" type="noConversion"/>
  <pageMargins left="0.19685039370078741" right="0.19685039370078741" top="0.59055118110236227" bottom="0.59055118110236227" header="0.51181102362204722" footer="0.51181102362204722"/>
  <pageSetup paperSize="9" scale="88" firstPageNumber="10" orientation="portrait" useFirstPageNumber="1" horizontalDpi="180" verticalDpi="180" r:id="rId1"/>
  <headerFooter alignWithMargins="0">
    <oddFooter>&amp;R15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2"/>
  <dimension ref="B2:K52"/>
  <sheetViews>
    <sheetView topLeftCell="C7" workbookViewId="0">
      <selection activeCell="G7" sqref="G7:G41"/>
    </sheetView>
  </sheetViews>
  <sheetFormatPr defaultRowHeight="12.75"/>
  <cols>
    <col min="1" max="1" width="1.5703125" style="13" customWidth="1"/>
    <col min="2" max="4" width="5.7109375" style="13" bestFit="1" customWidth="1"/>
    <col min="5" max="5" width="10.42578125" style="24" customWidth="1"/>
    <col min="6" max="6" width="43.7109375" style="13" customWidth="1"/>
    <col min="7" max="8" width="15.7109375" style="13" customWidth="1"/>
    <col min="9" max="9" width="8.7109375" style="140" customWidth="1"/>
    <col min="10" max="10" width="9.140625" style="13"/>
    <col min="11" max="11" width="9.5703125" style="13" bestFit="1" customWidth="1"/>
    <col min="12" max="16384" width="9.140625" style="13"/>
  </cols>
  <sheetData>
    <row r="2" spans="2:11" ht="15" customHeight="1">
      <c r="B2" s="448" t="s">
        <v>132</v>
      </c>
      <c r="C2" s="448"/>
      <c r="D2" s="448"/>
      <c r="E2" s="448"/>
      <c r="F2" s="448"/>
      <c r="G2" s="448"/>
      <c r="H2" s="448"/>
      <c r="I2" s="146"/>
    </row>
    <row r="3" spans="2:11" s="1" customFormat="1" ht="16.5" thickBot="1">
      <c r="E3" s="2"/>
      <c r="F3" s="449"/>
      <c r="G3" s="449"/>
      <c r="H3" s="181"/>
      <c r="I3" s="182"/>
    </row>
    <row r="4" spans="2:11" s="1" customFormat="1" ht="76.5" customHeight="1">
      <c r="B4" s="3" t="s">
        <v>79</v>
      </c>
      <c r="C4" s="4" t="s">
        <v>80</v>
      </c>
      <c r="D4" s="5" t="s">
        <v>112</v>
      </c>
      <c r="E4" s="6" t="s">
        <v>81</v>
      </c>
      <c r="F4" s="7" t="s">
        <v>82</v>
      </c>
      <c r="G4" s="316" t="s">
        <v>557</v>
      </c>
      <c r="H4" s="316" t="s">
        <v>683</v>
      </c>
      <c r="I4" s="149" t="s">
        <v>497</v>
      </c>
    </row>
    <row r="5" spans="2:11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34">
        <v>6</v>
      </c>
      <c r="H5" s="9">
        <v>7</v>
      </c>
      <c r="I5" s="150">
        <v>8</v>
      </c>
    </row>
    <row r="6" spans="2:11" s="2" customFormat="1" ht="12.95" customHeight="1">
      <c r="B6" s="10" t="s">
        <v>133</v>
      </c>
      <c r="C6" s="11" t="s">
        <v>83</v>
      </c>
      <c r="D6" s="11" t="s">
        <v>84</v>
      </c>
      <c r="E6" s="9"/>
      <c r="F6" s="9"/>
      <c r="G6" s="34"/>
      <c r="H6" s="9"/>
      <c r="I6" s="151"/>
    </row>
    <row r="7" spans="2:11" s="1" customFormat="1" ht="12.95" customHeight="1">
      <c r="B7" s="17"/>
      <c r="C7" s="12"/>
      <c r="D7" s="12"/>
      <c r="E7" s="9">
        <v>611000</v>
      </c>
      <c r="F7" s="12" t="s">
        <v>167</v>
      </c>
      <c r="G7" s="108">
        <f>SUM(G8:G11)</f>
        <v>4498140</v>
      </c>
      <c r="H7" s="392">
        <f>SUM(H8:H11)</f>
        <v>4735810</v>
      </c>
      <c r="I7" s="152">
        <f t="shared" ref="I7:I44" si="0">IF(G7=0,"",H7/G7*100)</f>
        <v>105.28373950121606</v>
      </c>
    </row>
    <row r="8" spans="2:11" ht="12.95" customHeight="1">
      <c r="B8" s="14"/>
      <c r="C8" s="15"/>
      <c r="D8" s="15"/>
      <c r="E8" s="16">
        <v>611100</v>
      </c>
      <c r="F8" s="26" t="s">
        <v>210</v>
      </c>
      <c r="G8" s="82">
        <v>3477300</v>
      </c>
      <c r="H8" s="391">
        <f>3656000+70000+182300+3510</f>
        <v>3911810</v>
      </c>
      <c r="I8" s="153">
        <f t="shared" si="0"/>
        <v>112.49561441348173</v>
      </c>
      <c r="J8" s="111"/>
    </row>
    <row r="9" spans="2:11" ht="12.95" customHeight="1">
      <c r="B9" s="14"/>
      <c r="C9" s="15"/>
      <c r="D9" s="15"/>
      <c r="E9" s="16">
        <v>611200</v>
      </c>
      <c r="F9" s="15" t="s">
        <v>211</v>
      </c>
      <c r="G9" s="82">
        <f>939100+201*240</f>
        <v>987340</v>
      </c>
      <c r="H9" s="391">
        <f>779000+25000+10000+10000</f>
        <v>824000</v>
      </c>
      <c r="I9" s="153">
        <f t="shared" si="0"/>
        <v>83.456560050235979</v>
      </c>
      <c r="J9" s="112"/>
    </row>
    <row r="10" spans="2:11" ht="12.95" customHeight="1">
      <c r="B10" s="14"/>
      <c r="C10" s="15"/>
      <c r="D10" s="15"/>
      <c r="E10" s="16">
        <v>611200</v>
      </c>
      <c r="F10" s="363" t="s">
        <v>699</v>
      </c>
      <c r="G10" s="82">
        <v>33500</v>
      </c>
      <c r="H10" s="391">
        <v>0</v>
      </c>
      <c r="I10" s="153">
        <f t="shared" si="0"/>
        <v>0</v>
      </c>
      <c r="K10" s="89"/>
    </row>
    <row r="11" spans="2:11" ht="12.95" customHeight="1">
      <c r="B11" s="14"/>
      <c r="C11" s="15"/>
      <c r="D11" s="15"/>
      <c r="E11" s="16"/>
      <c r="F11" s="26"/>
      <c r="G11" s="82"/>
      <c r="H11" s="391"/>
      <c r="I11" s="153" t="str">
        <f t="shared" si="0"/>
        <v/>
      </c>
      <c r="J11" s="112"/>
    </row>
    <row r="12" spans="2:11" ht="12.95" customHeight="1">
      <c r="B12" s="14"/>
      <c r="C12" s="15"/>
      <c r="D12" s="15"/>
      <c r="E12" s="16"/>
      <c r="F12" s="15"/>
      <c r="G12" s="108"/>
      <c r="H12" s="392"/>
      <c r="I12" s="153" t="str">
        <f t="shared" si="0"/>
        <v/>
      </c>
      <c r="J12" s="112"/>
    </row>
    <row r="13" spans="2:11" s="1" customFormat="1" ht="12.95" customHeight="1">
      <c r="B13" s="17"/>
      <c r="C13" s="12"/>
      <c r="D13" s="12"/>
      <c r="E13" s="9">
        <v>612000</v>
      </c>
      <c r="F13" s="12" t="s">
        <v>166</v>
      </c>
      <c r="G13" s="108">
        <f>G14</f>
        <v>539100</v>
      </c>
      <c r="H13" s="392">
        <f>H14</f>
        <v>615250</v>
      </c>
      <c r="I13" s="152">
        <f t="shared" si="0"/>
        <v>114.12539417547765</v>
      </c>
      <c r="J13" s="113"/>
    </row>
    <row r="14" spans="2:11" ht="12.95" customHeight="1">
      <c r="B14" s="14"/>
      <c r="C14" s="15"/>
      <c r="D14" s="15"/>
      <c r="E14" s="16">
        <v>612100</v>
      </c>
      <c r="F14" s="18" t="s">
        <v>85</v>
      </c>
      <c r="G14" s="82">
        <v>539100</v>
      </c>
      <c r="H14" s="391">
        <f>575100+11000+28620+530</f>
        <v>615250</v>
      </c>
      <c r="I14" s="153">
        <f t="shared" si="0"/>
        <v>114.12539417547765</v>
      </c>
      <c r="J14" s="111"/>
    </row>
    <row r="15" spans="2:11" ht="12.95" customHeight="1">
      <c r="B15" s="14"/>
      <c r="C15" s="15"/>
      <c r="D15" s="15"/>
      <c r="E15" s="16"/>
      <c r="F15" s="26"/>
      <c r="G15" s="82"/>
      <c r="H15" s="82"/>
      <c r="I15" s="153" t="str">
        <f t="shared" si="0"/>
        <v/>
      </c>
      <c r="J15" s="112"/>
    </row>
    <row r="16" spans="2:11" ht="12.95" customHeight="1">
      <c r="B16" s="14"/>
      <c r="C16" s="15"/>
      <c r="D16" s="15"/>
      <c r="E16" s="16"/>
      <c r="F16" s="15"/>
      <c r="G16" s="108"/>
      <c r="H16" s="108"/>
      <c r="I16" s="153" t="str">
        <f t="shared" si="0"/>
        <v/>
      </c>
    </row>
    <row r="17" spans="2:10" s="1" customFormat="1" ht="12.95" customHeight="1">
      <c r="B17" s="17"/>
      <c r="C17" s="12"/>
      <c r="D17" s="12"/>
      <c r="E17" s="9">
        <v>613000</v>
      </c>
      <c r="F17" s="12" t="s">
        <v>168</v>
      </c>
      <c r="G17" s="108">
        <f>SUM(G18:G27)</f>
        <v>757000</v>
      </c>
      <c r="H17" s="108">
        <f>SUM(H18:H27)</f>
        <v>814500</v>
      </c>
      <c r="I17" s="152">
        <f t="shared" si="0"/>
        <v>107.59577278731835</v>
      </c>
    </row>
    <row r="18" spans="2:10" ht="12.95" customHeight="1">
      <c r="B18" s="14"/>
      <c r="C18" s="15"/>
      <c r="D18" s="15"/>
      <c r="E18" s="16">
        <v>613100</v>
      </c>
      <c r="F18" s="15" t="s">
        <v>86</v>
      </c>
      <c r="G18" s="82">
        <v>14500</v>
      </c>
      <c r="H18" s="82">
        <v>14500</v>
      </c>
      <c r="I18" s="153">
        <f t="shared" si="0"/>
        <v>100</v>
      </c>
    </row>
    <row r="19" spans="2:10" ht="12.95" customHeight="1">
      <c r="B19" s="14"/>
      <c r="C19" s="15"/>
      <c r="D19" s="15"/>
      <c r="E19" s="16">
        <v>613200</v>
      </c>
      <c r="F19" s="15" t="s">
        <v>87</v>
      </c>
      <c r="G19" s="82">
        <v>100000</v>
      </c>
      <c r="H19" s="82">
        <v>100000</v>
      </c>
      <c r="I19" s="153">
        <f t="shared" si="0"/>
        <v>100</v>
      </c>
    </row>
    <row r="20" spans="2:10" ht="12.95" customHeight="1">
      <c r="B20" s="14"/>
      <c r="C20" s="15"/>
      <c r="D20" s="15"/>
      <c r="E20" s="16">
        <v>613300</v>
      </c>
      <c r="F20" s="26" t="s">
        <v>212</v>
      </c>
      <c r="G20" s="82">
        <v>95000</v>
      </c>
      <c r="H20" s="82">
        <v>95000</v>
      </c>
      <c r="I20" s="153">
        <f t="shared" si="0"/>
        <v>100</v>
      </c>
    </row>
    <row r="21" spans="2:10" ht="12.95" customHeight="1">
      <c r="B21" s="14"/>
      <c r="C21" s="15"/>
      <c r="D21" s="15"/>
      <c r="E21" s="16">
        <v>613400</v>
      </c>
      <c r="F21" s="15" t="s">
        <v>169</v>
      </c>
      <c r="G21" s="82">
        <v>163000</v>
      </c>
      <c r="H21" s="82">
        <v>220000</v>
      </c>
      <c r="I21" s="153">
        <f t="shared" si="0"/>
        <v>134.96932515337423</v>
      </c>
    </row>
    <row r="22" spans="2:10" ht="12.95" customHeight="1">
      <c r="B22" s="14"/>
      <c r="C22" s="15"/>
      <c r="D22" s="15"/>
      <c r="E22" s="16">
        <v>613500</v>
      </c>
      <c r="F22" s="15" t="s">
        <v>88</v>
      </c>
      <c r="G22" s="82">
        <v>95000</v>
      </c>
      <c r="H22" s="82">
        <v>100000</v>
      </c>
      <c r="I22" s="153">
        <f t="shared" si="0"/>
        <v>105.26315789473684</v>
      </c>
    </row>
    <row r="23" spans="2:10" ht="12.95" customHeight="1">
      <c r="B23" s="14"/>
      <c r="C23" s="15"/>
      <c r="D23" s="15"/>
      <c r="E23" s="16">
        <v>613600</v>
      </c>
      <c r="F23" s="26" t="s">
        <v>213</v>
      </c>
      <c r="G23" s="82">
        <v>27000</v>
      </c>
      <c r="H23" s="82">
        <v>27000</v>
      </c>
      <c r="I23" s="153">
        <f t="shared" si="0"/>
        <v>100</v>
      </c>
    </row>
    <row r="24" spans="2:10" ht="12.95" customHeight="1">
      <c r="B24" s="14"/>
      <c r="C24" s="15"/>
      <c r="D24" s="15"/>
      <c r="E24" s="16">
        <v>613700</v>
      </c>
      <c r="F24" s="15" t="s">
        <v>89</v>
      </c>
      <c r="G24" s="82">
        <v>92000</v>
      </c>
      <c r="H24" s="82">
        <v>92000</v>
      </c>
      <c r="I24" s="153">
        <f t="shared" si="0"/>
        <v>100</v>
      </c>
    </row>
    <row r="25" spans="2:10" ht="12.95" customHeight="1">
      <c r="B25" s="14"/>
      <c r="C25" s="15"/>
      <c r="D25" s="15"/>
      <c r="E25" s="16">
        <v>613800</v>
      </c>
      <c r="F25" s="15" t="s">
        <v>170</v>
      </c>
      <c r="G25" s="82">
        <v>16000</v>
      </c>
      <c r="H25" s="82">
        <v>16000</v>
      </c>
      <c r="I25" s="153">
        <f t="shared" si="0"/>
        <v>100</v>
      </c>
    </row>
    <row r="26" spans="2:10" ht="12.95" customHeight="1">
      <c r="B26" s="14"/>
      <c r="C26" s="15"/>
      <c r="D26" s="15"/>
      <c r="E26" s="16">
        <v>613900</v>
      </c>
      <c r="F26" s="15" t="s">
        <v>171</v>
      </c>
      <c r="G26" s="82">
        <v>120000</v>
      </c>
      <c r="H26" s="82">
        <v>150000</v>
      </c>
      <c r="I26" s="153">
        <f t="shared" si="0"/>
        <v>125</v>
      </c>
    </row>
    <row r="27" spans="2:10" ht="12.95" customHeight="1">
      <c r="B27" s="14"/>
      <c r="C27" s="15"/>
      <c r="D27" s="15"/>
      <c r="E27" s="16">
        <v>613900</v>
      </c>
      <c r="F27" s="363" t="s">
        <v>701</v>
      </c>
      <c r="G27" s="117">
        <v>34500</v>
      </c>
      <c r="H27" s="117">
        <v>0</v>
      </c>
      <c r="I27" s="153">
        <f t="shared" si="0"/>
        <v>0</v>
      </c>
      <c r="J27" s="90"/>
    </row>
    <row r="28" spans="2:10" s="1" customFormat="1" ht="12.95" customHeight="1">
      <c r="B28" s="17"/>
      <c r="C28" s="12"/>
      <c r="D28" s="12"/>
      <c r="E28" s="59"/>
      <c r="F28" s="12"/>
      <c r="G28" s="82"/>
      <c r="H28" s="82"/>
      <c r="I28" s="153" t="str">
        <f t="shared" si="0"/>
        <v/>
      </c>
    </row>
    <row r="29" spans="2:10" ht="12.95" customHeight="1">
      <c r="B29" s="14"/>
      <c r="C29" s="15"/>
      <c r="D29" s="30"/>
      <c r="E29" s="61"/>
      <c r="F29" s="58"/>
      <c r="G29" s="82"/>
      <c r="H29" s="82"/>
      <c r="I29" s="153" t="str">
        <f t="shared" si="0"/>
        <v/>
      </c>
    </row>
    <row r="30" spans="2:10" ht="12.95" customHeight="1">
      <c r="B30" s="14"/>
      <c r="C30" s="15"/>
      <c r="D30" s="15"/>
      <c r="E30" s="60"/>
      <c r="F30" s="15"/>
      <c r="G30" s="82"/>
      <c r="H30" s="82"/>
      <c r="I30" s="153" t="str">
        <f t="shared" si="0"/>
        <v/>
      </c>
    </row>
    <row r="31" spans="2:10" ht="12.95" customHeight="1">
      <c r="B31" s="14"/>
      <c r="C31" s="15"/>
      <c r="D31" s="15"/>
      <c r="E31" s="16"/>
      <c r="F31" s="15"/>
      <c r="G31" s="82"/>
      <c r="H31" s="82"/>
      <c r="I31" s="153" t="str">
        <f t="shared" si="0"/>
        <v/>
      </c>
    </row>
    <row r="32" spans="2:10" ht="12.95" customHeight="1">
      <c r="B32" s="14"/>
      <c r="C32" s="15"/>
      <c r="D32" s="15"/>
      <c r="E32" s="16"/>
      <c r="F32" s="15"/>
      <c r="G32" s="82"/>
      <c r="H32" s="82"/>
      <c r="I32" s="153" t="str">
        <f t="shared" si="0"/>
        <v/>
      </c>
    </row>
    <row r="33" spans="2:9" ht="12.95" customHeight="1">
      <c r="B33" s="14"/>
      <c r="C33" s="15"/>
      <c r="D33" s="15"/>
      <c r="E33" s="16"/>
      <c r="F33" s="15"/>
      <c r="G33" s="82"/>
      <c r="H33" s="82"/>
      <c r="I33" s="153" t="str">
        <f t="shared" si="0"/>
        <v/>
      </c>
    </row>
    <row r="34" spans="2:9" ht="12.95" customHeight="1">
      <c r="B34" s="14"/>
      <c r="C34" s="15"/>
      <c r="D34" s="15"/>
      <c r="E34" s="16"/>
      <c r="F34" s="19"/>
      <c r="G34" s="82"/>
      <c r="H34" s="82"/>
      <c r="I34" s="153" t="str">
        <f t="shared" si="0"/>
        <v/>
      </c>
    </row>
    <row r="35" spans="2:9" ht="12.95" customHeight="1">
      <c r="B35" s="14"/>
      <c r="C35" s="15"/>
      <c r="D35" s="15"/>
      <c r="E35" s="16"/>
      <c r="F35" s="15"/>
      <c r="G35" s="108"/>
      <c r="H35" s="108"/>
      <c r="I35" s="153" t="str">
        <f t="shared" si="0"/>
        <v/>
      </c>
    </row>
    <row r="36" spans="2:9" s="1" customFormat="1" ht="12.95" customHeight="1">
      <c r="B36" s="17"/>
      <c r="C36" s="12"/>
      <c r="D36" s="12"/>
      <c r="E36" s="9">
        <v>821000</v>
      </c>
      <c r="F36" s="12" t="s">
        <v>92</v>
      </c>
      <c r="G36" s="108">
        <f>SUM(G37:G38)</f>
        <v>250000</v>
      </c>
      <c r="H36" s="108">
        <f>SUM(H37:H38)</f>
        <v>150000</v>
      </c>
      <c r="I36" s="152">
        <f t="shared" si="0"/>
        <v>60</v>
      </c>
    </row>
    <row r="37" spans="2:9" ht="12.95" customHeight="1">
      <c r="B37" s="14"/>
      <c r="C37" s="15"/>
      <c r="D37" s="15"/>
      <c r="E37" s="16">
        <v>821200</v>
      </c>
      <c r="F37" s="15" t="s">
        <v>93</v>
      </c>
      <c r="G37" s="82">
        <v>0</v>
      </c>
      <c r="H37" s="82">
        <v>50000</v>
      </c>
      <c r="I37" s="153" t="str">
        <f t="shared" si="0"/>
        <v/>
      </c>
    </row>
    <row r="38" spans="2:9" ht="12.95" customHeight="1">
      <c r="B38" s="14"/>
      <c r="C38" s="15"/>
      <c r="D38" s="15"/>
      <c r="E38" s="16">
        <v>821300</v>
      </c>
      <c r="F38" s="15" t="s">
        <v>94</v>
      </c>
      <c r="G38" s="82">
        <v>250000</v>
      </c>
      <c r="H38" s="82">
        <v>100000</v>
      </c>
      <c r="I38" s="153">
        <f t="shared" si="0"/>
        <v>40</v>
      </c>
    </row>
    <row r="39" spans="2:9" ht="12.95" customHeight="1">
      <c r="B39" s="14"/>
      <c r="C39" s="15"/>
      <c r="D39" s="15"/>
      <c r="E39" s="16"/>
      <c r="F39" s="15"/>
      <c r="G39" s="43"/>
      <c r="H39" s="43"/>
      <c r="I39" s="153" t="str">
        <f t="shared" si="0"/>
        <v/>
      </c>
    </row>
    <row r="40" spans="2:9" ht="12.95" customHeight="1">
      <c r="B40" s="14"/>
      <c r="C40" s="15"/>
      <c r="D40" s="15"/>
      <c r="E40" s="16"/>
      <c r="F40" s="15"/>
      <c r="G40" s="20"/>
      <c r="H40" s="20"/>
      <c r="I40" s="153" t="str">
        <f t="shared" si="0"/>
        <v/>
      </c>
    </row>
    <row r="41" spans="2:9" s="1" customFormat="1" ht="12.95" customHeight="1">
      <c r="B41" s="17"/>
      <c r="C41" s="12"/>
      <c r="D41" s="12"/>
      <c r="E41" s="9"/>
      <c r="F41" s="12" t="s">
        <v>95</v>
      </c>
      <c r="G41" s="108">
        <v>201</v>
      </c>
      <c r="H41" s="108">
        <v>213</v>
      </c>
      <c r="I41" s="153"/>
    </row>
    <row r="42" spans="2:9" s="1" customFormat="1" ht="12.95" customHeight="1">
      <c r="B42" s="17"/>
      <c r="C42" s="12"/>
      <c r="D42" s="12"/>
      <c r="E42" s="9"/>
      <c r="F42" s="12" t="s">
        <v>115</v>
      </c>
      <c r="G42" s="20">
        <f>G7+G13+G17+G36</f>
        <v>6044240</v>
      </c>
      <c r="H42" s="20">
        <f>H7+H13+H17+H36</f>
        <v>6315560</v>
      </c>
      <c r="I42" s="152">
        <f t="shared" si="0"/>
        <v>104.4889018305031</v>
      </c>
    </row>
    <row r="43" spans="2:9" s="1" customFormat="1" ht="12.95" customHeight="1">
      <c r="B43" s="17"/>
      <c r="C43" s="12"/>
      <c r="D43" s="12"/>
      <c r="E43" s="9"/>
      <c r="F43" s="12" t="s">
        <v>96</v>
      </c>
      <c r="G43" s="20">
        <f>G42</f>
        <v>6044240</v>
      </c>
      <c r="H43" s="20">
        <f>H42</f>
        <v>6315560</v>
      </c>
      <c r="I43" s="152">
        <f t="shared" si="0"/>
        <v>104.4889018305031</v>
      </c>
    </row>
    <row r="44" spans="2:9" s="1" customFormat="1" ht="12.95" customHeight="1">
      <c r="B44" s="17"/>
      <c r="C44" s="12"/>
      <c r="D44" s="12"/>
      <c r="E44" s="9"/>
      <c r="F44" s="12" t="s">
        <v>97</v>
      </c>
      <c r="G44" s="20">
        <f>G43</f>
        <v>6044240</v>
      </c>
      <c r="H44" s="20">
        <f>H43</f>
        <v>6315560</v>
      </c>
      <c r="I44" s="152">
        <f t="shared" si="0"/>
        <v>104.4889018305031</v>
      </c>
    </row>
    <row r="45" spans="2:9" ht="12.95" customHeight="1" thickBot="1">
      <c r="B45" s="21"/>
      <c r="C45" s="22"/>
      <c r="D45" s="22"/>
      <c r="E45" s="23"/>
      <c r="F45" s="22"/>
      <c r="G45" s="48"/>
      <c r="H45" s="22"/>
      <c r="I45" s="156"/>
    </row>
    <row r="47" spans="2:9">
      <c r="B47" s="81"/>
    </row>
    <row r="48" spans="2:9">
      <c r="B48" s="81"/>
    </row>
    <row r="49" spans="2:2">
      <c r="B49" s="81"/>
    </row>
    <row r="50" spans="2:2">
      <c r="B50" s="81"/>
    </row>
    <row r="51" spans="2:2">
      <c r="B51" s="81"/>
    </row>
    <row r="52" spans="2:2">
      <c r="B52" s="81"/>
    </row>
  </sheetData>
  <mergeCells count="2">
    <mergeCell ref="B2:H2"/>
    <mergeCell ref="F3:G3"/>
  </mergeCells>
  <phoneticPr fontId="2" type="noConversion"/>
  <pageMargins left="0.19685039370078741" right="0.19685039370078741" top="0.59055118110236227" bottom="0.59055118110236227" header="0.51181102362204722" footer="0.51181102362204722"/>
  <pageSetup paperSize="9" scale="88" firstPageNumber="10" orientation="portrait" useFirstPageNumber="1" horizontalDpi="180" verticalDpi="180" r:id="rId1"/>
  <headerFooter alignWithMargins="0">
    <oddFooter>&amp;R16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3"/>
  <dimension ref="B2:K45"/>
  <sheetViews>
    <sheetView topLeftCell="A7" workbookViewId="0">
      <selection activeCell="G7" sqref="G7:G41"/>
    </sheetView>
  </sheetViews>
  <sheetFormatPr defaultRowHeight="12.75"/>
  <cols>
    <col min="1" max="1" width="1.5703125" style="13" customWidth="1"/>
    <col min="2" max="4" width="5.7109375" style="13" bestFit="1" customWidth="1"/>
    <col min="5" max="5" width="10.7109375" style="24" customWidth="1"/>
    <col min="6" max="6" width="43.7109375" style="13" customWidth="1"/>
    <col min="7" max="7" width="15.7109375" style="13" customWidth="1"/>
    <col min="8" max="8" width="15.7109375" style="90" customWidth="1"/>
    <col min="9" max="9" width="8.7109375" style="140" customWidth="1"/>
    <col min="10" max="16384" width="9.140625" style="13"/>
  </cols>
  <sheetData>
    <row r="2" spans="2:11" s="112" customFormat="1" ht="15" customHeight="1">
      <c r="B2" s="450" t="s">
        <v>134</v>
      </c>
      <c r="C2" s="450"/>
      <c r="D2" s="450"/>
      <c r="E2" s="450"/>
      <c r="F2" s="450"/>
      <c r="G2" s="450"/>
      <c r="H2" s="288"/>
      <c r="I2" s="289"/>
    </row>
    <row r="3" spans="2:11" s="1" customFormat="1" ht="16.5" thickBot="1">
      <c r="E3" s="2"/>
      <c r="F3" s="449"/>
      <c r="G3" s="449"/>
      <c r="H3" s="181"/>
      <c r="I3" s="182"/>
    </row>
    <row r="4" spans="2:11" s="1" customFormat="1" ht="76.5" customHeight="1">
      <c r="B4" s="3" t="s">
        <v>79</v>
      </c>
      <c r="C4" s="4" t="s">
        <v>80</v>
      </c>
      <c r="D4" s="5" t="s">
        <v>112</v>
      </c>
      <c r="E4" s="6" t="s">
        <v>81</v>
      </c>
      <c r="F4" s="7" t="s">
        <v>82</v>
      </c>
      <c r="G4" s="316" t="s">
        <v>557</v>
      </c>
      <c r="H4" s="316" t="s">
        <v>683</v>
      </c>
      <c r="I4" s="149" t="s">
        <v>497</v>
      </c>
    </row>
    <row r="5" spans="2:11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34">
        <v>6</v>
      </c>
      <c r="H5" s="9">
        <v>7</v>
      </c>
      <c r="I5" s="150">
        <v>8</v>
      </c>
    </row>
    <row r="6" spans="2:11" s="2" customFormat="1" ht="12.95" customHeight="1">
      <c r="B6" s="10" t="s">
        <v>135</v>
      </c>
      <c r="C6" s="11" t="s">
        <v>83</v>
      </c>
      <c r="D6" s="11" t="s">
        <v>84</v>
      </c>
      <c r="E6" s="9"/>
      <c r="F6" s="9"/>
      <c r="G6" s="34"/>
      <c r="H6" s="165"/>
      <c r="I6" s="151"/>
    </row>
    <row r="7" spans="2:11" s="1" customFormat="1" ht="12.95" customHeight="1">
      <c r="B7" s="17"/>
      <c r="C7" s="12"/>
      <c r="D7" s="12"/>
      <c r="E7" s="9">
        <v>611000</v>
      </c>
      <c r="F7" s="12" t="s">
        <v>167</v>
      </c>
      <c r="G7" s="20">
        <f>SUM(G8:G11)</f>
        <v>66470</v>
      </c>
      <c r="H7" s="392">
        <f>SUM(H8:H11)</f>
        <v>76250</v>
      </c>
      <c r="I7" s="152">
        <f t="shared" ref="I7:I42" si="0">IF(G7=0,"",H7/G7*100)</f>
        <v>114.71340454340304</v>
      </c>
    </row>
    <row r="8" spans="2:11" ht="12.95" customHeight="1">
      <c r="B8" s="14"/>
      <c r="C8" s="15"/>
      <c r="D8" s="15"/>
      <c r="E8" s="16">
        <v>611100</v>
      </c>
      <c r="F8" s="26" t="s">
        <v>210</v>
      </c>
      <c r="G8" s="44">
        <v>55100</v>
      </c>
      <c r="H8" s="394">
        <f>62400+3050</f>
        <v>65450</v>
      </c>
      <c r="I8" s="153">
        <f t="shared" si="0"/>
        <v>118.78402903811252</v>
      </c>
    </row>
    <row r="9" spans="2:11" ht="12.95" customHeight="1">
      <c r="B9" s="14"/>
      <c r="C9" s="15"/>
      <c r="D9" s="15"/>
      <c r="E9" s="16">
        <v>611200</v>
      </c>
      <c r="F9" s="15" t="s">
        <v>211</v>
      </c>
      <c r="G9" s="44">
        <f>9200+850+3*240</f>
        <v>10770</v>
      </c>
      <c r="H9" s="394">
        <v>10800</v>
      </c>
      <c r="I9" s="153">
        <f t="shared" si="0"/>
        <v>100.27855153203342</v>
      </c>
    </row>
    <row r="10" spans="2:11" ht="12.95" customHeight="1">
      <c r="B10" s="14"/>
      <c r="C10" s="15"/>
      <c r="D10" s="15"/>
      <c r="E10" s="16">
        <v>611200</v>
      </c>
      <c r="F10" s="363" t="s">
        <v>699</v>
      </c>
      <c r="G10" s="82">
        <v>600</v>
      </c>
      <c r="H10" s="391">
        <v>0</v>
      </c>
      <c r="I10" s="153">
        <f t="shared" si="0"/>
        <v>0</v>
      </c>
      <c r="K10" s="89"/>
    </row>
    <row r="11" spans="2:11" ht="12.95" customHeight="1">
      <c r="B11" s="14"/>
      <c r="C11" s="15"/>
      <c r="D11" s="15"/>
      <c r="E11" s="16"/>
      <c r="F11" s="26"/>
      <c r="G11" s="44"/>
      <c r="H11" s="394"/>
      <c r="I11" s="153" t="str">
        <f t="shared" si="0"/>
        <v/>
      </c>
    </row>
    <row r="12" spans="2:11" ht="12.95" customHeight="1">
      <c r="B12" s="14"/>
      <c r="C12" s="15"/>
      <c r="D12" s="15"/>
      <c r="E12" s="16"/>
      <c r="F12" s="15"/>
      <c r="G12" s="20"/>
      <c r="H12" s="392"/>
      <c r="I12" s="153" t="str">
        <f t="shared" si="0"/>
        <v/>
      </c>
    </row>
    <row r="13" spans="2:11" s="1" customFormat="1" ht="12.95" customHeight="1">
      <c r="B13" s="17"/>
      <c r="C13" s="12"/>
      <c r="D13" s="12"/>
      <c r="E13" s="9">
        <v>612000</v>
      </c>
      <c r="F13" s="12" t="s">
        <v>166</v>
      </c>
      <c r="G13" s="20">
        <f>G14</f>
        <v>6200</v>
      </c>
      <c r="H13" s="392">
        <f>H14</f>
        <v>7330</v>
      </c>
      <c r="I13" s="152">
        <f t="shared" si="0"/>
        <v>118.22580645161291</v>
      </c>
    </row>
    <row r="14" spans="2:11" ht="12.95" customHeight="1">
      <c r="B14" s="14"/>
      <c r="C14" s="15"/>
      <c r="D14" s="15"/>
      <c r="E14" s="16">
        <v>612100</v>
      </c>
      <c r="F14" s="18" t="s">
        <v>85</v>
      </c>
      <c r="G14" s="44">
        <v>6200</v>
      </c>
      <c r="H14" s="394">
        <f>7000+330</f>
        <v>7330</v>
      </c>
      <c r="I14" s="153">
        <f t="shared" si="0"/>
        <v>118.22580645161291</v>
      </c>
    </row>
    <row r="15" spans="2:11" ht="12.95" customHeight="1">
      <c r="B15" s="14"/>
      <c r="C15" s="15"/>
      <c r="D15" s="15"/>
      <c r="E15" s="16"/>
      <c r="F15" s="15"/>
      <c r="G15" s="44"/>
      <c r="H15" s="44"/>
      <c r="I15" s="153" t="str">
        <f t="shared" si="0"/>
        <v/>
      </c>
    </row>
    <row r="16" spans="2:11" ht="12.95" customHeight="1">
      <c r="B16" s="14"/>
      <c r="C16" s="15"/>
      <c r="D16" s="15"/>
      <c r="E16" s="16"/>
      <c r="F16" s="15"/>
      <c r="G16" s="20"/>
      <c r="H16" s="20"/>
      <c r="I16" s="153" t="str">
        <f t="shared" si="0"/>
        <v/>
      </c>
    </row>
    <row r="17" spans="2:9" s="1" customFormat="1" ht="12.95" customHeight="1">
      <c r="B17" s="17"/>
      <c r="C17" s="12"/>
      <c r="D17" s="12"/>
      <c r="E17" s="9">
        <v>613000</v>
      </c>
      <c r="F17" s="12" t="s">
        <v>168</v>
      </c>
      <c r="G17" s="49">
        <f>SUM(G18:G27)</f>
        <v>47210</v>
      </c>
      <c r="H17" s="49">
        <f>SUM(H18:H27)</f>
        <v>45600</v>
      </c>
      <c r="I17" s="152">
        <f t="shared" si="0"/>
        <v>96.589705570853639</v>
      </c>
    </row>
    <row r="18" spans="2:9" ht="12.95" customHeight="1">
      <c r="B18" s="14"/>
      <c r="C18" s="15"/>
      <c r="D18" s="15"/>
      <c r="E18" s="16">
        <v>613100</v>
      </c>
      <c r="F18" s="15" t="s">
        <v>86</v>
      </c>
      <c r="G18" s="43">
        <v>4000</v>
      </c>
      <c r="H18" s="82">
        <v>3000</v>
      </c>
      <c r="I18" s="153">
        <f t="shared" si="0"/>
        <v>75</v>
      </c>
    </row>
    <row r="19" spans="2:9" ht="12.95" customHeight="1">
      <c r="B19" s="14"/>
      <c r="C19" s="15"/>
      <c r="D19" s="15"/>
      <c r="E19" s="16">
        <v>613200</v>
      </c>
      <c r="F19" s="15" t="s">
        <v>87</v>
      </c>
      <c r="G19" s="43">
        <v>0</v>
      </c>
      <c r="H19" s="82">
        <v>0</v>
      </c>
      <c r="I19" s="153" t="str">
        <f t="shared" si="0"/>
        <v/>
      </c>
    </row>
    <row r="20" spans="2:9" ht="12.95" customHeight="1">
      <c r="B20" s="14"/>
      <c r="C20" s="15"/>
      <c r="D20" s="15"/>
      <c r="E20" s="16">
        <v>613300</v>
      </c>
      <c r="F20" s="26" t="s">
        <v>212</v>
      </c>
      <c r="G20" s="43">
        <v>3000</v>
      </c>
      <c r="H20" s="82">
        <v>3000</v>
      </c>
      <c r="I20" s="153">
        <f t="shared" si="0"/>
        <v>100</v>
      </c>
    </row>
    <row r="21" spans="2:9" ht="12.95" customHeight="1">
      <c r="B21" s="14"/>
      <c r="C21" s="15"/>
      <c r="D21" s="15"/>
      <c r="E21" s="16">
        <v>613400</v>
      </c>
      <c r="F21" s="15" t="s">
        <v>169</v>
      </c>
      <c r="G21" s="43">
        <v>800</v>
      </c>
      <c r="H21" s="82">
        <v>800</v>
      </c>
      <c r="I21" s="153">
        <f t="shared" si="0"/>
        <v>100</v>
      </c>
    </row>
    <row r="22" spans="2:9" ht="12.95" customHeight="1">
      <c r="B22" s="14"/>
      <c r="C22" s="15"/>
      <c r="D22" s="15"/>
      <c r="E22" s="16">
        <v>613500</v>
      </c>
      <c r="F22" s="15" t="s">
        <v>88</v>
      </c>
      <c r="G22" s="43">
        <v>0</v>
      </c>
      <c r="H22" s="82">
        <v>0</v>
      </c>
      <c r="I22" s="153" t="str">
        <f t="shared" si="0"/>
        <v/>
      </c>
    </row>
    <row r="23" spans="2:9" ht="12.95" customHeight="1">
      <c r="B23" s="14"/>
      <c r="C23" s="15"/>
      <c r="D23" s="15"/>
      <c r="E23" s="16">
        <v>613600</v>
      </c>
      <c r="F23" s="26" t="s">
        <v>213</v>
      </c>
      <c r="G23" s="43">
        <v>0</v>
      </c>
      <c r="H23" s="82">
        <v>0</v>
      </c>
      <c r="I23" s="153" t="str">
        <f t="shared" si="0"/>
        <v/>
      </c>
    </row>
    <row r="24" spans="2:9" ht="12.95" customHeight="1">
      <c r="B24" s="14"/>
      <c r="C24" s="15"/>
      <c r="D24" s="15"/>
      <c r="E24" s="16">
        <v>613700</v>
      </c>
      <c r="F24" s="15" t="s">
        <v>89</v>
      </c>
      <c r="G24" s="43">
        <v>2800</v>
      </c>
      <c r="H24" s="82">
        <v>2800</v>
      </c>
      <c r="I24" s="153">
        <f t="shared" si="0"/>
        <v>100</v>
      </c>
    </row>
    <row r="25" spans="2:9" ht="12.95" customHeight="1">
      <c r="B25" s="14"/>
      <c r="C25" s="15"/>
      <c r="D25" s="15"/>
      <c r="E25" s="16">
        <v>613800</v>
      </c>
      <c r="F25" s="15" t="s">
        <v>170</v>
      </c>
      <c r="G25" s="43">
        <v>0</v>
      </c>
      <c r="H25" s="82">
        <v>0</v>
      </c>
      <c r="I25" s="153" t="str">
        <f t="shared" si="0"/>
        <v/>
      </c>
    </row>
    <row r="26" spans="2:9" ht="12.95" customHeight="1">
      <c r="B26" s="14"/>
      <c r="C26" s="15"/>
      <c r="D26" s="15"/>
      <c r="E26" s="16">
        <v>613900</v>
      </c>
      <c r="F26" s="15" t="s">
        <v>171</v>
      </c>
      <c r="G26" s="82">
        <v>36000</v>
      </c>
      <c r="H26" s="82">
        <v>36000</v>
      </c>
      <c r="I26" s="153">
        <f t="shared" si="0"/>
        <v>100</v>
      </c>
    </row>
    <row r="27" spans="2:9" ht="12.95" customHeight="1">
      <c r="B27" s="14"/>
      <c r="C27" s="15"/>
      <c r="D27" s="15"/>
      <c r="E27" s="16">
        <v>613900</v>
      </c>
      <c r="F27" s="363" t="s">
        <v>701</v>
      </c>
      <c r="G27" s="166">
        <v>610</v>
      </c>
      <c r="H27" s="169">
        <v>0</v>
      </c>
      <c r="I27" s="153">
        <f t="shared" si="0"/>
        <v>0</v>
      </c>
    </row>
    <row r="28" spans="2:9" s="1" customFormat="1" ht="12.95" customHeight="1">
      <c r="B28" s="17"/>
      <c r="C28" s="12"/>
      <c r="D28" s="12"/>
      <c r="E28" s="59"/>
      <c r="F28" s="12"/>
      <c r="G28" s="44"/>
      <c r="H28" s="44"/>
      <c r="I28" s="153" t="str">
        <f t="shared" si="0"/>
        <v/>
      </c>
    </row>
    <row r="29" spans="2:9" ht="12.95" customHeight="1">
      <c r="B29" s="14"/>
      <c r="C29" s="15"/>
      <c r="D29" s="30"/>
      <c r="E29" s="61"/>
      <c r="F29" s="58"/>
      <c r="G29" s="44"/>
      <c r="H29" s="44"/>
      <c r="I29" s="153" t="str">
        <f t="shared" si="0"/>
        <v/>
      </c>
    </row>
    <row r="30" spans="2:9" ht="12.95" customHeight="1">
      <c r="B30" s="14"/>
      <c r="C30" s="15"/>
      <c r="D30" s="15"/>
      <c r="E30" s="60"/>
      <c r="F30" s="15"/>
      <c r="G30" s="44"/>
      <c r="H30" s="44"/>
      <c r="I30" s="153" t="str">
        <f t="shared" si="0"/>
        <v/>
      </c>
    </row>
    <row r="31" spans="2:9" ht="12.95" customHeight="1">
      <c r="B31" s="14"/>
      <c r="C31" s="15"/>
      <c r="D31" s="15"/>
      <c r="E31" s="16"/>
      <c r="F31" s="15"/>
      <c r="G31" s="44"/>
      <c r="H31" s="44"/>
      <c r="I31" s="153" t="str">
        <f t="shared" si="0"/>
        <v/>
      </c>
    </row>
    <row r="32" spans="2:9" ht="12.95" customHeight="1">
      <c r="B32" s="14"/>
      <c r="C32" s="15"/>
      <c r="D32" s="15"/>
      <c r="E32" s="16"/>
      <c r="F32" s="15"/>
      <c r="G32" s="44"/>
      <c r="H32" s="44"/>
      <c r="I32" s="153" t="str">
        <f t="shared" si="0"/>
        <v/>
      </c>
    </row>
    <row r="33" spans="2:9" ht="12.95" customHeight="1">
      <c r="B33" s="14"/>
      <c r="C33" s="15"/>
      <c r="D33" s="15"/>
      <c r="E33" s="16"/>
      <c r="F33" s="15"/>
      <c r="G33" s="44"/>
      <c r="H33" s="44"/>
      <c r="I33" s="153" t="str">
        <f t="shared" si="0"/>
        <v/>
      </c>
    </row>
    <row r="34" spans="2:9" ht="12.95" customHeight="1">
      <c r="B34" s="14"/>
      <c r="C34" s="15"/>
      <c r="D34" s="15"/>
      <c r="E34" s="16"/>
      <c r="F34" s="19"/>
      <c r="G34" s="44"/>
      <c r="H34" s="44"/>
      <c r="I34" s="153" t="str">
        <f t="shared" si="0"/>
        <v/>
      </c>
    </row>
    <row r="35" spans="2:9" ht="12.95" customHeight="1">
      <c r="B35" s="14"/>
      <c r="C35" s="15"/>
      <c r="D35" s="15"/>
      <c r="E35" s="16"/>
      <c r="F35" s="15"/>
      <c r="G35" s="20"/>
      <c r="H35" s="20"/>
      <c r="I35" s="153" t="str">
        <f t="shared" si="0"/>
        <v/>
      </c>
    </row>
    <row r="36" spans="2:9" s="1" customFormat="1" ht="12.95" customHeight="1">
      <c r="B36" s="17"/>
      <c r="C36" s="12"/>
      <c r="D36" s="12"/>
      <c r="E36" s="9">
        <v>821000</v>
      </c>
      <c r="F36" s="12" t="s">
        <v>92</v>
      </c>
      <c r="G36" s="20">
        <f>SUM(G37:G38)</f>
        <v>2000</v>
      </c>
      <c r="H36" s="20">
        <f>SUM(H37:H38)</f>
        <v>3000</v>
      </c>
      <c r="I36" s="152">
        <f t="shared" si="0"/>
        <v>150</v>
      </c>
    </row>
    <row r="37" spans="2:9" ht="12.95" customHeight="1">
      <c r="B37" s="14"/>
      <c r="C37" s="15"/>
      <c r="D37" s="15"/>
      <c r="E37" s="16">
        <v>821200</v>
      </c>
      <c r="F37" s="15" t="s">
        <v>93</v>
      </c>
      <c r="G37" s="44">
        <v>0</v>
      </c>
      <c r="H37" s="44">
        <v>0</v>
      </c>
      <c r="I37" s="153" t="str">
        <f t="shared" si="0"/>
        <v/>
      </c>
    </row>
    <row r="38" spans="2:9" ht="12.95" customHeight="1">
      <c r="B38" s="14"/>
      <c r="C38" s="15"/>
      <c r="D38" s="15"/>
      <c r="E38" s="16">
        <v>821300</v>
      </c>
      <c r="F38" s="15" t="s">
        <v>94</v>
      </c>
      <c r="G38" s="44">
        <v>2000</v>
      </c>
      <c r="H38" s="44">
        <v>3000</v>
      </c>
      <c r="I38" s="153">
        <f t="shared" si="0"/>
        <v>150</v>
      </c>
    </row>
    <row r="39" spans="2:9" ht="12.95" customHeight="1">
      <c r="B39" s="14"/>
      <c r="C39" s="15"/>
      <c r="D39" s="15"/>
      <c r="E39" s="16"/>
      <c r="F39" s="15"/>
      <c r="G39" s="44"/>
      <c r="H39" s="44"/>
      <c r="I39" s="153" t="str">
        <f t="shared" si="0"/>
        <v/>
      </c>
    </row>
    <row r="40" spans="2:9" ht="12.95" customHeight="1">
      <c r="B40" s="14"/>
      <c r="C40" s="15"/>
      <c r="D40" s="15"/>
      <c r="E40" s="16"/>
      <c r="F40" s="15"/>
      <c r="G40" s="44"/>
      <c r="H40" s="44"/>
      <c r="I40" s="153" t="str">
        <f t="shared" si="0"/>
        <v/>
      </c>
    </row>
    <row r="41" spans="2:9" s="1" customFormat="1" ht="12.95" customHeight="1">
      <c r="B41" s="17"/>
      <c r="C41" s="12"/>
      <c r="D41" s="12"/>
      <c r="E41" s="9"/>
      <c r="F41" s="12" t="s">
        <v>95</v>
      </c>
      <c r="G41" s="20">
        <v>3</v>
      </c>
      <c r="H41" s="20">
        <v>3</v>
      </c>
      <c r="I41" s="153"/>
    </row>
    <row r="42" spans="2:9" s="1" customFormat="1" ht="12.95" customHeight="1">
      <c r="B42" s="17"/>
      <c r="C42" s="12"/>
      <c r="D42" s="12"/>
      <c r="E42" s="9"/>
      <c r="F42" s="12" t="s">
        <v>115</v>
      </c>
      <c r="G42" s="20">
        <f>G7+G13+G17+G36</f>
        <v>121880</v>
      </c>
      <c r="H42" s="20">
        <f>H7+H13+H17+H36</f>
        <v>132180</v>
      </c>
      <c r="I42" s="152">
        <f t="shared" si="0"/>
        <v>108.45093534624222</v>
      </c>
    </row>
    <row r="43" spans="2:9" s="1" customFormat="1" ht="12.95" customHeight="1">
      <c r="B43" s="17"/>
      <c r="C43" s="12"/>
      <c r="D43" s="12"/>
      <c r="E43" s="9"/>
      <c r="F43" s="12" t="s">
        <v>96</v>
      </c>
      <c r="G43" s="20"/>
      <c r="H43" s="20"/>
      <c r="I43" s="155"/>
    </row>
    <row r="44" spans="2:9" s="1" customFormat="1" ht="12.95" customHeight="1">
      <c r="B44" s="17"/>
      <c r="C44" s="12"/>
      <c r="D44" s="12"/>
      <c r="E44" s="9"/>
      <c r="F44" s="12" t="s">
        <v>97</v>
      </c>
      <c r="G44" s="20"/>
      <c r="H44" s="43"/>
      <c r="I44" s="154"/>
    </row>
    <row r="45" spans="2:9" ht="12.95" customHeight="1" thickBot="1">
      <c r="B45" s="21"/>
      <c r="C45" s="22"/>
      <c r="D45" s="22"/>
      <c r="E45" s="23"/>
      <c r="F45" s="22"/>
      <c r="G45" s="48"/>
      <c r="H45" s="45"/>
      <c r="I45" s="156"/>
    </row>
  </sheetData>
  <mergeCells count="2">
    <mergeCell ref="B2:G2"/>
    <mergeCell ref="F3:G3"/>
  </mergeCells>
  <phoneticPr fontId="2" type="noConversion"/>
  <pageMargins left="0.19685039370078741" right="0.19685039370078741" top="0.59055118110236227" bottom="0.59055118110236227" header="0.51181102362204722" footer="0.51181102362204722"/>
  <pageSetup paperSize="9" scale="88" firstPageNumber="10" orientation="portrait" useFirstPageNumber="1" horizontalDpi="180" verticalDpi="180" r:id="rId1"/>
  <headerFooter alignWithMargins="0">
    <oddFooter>&amp;R17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4"/>
  <dimension ref="B2:M53"/>
  <sheetViews>
    <sheetView topLeftCell="A10" workbookViewId="0">
      <selection activeCell="G7" sqref="G7:G41"/>
    </sheetView>
  </sheetViews>
  <sheetFormatPr defaultRowHeight="12.75"/>
  <cols>
    <col min="1" max="1" width="1.5703125" style="13" customWidth="1"/>
    <col min="2" max="4" width="5.7109375" style="13" bestFit="1" customWidth="1"/>
    <col min="5" max="5" width="10.5703125" style="24" customWidth="1"/>
    <col min="6" max="6" width="43.7109375" style="13" customWidth="1"/>
    <col min="7" max="7" width="15.7109375" style="13" customWidth="1"/>
    <col min="8" max="8" width="15.7109375" style="90" customWidth="1"/>
    <col min="9" max="9" width="8.7109375" style="140" customWidth="1"/>
    <col min="10" max="16384" width="9.140625" style="13"/>
  </cols>
  <sheetData>
    <row r="2" spans="2:13" s="112" customFormat="1" ht="15" customHeight="1">
      <c r="B2" s="450" t="s">
        <v>199</v>
      </c>
      <c r="C2" s="450"/>
      <c r="D2" s="450"/>
      <c r="E2" s="450"/>
      <c r="F2" s="450"/>
      <c r="G2" s="450"/>
      <c r="H2" s="288"/>
      <c r="I2" s="289"/>
    </row>
    <row r="3" spans="2:13" s="1" customFormat="1" ht="16.5" thickBot="1">
      <c r="E3" s="2"/>
      <c r="F3" s="449"/>
      <c r="G3" s="449"/>
      <c r="H3" s="181"/>
      <c r="I3" s="182"/>
    </row>
    <row r="4" spans="2:13" s="1" customFormat="1" ht="76.5" customHeight="1">
      <c r="B4" s="3" t="s">
        <v>79</v>
      </c>
      <c r="C4" s="4" t="s">
        <v>80</v>
      </c>
      <c r="D4" s="5" t="s">
        <v>112</v>
      </c>
      <c r="E4" s="6" t="s">
        <v>81</v>
      </c>
      <c r="F4" s="7" t="s">
        <v>82</v>
      </c>
      <c r="G4" s="316" t="s">
        <v>557</v>
      </c>
      <c r="H4" s="316" t="s">
        <v>683</v>
      </c>
      <c r="I4" s="149" t="s">
        <v>497</v>
      </c>
    </row>
    <row r="5" spans="2:13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34">
        <v>6</v>
      </c>
      <c r="H5" s="9">
        <v>7</v>
      </c>
      <c r="I5" s="150">
        <v>8</v>
      </c>
    </row>
    <row r="6" spans="2:13" s="2" customFormat="1" ht="12.95" customHeight="1">
      <c r="B6" s="10" t="s">
        <v>135</v>
      </c>
      <c r="C6" s="11" t="s">
        <v>136</v>
      </c>
      <c r="D6" s="11" t="s">
        <v>128</v>
      </c>
      <c r="E6" s="9"/>
      <c r="F6" s="9"/>
      <c r="G6" s="34"/>
      <c r="H6" s="165"/>
      <c r="I6" s="151"/>
    </row>
    <row r="7" spans="2:13" s="1" customFormat="1" ht="12.95" customHeight="1">
      <c r="B7" s="17"/>
      <c r="C7" s="12"/>
      <c r="D7" s="12"/>
      <c r="E7" s="9">
        <v>611000</v>
      </c>
      <c r="F7" s="12" t="s">
        <v>167</v>
      </c>
      <c r="G7" s="20">
        <f>SUM(G8:G11)</f>
        <v>1158500</v>
      </c>
      <c r="H7" s="392">
        <f>SUM(H8:H11)</f>
        <v>1167310</v>
      </c>
      <c r="I7" s="152">
        <f t="shared" ref="I7:I43" si="0">IF(G7=0,"",H7/G7*100)</f>
        <v>100.76046611998272</v>
      </c>
    </row>
    <row r="8" spans="2:13" ht="12.95" customHeight="1">
      <c r="B8" s="14"/>
      <c r="C8" s="15"/>
      <c r="D8" s="15"/>
      <c r="E8" s="16">
        <v>611100</v>
      </c>
      <c r="F8" s="26" t="s">
        <v>210</v>
      </c>
      <c r="G8" s="117">
        <v>936500</v>
      </c>
      <c r="H8" s="394">
        <f>955300+22610</f>
        <v>977910</v>
      </c>
      <c r="I8" s="153">
        <f t="shared" si="0"/>
        <v>104.42178323545114</v>
      </c>
    </row>
    <row r="9" spans="2:13" ht="12.95" customHeight="1">
      <c r="B9" s="14"/>
      <c r="C9" s="15"/>
      <c r="D9" s="15"/>
      <c r="E9" s="16">
        <v>611200</v>
      </c>
      <c r="F9" s="15" t="s">
        <v>211</v>
      </c>
      <c r="G9" s="117">
        <f>195300+45*240</f>
        <v>206100</v>
      </c>
      <c r="H9" s="394">
        <f>184100+5300</f>
        <v>189400</v>
      </c>
      <c r="I9" s="153">
        <f t="shared" si="0"/>
        <v>91.89713731198448</v>
      </c>
    </row>
    <row r="10" spans="2:13" ht="12.95" customHeight="1">
      <c r="B10" s="14"/>
      <c r="C10" s="15"/>
      <c r="D10" s="15"/>
      <c r="E10" s="16">
        <v>611200</v>
      </c>
      <c r="F10" s="363" t="s">
        <v>699</v>
      </c>
      <c r="G10" s="82">
        <v>15900</v>
      </c>
      <c r="H10" s="391">
        <v>0</v>
      </c>
      <c r="I10" s="153">
        <f t="shared" si="0"/>
        <v>0</v>
      </c>
      <c r="K10" s="89"/>
    </row>
    <row r="11" spans="2:13" ht="12.95" customHeight="1">
      <c r="B11" s="14"/>
      <c r="C11" s="15"/>
      <c r="D11" s="15"/>
      <c r="E11" s="16"/>
      <c r="F11" s="26"/>
      <c r="G11" s="44"/>
      <c r="H11" s="394"/>
      <c r="I11" s="153" t="str">
        <f t="shared" si="0"/>
        <v/>
      </c>
    </row>
    <row r="12" spans="2:13" ht="12.95" customHeight="1">
      <c r="B12" s="14"/>
      <c r="C12" s="15"/>
      <c r="D12" s="15"/>
      <c r="E12" s="16"/>
      <c r="F12" s="15"/>
      <c r="G12" s="20"/>
      <c r="H12" s="392"/>
      <c r="I12" s="153" t="str">
        <f t="shared" si="0"/>
        <v/>
      </c>
    </row>
    <row r="13" spans="2:13" s="1" customFormat="1" ht="12.95" customHeight="1">
      <c r="B13" s="17"/>
      <c r="C13" s="12"/>
      <c r="D13" s="12"/>
      <c r="E13" s="9">
        <v>612000</v>
      </c>
      <c r="F13" s="12" t="s">
        <v>166</v>
      </c>
      <c r="G13" s="20">
        <f>G14</f>
        <v>99900</v>
      </c>
      <c r="H13" s="392">
        <f>H14</f>
        <v>105990</v>
      </c>
      <c r="I13" s="152">
        <f t="shared" si="0"/>
        <v>106.09609609609609</v>
      </c>
    </row>
    <row r="14" spans="2:13" ht="12.95" customHeight="1">
      <c r="B14" s="14"/>
      <c r="C14" s="15"/>
      <c r="D14" s="15"/>
      <c r="E14" s="16">
        <v>612100</v>
      </c>
      <c r="F14" s="18" t="s">
        <v>85</v>
      </c>
      <c r="G14" s="117">
        <v>99900</v>
      </c>
      <c r="H14" s="394">
        <f>103500+2490</f>
        <v>105990</v>
      </c>
      <c r="I14" s="153">
        <f t="shared" si="0"/>
        <v>106.09609609609609</v>
      </c>
    </row>
    <row r="15" spans="2:13" ht="12.95" customHeight="1">
      <c r="B15" s="14"/>
      <c r="C15" s="15"/>
      <c r="D15" s="15"/>
      <c r="E15" s="16"/>
      <c r="F15" s="15"/>
      <c r="G15" s="44"/>
      <c r="H15" s="44"/>
      <c r="I15" s="153" t="str">
        <f t="shared" si="0"/>
        <v/>
      </c>
      <c r="M15" s="90"/>
    </row>
    <row r="16" spans="2:13" ht="12.95" customHeight="1">
      <c r="B16" s="14"/>
      <c r="C16" s="15"/>
      <c r="D16" s="15"/>
      <c r="E16" s="16"/>
      <c r="F16" s="15"/>
      <c r="G16" s="20"/>
      <c r="H16" s="20"/>
      <c r="I16" s="153" t="str">
        <f t="shared" si="0"/>
        <v/>
      </c>
    </row>
    <row r="17" spans="2:10" s="1" customFormat="1" ht="12.95" customHeight="1">
      <c r="B17" s="17"/>
      <c r="C17" s="12"/>
      <c r="D17" s="12"/>
      <c r="E17" s="9">
        <v>613000</v>
      </c>
      <c r="F17" s="12" t="s">
        <v>168</v>
      </c>
      <c r="G17" s="49">
        <f>SUM(G18:G27)</f>
        <v>357200</v>
      </c>
      <c r="H17" s="49">
        <f>SUM(H18:H27)</f>
        <v>338500</v>
      </c>
      <c r="I17" s="152">
        <f t="shared" si="0"/>
        <v>94.764837625979851</v>
      </c>
    </row>
    <row r="18" spans="2:10" ht="12.95" customHeight="1">
      <c r="B18" s="14"/>
      <c r="C18" s="15"/>
      <c r="D18" s="15"/>
      <c r="E18" s="16">
        <v>613100</v>
      </c>
      <c r="F18" s="15" t="s">
        <v>86</v>
      </c>
      <c r="G18" s="44">
        <v>6300</v>
      </c>
      <c r="H18" s="44">
        <v>6500</v>
      </c>
      <c r="I18" s="153">
        <f t="shared" si="0"/>
        <v>103.17460317460319</v>
      </c>
    </row>
    <row r="19" spans="2:10" ht="12.95" customHeight="1">
      <c r="B19" s="14"/>
      <c r="C19" s="15"/>
      <c r="D19" s="15"/>
      <c r="E19" s="16">
        <v>613200</v>
      </c>
      <c r="F19" s="15" t="s">
        <v>87</v>
      </c>
      <c r="G19" s="44">
        <v>16000</v>
      </c>
      <c r="H19" s="44">
        <v>17000</v>
      </c>
      <c r="I19" s="153">
        <f t="shared" si="0"/>
        <v>106.25</v>
      </c>
    </row>
    <row r="20" spans="2:10" ht="12.95" customHeight="1">
      <c r="B20" s="14"/>
      <c r="C20" s="15"/>
      <c r="D20" s="15"/>
      <c r="E20" s="16">
        <v>613300</v>
      </c>
      <c r="F20" s="26" t="s">
        <v>212</v>
      </c>
      <c r="G20" s="44">
        <v>132000</v>
      </c>
      <c r="H20" s="44">
        <v>130000</v>
      </c>
      <c r="I20" s="153">
        <f t="shared" si="0"/>
        <v>98.484848484848484</v>
      </c>
    </row>
    <row r="21" spans="2:10" ht="12.95" customHeight="1">
      <c r="B21" s="14"/>
      <c r="C21" s="15"/>
      <c r="D21" s="15"/>
      <c r="E21" s="16">
        <v>613400</v>
      </c>
      <c r="F21" s="15" t="s">
        <v>169</v>
      </c>
      <c r="G21" s="117">
        <v>31000</v>
      </c>
      <c r="H21" s="117">
        <v>35000</v>
      </c>
      <c r="I21" s="153">
        <f t="shared" si="0"/>
        <v>112.90322580645163</v>
      </c>
      <c r="J21" s="81"/>
    </row>
    <row r="22" spans="2:10" ht="12.95" customHeight="1">
      <c r="B22" s="14"/>
      <c r="C22" s="15"/>
      <c r="D22" s="15"/>
      <c r="E22" s="16">
        <v>613500</v>
      </c>
      <c r="F22" s="15" t="s">
        <v>88</v>
      </c>
      <c r="G22" s="44">
        <v>11100</v>
      </c>
      <c r="H22" s="44">
        <v>12000</v>
      </c>
      <c r="I22" s="153">
        <f t="shared" si="0"/>
        <v>108.10810810810811</v>
      </c>
    </row>
    <row r="23" spans="2:10" ht="12.95" customHeight="1">
      <c r="B23" s="14"/>
      <c r="C23" s="15"/>
      <c r="D23" s="15"/>
      <c r="E23" s="16">
        <v>613600</v>
      </c>
      <c r="F23" s="26" t="s">
        <v>213</v>
      </c>
      <c r="G23" s="117">
        <v>0</v>
      </c>
      <c r="H23" s="117">
        <v>0</v>
      </c>
      <c r="I23" s="153" t="str">
        <f t="shared" si="0"/>
        <v/>
      </c>
    </row>
    <row r="24" spans="2:10" ht="12.95" customHeight="1">
      <c r="B24" s="14"/>
      <c r="C24" s="15"/>
      <c r="D24" s="15"/>
      <c r="E24" s="16">
        <v>613700</v>
      </c>
      <c r="F24" s="15" t="s">
        <v>89</v>
      </c>
      <c r="G24" s="117">
        <v>17000</v>
      </c>
      <c r="H24" s="117">
        <v>14000</v>
      </c>
      <c r="I24" s="153">
        <f t="shared" si="0"/>
        <v>82.35294117647058</v>
      </c>
    </row>
    <row r="25" spans="2:10" ht="12.95" customHeight="1">
      <c r="B25" s="14"/>
      <c r="C25" s="15"/>
      <c r="D25" s="15"/>
      <c r="E25" s="16">
        <v>613800</v>
      </c>
      <c r="F25" s="15" t="s">
        <v>170</v>
      </c>
      <c r="G25" s="117">
        <v>4000</v>
      </c>
      <c r="H25" s="117">
        <v>4000</v>
      </c>
      <c r="I25" s="153">
        <f t="shared" si="0"/>
        <v>100</v>
      </c>
    </row>
    <row r="26" spans="2:10" ht="12.95" customHeight="1">
      <c r="B26" s="14"/>
      <c r="C26" s="15"/>
      <c r="D26" s="15"/>
      <c r="E26" s="16">
        <v>613900</v>
      </c>
      <c r="F26" s="15" t="s">
        <v>171</v>
      </c>
      <c r="G26" s="117">
        <v>125000</v>
      </c>
      <c r="H26" s="117">
        <v>120000</v>
      </c>
      <c r="I26" s="153">
        <f t="shared" si="0"/>
        <v>96</v>
      </c>
      <c r="J26" s="107"/>
    </row>
    <row r="27" spans="2:10" ht="12.95" customHeight="1">
      <c r="B27" s="14"/>
      <c r="C27" s="15"/>
      <c r="D27" s="15"/>
      <c r="E27" s="16">
        <v>613900</v>
      </c>
      <c r="F27" s="363" t="s">
        <v>701</v>
      </c>
      <c r="G27" s="117">
        <v>14800</v>
      </c>
      <c r="H27" s="117">
        <v>0</v>
      </c>
      <c r="I27" s="153">
        <f t="shared" si="0"/>
        <v>0</v>
      </c>
    </row>
    <row r="28" spans="2:10" s="1" customFormat="1" ht="12.95" customHeight="1">
      <c r="B28" s="17"/>
      <c r="C28" s="12"/>
      <c r="D28" s="12"/>
      <c r="E28" s="59"/>
      <c r="F28" s="12"/>
      <c r="G28" s="117"/>
      <c r="H28" s="117"/>
      <c r="I28" s="153" t="str">
        <f t="shared" si="0"/>
        <v/>
      </c>
    </row>
    <row r="29" spans="2:10" ht="12.95" customHeight="1">
      <c r="B29" s="14"/>
      <c r="C29" s="15"/>
      <c r="D29" s="30"/>
      <c r="E29" s="61"/>
      <c r="F29" s="58"/>
      <c r="G29" s="117"/>
      <c r="H29" s="117"/>
      <c r="I29" s="153" t="str">
        <f t="shared" si="0"/>
        <v/>
      </c>
    </row>
    <row r="30" spans="2:10" ht="12.95" customHeight="1">
      <c r="B30" s="14"/>
      <c r="C30" s="15"/>
      <c r="D30" s="15"/>
      <c r="E30" s="60"/>
      <c r="F30" s="15"/>
      <c r="G30" s="117"/>
      <c r="H30" s="117"/>
      <c r="I30" s="153" t="str">
        <f t="shared" si="0"/>
        <v/>
      </c>
    </row>
    <row r="31" spans="2:10" ht="12.95" customHeight="1">
      <c r="B31" s="14"/>
      <c r="C31" s="15"/>
      <c r="D31" s="15"/>
      <c r="E31" s="16"/>
      <c r="F31" s="15"/>
      <c r="G31" s="117"/>
      <c r="H31" s="117"/>
      <c r="I31" s="153" t="str">
        <f t="shared" si="0"/>
        <v/>
      </c>
    </row>
    <row r="32" spans="2:10" ht="12.95" customHeight="1">
      <c r="B32" s="14"/>
      <c r="C32" s="15"/>
      <c r="D32" s="15"/>
      <c r="E32" s="16"/>
      <c r="F32" s="15"/>
      <c r="G32" s="117"/>
      <c r="H32" s="117"/>
      <c r="I32" s="153" t="str">
        <f t="shared" si="0"/>
        <v/>
      </c>
    </row>
    <row r="33" spans="2:9" ht="12.95" customHeight="1">
      <c r="B33" s="14"/>
      <c r="C33" s="15"/>
      <c r="D33" s="15"/>
      <c r="E33" s="16"/>
      <c r="F33" s="15"/>
      <c r="G33" s="117"/>
      <c r="H33" s="117"/>
      <c r="I33" s="153" t="str">
        <f t="shared" si="0"/>
        <v/>
      </c>
    </row>
    <row r="34" spans="2:9" ht="12.95" customHeight="1">
      <c r="B34" s="14"/>
      <c r="C34" s="15"/>
      <c r="D34" s="15"/>
      <c r="E34" s="16"/>
      <c r="F34" s="19"/>
      <c r="G34" s="117"/>
      <c r="H34" s="117"/>
      <c r="I34" s="153" t="str">
        <f t="shared" si="0"/>
        <v/>
      </c>
    </row>
    <row r="35" spans="2:9" ht="12.95" customHeight="1">
      <c r="B35" s="14"/>
      <c r="C35" s="15"/>
      <c r="D35" s="15"/>
      <c r="E35" s="16"/>
      <c r="F35" s="15"/>
      <c r="G35" s="108"/>
      <c r="H35" s="108"/>
      <c r="I35" s="153" t="str">
        <f t="shared" si="0"/>
        <v/>
      </c>
    </row>
    <row r="36" spans="2:9" s="1" customFormat="1" ht="12.95" customHeight="1">
      <c r="B36" s="17"/>
      <c r="C36" s="12"/>
      <c r="D36" s="12"/>
      <c r="E36" s="9">
        <v>821000</v>
      </c>
      <c r="F36" s="12" t="s">
        <v>92</v>
      </c>
      <c r="G36" s="108">
        <f>G37+G38</f>
        <v>17000</v>
      </c>
      <c r="H36" s="108">
        <f>H37+H38</f>
        <v>30000</v>
      </c>
      <c r="I36" s="152">
        <f t="shared" si="0"/>
        <v>176.47058823529412</v>
      </c>
    </row>
    <row r="37" spans="2:9" ht="12.95" customHeight="1">
      <c r="B37" s="14"/>
      <c r="C37" s="15"/>
      <c r="D37" s="15"/>
      <c r="E37" s="16">
        <v>821200</v>
      </c>
      <c r="F37" s="15" t="s">
        <v>93</v>
      </c>
      <c r="G37" s="117">
        <v>12000</v>
      </c>
      <c r="H37" s="117">
        <v>5000</v>
      </c>
      <c r="I37" s="153">
        <f t="shared" si="0"/>
        <v>41.666666666666671</v>
      </c>
    </row>
    <row r="38" spans="2:9" ht="12.95" customHeight="1">
      <c r="B38" s="14"/>
      <c r="C38" s="15"/>
      <c r="D38" s="15"/>
      <c r="E38" s="16">
        <v>821300</v>
      </c>
      <c r="F38" s="15" t="s">
        <v>94</v>
      </c>
      <c r="G38" s="117">
        <v>5000</v>
      </c>
      <c r="H38" s="117">
        <v>25000</v>
      </c>
      <c r="I38" s="153">
        <f t="shared" si="0"/>
        <v>500</v>
      </c>
    </row>
    <row r="39" spans="2:9" ht="12.95" customHeight="1">
      <c r="B39" s="14"/>
      <c r="C39" s="15"/>
      <c r="D39" s="15"/>
      <c r="E39" s="16"/>
      <c r="F39" s="15"/>
      <c r="G39" s="44"/>
      <c r="H39" s="44"/>
      <c r="I39" s="153" t="str">
        <f t="shared" si="0"/>
        <v/>
      </c>
    </row>
    <row r="40" spans="2:9" ht="12.95" customHeight="1">
      <c r="B40" s="14"/>
      <c r="C40" s="15"/>
      <c r="D40" s="15"/>
      <c r="E40" s="16"/>
      <c r="F40" s="15"/>
      <c r="G40" s="44"/>
      <c r="H40" s="44"/>
      <c r="I40" s="153" t="str">
        <f t="shared" si="0"/>
        <v/>
      </c>
    </row>
    <row r="41" spans="2:9" s="1" customFormat="1" ht="12.95" customHeight="1">
      <c r="B41" s="17"/>
      <c r="C41" s="12"/>
      <c r="D41" s="12"/>
      <c r="E41" s="9"/>
      <c r="F41" s="12" t="s">
        <v>95</v>
      </c>
      <c r="G41" s="134">
        <v>46</v>
      </c>
      <c r="H41" s="134">
        <v>45</v>
      </c>
      <c r="I41" s="153"/>
    </row>
    <row r="42" spans="2:9" s="1" customFormat="1" ht="12.95" customHeight="1">
      <c r="B42" s="17"/>
      <c r="C42" s="12"/>
      <c r="D42" s="12"/>
      <c r="E42" s="9"/>
      <c r="F42" s="12" t="s">
        <v>115</v>
      </c>
      <c r="G42" s="20">
        <f>G7+G13+G17+G36</f>
        <v>1632600</v>
      </c>
      <c r="H42" s="20">
        <f>H7+H13+H17+H36</f>
        <v>1641800</v>
      </c>
      <c r="I42" s="152">
        <f t="shared" si="0"/>
        <v>100.56351831434523</v>
      </c>
    </row>
    <row r="43" spans="2:9" s="1" customFormat="1" ht="12.95" customHeight="1">
      <c r="B43" s="17"/>
      <c r="C43" s="12"/>
      <c r="D43" s="12"/>
      <c r="E43" s="9"/>
      <c r="F43" s="12" t="s">
        <v>96</v>
      </c>
      <c r="G43" s="20">
        <f>G42</f>
        <v>1632600</v>
      </c>
      <c r="H43" s="20">
        <f>H42</f>
        <v>1641800</v>
      </c>
      <c r="I43" s="152">
        <f t="shared" si="0"/>
        <v>100.56351831434523</v>
      </c>
    </row>
    <row r="44" spans="2:9" s="1" customFormat="1" ht="12.95" customHeight="1">
      <c r="B44" s="17"/>
      <c r="C44" s="12"/>
      <c r="D44" s="12"/>
      <c r="E44" s="9"/>
      <c r="F44" s="12" t="s">
        <v>97</v>
      </c>
      <c r="G44" s="20"/>
      <c r="H44" s="43"/>
      <c r="I44" s="154"/>
    </row>
    <row r="45" spans="2:9" ht="12.95" customHeight="1" thickBot="1">
      <c r="B45" s="21"/>
      <c r="C45" s="22"/>
      <c r="D45" s="22"/>
      <c r="E45" s="23"/>
      <c r="F45" s="22"/>
      <c r="G45" s="48"/>
      <c r="H45" s="45"/>
      <c r="I45" s="156"/>
    </row>
    <row r="46" spans="2:9">
      <c r="I46" s="287"/>
    </row>
    <row r="47" spans="2:9">
      <c r="B47" s="81"/>
    </row>
    <row r="48" spans="2:9">
      <c r="B48" s="81"/>
    </row>
    <row r="49" spans="2:2">
      <c r="B49" s="81"/>
    </row>
    <row r="50" spans="2:2">
      <c r="B50" s="81"/>
    </row>
    <row r="51" spans="2:2">
      <c r="B51" s="81"/>
    </row>
    <row r="52" spans="2:2">
      <c r="B52" s="81"/>
    </row>
    <row r="53" spans="2:2">
      <c r="B53" s="81"/>
    </row>
  </sheetData>
  <mergeCells count="2">
    <mergeCell ref="B2:G2"/>
    <mergeCell ref="F3:G3"/>
  </mergeCells>
  <phoneticPr fontId="2" type="noConversion"/>
  <pageMargins left="0.19685039370078741" right="0.19685039370078741" top="0.59055118110236227" bottom="0.59055118110236227" header="0.51181102362204722" footer="0.51181102362204722"/>
  <pageSetup paperSize="9" scale="88" firstPageNumber="10" orientation="portrait" useFirstPageNumber="1" horizontalDpi="180" verticalDpi="180" r:id="rId1"/>
  <headerFooter alignWithMargins="0">
    <oddFooter>&amp;R18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7"/>
  <dimension ref="B2:K48"/>
  <sheetViews>
    <sheetView topLeftCell="A10" workbookViewId="0">
      <selection activeCell="G7" sqref="G7:G41"/>
    </sheetView>
  </sheetViews>
  <sheetFormatPr defaultRowHeight="12.75"/>
  <cols>
    <col min="1" max="1" width="1.5703125" style="13" customWidth="1"/>
    <col min="2" max="4" width="5.7109375" style="13" bestFit="1" customWidth="1"/>
    <col min="5" max="5" width="10.5703125" style="24" customWidth="1"/>
    <col min="6" max="6" width="43.7109375" style="13" customWidth="1"/>
    <col min="7" max="7" width="15.7109375" style="13" customWidth="1"/>
    <col min="8" max="8" width="15.7109375" style="90" customWidth="1"/>
    <col min="9" max="9" width="8.7109375" style="140" customWidth="1"/>
    <col min="10" max="16384" width="9.140625" style="13"/>
  </cols>
  <sheetData>
    <row r="2" spans="2:11" s="112" customFormat="1" ht="15" customHeight="1">
      <c r="B2" s="450" t="s">
        <v>235</v>
      </c>
      <c r="C2" s="450"/>
      <c r="D2" s="450"/>
      <c r="E2" s="450"/>
      <c r="F2" s="450"/>
      <c r="G2" s="450"/>
      <c r="H2" s="288"/>
      <c r="I2" s="289"/>
    </row>
    <row r="3" spans="2:11" s="1" customFormat="1" ht="16.5" thickBot="1">
      <c r="E3" s="2"/>
      <c r="F3" s="449"/>
      <c r="G3" s="449"/>
      <c r="H3" s="181"/>
      <c r="I3" s="182"/>
    </row>
    <row r="4" spans="2:11" s="1" customFormat="1" ht="76.5" customHeight="1">
      <c r="B4" s="3" t="s">
        <v>79</v>
      </c>
      <c r="C4" s="4" t="s">
        <v>80</v>
      </c>
      <c r="D4" s="5" t="s">
        <v>112</v>
      </c>
      <c r="E4" s="6" t="s">
        <v>81</v>
      </c>
      <c r="F4" s="7" t="s">
        <v>82</v>
      </c>
      <c r="G4" s="316" t="s">
        <v>557</v>
      </c>
      <c r="H4" s="316" t="s">
        <v>683</v>
      </c>
      <c r="I4" s="149" t="s">
        <v>497</v>
      </c>
    </row>
    <row r="5" spans="2:11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34">
        <v>6</v>
      </c>
      <c r="H5" s="9">
        <v>7</v>
      </c>
      <c r="I5" s="150">
        <v>8</v>
      </c>
    </row>
    <row r="6" spans="2:11" s="2" customFormat="1" ht="12.95" customHeight="1">
      <c r="B6" s="10" t="s">
        <v>135</v>
      </c>
      <c r="C6" s="11" t="s">
        <v>137</v>
      </c>
      <c r="D6" s="11" t="s">
        <v>84</v>
      </c>
      <c r="E6" s="9"/>
      <c r="F6" s="9"/>
      <c r="G6" s="34"/>
      <c r="H6" s="165"/>
      <c r="I6" s="151"/>
    </row>
    <row r="7" spans="2:11" s="1" customFormat="1" ht="12.95" customHeight="1">
      <c r="B7" s="17"/>
      <c r="C7" s="12"/>
      <c r="D7" s="12"/>
      <c r="E7" s="9">
        <v>611000</v>
      </c>
      <c r="F7" s="12" t="s">
        <v>167</v>
      </c>
      <c r="G7" s="20">
        <f>SUM(G8:G11)</f>
        <v>33740</v>
      </c>
      <c r="H7" s="392">
        <f>SUM(H8:H11)</f>
        <v>33600</v>
      </c>
      <c r="I7" s="152">
        <f t="shared" ref="I7:I43" si="0">IF(G7=0,"",H7/G7*100)</f>
        <v>99.585062240663902</v>
      </c>
    </row>
    <row r="8" spans="2:11" ht="12.95" customHeight="1">
      <c r="B8" s="14"/>
      <c r="C8" s="15"/>
      <c r="D8" s="15"/>
      <c r="E8" s="16">
        <v>611100</v>
      </c>
      <c r="F8" s="26" t="s">
        <v>210</v>
      </c>
      <c r="G8" s="117">
        <v>26400</v>
      </c>
      <c r="H8" s="394">
        <f>26900+1300</f>
        <v>28200</v>
      </c>
      <c r="I8" s="153">
        <f t="shared" si="0"/>
        <v>106.81818181818181</v>
      </c>
    </row>
    <row r="9" spans="2:11" ht="12.95" customHeight="1">
      <c r="B9" s="14"/>
      <c r="C9" s="15"/>
      <c r="D9" s="15"/>
      <c r="E9" s="16">
        <v>611200</v>
      </c>
      <c r="F9" s="15" t="s">
        <v>211</v>
      </c>
      <c r="G9" s="117">
        <f>4100+240</f>
        <v>4340</v>
      </c>
      <c r="H9" s="394">
        <f>3900+1500</f>
        <v>5400</v>
      </c>
      <c r="I9" s="153">
        <f t="shared" si="0"/>
        <v>124.42396313364054</v>
      </c>
    </row>
    <row r="10" spans="2:11" ht="12.95" customHeight="1">
      <c r="B10" s="14"/>
      <c r="C10" s="15"/>
      <c r="D10" s="15"/>
      <c r="E10" s="16">
        <v>611200</v>
      </c>
      <c r="F10" s="363" t="s">
        <v>699</v>
      </c>
      <c r="G10" s="82">
        <v>3000</v>
      </c>
      <c r="H10" s="391">
        <v>0</v>
      </c>
      <c r="I10" s="153">
        <f t="shared" si="0"/>
        <v>0</v>
      </c>
      <c r="K10" s="89"/>
    </row>
    <row r="11" spans="2:11" ht="12.95" customHeight="1">
      <c r="B11" s="14"/>
      <c r="C11" s="15"/>
      <c r="D11" s="15"/>
      <c r="E11" s="16"/>
      <c r="F11" s="26"/>
      <c r="G11" s="44"/>
      <c r="H11" s="394"/>
      <c r="I11" s="153" t="str">
        <f t="shared" si="0"/>
        <v/>
      </c>
    </row>
    <row r="12" spans="2:11" ht="12.95" customHeight="1">
      <c r="B12" s="14"/>
      <c r="C12" s="15"/>
      <c r="D12" s="15"/>
      <c r="E12" s="16"/>
      <c r="F12" s="15"/>
      <c r="G12" s="20"/>
      <c r="H12" s="392"/>
      <c r="I12" s="153" t="str">
        <f t="shared" si="0"/>
        <v/>
      </c>
    </row>
    <row r="13" spans="2:11" s="1" customFormat="1" ht="12.95" customHeight="1">
      <c r="B13" s="17"/>
      <c r="C13" s="12"/>
      <c r="D13" s="12"/>
      <c r="E13" s="9">
        <v>612000</v>
      </c>
      <c r="F13" s="12" t="s">
        <v>166</v>
      </c>
      <c r="G13" s="20">
        <f>G14</f>
        <v>3000</v>
      </c>
      <c r="H13" s="392">
        <f>H14</f>
        <v>3240</v>
      </c>
      <c r="I13" s="152">
        <f t="shared" si="0"/>
        <v>108</v>
      </c>
    </row>
    <row r="14" spans="2:11" ht="12.95" customHeight="1">
      <c r="B14" s="14"/>
      <c r="C14" s="15"/>
      <c r="D14" s="15"/>
      <c r="E14" s="16">
        <v>612100</v>
      </c>
      <c r="F14" s="18" t="s">
        <v>85</v>
      </c>
      <c r="G14" s="117">
        <v>3000</v>
      </c>
      <c r="H14" s="394">
        <f>3100+140</f>
        <v>3240</v>
      </c>
      <c r="I14" s="153">
        <f t="shared" si="0"/>
        <v>108</v>
      </c>
    </row>
    <row r="15" spans="2:11" ht="12.95" customHeight="1">
      <c r="B15" s="14"/>
      <c r="C15" s="15"/>
      <c r="D15" s="15"/>
      <c r="E15" s="16"/>
      <c r="F15" s="15"/>
      <c r="G15" s="44"/>
      <c r="H15" s="44"/>
      <c r="I15" s="153" t="str">
        <f t="shared" si="0"/>
        <v/>
      </c>
    </row>
    <row r="16" spans="2:11" ht="12.95" customHeight="1">
      <c r="B16" s="14"/>
      <c r="C16" s="15"/>
      <c r="D16" s="15"/>
      <c r="E16" s="16"/>
      <c r="F16" s="15"/>
      <c r="G16" s="20"/>
      <c r="H16" s="20"/>
      <c r="I16" s="153" t="str">
        <f t="shared" si="0"/>
        <v/>
      </c>
    </row>
    <row r="17" spans="2:9" s="1" customFormat="1" ht="12.95" customHeight="1">
      <c r="B17" s="17"/>
      <c r="C17" s="12"/>
      <c r="D17" s="12"/>
      <c r="E17" s="9">
        <v>613000</v>
      </c>
      <c r="F17" s="12" t="s">
        <v>168</v>
      </c>
      <c r="G17" s="49">
        <f>SUM(G18:G27)</f>
        <v>6550</v>
      </c>
      <c r="H17" s="49">
        <f>SUM(H18:H27)</f>
        <v>4200</v>
      </c>
      <c r="I17" s="152">
        <f t="shared" si="0"/>
        <v>64.122137404580144</v>
      </c>
    </row>
    <row r="18" spans="2:9" ht="12.95" customHeight="1">
      <c r="B18" s="14"/>
      <c r="C18" s="15"/>
      <c r="D18" s="15"/>
      <c r="E18" s="16">
        <v>613100</v>
      </c>
      <c r="F18" s="15" t="s">
        <v>86</v>
      </c>
      <c r="G18" s="44">
        <v>200</v>
      </c>
      <c r="H18" s="44">
        <v>500</v>
      </c>
      <c r="I18" s="153">
        <f t="shared" si="0"/>
        <v>250</v>
      </c>
    </row>
    <row r="19" spans="2:9" ht="12.95" customHeight="1">
      <c r="B19" s="14"/>
      <c r="C19" s="15"/>
      <c r="D19" s="15"/>
      <c r="E19" s="16">
        <v>613200</v>
      </c>
      <c r="F19" s="15" t="s">
        <v>87</v>
      </c>
      <c r="G19" s="44">
        <v>0</v>
      </c>
      <c r="H19" s="44">
        <v>0</v>
      </c>
      <c r="I19" s="153" t="str">
        <f t="shared" si="0"/>
        <v/>
      </c>
    </row>
    <row r="20" spans="2:9" ht="12.95" customHeight="1">
      <c r="B20" s="14"/>
      <c r="C20" s="15"/>
      <c r="D20" s="15"/>
      <c r="E20" s="16">
        <v>613300</v>
      </c>
      <c r="F20" s="26" t="s">
        <v>212</v>
      </c>
      <c r="G20" s="44">
        <v>850</v>
      </c>
      <c r="H20" s="44">
        <v>1000</v>
      </c>
      <c r="I20" s="153">
        <f t="shared" si="0"/>
        <v>117.64705882352942</v>
      </c>
    </row>
    <row r="21" spans="2:9" ht="12.95" customHeight="1">
      <c r="B21" s="14"/>
      <c r="C21" s="15"/>
      <c r="D21" s="15"/>
      <c r="E21" s="16">
        <v>613400</v>
      </c>
      <c r="F21" s="15" t="s">
        <v>169</v>
      </c>
      <c r="G21" s="44">
        <v>500</v>
      </c>
      <c r="H21" s="44">
        <v>1000</v>
      </c>
      <c r="I21" s="153">
        <f t="shared" si="0"/>
        <v>200</v>
      </c>
    </row>
    <row r="22" spans="2:9" ht="12.95" customHeight="1">
      <c r="B22" s="14"/>
      <c r="C22" s="15"/>
      <c r="D22" s="15"/>
      <c r="E22" s="16">
        <v>613500</v>
      </c>
      <c r="F22" s="15" t="s">
        <v>88</v>
      </c>
      <c r="G22" s="44">
        <v>0</v>
      </c>
      <c r="H22" s="44">
        <v>0</v>
      </c>
      <c r="I22" s="153" t="str">
        <f t="shared" si="0"/>
        <v/>
      </c>
    </row>
    <row r="23" spans="2:9" ht="12.95" customHeight="1">
      <c r="B23" s="14"/>
      <c r="C23" s="15"/>
      <c r="D23" s="15"/>
      <c r="E23" s="16">
        <v>613600</v>
      </c>
      <c r="F23" s="26" t="s">
        <v>213</v>
      </c>
      <c r="G23" s="44">
        <v>0</v>
      </c>
      <c r="H23" s="44">
        <v>0</v>
      </c>
      <c r="I23" s="153" t="str">
        <f t="shared" si="0"/>
        <v/>
      </c>
    </row>
    <row r="24" spans="2:9" ht="12.95" customHeight="1">
      <c r="B24" s="14"/>
      <c r="C24" s="15"/>
      <c r="D24" s="15"/>
      <c r="E24" s="16">
        <v>613700</v>
      </c>
      <c r="F24" s="15" t="s">
        <v>89</v>
      </c>
      <c r="G24" s="44">
        <v>0</v>
      </c>
      <c r="H24" s="44">
        <v>0</v>
      </c>
      <c r="I24" s="153" t="str">
        <f t="shared" si="0"/>
        <v/>
      </c>
    </row>
    <row r="25" spans="2:9" ht="12.95" customHeight="1">
      <c r="B25" s="14"/>
      <c r="C25" s="15"/>
      <c r="D25" s="15"/>
      <c r="E25" s="16">
        <v>613800</v>
      </c>
      <c r="F25" s="15" t="s">
        <v>170</v>
      </c>
      <c r="G25" s="44">
        <v>0</v>
      </c>
      <c r="H25" s="44">
        <v>0</v>
      </c>
      <c r="I25" s="153" t="str">
        <f t="shared" si="0"/>
        <v/>
      </c>
    </row>
    <row r="26" spans="2:9" ht="12.95" customHeight="1">
      <c r="B26" s="14"/>
      <c r="C26" s="15"/>
      <c r="D26" s="15"/>
      <c r="E26" s="16">
        <v>613900</v>
      </c>
      <c r="F26" s="15" t="s">
        <v>171</v>
      </c>
      <c r="G26" s="44">
        <v>1700</v>
      </c>
      <c r="H26" s="44">
        <v>1700</v>
      </c>
      <c r="I26" s="153">
        <f t="shared" si="0"/>
        <v>100</v>
      </c>
    </row>
    <row r="27" spans="2:9" ht="12.95" customHeight="1">
      <c r="B27" s="14"/>
      <c r="C27" s="15"/>
      <c r="D27" s="15"/>
      <c r="E27" s="16">
        <v>613900</v>
      </c>
      <c r="F27" s="363" t="s">
        <v>701</v>
      </c>
      <c r="G27" s="44">
        <v>3300</v>
      </c>
      <c r="H27" s="44">
        <v>0</v>
      </c>
      <c r="I27" s="153">
        <f t="shared" si="0"/>
        <v>0</v>
      </c>
    </row>
    <row r="28" spans="2:9" s="1" customFormat="1" ht="12.95" customHeight="1">
      <c r="B28" s="17"/>
      <c r="C28" s="12"/>
      <c r="D28" s="12"/>
      <c r="E28" s="59"/>
      <c r="F28" s="12"/>
      <c r="G28" s="44"/>
      <c r="H28" s="44"/>
      <c r="I28" s="153" t="str">
        <f t="shared" si="0"/>
        <v/>
      </c>
    </row>
    <row r="29" spans="2:9" ht="12.95" customHeight="1">
      <c r="B29" s="14"/>
      <c r="C29" s="15"/>
      <c r="D29" s="30"/>
      <c r="E29" s="61"/>
      <c r="F29" s="58"/>
      <c r="G29" s="44"/>
      <c r="H29" s="44"/>
      <c r="I29" s="153" t="str">
        <f t="shared" si="0"/>
        <v/>
      </c>
    </row>
    <row r="30" spans="2:9" ht="12.95" customHeight="1">
      <c r="B30" s="14"/>
      <c r="C30" s="15"/>
      <c r="D30" s="15"/>
      <c r="E30" s="60"/>
      <c r="F30" s="15"/>
      <c r="G30" s="44"/>
      <c r="H30" s="44"/>
      <c r="I30" s="153" t="str">
        <f t="shared" si="0"/>
        <v/>
      </c>
    </row>
    <row r="31" spans="2:9" ht="12.95" customHeight="1">
      <c r="B31" s="14"/>
      <c r="C31" s="15"/>
      <c r="D31" s="15"/>
      <c r="E31" s="16"/>
      <c r="F31" s="15"/>
      <c r="G31" s="44"/>
      <c r="H31" s="44"/>
      <c r="I31" s="153" t="str">
        <f t="shared" si="0"/>
        <v/>
      </c>
    </row>
    <row r="32" spans="2:9" ht="12.95" customHeight="1">
      <c r="B32" s="14"/>
      <c r="C32" s="15"/>
      <c r="D32" s="15"/>
      <c r="E32" s="16"/>
      <c r="F32" s="15"/>
      <c r="G32" s="44"/>
      <c r="H32" s="44"/>
      <c r="I32" s="153" t="str">
        <f t="shared" si="0"/>
        <v/>
      </c>
    </row>
    <row r="33" spans="2:9" ht="12.95" customHeight="1">
      <c r="B33" s="14"/>
      <c r="C33" s="15"/>
      <c r="D33" s="15"/>
      <c r="E33" s="16"/>
      <c r="F33" s="15"/>
      <c r="G33" s="44"/>
      <c r="H33" s="44"/>
      <c r="I33" s="153" t="str">
        <f t="shared" si="0"/>
        <v/>
      </c>
    </row>
    <row r="34" spans="2:9" ht="12.95" customHeight="1">
      <c r="B34" s="14"/>
      <c r="C34" s="15"/>
      <c r="D34" s="15"/>
      <c r="E34" s="16"/>
      <c r="F34" s="19"/>
      <c r="G34" s="44"/>
      <c r="H34" s="44"/>
      <c r="I34" s="153" t="str">
        <f t="shared" si="0"/>
        <v/>
      </c>
    </row>
    <row r="35" spans="2:9" ht="12.95" customHeight="1">
      <c r="B35" s="14"/>
      <c r="C35" s="15"/>
      <c r="D35" s="15"/>
      <c r="E35" s="16"/>
      <c r="F35" s="15"/>
      <c r="G35" s="20"/>
      <c r="H35" s="20"/>
      <c r="I35" s="153" t="str">
        <f t="shared" si="0"/>
        <v/>
      </c>
    </row>
    <row r="36" spans="2:9" s="1" customFormat="1" ht="12.95" customHeight="1">
      <c r="B36" s="17"/>
      <c r="C36" s="12"/>
      <c r="D36" s="12"/>
      <c r="E36" s="9">
        <v>821000</v>
      </c>
      <c r="F36" s="12" t="s">
        <v>92</v>
      </c>
      <c r="G36" s="20">
        <f>SUM(G37:G38)</f>
        <v>500</v>
      </c>
      <c r="H36" s="20">
        <f>SUM(H37:H38)</f>
        <v>500</v>
      </c>
      <c r="I36" s="152">
        <f t="shared" si="0"/>
        <v>100</v>
      </c>
    </row>
    <row r="37" spans="2:9" ht="12.95" customHeight="1">
      <c r="B37" s="14"/>
      <c r="C37" s="15"/>
      <c r="D37" s="15"/>
      <c r="E37" s="16">
        <v>821200</v>
      </c>
      <c r="F37" s="15" t="s">
        <v>93</v>
      </c>
      <c r="G37" s="44">
        <v>0</v>
      </c>
      <c r="H37" s="44">
        <v>0</v>
      </c>
      <c r="I37" s="153" t="str">
        <f t="shared" si="0"/>
        <v/>
      </c>
    </row>
    <row r="38" spans="2:9" ht="12.95" customHeight="1">
      <c r="B38" s="14"/>
      <c r="C38" s="15"/>
      <c r="D38" s="15"/>
      <c r="E38" s="16">
        <v>821300</v>
      </c>
      <c r="F38" s="15" t="s">
        <v>94</v>
      </c>
      <c r="G38" s="44">
        <v>500</v>
      </c>
      <c r="H38" s="44">
        <v>500</v>
      </c>
      <c r="I38" s="153">
        <f t="shared" si="0"/>
        <v>100</v>
      </c>
    </row>
    <row r="39" spans="2:9" ht="12.95" customHeight="1">
      <c r="B39" s="14"/>
      <c r="C39" s="15"/>
      <c r="D39" s="15"/>
      <c r="E39" s="16"/>
      <c r="F39" s="15"/>
      <c r="G39" s="44"/>
      <c r="H39" s="44"/>
      <c r="I39" s="153" t="str">
        <f t="shared" si="0"/>
        <v/>
      </c>
    </row>
    <row r="40" spans="2:9" ht="12.95" customHeight="1">
      <c r="B40" s="14"/>
      <c r="C40" s="15"/>
      <c r="D40" s="15"/>
      <c r="E40" s="16"/>
      <c r="F40" s="15"/>
      <c r="G40" s="44"/>
      <c r="H40" s="44"/>
      <c r="I40" s="153" t="str">
        <f t="shared" si="0"/>
        <v/>
      </c>
    </row>
    <row r="41" spans="2:9" s="1" customFormat="1" ht="12.95" customHeight="1">
      <c r="B41" s="17"/>
      <c r="C41" s="12"/>
      <c r="D41" s="12"/>
      <c r="E41" s="9"/>
      <c r="F41" s="12" t="s">
        <v>95</v>
      </c>
      <c r="G41" s="108">
        <v>1</v>
      </c>
      <c r="H41" s="108">
        <v>1</v>
      </c>
      <c r="I41" s="153"/>
    </row>
    <row r="42" spans="2:9" s="1" customFormat="1" ht="12.95" customHeight="1">
      <c r="B42" s="17"/>
      <c r="C42" s="12"/>
      <c r="D42" s="12"/>
      <c r="E42" s="9"/>
      <c r="F42" s="12" t="s">
        <v>115</v>
      </c>
      <c r="G42" s="20">
        <f>G7+G13+G17+G36</f>
        <v>43790</v>
      </c>
      <c r="H42" s="20">
        <f>H7+H13+H17+H36</f>
        <v>41540</v>
      </c>
      <c r="I42" s="152">
        <f t="shared" si="0"/>
        <v>94.861840602877365</v>
      </c>
    </row>
    <row r="43" spans="2:9" s="1" customFormat="1" ht="12.95" customHeight="1">
      <c r="B43" s="17"/>
      <c r="C43" s="12"/>
      <c r="D43" s="12"/>
      <c r="E43" s="9"/>
      <c r="F43" s="12" t="s">
        <v>96</v>
      </c>
      <c r="G43" s="20">
        <f>G42</f>
        <v>43790</v>
      </c>
      <c r="H43" s="20">
        <f>H42</f>
        <v>41540</v>
      </c>
      <c r="I43" s="152">
        <f t="shared" si="0"/>
        <v>94.861840602877365</v>
      </c>
    </row>
    <row r="44" spans="2:9" s="1" customFormat="1" ht="12.95" customHeight="1">
      <c r="B44" s="17"/>
      <c r="C44" s="12"/>
      <c r="D44" s="12"/>
      <c r="E44" s="9"/>
      <c r="F44" s="12" t="s">
        <v>97</v>
      </c>
      <c r="G44" s="20"/>
      <c r="H44" s="43"/>
      <c r="I44" s="154"/>
    </row>
    <row r="45" spans="2:9" ht="12.95" customHeight="1" thickBot="1">
      <c r="B45" s="21"/>
      <c r="C45" s="22"/>
      <c r="D45" s="22"/>
      <c r="E45" s="23"/>
      <c r="F45" s="22"/>
      <c r="G45" s="48"/>
      <c r="H45" s="45"/>
      <c r="I45" s="156"/>
    </row>
    <row r="47" spans="2:9">
      <c r="B47" s="81"/>
    </row>
    <row r="48" spans="2:9">
      <c r="B48" s="81"/>
    </row>
  </sheetData>
  <mergeCells count="2">
    <mergeCell ref="B2:G2"/>
    <mergeCell ref="F3:G3"/>
  </mergeCells>
  <phoneticPr fontId="2" type="noConversion"/>
  <pageMargins left="0.19685039370078741" right="0.19685039370078741" top="0.59055118110236227" bottom="0.59055118110236227" header="0.51181102362204722" footer="0.51181102362204722"/>
  <pageSetup paperSize="9" scale="88" firstPageNumber="10" orientation="portrait" useFirstPageNumber="1" horizontalDpi="180" verticalDpi="180" r:id="rId1"/>
  <headerFooter alignWithMargins="0">
    <oddFooter>&amp;R19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43"/>
  <dimension ref="B2:K47"/>
  <sheetViews>
    <sheetView topLeftCell="C7" workbookViewId="0">
      <selection activeCell="G7" sqref="G7:G41"/>
    </sheetView>
  </sheetViews>
  <sheetFormatPr defaultRowHeight="12.75"/>
  <cols>
    <col min="1" max="1" width="1.5703125" style="13" customWidth="1"/>
    <col min="2" max="4" width="5.7109375" style="13" bestFit="1" customWidth="1"/>
    <col min="5" max="5" width="10.85546875" style="24" customWidth="1"/>
    <col min="6" max="6" width="43.7109375" style="13" customWidth="1"/>
    <col min="7" max="7" width="15.7109375" style="13" customWidth="1"/>
    <col min="8" max="8" width="15.7109375" style="90" customWidth="1"/>
    <col min="9" max="9" width="8.7109375" style="140" customWidth="1"/>
    <col min="10" max="16384" width="9.140625" style="13"/>
  </cols>
  <sheetData>
    <row r="2" spans="2:11" ht="15" customHeight="1">
      <c r="B2" s="448" t="s">
        <v>234</v>
      </c>
      <c r="C2" s="448"/>
      <c r="D2" s="448"/>
      <c r="E2" s="448"/>
      <c r="F2" s="448"/>
      <c r="G2" s="448"/>
    </row>
    <row r="3" spans="2:11" s="1" customFormat="1" ht="16.5" thickBot="1">
      <c r="E3" s="2"/>
      <c r="F3" s="449"/>
      <c r="G3" s="449"/>
      <c r="H3" s="181"/>
      <c r="I3" s="182"/>
    </row>
    <row r="4" spans="2:11" s="1" customFormat="1" ht="76.5" customHeight="1">
      <c r="B4" s="3" t="s">
        <v>79</v>
      </c>
      <c r="C4" s="4" t="s">
        <v>80</v>
      </c>
      <c r="D4" s="5" t="s">
        <v>112</v>
      </c>
      <c r="E4" s="6" t="s">
        <v>81</v>
      </c>
      <c r="F4" s="7" t="s">
        <v>82</v>
      </c>
      <c r="G4" s="316" t="s">
        <v>557</v>
      </c>
      <c r="H4" s="316" t="s">
        <v>683</v>
      </c>
      <c r="I4" s="149" t="s">
        <v>497</v>
      </c>
    </row>
    <row r="5" spans="2:11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34">
        <v>6</v>
      </c>
      <c r="H5" s="9">
        <v>7</v>
      </c>
      <c r="I5" s="150">
        <v>8</v>
      </c>
    </row>
    <row r="6" spans="2:11" s="2" customFormat="1" ht="12.95" customHeight="1">
      <c r="B6" s="10" t="s">
        <v>135</v>
      </c>
      <c r="C6" s="11" t="s">
        <v>137</v>
      </c>
      <c r="D6" s="11" t="s">
        <v>121</v>
      </c>
      <c r="E6" s="9"/>
      <c r="F6" s="9"/>
      <c r="G6" s="34"/>
      <c r="H6" s="165"/>
      <c r="I6" s="151"/>
    </row>
    <row r="7" spans="2:11" s="1" customFormat="1" ht="12.95" customHeight="1">
      <c r="B7" s="17"/>
      <c r="C7" s="12"/>
      <c r="D7" s="12"/>
      <c r="E7" s="9">
        <v>611000</v>
      </c>
      <c r="F7" s="12" t="s">
        <v>167</v>
      </c>
      <c r="G7" s="20">
        <f>SUM(G8:G11)</f>
        <v>29340</v>
      </c>
      <c r="H7" s="392">
        <f>SUM(H8:H11)</f>
        <v>30120</v>
      </c>
      <c r="I7" s="152">
        <f t="shared" ref="I7:I44" si="0">IF(G7=0,"",H7/G7*100)</f>
        <v>102.65848670756645</v>
      </c>
    </row>
    <row r="8" spans="2:11" ht="12.95" customHeight="1">
      <c r="B8" s="14"/>
      <c r="C8" s="15"/>
      <c r="D8" s="15"/>
      <c r="E8" s="16">
        <v>611100</v>
      </c>
      <c r="F8" s="26" t="s">
        <v>210</v>
      </c>
      <c r="G8" s="44">
        <v>21800</v>
      </c>
      <c r="H8" s="394">
        <f>12500+11300+600+570</f>
        <v>24970</v>
      </c>
      <c r="I8" s="153">
        <f t="shared" si="0"/>
        <v>114.54128440366974</v>
      </c>
    </row>
    <row r="9" spans="2:11" ht="12.95" customHeight="1">
      <c r="B9" s="14"/>
      <c r="C9" s="15"/>
      <c r="D9" s="15"/>
      <c r="E9" s="16">
        <v>611200</v>
      </c>
      <c r="F9" s="15" t="s">
        <v>211</v>
      </c>
      <c r="G9" s="44">
        <f>3900+240</f>
        <v>4140</v>
      </c>
      <c r="H9" s="394">
        <f>3200+1950</f>
        <v>5150</v>
      </c>
      <c r="I9" s="153">
        <f t="shared" si="0"/>
        <v>124.39613526570048</v>
      </c>
    </row>
    <row r="10" spans="2:11" ht="12.95" customHeight="1">
      <c r="B10" s="14"/>
      <c r="C10" s="15"/>
      <c r="D10" s="15"/>
      <c r="E10" s="16">
        <v>611200</v>
      </c>
      <c r="F10" s="363" t="s">
        <v>699</v>
      </c>
      <c r="G10" s="82">
        <v>3400</v>
      </c>
      <c r="H10" s="391">
        <v>0</v>
      </c>
      <c r="I10" s="153">
        <f t="shared" si="0"/>
        <v>0</v>
      </c>
      <c r="K10" s="89"/>
    </row>
    <row r="11" spans="2:11" ht="12.95" customHeight="1">
      <c r="B11" s="14"/>
      <c r="C11" s="15"/>
      <c r="D11" s="15"/>
      <c r="E11" s="16"/>
      <c r="F11" s="26"/>
      <c r="G11" s="44"/>
      <c r="H11" s="394"/>
      <c r="I11" s="153" t="str">
        <f t="shared" si="0"/>
        <v/>
      </c>
    </row>
    <row r="12" spans="2:11" ht="12.95" customHeight="1">
      <c r="B12" s="14"/>
      <c r="C12" s="15"/>
      <c r="D12" s="15"/>
      <c r="E12" s="16"/>
      <c r="F12" s="15"/>
      <c r="G12" s="20"/>
      <c r="H12" s="392"/>
      <c r="I12" s="153" t="str">
        <f t="shared" si="0"/>
        <v/>
      </c>
    </row>
    <row r="13" spans="2:11" s="1" customFormat="1" ht="12.95" customHeight="1">
      <c r="B13" s="17"/>
      <c r="C13" s="12"/>
      <c r="D13" s="12"/>
      <c r="E13" s="9">
        <v>612000</v>
      </c>
      <c r="F13" s="12" t="s">
        <v>166</v>
      </c>
      <c r="G13" s="20">
        <f>G14</f>
        <v>2500</v>
      </c>
      <c r="H13" s="392">
        <f>H14</f>
        <v>3180</v>
      </c>
      <c r="I13" s="152">
        <f t="shared" si="0"/>
        <v>127.2</v>
      </c>
    </row>
    <row r="14" spans="2:11" ht="12.95" customHeight="1">
      <c r="B14" s="14"/>
      <c r="C14" s="15"/>
      <c r="D14" s="15"/>
      <c r="E14" s="16">
        <v>612100</v>
      </c>
      <c r="F14" s="18" t="s">
        <v>85</v>
      </c>
      <c r="G14" s="44">
        <v>2500</v>
      </c>
      <c r="H14" s="394">
        <f>1800+1250+70+60</f>
        <v>3180</v>
      </c>
      <c r="I14" s="153">
        <f t="shared" si="0"/>
        <v>127.2</v>
      </c>
    </row>
    <row r="15" spans="2:11" ht="12.95" customHeight="1">
      <c r="B15" s="14"/>
      <c r="C15" s="15"/>
      <c r="D15" s="15"/>
      <c r="E15" s="16"/>
      <c r="F15" s="15"/>
      <c r="G15" s="44"/>
      <c r="H15" s="44"/>
      <c r="I15" s="153" t="str">
        <f t="shared" si="0"/>
        <v/>
      </c>
    </row>
    <row r="16" spans="2:11" ht="12.95" customHeight="1">
      <c r="B16" s="14"/>
      <c r="C16" s="15"/>
      <c r="D16" s="15"/>
      <c r="E16" s="16"/>
      <c r="F16" s="15"/>
      <c r="G16" s="20"/>
      <c r="H16" s="20"/>
      <c r="I16" s="153" t="str">
        <f t="shared" si="0"/>
        <v/>
      </c>
    </row>
    <row r="17" spans="2:9" s="1" customFormat="1" ht="12.95" customHeight="1">
      <c r="B17" s="17"/>
      <c r="C17" s="12"/>
      <c r="D17" s="12"/>
      <c r="E17" s="9">
        <v>613000</v>
      </c>
      <c r="F17" s="12" t="s">
        <v>168</v>
      </c>
      <c r="G17" s="49">
        <f>SUM(G18:G27)</f>
        <v>5100</v>
      </c>
      <c r="H17" s="49">
        <f>SUM(H18:H27)</f>
        <v>2450</v>
      </c>
      <c r="I17" s="152">
        <f t="shared" si="0"/>
        <v>48.03921568627451</v>
      </c>
    </row>
    <row r="18" spans="2:9" ht="12.95" customHeight="1">
      <c r="B18" s="14"/>
      <c r="C18" s="15"/>
      <c r="D18" s="15"/>
      <c r="E18" s="16">
        <v>613100</v>
      </c>
      <c r="F18" s="15" t="s">
        <v>86</v>
      </c>
      <c r="G18" s="44">
        <v>200</v>
      </c>
      <c r="H18" s="44">
        <v>500</v>
      </c>
      <c r="I18" s="153">
        <f t="shared" si="0"/>
        <v>250</v>
      </c>
    </row>
    <row r="19" spans="2:9" ht="12.95" customHeight="1">
      <c r="B19" s="14"/>
      <c r="C19" s="15"/>
      <c r="D19" s="15"/>
      <c r="E19" s="16">
        <v>613200</v>
      </c>
      <c r="F19" s="15" t="s">
        <v>87</v>
      </c>
      <c r="G19" s="44">
        <v>0</v>
      </c>
      <c r="H19" s="44">
        <v>0</v>
      </c>
      <c r="I19" s="153" t="str">
        <f t="shared" si="0"/>
        <v/>
      </c>
    </row>
    <row r="20" spans="2:9" ht="12.95" customHeight="1">
      <c r="B20" s="14"/>
      <c r="C20" s="15"/>
      <c r="D20" s="15"/>
      <c r="E20" s="16">
        <v>613300</v>
      </c>
      <c r="F20" s="26" t="s">
        <v>212</v>
      </c>
      <c r="G20" s="44">
        <v>800</v>
      </c>
      <c r="H20" s="44">
        <v>950</v>
      </c>
      <c r="I20" s="153">
        <f t="shared" si="0"/>
        <v>118.75</v>
      </c>
    </row>
    <row r="21" spans="2:9" ht="12.95" customHeight="1">
      <c r="B21" s="14"/>
      <c r="C21" s="15"/>
      <c r="D21" s="15"/>
      <c r="E21" s="16">
        <v>613400</v>
      </c>
      <c r="F21" s="15" t="s">
        <v>169</v>
      </c>
      <c r="G21" s="44">
        <v>300</v>
      </c>
      <c r="H21" s="44">
        <v>500</v>
      </c>
      <c r="I21" s="153">
        <f t="shared" si="0"/>
        <v>166.66666666666669</v>
      </c>
    </row>
    <row r="22" spans="2:9" ht="12.95" customHeight="1">
      <c r="B22" s="14"/>
      <c r="C22" s="15"/>
      <c r="D22" s="15"/>
      <c r="E22" s="16">
        <v>613500</v>
      </c>
      <c r="F22" s="15" t="s">
        <v>88</v>
      </c>
      <c r="G22" s="44">
        <v>0</v>
      </c>
      <c r="H22" s="44">
        <v>0</v>
      </c>
      <c r="I22" s="153" t="str">
        <f t="shared" si="0"/>
        <v/>
      </c>
    </row>
    <row r="23" spans="2:9" ht="12.95" customHeight="1">
      <c r="B23" s="14"/>
      <c r="C23" s="15"/>
      <c r="D23" s="15"/>
      <c r="E23" s="16">
        <v>613600</v>
      </c>
      <c r="F23" s="26" t="s">
        <v>213</v>
      </c>
      <c r="G23" s="44">
        <v>0</v>
      </c>
      <c r="H23" s="44">
        <v>0</v>
      </c>
      <c r="I23" s="153" t="str">
        <f t="shared" si="0"/>
        <v/>
      </c>
    </row>
    <row r="24" spans="2:9" ht="12.95" customHeight="1">
      <c r="B24" s="14"/>
      <c r="C24" s="15"/>
      <c r="D24" s="15"/>
      <c r="E24" s="16">
        <v>613700</v>
      </c>
      <c r="F24" s="15" t="s">
        <v>89</v>
      </c>
      <c r="G24" s="44">
        <v>0</v>
      </c>
      <c r="H24" s="44">
        <v>0</v>
      </c>
      <c r="I24" s="153" t="str">
        <f t="shared" si="0"/>
        <v/>
      </c>
    </row>
    <row r="25" spans="2:9" ht="12.95" customHeight="1">
      <c r="B25" s="14"/>
      <c r="C25" s="15"/>
      <c r="D25" s="15"/>
      <c r="E25" s="16">
        <v>613800</v>
      </c>
      <c r="F25" s="15" t="s">
        <v>170</v>
      </c>
      <c r="G25" s="44">
        <v>0</v>
      </c>
      <c r="H25" s="44">
        <v>0</v>
      </c>
      <c r="I25" s="153" t="str">
        <f t="shared" si="0"/>
        <v/>
      </c>
    </row>
    <row r="26" spans="2:9" ht="12.95" customHeight="1">
      <c r="B26" s="14"/>
      <c r="C26" s="15"/>
      <c r="D26" s="15"/>
      <c r="E26" s="16">
        <v>613900</v>
      </c>
      <c r="F26" s="15" t="s">
        <v>171</v>
      </c>
      <c r="G26" s="117">
        <v>500</v>
      </c>
      <c r="H26" s="117">
        <v>500</v>
      </c>
      <c r="I26" s="153">
        <f t="shared" si="0"/>
        <v>100</v>
      </c>
    </row>
    <row r="27" spans="2:9" ht="12.95" customHeight="1">
      <c r="B27" s="14"/>
      <c r="C27" s="15"/>
      <c r="D27" s="15"/>
      <c r="E27" s="16">
        <v>613900</v>
      </c>
      <c r="F27" s="363" t="s">
        <v>701</v>
      </c>
      <c r="G27" s="44">
        <v>3300</v>
      </c>
      <c r="H27" s="44">
        <v>0</v>
      </c>
      <c r="I27" s="153">
        <f t="shared" si="0"/>
        <v>0</v>
      </c>
    </row>
    <row r="28" spans="2:9" s="1" customFormat="1" ht="12.95" customHeight="1">
      <c r="B28" s="17"/>
      <c r="C28" s="12"/>
      <c r="D28" s="12"/>
      <c r="E28" s="59"/>
      <c r="F28" s="12"/>
      <c r="G28" s="44"/>
      <c r="H28" s="44"/>
      <c r="I28" s="153" t="str">
        <f t="shared" si="0"/>
        <v/>
      </c>
    </row>
    <row r="29" spans="2:9" ht="12.95" customHeight="1">
      <c r="B29" s="14"/>
      <c r="C29" s="15"/>
      <c r="D29" s="30"/>
      <c r="E29" s="61"/>
      <c r="F29" s="58"/>
      <c r="G29" s="44"/>
      <c r="H29" s="44"/>
      <c r="I29" s="153" t="str">
        <f t="shared" si="0"/>
        <v/>
      </c>
    </row>
    <row r="30" spans="2:9" ht="12.95" customHeight="1">
      <c r="B30" s="14"/>
      <c r="C30" s="15"/>
      <c r="D30" s="15"/>
      <c r="E30" s="60"/>
      <c r="F30" s="15"/>
      <c r="G30" s="44"/>
      <c r="H30" s="44"/>
      <c r="I30" s="153" t="str">
        <f t="shared" si="0"/>
        <v/>
      </c>
    </row>
    <row r="31" spans="2:9" ht="12.95" customHeight="1">
      <c r="B31" s="14"/>
      <c r="C31" s="15"/>
      <c r="D31" s="15"/>
      <c r="E31" s="16"/>
      <c r="F31" s="15"/>
      <c r="G31" s="44"/>
      <c r="H31" s="44"/>
      <c r="I31" s="153" t="str">
        <f t="shared" si="0"/>
        <v/>
      </c>
    </row>
    <row r="32" spans="2:9" ht="12.95" customHeight="1">
      <c r="B32" s="14"/>
      <c r="C32" s="15"/>
      <c r="D32" s="15"/>
      <c r="E32" s="16"/>
      <c r="F32" s="15"/>
      <c r="G32" s="44"/>
      <c r="H32" s="44"/>
      <c r="I32" s="153" t="str">
        <f t="shared" si="0"/>
        <v/>
      </c>
    </row>
    <row r="33" spans="2:9" ht="12.95" customHeight="1">
      <c r="B33" s="14"/>
      <c r="C33" s="15"/>
      <c r="D33" s="15"/>
      <c r="E33" s="16"/>
      <c r="F33" s="15"/>
      <c r="G33" s="44"/>
      <c r="H33" s="44"/>
      <c r="I33" s="153" t="str">
        <f t="shared" si="0"/>
        <v/>
      </c>
    </row>
    <row r="34" spans="2:9" ht="12.95" customHeight="1">
      <c r="B34" s="14"/>
      <c r="C34" s="15"/>
      <c r="D34" s="15"/>
      <c r="E34" s="16"/>
      <c r="F34" s="19"/>
      <c r="G34" s="44"/>
      <c r="H34" s="44"/>
      <c r="I34" s="153" t="str">
        <f t="shared" si="0"/>
        <v/>
      </c>
    </row>
    <row r="35" spans="2:9" ht="12.95" customHeight="1">
      <c r="B35" s="14"/>
      <c r="C35" s="15"/>
      <c r="D35" s="15"/>
      <c r="E35" s="16"/>
      <c r="F35" s="15"/>
      <c r="G35" s="20"/>
      <c r="H35" s="20"/>
      <c r="I35" s="153" t="str">
        <f t="shared" si="0"/>
        <v/>
      </c>
    </row>
    <row r="36" spans="2:9" s="1" customFormat="1" ht="12.95" customHeight="1">
      <c r="B36" s="17"/>
      <c r="C36" s="12"/>
      <c r="D36" s="12"/>
      <c r="E36" s="9">
        <v>821000</v>
      </c>
      <c r="F36" s="12" t="s">
        <v>92</v>
      </c>
      <c r="G36" s="20">
        <f>SUM(G37:G38)</f>
        <v>1000</v>
      </c>
      <c r="H36" s="20">
        <f>SUM(H37:H38)</f>
        <v>1000</v>
      </c>
      <c r="I36" s="152">
        <f t="shared" si="0"/>
        <v>100</v>
      </c>
    </row>
    <row r="37" spans="2:9" ht="12.95" customHeight="1">
      <c r="B37" s="14"/>
      <c r="C37" s="15"/>
      <c r="D37" s="15"/>
      <c r="E37" s="16">
        <v>821200</v>
      </c>
      <c r="F37" s="15" t="s">
        <v>93</v>
      </c>
      <c r="G37" s="44">
        <v>0</v>
      </c>
      <c r="H37" s="44">
        <v>0</v>
      </c>
      <c r="I37" s="153" t="str">
        <f t="shared" si="0"/>
        <v/>
      </c>
    </row>
    <row r="38" spans="2:9" ht="12.95" customHeight="1">
      <c r="B38" s="14"/>
      <c r="C38" s="15"/>
      <c r="D38" s="15"/>
      <c r="E38" s="16">
        <v>821300</v>
      </c>
      <c r="F38" s="15" t="s">
        <v>94</v>
      </c>
      <c r="G38" s="44">
        <v>1000</v>
      </c>
      <c r="H38" s="44">
        <v>1000</v>
      </c>
      <c r="I38" s="153">
        <f t="shared" si="0"/>
        <v>100</v>
      </c>
    </row>
    <row r="39" spans="2:9" ht="12.95" customHeight="1">
      <c r="B39" s="14"/>
      <c r="C39" s="15"/>
      <c r="D39" s="15"/>
      <c r="E39" s="16"/>
      <c r="F39" s="15"/>
      <c r="G39" s="44"/>
      <c r="H39" s="44"/>
      <c r="I39" s="153" t="str">
        <f t="shared" si="0"/>
        <v/>
      </c>
    </row>
    <row r="40" spans="2:9" ht="12.95" customHeight="1">
      <c r="B40" s="14"/>
      <c r="C40" s="15"/>
      <c r="D40" s="15"/>
      <c r="E40" s="16"/>
      <c r="F40" s="15"/>
      <c r="G40" s="44"/>
      <c r="H40" s="44"/>
      <c r="I40" s="153" t="str">
        <f t="shared" si="0"/>
        <v/>
      </c>
    </row>
    <row r="41" spans="2:9" s="1" customFormat="1" ht="12.95" customHeight="1">
      <c r="B41" s="17"/>
      <c r="C41" s="12"/>
      <c r="D41" s="12"/>
      <c r="E41" s="9"/>
      <c r="F41" s="12" t="s">
        <v>95</v>
      </c>
      <c r="G41" s="20">
        <v>1</v>
      </c>
      <c r="H41" s="108">
        <v>2</v>
      </c>
      <c r="I41" s="153"/>
    </row>
    <row r="42" spans="2:9" s="1" customFormat="1" ht="12.95" customHeight="1">
      <c r="B42" s="17"/>
      <c r="C42" s="12"/>
      <c r="D42" s="12"/>
      <c r="E42" s="9"/>
      <c r="F42" s="12" t="s">
        <v>115</v>
      </c>
      <c r="G42" s="20">
        <f>G7+G13+G17+G36</f>
        <v>37940</v>
      </c>
      <c r="H42" s="20">
        <f>H7+H13+H17+H36</f>
        <v>36750</v>
      </c>
      <c r="I42" s="152">
        <f t="shared" si="0"/>
        <v>96.863468634686342</v>
      </c>
    </row>
    <row r="43" spans="2:9" s="1" customFormat="1" ht="12.95" customHeight="1">
      <c r="B43" s="17"/>
      <c r="C43" s="12"/>
      <c r="D43" s="12"/>
      <c r="E43" s="9"/>
      <c r="F43" s="12" t="s">
        <v>96</v>
      </c>
      <c r="G43" s="20">
        <f>G42</f>
        <v>37940</v>
      </c>
      <c r="H43" s="20">
        <f>H42</f>
        <v>36750</v>
      </c>
      <c r="I43" s="152">
        <f t="shared" si="0"/>
        <v>96.863468634686342</v>
      </c>
    </row>
    <row r="44" spans="2:9" s="1" customFormat="1" ht="12.95" customHeight="1">
      <c r="B44" s="17"/>
      <c r="C44" s="12"/>
      <c r="D44" s="12"/>
      <c r="E44" s="9"/>
      <c r="F44" s="12" t="s">
        <v>97</v>
      </c>
      <c r="G44" s="20">
        <f>G43+'12'!G43+'11'!G43+'10'!G42</f>
        <v>1836210</v>
      </c>
      <c r="H44" s="20">
        <f>H43+'12'!H43+'11'!H43+'10'!H42</f>
        <v>1852270</v>
      </c>
      <c r="I44" s="152">
        <f t="shared" si="0"/>
        <v>100.87462762973733</v>
      </c>
    </row>
    <row r="45" spans="2:9" ht="12.95" customHeight="1" thickBot="1">
      <c r="B45" s="21"/>
      <c r="C45" s="22"/>
      <c r="D45" s="22"/>
      <c r="E45" s="23"/>
      <c r="F45" s="22"/>
      <c r="G45" s="48"/>
      <c r="H45" s="45"/>
      <c r="I45" s="156"/>
    </row>
    <row r="47" spans="2:9">
      <c r="B47" s="81"/>
    </row>
  </sheetData>
  <mergeCells count="2">
    <mergeCell ref="B2:G2"/>
    <mergeCell ref="F3:G3"/>
  </mergeCells>
  <phoneticPr fontId="2" type="noConversion"/>
  <pageMargins left="0.19685039370078741" right="0.19685039370078741" top="0.59055118110236227" bottom="0.59055118110236227" header="0.51181102362204722" footer="0.51181102362204722"/>
  <pageSetup paperSize="9" scale="88" firstPageNumber="10" orientation="portrait" useFirstPageNumber="1" horizontalDpi="180" verticalDpi="180" r:id="rId1"/>
  <headerFooter alignWithMargins="0">
    <oddFooter>&amp;R20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45"/>
  <dimension ref="B2:K48"/>
  <sheetViews>
    <sheetView topLeftCell="A13" workbookViewId="0">
      <selection activeCell="G7" sqref="G7:G41"/>
    </sheetView>
  </sheetViews>
  <sheetFormatPr defaultRowHeight="12.75"/>
  <cols>
    <col min="1" max="1" width="1.5703125" style="13" customWidth="1"/>
    <col min="2" max="4" width="5.7109375" style="13" bestFit="1" customWidth="1"/>
    <col min="5" max="5" width="10.5703125" style="24" customWidth="1"/>
    <col min="6" max="6" width="43.7109375" style="13" customWidth="1"/>
    <col min="7" max="7" width="15.7109375" style="13" customWidth="1"/>
    <col min="8" max="8" width="15.7109375" style="90" customWidth="1"/>
    <col min="9" max="9" width="8.7109375" style="140" customWidth="1"/>
    <col min="10" max="16384" width="9.140625" style="13"/>
  </cols>
  <sheetData>
    <row r="2" spans="2:11" ht="15" customHeight="1">
      <c r="B2" s="448" t="s">
        <v>200</v>
      </c>
      <c r="C2" s="448"/>
      <c r="D2" s="448"/>
      <c r="E2" s="448"/>
      <c r="F2" s="448"/>
      <c r="G2" s="448"/>
    </row>
    <row r="3" spans="2:11" s="1" customFormat="1" ht="16.5" thickBot="1">
      <c r="E3" s="2"/>
      <c r="F3" s="449"/>
      <c r="G3" s="449"/>
      <c r="H3" s="181"/>
      <c r="I3" s="182"/>
    </row>
    <row r="4" spans="2:11" s="1" customFormat="1" ht="76.5" customHeight="1">
      <c r="B4" s="3" t="s">
        <v>79</v>
      </c>
      <c r="C4" s="4" t="s">
        <v>80</v>
      </c>
      <c r="D4" s="5" t="s">
        <v>112</v>
      </c>
      <c r="E4" s="6" t="s">
        <v>81</v>
      </c>
      <c r="F4" s="7" t="s">
        <v>82</v>
      </c>
      <c r="G4" s="316" t="s">
        <v>557</v>
      </c>
      <c r="H4" s="316" t="s">
        <v>683</v>
      </c>
      <c r="I4" s="149" t="s">
        <v>497</v>
      </c>
    </row>
    <row r="5" spans="2:11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34">
        <v>6</v>
      </c>
      <c r="H5" s="9">
        <v>7</v>
      </c>
      <c r="I5" s="150">
        <v>8</v>
      </c>
    </row>
    <row r="6" spans="2:11" s="2" customFormat="1" ht="12.95" customHeight="1">
      <c r="B6" s="10" t="s">
        <v>135</v>
      </c>
      <c r="C6" s="11" t="s">
        <v>201</v>
      </c>
      <c r="D6" s="11" t="s">
        <v>84</v>
      </c>
      <c r="E6" s="9"/>
      <c r="F6" s="9"/>
      <c r="G6" s="34"/>
      <c r="H6" s="165"/>
      <c r="I6" s="151"/>
    </row>
    <row r="7" spans="2:11" s="1" customFormat="1" ht="12.95" customHeight="1">
      <c r="B7" s="17"/>
      <c r="C7" s="12"/>
      <c r="D7" s="12"/>
      <c r="E7" s="9">
        <v>611000</v>
      </c>
      <c r="F7" s="12" t="s">
        <v>167</v>
      </c>
      <c r="G7" s="20">
        <f>SUM(G8:G11)</f>
        <v>58880</v>
      </c>
      <c r="H7" s="392">
        <f>SUM(H8:H11)</f>
        <v>58660</v>
      </c>
      <c r="I7" s="152">
        <f t="shared" ref="I7:I44" si="0">IF(G7=0,"",H7/G7*100)</f>
        <v>99.626358695652172</v>
      </c>
    </row>
    <row r="8" spans="2:11" ht="12.95" customHeight="1">
      <c r="B8" s="14"/>
      <c r="C8" s="15"/>
      <c r="D8" s="15"/>
      <c r="E8" s="16">
        <v>611100</v>
      </c>
      <c r="F8" s="26" t="s">
        <v>210</v>
      </c>
      <c r="G8" s="44">
        <v>49400</v>
      </c>
      <c r="H8" s="394">
        <f>50200+2460</f>
        <v>52660</v>
      </c>
      <c r="I8" s="153">
        <f t="shared" si="0"/>
        <v>106.59919028340082</v>
      </c>
    </row>
    <row r="9" spans="2:11" ht="12.95" customHeight="1">
      <c r="B9" s="14"/>
      <c r="C9" s="15"/>
      <c r="D9" s="15"/>
      <c r="E9" s="16">
        <v>611200</v>
      </c>
      <c r="F9" s="15" t="s">
        <v>211</v>
      </c>
      <c r="G9" s="44">
        <f>5600+2*240</f>
        <v>6080</v>
      </c>
      <c r="H9" s="394">
        <f>6000</f>
        <v>6000</v>
      </c>
      <c r="I9" s="153">
        <f t="shared" si="0"/>
        <v>98.68421052631578</v>
      </c>
    </row>
    <row r="10" spans="2:11" ht="12.95" customHeight="1">
      <c r="B10" s="14"/>
      <c r="C10" s="15"/>
      <c r="D10" s="15"/>
      <c r="E10" s="16">
        <v>611200</v>
      </c>
      <c r="F10" s="363" t="s">
        <v>699</v>
      </c>
      <c r="G10" s="82">
        <v>3400</v>
      </c>
      <c r="H10" s="391">
        <v>0</v>
      </c>
      <c r="I10" s="153">
        <f t="shared" si="0"/>
        <v>0</v>
      </c>
      <c r="K10" s="89"/>
    </row>
    <row r="11" spans="2:11" ht="12.95" customHeight="1">
      <c r="B11" s="14"/>
      <c r="C11" s="15"/>
      <c r="D11" s="15"/>
      <c r="E11" s="16"/>
      <c r="F11" s="26"/>
      <c r="G11" s="44"/>
      <c r="H11" s="394"/>
      <c r="I11" s="153" t="str">
        <f t="shared" si="0"/>
        <v/>
      </c>
    </row>
    <row r="12" spans="2:11" ht="12.95" customHeight="1">
      <c r="B12" s="14"/>
      <c r="C12" s="15"/>
      <c r="D12" s="15"/>
      <c r="E12" s="16"/>
      <c r="F12" s="15"/>
      <c r="G12" s="20"/>
      <c r="H12" s="392"/>
      <c r="I12" s="153" t="str">
        <f t="shared" si="0"/>
        <v/>
      </c>
    </row>
    <row r="13" spans="2:11" s="1" customFormat="1" ht="12.95" customHeight="1">
      <c r="B13" s="17"/>
      <c r="C13" s="12"/>
      <c r="D13" s="12"/>
      <c r="E13" s="9">
        <v>612000</v>
      </c>
      <c r="F13" s="12" t="s">
        <v>166</v>
      </c>
      <c r="G13" s="20">
        <f>G14</f>
        <v>5500</v>
      </c>
      <c r="H13" s="392">
        <f>H14</f>
        <v>5970</v>
      </c>
      <c r="I13" s="152">
        <f t="shared" si="0"/>
        <v>108.54545454545455</v>
      </c>
    </row>
    <row r="14" spans="2:11" ht="12.95" customHeight="1">
      <c r="B14" s="14"/>
      <c r="C14" s="15"/>
      <c r="D14" s="15"/>
      <c r="E14" s="16">
        <v>612100</v>
      </c>
      <c r="F14" s="18" t="s">
        <v>85</v>
      </c>
      <c r="G14" s="44">
        <v>5500</v>
      </c>
      <c r="H14" s="394">
        <f>5700+270</f>
        <v>5970</v>
      </c>
      <c r="I14" s="153">
        <f t="shared" si="0"/>
        <v>108.54545454545455</v>
      </c>
    </row>
    <row r="15" spans="2:11" ht="12.95" customHeight="1">
      <c r="B15" s="14"/>
      <c r="C15" s="15"/>
      <c r="D15" s="15"/>
      <c r="E15" s="16"/>
      <c r="F15" s="15"/>
      <c r="G15" s="44"/>
      <c r="H15" s="44"/>
      <c r="I15" s="153" t="str">
        <f t="shared" si="0"/>
        <v/>
      </c>
    </row>
    <row r="16" spans="2:11" ht="12.95" customHeight="1">
      <c r="B16" s="14"/>
      <c r="C16" s="15"/>
      <c r="D16" s="15"/>
      <c r="E16" s="16"/>
      <c r="F16" s="15"/>
      <c r="G16" s="20"/>
      <c r="H16" s="20"/>
      <c r="I16" s="153" t="str">
        <f t="shared" si="0"/>
        <v/>
      </c>
    </row>
    <row r="17" spans="2:9" s="1" customFormat="1" ht="12.95" customHeight="1">
      <c r="B17" s="17"/>
      <c r="C17" s="12"/>
      <c r="D17" s="12"/>
      <c r="E17" s="9">
        <v>613000</v>
      </c>
      <c r="F17" s="12" t="s">
        <v>168</v>
      </c>
      <c r="G17" s="49">
        <f>SUM(G18:G27)</f>
        <v>8100</v>
      </c>
      <c r="H17" s="49">
        <f>SUM(H18:H27)</f>
        <v>5800</v>
      </c>
      <c r="I17" s="152">
        <f t="shared" si="0"/>
        <v>71.604938271604937</v>
      </c>
    </row>
    <row r="18" spans="2:9" ht="12.95" customHeight="1">
      <c r="B18" s="14"/>
      <c r="C18" s="15"/>
      <c r="D18" s="15"/>
      <c r="E18" s="16">
        <v>613100</v>
      </c>
      <c r="F18" s="15" t="s">
        <v>86</v>
      </c>
      <c r="G18" s="44">
        <v>2100</v>
      </c>
      <c r="H18" s="44">
        <v>1900</v>
      </c>
      <c r="I18" s="153">
        <f t="shared" si="0"/>
        <v>90.476190476190482</v>
      </c>
    </row>
    <row r="19" spans="2:9" ht="12.95" customHeight="1">
      <c r="B19" s="14"/>
      <c r="C19" s="15"/>
      <c r="D19" s="15"/>
      <c r="E19" s="16">
        <v>613200</v>
      </c>
      <c r="F19" s="15" t="s">
        <v>87</v>
      </c>
      <c r="G19" s="44">
        <v>0</v>
      </c>
      <c r="H19" s="44">
        <v>0</v>
      </c>
      <c r="I19" s="153" t="str">
        <f t="shared" si="0"/>
        <v/>
      </c>
    </row>
    <row r="20" spans="2:9" ht="12.95" customHeight="1">
      <c r="B20" s="14"/>
      <c r="C20" s="15"/>
      <c r="D20" s="15"/>
      <c r="E20" s="16">
        <v>613300</v>
      </c>
      <c r="F20" s="26" t="s">
        <v>212</v>
      </c>
      <c r="G20" s="44">
        <v>1600</v>
      </c>
      <c r="H20" s="44">
        <v>1600</v>
      </c>
      <c r="I20" s="153">
        <f t="shared" si="0"/>
        <v>100</v>
      </c>
    </row>
    <row r="21" spans="2:9" ht="12.95" customHeight="1">
      <c r="B21" s="14"/>
      <c r="C21" s="15"/>
      <c r="D21" s="15"/>
      <c r="E21" s="16">
        <v>613400</v>
      </c>
      <c r="F21" s="15" t="s">
        <v>169</v>
      </c>
      <c r="G21" s="44">
        <v>700</v>
      </c>
      <c r="H21" s="44">
        <v>900</v>
      </c>
      <c r="I21" s="153">
        <f t="shared" si="0"/>
        <v>128.57142857142858</v>
      </c>
    </row>
    <row r="22" spans="2:9" ht="12.95" customHeight="1">
      <c r="B22" s="14"/>
      <c r="C22" s="15"/>
      <c r="D22" s="15"/>
      <c r="E22" s="16">
        <v>613500</v>
      </c>
      <c r="F22" s="15" t="s">
        <v>88</v>
      </c>
      <c r="G22" s="44">
        <v>0</v>
      </c>
      <c r="H22" s="44">
        <v>0</v>
      </c>
      <c r="I22" s="153" t="str">
        <f t="shared" si="0"/>
        <v/>
      </c>
    </row>
    <row r="23" spans="2:9" ht="12.95" customHeight="1">
      <c r="B23" s="14"/>
      <c r="C23" s="15"/>
      <c r="D23" s="15"/>
      <c r="E23" s="16">
        <v>613600</v>
      </c>
      <c r="F23" s="26" t="s">
        <v>213</v>
      </c>
      <c r="G23" s="44">
        <v>0</v>
      </c>
      <c r="H23" s="44">
        <v>0</v>
      </c>
      <c r="I23" s="153" t="str">
        <f t="shared" si="0"/>
        <v/>
      </c>
    </row>
    <row r="24" spans="2:9" ht="12.95" customHeight="1">
      <c r="B24" s="14"/>
      <c r="C24" s="15"/>
      <c r="D24" s="15"/>
      <c r="E24" s="16">
        <v>613700</v>
      </c>
      <c r="F24" s="15" t="s">
        <v>89</v>
      </c>
      <c r="G24" s="44">
        <v>200</v>
      </c>
      <c r="H24" s="44">
        <v>400</v>
      </c>
      <c r="I24" s="153">
        <f t="shared" si="0"/>
        <v>200</v>
      </c>
    </row>
    <row r="25" spans="2:9" ht="12.95" customHeight="1">
      <c r="B25" s="14"/>
      <c r="C25" s="15"/>
      <c r="D25" s="15"/>
      <c r="E25" s="16">
        <v>613800</v>
      </c>
      <c r="F25" s="15" t="s">
        <v>170</v>
      </c>
      <c r="G25" s="44">
        <v>0</v>
      </c>
      <c r="H25" s="44">
        <v>0</v>
      </c>
      <c r="I25" s="153" t="str">
        <f t="shared" si="0"/>
        <v/>
      </c>
    </row>
    <row r="26" spans="2:9" ht="12.95" customHeight="1">
      <c r="B26" s="14"/>
      <c r="C26" s="15"/>
      <c r="D26" s="15"/>
      <c r="E26" s="16">
        <v>613900</v>
      </c>
      <c r="F26" s="15" t="s">
        <v>171</v>
      </c>
      <c r="G26" s="117">
        <v>800</v>
      </c>
      <c r="H26" s="117">
        <v>1000</v>
      </c>
      <c r="I26" s="153">
        <f t="shared" si="0"/>
        <v>125</v>
      </c>
    </row>
    <row r="27" spans="2:9" ht="12.95" customHeight="1">
      <c r="B27" s="14"/>
      <c r="C27" s="15"/>
      <c r="D27" s="15"/>
      <c r="E27" s="16">
        <v>613900</v>
      </c>
      <c r="F27" s="363" t="s">
        <v>701</v>
      </c>
      <c r="G27" s="117">
        <v>2700</v>
      </c>
      <c r="H27" s="117">
        <v>0</v>
      </c>
      <c r="I27" s="153">
        <f t="shared" si="0"/>
        <v>0</v>
      </c>
    </row>
    <row r="28" spans="2:9" s="1" customFormat="1" ht="12.95" customHeight="1">
      <c r="B28" s="17"/>
      <c r="C28" s="12"/>
      <c r="D28" s="12"/>
      <c r="E28" s="59"/>
      <c r="F28" s="12"/>
      <c r="G28" s="44"/>
      <c r="H28" s="44"/>
      <c r="I28" s="153" t="str">
        <f t="shared" si="0"/>
        <v/>
      </c>
    </row>
    <row r="29" spans="2:9" ht="12.95" customHeight="1">
      <c r="B29" s="14"/>
      <c r="C29" s="15"/>
      <c r="D29" s="30"/>
      <c r="E29" s="61"/>
      <c r="F29" s="58"/>
      <c r="G29" s="44"/>
      <c r="H29" s="44"/>
      <c r="I29" s="153" t="str">
        <f t="shared" si="0"/>
        <v/>
      </c>
    </row>
    <row r="30" spans="2:9" ht="12.95" customHeight="1">
      <c r="B30" s="14"/>
      <c r="C30" s="15"/>
      <c r="D30" s="15"/>
      <c r="E30" s="60"/>
      <c r="F30" s="15"/>
      <c r="G30" s="44"/>
      <c r="H30" s="44"/>
      <c r="I30" s="153" t="str">
        <f t="shared" si="0"/>
        <v/>
      </c>
    </row>
    <row r="31" spans="2:9" ht="12.95" customHeight="1">
      <c r="B31" s="14"/>
      <c r="C31" s="15"/>
      <c r="D31" s="15"/>
      <c r="E31" s="16"/>
      <c r="F31" s="15"/>
      <c r="G31" s="44"/>
      <c r="H31" s="44"/>
      <c r="I31" s="153" t="str">
        <f t="shared" si="0"/>
        <v/>
      </c>
    </row>
    <row r="32" spans="2:9" ht="12.95" customHeight="1">
      <c r="B32" s="14"/>
      <c r="C32" s="15"/>
      <c r="D32" s="15"/>
      <c r="E32" s="16"/>
      <c r="F32" s="15"/>
      <c r="G32" s="44"/>
      <c r="H32" s="44"/>
      <c r="I32" s="153" t="str">
        <f t="shared" si="0"/>
        <v/>
      </c>
    </row>
    <row r="33" spans="2:9" ht="12.95" customHeight="1">
      <c r="B33" s="14"/>
      <c r="C33" s="15"/>
      <c r="D33" s="15"/>
      <c r="E33" s="16"/>
      <c r="F33" s="15"/>
      <c r="G33" s="44"/>
      <c r="H33" s="44"/>
      <c r="I33" s="153" t="str">
        <f t="shared" si="0"/>
        <v/>
      </c>
    </row>
    <row r="34" spans="2:9" ht="12.95" customHeight="1">
      <c r="B34" s="14"/>
      <c r="C34" s="15"/>
      <c r="D34" s="15"/>
      <c r="E34" s="16"/>
      <c r="F34" s="19"/>
      <c r="G34" s="44"/>
      <c r="H34" s="44"/>
      <c r="I34" s="153" t="str">
        <f t="shared" si="0"/>
        <v/>
      </c>
    </row>
    <row r="35" spans="2:9" ht="12.95" customHeight="1">
      <c r="B35" s="14"/>
      <c r="C35" s="15"/>
      <c r="D35" s="15"/>
      <c r="E35" s="16"/>
      <c r="F35" s="15"/>
      <c r="G35" s="20"/>
      <c r="H35" s="20"/>
      <c r="I35" s="153" t="str">
        <f t="shared" si="0"/>
        <v/>
      </c>
    </row>
    <row r="36" spans="2:9" s="1" customFormat="1" ht="12.95" customHeight="1">
      <c r="B36" s="17"/>
      <c r="C36" s="12"/>
      <c r="D36" s="12"/>
      <c r="E36" s="9">
        <v>821000</v>
      </c>
      <c r="F36" s="12" t="s">
        <v>92</v>
      </c>
      <c r="G36" s="20">
        <f>G37+G38</f>
        <v>0</v>
      </c>
      <c r="H36" s="20">
        <f>H37+H38</f>
        <v>0</v>
      </c>
      <c r="I36" s="152" t="str">
        <f t="shared" si="0"/>
        <v/>
      </c>
    </row>
    <row r="37" spans="2:9" ht="12.95" customHeight="1">
      <c r="B37" s="14"/>
      <c r="C37" s="15"/>
      <c r="D37" s="15"/>
      <c r="E37" s="16">
        <v>821200</v>
      </c>
      <c r="F37" s="15" t="s">
        <v>93</v>
      </c>
      <c r="G37" s="44">
        <v>0</v>
      </c>
      <c r="H37" s="44">
        <v>0</v>
      </c>
      <c r="I37" s="153" t="str">
        <f t="shared" si="0"/>
        <v/>
      </c>
    </row>
    <row r="38" spans="2:9" ht="12.95" customHeight="1">
      <c r="B38" s="14"/>
      <c r="C38" s="15"/>
      <c r="D38" s="15"/>
      <c r="E38" s="16">
        <v>821300</v>
      </c>
      <c r="F38" s="15" t="s">
        <v>94</v>
      </c>
      <c r="G38" s="117">
        <v>0</v>
      </c>
      <c r="H38" s="117">
        <v>0</v>
      </c>
      <c r="I38" s="153" t="str">
        <f t="shared" si="0"/>
        <v/>
      </c>
    </row>
    <row r="39" spans="2:9" ht="12.95" customHeight="1">
      <c r="B39" s="14"/>
      <c r="C39" s="15"/>
      <c r="D39" s="15"/>
      <c r="E39" s="16"/>
      <c r="F39" s="15"/>
      <c r="G39" s="44"/>
      <c r="H39" s="44"/>
      <c r="I39" s="153" t="str">
        <f t="shared" si="0"/>
        <v/>
      </c>
    </row>
    <row r="40" spans="2:9" ht="12.95" customHeight="1">
      <c r="B40" s="14"/>
      <c r="C40" s="15"/>
      <c r="D40" s="15"/>
      <c r="E40" s="16"/>
      <c r="F40" s="15"/>
      <c r="G40" s="44"/>
      <c r="H40" s="44"/>
      <c r="I40" s="153" t="str">
        <f t="shared" si="0"/>
        <v/>
      </c>
    </row>
    <row r="41" spans="2:9" s="1" customFormat="1" ht="12.95" customHeight="1">
      <c r="B41" s="17"/>
      <c r="C41" s="12"/>
      <c r="D41" s="12"/>
      <c r="E41" s="9"/>
      <c r="F41" s="12" t="s">
        <v>95</v>
      </c>
      <c r="G41" s="20">
        <v>2</v>
      </c>
      <c r="H41" s="20">
        <v>2</v>
      </c>
      <c r="I41" s="153"/>
    </row>
    <row r="42" spans="2:9" s="1" customFormat="1" ht="12.95" customHeight="1">
      <c r="B42" s="17"/>
      <c r="C42" s="12"/>
      <c r="D42" s="12"/>
      <c r="E42" s="9"/>
      <c r="F42" s="12" t="s">
        <v>115</v>
      </c>
      <c r="G42" s="20">
        <f>G7+G13+G17+G36</f>
        <v>72480</v>
      </c>
      <c r="H42" s="20">
        <f>H7+H13+H17+H36</f>
        <v>70430</v>
      </c>
      <c r="I42" s="152">
        <f t="shared" si="0"/>
        <v>97.171633554083883</v>
      </c>
    </row>
    <row r="43" spans="2:9" s="1" customFormat="1" ht="12.95" customHeight="1">
      <c r="B43" s="17"/>
      <c r="C43" s="12"/>
      <c r="D43" s="12"/>
      <c r="E43" s="9"/>
      <c r="F43" s="12" t="s">
        <v>96</v>
      </c>
      <c r="G43" s="20">
        <f>G42</f>
        <v>72480</v>
      </c>
      <c r="H43" s="20">
        <f>H42</f>
        <v>70430</v>
      </c>
      <c r="I43" s="152">
        <f t="shared" si="0"/>
        <v>97.171633554083883</v>
      </c>
    </row>
    <row r="44" spans="2:9" s="1" customFormat="1" ht="12.95" customHeight="1">
      <c r="B44" s="17"/>
      <c r="C44" s="12"/>
      <c r="D44" s="12"/>
      <c r="E44" s="9"/>
      <c r="F44" s="12" t="s">
        <v>97</v>
      </c>
      <c r="G44" s="20">
        <f>G43+'13'!G43+'12'!G43+'11'!G43+'10'!G42</f>
        <v>1908690</v>
      </c>
      <c r="H44" s="20">
        <f>H43+'13'!H43+'12'!H43+'11'!H43+'10'!H42</f>
        <v>1922700</v>
      </c>
      <c r="I44" s="152">
        <f t="shared" si="0"/>
        <v>100.73401128522703</v>
      </c>
    </row>
    <row r="45" spans="2:9" ht="12.95" customHeight="1" thickBot="1">
      <c r="B45" s="21"/>
      <c r="C45" s="22"/>
      <c r="D45" s="22"/>
      <c r="E45" s="23"/>
      <c r="F45" s="22"/>
      <c r="G45" s="48"/>
      <c r="H45" s="45"/>
      <c r="I45" s="156"/>
    </row>
    <row r="47" spans="2:9">
      <c r="B47" s="81"/>
    </row>
    <row r="48" spans="2:9">
      <c r="B48" s="81"/>
    </row>
  </sheetData>
  <mergeCells count="2">
    <mergeCell ref="B2:G2"/>
    <mergeCell ref="F3:G3"/>
  </mergeCells>
  <phoneticPr fontId="2" type="noConversion"/>
  <pageMargins left="0.19685039370078741" right="0.19685039370078741" top="0.59055118110236227" bottom="0.59055118110236227" header="0.51181102362204722" footer="0.51181102362204722"/>
  <pageSetup paperSize="9" scale="88" firstPageNumber="10" orientation="portrait" useFirstPageNumber="1" horizontalDpi="180" verticalDpi="180" r:id="rId1"/>
  <headerFooter alignWithMargins="0">
    <oddFooter>&amp;R21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52"/>
  <sheetViews>
    <sheetView workbookViewId="0">
      <selection activeCell="B36" sqref="B36:I36"/>
    </sheetView>
  </sheetViews>
  <sheetFormatPr defaultRowHeight="12.75"/>
  <cols>
    <col min="1" max="1" width="4" style="55" customWidth="1"/>
    <col min="7" max="7" width="15.7109375" customWidth="1"/>
    <col min="8" max="8" width="7.42578125" customWidth="1"/>
    <col min="9" max="9" width="14.7109375" customWidth="1"/>
    <col min="10" max="10" width="9.140625" style="55"/>
  </cols>
  <sheetData>
    <row r="1" spans="1:10" ht="15.75">
      <c r="A1" s="424" t="s">
        <v>243</v>
      </c>
      <c r="B1" s="424"/>
      <c r="C1" s="424"/>
      <c r="D1" s="424"/>
      <c r="E1" s="424"/>
      <c r="F1" s="424"/>
      <c r="G1" s="424"/>
      <c r="H1" s="424"/>
      <c r="I1" s="424"/>
    </row>
    <row r="3" spans="1:10" s="68" customFormat="1">
      <c r="A3" s="130" t="s">
        <v>287</v>
      </c>
      <c r="B3" s="429" t="s">
        <v>324</v>
      </c>
      <c r="C3" s="430"/>
      <c r="D3" s="430"/>
      <c r="E3" s="430"/>
      <c r="F3" s="430"/>
      <c r="G3" s="430"/>
      <c r="H3" s="430"/>
      <c r="I3" s="431"/>
      <c r="J3" s="130" t="s">
        <v>270</v>
      </c>
    </row>
    <row r="4" spans="1:10" s="52" customFormat="1" ht="17.100000000000001" customHeight="1">
      <c r="A4" s="126" t="s">
        <v>244</v>
      </c>
      <c r="B4" s="425" t="s">
        <v>245</v>
      </c>
      <c r="C4" s="426"/>
      <c r="D4" s="426"/>
      <c r="E4" s="426"/>
      <c r="F4" s="426"/>
      <c r="G4" s="426"/>
      <c r="H4" s="426"/>
      <c r="I4" s="427"/>
      <c r="J4" s="126">
        <v>1</v>
      </c>
    </row>
    <row r="5" spans="1:10" s="52" customFormat="1" ht="17.100000000000001" customHeight="1">
      <c r="A5" s="126" t="s">
        <v>246</v>
      </c>
      <c r="B5" s="425" t="s">
        <v>247</v>
      </c>
      <c r="C5" s="426"/>
      <c r="D5" s="426"/>
      <c r="E5" s="426"/>
      <c r="F5" s="426"/>
      <c r="G5" s="426"/>
      <c r="H5" s="426"/>
      <c r="I5" s="427"/>
      <c r="J5" s="126">
        <v>2</v>
      </c>
    </row>
    <row r="6" spans="1:10" s="52" customFormat="1" ht="17.100000000000001" customHeight="1">
      <c r="A6" s="126" t="s">
        <v>248</v>
      </c>
      <c r="B6" s="425" t="s">
        <v>550</v>
      </c>
      <c r="C6" s="426"/>
      <c r="D6" s="426"/>
      <c r="E6" s="426"/>
      <c r="F6" s="426"/>
      <c r="G6" s="426"/>
      <c r="H6" s="426"/>
      <c r="I6" s="427"/>
      <c r="J6" s="126">
        <v>6</v>
      </c>
    </row>
    <row r="7" spans="1:10" s="52" customFormat="1" ht="17.100000000000001" customHeight="1">
      <c r="A7" s="126" t="s">
        <v>249</v>
      </c>
      <c r="B7" s="425" t="s">
        <v>250</v>
      </c>
      <c r="C7" s="426"/>
      <c r="D7" s="426"/>
      <c r="E7" s="426"/>
      <c r="F7" s="426"/>
      <c r="G7" s="426"/>
      <c r="H7" s="426"/>
      <c r="I7" s="427"/>
      <c r="J7" s="126">
        <v>7</v>
      </c>
    </row>
    <row r="8" spans="1:10" s="52" customFormat="1" ht="17.100000000000001" customHeight="1">
      <c r="A8" s="126" t="s">
        <v>288</v>
      </c>
      <c r="B8" s="425" t="s">
        <v>251</v>
      </c>
      <c r="C8" s="426"/>
      <c r="D8" s="426"/>
      <c r="E8" s="426"/>
      <c r="F8" s="426"/>
      <c r="G8" s="426"/>
      <c r="H8" s="426"/>
      <c r="I8" s="427"/>
      <c r="J8" s="126">
        <v>8</v>
      </c>
    </row>
    <row r="9" spans="1:10" s="52" customFormat="1" ht="17.100000000000001" customHeight="1">
      <c r="A9" s="126" t="s">
        <v>289</v>
      </c>
      <c r="B9" s="425" t="s">
        <v>255</v>
      </c>
      <c r="C9" s="426"/>
      <c r="D9" s="426"/>
      <c r="E9" s="426"/>
      <c r="F9" s="426"/>
      <c r="G9" s="426"/>
      <c r="H9" s="426"/>
      <c r="I9" s="427"/>
      <c r="J9" s="126">
        <v>9</v>
      </c>
    </row>
    <row r="10" spans="1:10" s="52" customFormat="1" ht="17.100000000000001" customHeight="1">
      <c r="A10" s="126" t="s">
        <v>290</v>
      </c>
      <c r="B10" s="425" t="s">
        <v>252</v>
      </c>
      <c r="C10" s="426"/>
      <c r="D10" s="426"/>
      <c r="E10" s="426"/>
      <c r="F10" s="426"/>
      <c r="G10" s="426"/>
      <c r="H10" s="426"/>
      <c r="I10" s="427"/>
      <c r="J10" s="126">
        <v>10</v>
      </c>
    </row>
    <row r="11" spans="1:10" s="52" customFormat="1" ht="17.100000000000001" customHeight="1">
      <c r="A11" s="126" t="s">
        <v>291</v>
      </c>
      <c r="B11" s="425" t="s">
        <v>253</v>
      </c>
      <c r="C11" s="426"/>
      <c r="D11" s="426"/>
      <c r="E11" s="426"/>
      <c r="F11" s="426"/>
      <c r="G11" s="426"/>
      <c r="H11" s="426"/>
      <c r="I11" s="427"/>
      <c r="J11" s="126">
        <v>11</v>
      </c>
    </row>
    <row r="12" spans="1:10" s="52" customFormat="1" ht="17.100000000000001" customHeight="1">
      <c r="A12" s="126" t="s">
        <v>292</v>
      </c>
      <c r="B12" s="425" t="s">
        <v>254</v>
      </c>
      <c r="C12" s="426"/>
      <c r="D12" s="426"/>
      <c r="E12" s="426"/>
      <c r="F12" s="426"/>
      <c r="G12" s="426"/>
      <c r="H12" s="426"/>
      <c r="I12" s="427"/>
      <c r="J12" s="126">
        <v>12</v>
      </c>
    </row>
    <row r="13" spans="1:10" s="52" customFormat="1" ht="17.100000000000001" customHeight="1">
      <c r="A13" s="126" t="s">
        <v>293</v>
      </c>
      <c r="B13" s="425" t="s">
        <v>256</v>
      </c>
      <c r="C13" s="426"/>
      <c r="D13" s="426"/>
      <c r="E13" s="426"/>
      <c r="F13" s="426"/>
      <c r="G13" s="426"/>
      <c r="H13" s="426"/>
      <c r="I13" s="427"/>
      <c r="J13" s="126">
        <v>13</v>
      </c>
    </row>
    <row r="14" spans="1:10" s="52" customFormat="1" ht="17.100000000000001" customHeight="1">
      <c r="A14" s="126" t="s">
        <v>294</v>
      </c>
      <c r="B14" s="425" t="s">
        <v>344</v>
      </c>
      <c r="C14" s="422"/>
      <c r="D14" s="422"/>
      <c r="E14" s="422"/>
      <c r="F14" s="422"/>
      <c r="G14" s="422"/>
      <c r="H14" s="422"/>
      <c r="I14" s="423"/>
      <c r="J14" s="126">
        <v>14</v>
      </c>
    </row>
    <row r="15" spans="1:10" s="52" customFormat="1" ht="17.100000000000001" customHeight="1">
      <c r="A15" s="126" t="s">
        <v>295</v>
      </c>
      <c r="B15" s="425" t="s">
        <v>257</v>
      </c>
      <c r="C15" s="426"/>
      <c r="D15" s="426"/>
      <c r="E15" s="426"/>
      <c r="F15" s="426"/>
      <c r="G15" s="426"/>
      <c r="H15" s="426"/>
      <c r="I15" s="427"/>
      <c r="J15" s="126">
        <v>15</v>
      </c>
    </row>
    <row r="16" spans="1:10" s="52" customFormat="1" ht="17.100000000000001" customHeight="1">
      <c r="A16" s="126" t="s">
        <v>296</v>
      </c>
      <c r="B16" s="425" t="s">
        <v>258</v>
      </c>
      <c r="C16" s="426"/>
      <c r="D16" s="426"/>
      <c r="E16" s="426"/>
      <c r="F16" s="426"/>
      <c r="G16" s="426"/>
      <c r="H16" s="426"/>
      <c r="I16" s="427"/>
      <c r="J16" s="126">
        <v>16</v>
      </c>
    </row>
    <row r="17" spans="1:10" s="52" customFormat="1" ht="17.100000000000001" customHeight="1">
      <c r="A17" s="126" t="s">
        <v>297</v>
      </c>
      <c r="B17" s="425" t="s">
        <v>259</v>
      </c>
      <c r="C17" s="426"/>
      <c r="D17" s="426"/>
      <c r="E17" s="426"/>
      <c r="F17" s="426"/>
      <c r="G17" s="426"/>
      <c r="H17" s="426"/>
      <c r="I17" s="427"/>
      <c r="J17" s="126">
        <v>17</v>
      </c>
    </row>
    <row r="18" spans="1:10" s="52" customFormat="1" ht="17.100000000000001" customHeight="1">
      <c r="A18" s="126" t="s">
        <v>298</v>
      </c>
      <c r="B18" s="425" t="s">
        <v>260</v>
      </c>
      <c r="C18" s="426"/>
      <c r="D18" s="426"/>
      <c r="E18" s="426"/>
      <c r="F18" s="426"/>
      <c r="G18" s="426"/>
      <c r="H18" s="426"/>
      <c r="I18" s="427"/>
      <c r="J18" s="126">
        <v>18</v>
      </c>
    </row>
    <row r="19" spans="1:10" s="52" customFormat="1" ht="17.100000000000001" customHeight="1">
      <c r="A19" s="126" t="s">
        <v>299</v>
      </c>
      <c r="B19" s="425" t="s">
        <v>261</v>
      </c>
      <c r="C19" s="426"/>
      <c r="D19" s="426"/>
      <c r="E19" s="426"/>
      <c r="F19" s="426"/>
      <c r="G19" s="426"/>
      <c r="H19" s="426"/>
      <c r="I19" s="427"/>
      <c r="J19" s="126">
        <v>19</v>
      </c>
    </row>
    <row r="20" spans="1:10" s="52" customFormat="1" ht="17.100000000000001" customHeight="1">
      <c r="A20" s="126" t="s">
        <v>300</v>
      </c>
      <c r="B20" s="425" t="s">
        <v>262</v>
      </c>
      <c r="C20" s="426"/>
      <c r="D20" s="426"/>
      <c r="E20" s="426"/>
      <c r="F20" s="426"/>
      <c r="G20" s="426"/>
      <c r="H20" s="426"/>
      <c r="I20" s="427"/>
      <c r="J20" s="126">
        <v>20</v>
      </c>
    </row>
    <row r="21" spans="1:10" s="52" customFormat="1" ht="17.100000000000001" customHeight="1">
      <c r="A21" s="126" t="s">
        <v>301</v>
      </c>
      <c r="B21" s="425" t="s">
        <v>263</v>
      </c>
      <c r="C21" s="426"/>
      <c r="D21" s="426"/>
      <c r="E21" s="426"/>
      <c r="F21" s="426"/>
      <c r="G21" s="426"/>
      <c r="H21" s="426"/>
      <c r="I21" s="427"/>
      <c r="J21" s="126">
        <v>21</v>
      </c>
    </row>
    <row r="22" spans="1:10" s="52" customFormat="1" ht="17.100000000000001" customHeight="1">
      <c r="A22" s="126" t="s">
        <v>302</v>
      </c>
      <c r="B22" s="425" t="s">
        <v>264</v>
      </c>
      <c r="C22" s="426"/>
      <c r="D22" s="426"/>
      <c r="E22" s="426"/>
      <c r="F22" s="426"/>
      <c r="G22" s="426"/>
      <c r="H22" s="426"/>
      <c r="I22" s="427"/>
      <c r="J22" s="126">
        <v>22</v>
      </c>
    </row>
    <row r="23" spans="1:10" s="52" customFormat="1" ht="17.100000000000001" customHeight="1">
      <c r="A23" s="126" t="s">
        <v>303</v>
      </c>
      <c r="B23" s="425" t="s">
        <v>265</v>
      </c>
      <c r="C23" s="426"/>
      <c r="D23" s="426"/>
      <c r="E23" s="426"/>
      <c r="F23" s="426"/>
      <c r="G23" s="426"/>
      <c r="H23" s="426"/>
      <c r="I23" s="427"/>
      <c r="J23" s="126">
        <v>23</v>
      </c>
    </row>
    <row r="24" spans="1:10" s="52" customFormat="1" ht="17.100000000000001" customHeight="1">
      <c r="A24" s="126" t="s">
        <v>304</v>
      </c>
      <c r="B24" s="425" t="s">
        <v>266</v>
      </c>
      <c r="C24" s="426"/>
      <c r="D24" s="426"/>
      <c r="E24" s="426"/>
      <c r="F24" s="426"/>
      <c r="G24" s="426"/>
      <c r="H24" s="426"/>
      <c r="I24" s="427"/>
      <c r="J24" s="126">
        <v>24</v>
      </c>
    </row>
    <row r="25" spans="1:10" s="52" customFormat="1" ht="17.100000000000001" customHeight="1">
      <c r="A25" s="126" t="s">
        <v>305</v>
      </c>
      <c r="B25" s="425" t="s">
        <v>267</v>
      </c>
      <c r="C25" s="426"/>
      <c r="D25" s="426"/>
      <c r="E25" s="426"/>
      <c r="F25" s="426"/>
      <c r="G25" s="426"/>
      <c r="H25" s="426"/>
      <c r="I25" s="427"/>
      <c r="J25" s="126">
        <v>25</v>
      </c>
    </row>
    <row r="26" spans="1:10" s="52" customFormat="1" ht="17.100000000000001" customHeight="1">
      <c r="A26" s="126" t="s">
        <v>306</v>
      </c>
      <c r="B26" s="425" t="s">
        <v>268</v>
      </c>
      <c r="C26" s="426"/>
      <c r="D26" s="426"/>
      <c r="E26" s="426"/>
      <c r="F26" s="426"/>
      <c r="G26" s="426"/>
      <c r="H26" s="426"/>
      <c r="I26" s="427"/>
      <c r="J26" s="126">
        <v>26</v>
      </c>
    </row>
    <row r="27" spans="1:10" s="52" customFormat="1" ht="17.100000000000001" customHeight="1">
      <c r="A27" s="126" t="s">
        <v>307</v>
      </c>
      <c r="B27" s="425" t="s">
        <v>269</v>
      </c>
      <c r="C27" s="426"/>
      <c r="D27" s="426"/>
      <c r="E27" s="426"/>
      <c r="F27" s="426"/>
      <c r="G27" s="426"/>
      <c r="H27" s="426"/>
      <c r="I27" s="427"/>
      <c r="J27" s="126">
        <v>27</v>
      </c>
    </row>
    <row r="28" spans="1:10" s="52" customFormat="1" ht="17.100000000000001" customHeight="1">
      <c r="A28" s="126" t="s">
        <v>308</v>
      </c>
      <c r="B28" s="425" t="s">
        <v>271</v>
      </c>
      <c r="C28" s="426"/>
      <c r="D28" s="426"/>
      <c r="E28" s="426"/>
      <c r="F28" s="426"/>
      <c r="G28" s="426"/>
      <c r="H28" s="426"/>
      <c r="I28" s="427"/>
      <c r="J28" s="126">
        <v>28</v>
      </c>
    </row>
    <row r="29" spans="1:10" s="52" customFormat="1" ht="17.100000000000001" customHeight="1">
      <c r="A29" s="126" t="s">
        <v>309</v>
      </c>
      <c r="B29" s="425" t="s">
        <v>329</v>
      </c>
      <c r="C29" s="426"/>
      <c r="D29" s="426"/>
      <c r="E29" s="426"/>
      <c r="F29" s="426"/>
      <c r="G29" s="426"/>
      <c r="H29" s="426"/>
      <c r="I29" s="427"/>
      <c r="J29" s="126">
        <v>29</v>
      </c>
    </row>
    <row r="30" spans="1:10" s="52" customFormat="1" ht="17.100000000000001" customHeight="1">
      <c r="A30" s="126" t="s">
        <v>310</v>
      </c>
      <c r="B30" s="425" t="s">
        <v>330</v>
      </c>
      <c r="C30" s="426"/>
      <c r="D30" s="426"/>
      <c r="E30" s="426"/>
      <c r="F30" s="426"/>
      <c r="G30" s="426"/>
      <c r="H30" s="426"/>
      <c r="I30" s="427"/>
      <c r="J30" s="126">
        <v>30</v>
      </c>
    </row>
    <row r="31" spans="1:10" s="52" customFormat="1" ht="17.100000000000001" customHeight="1">
      <c r="A31" s="126" t="s">
        <v>311</v>
      </c>
      <c r="B31" s="425" t="s">
        <v>272</v>
      </c>
      <c r="C31" s="426"/>
      <c r="D31" s="426"/>
      <c r="E31" s="426"/>
      <c r="F31" s="426"/>
      <c r="G31" s="426"/>
      <c r="H31" s="426"/>
      <c r="I31" s="427"/>
      <c r="J31" s="126">
        <v>31</v>
      </c>
    </row>
    <row r="32" spans="1:10" s="52" customFormat="1" ht="17.100000000000001" customHeight="1">
      <c r="A32" s="126" t="s">
        <v>312</v>
      </c>
      <c r="B32" s="425" t="s">
        <v>273</v>
      </c>
      <c r="C32" s="426"/>
      <c r="D32" s="426"/>
      <c r="E32" s="426"/>
      <c r="F32" s="426"/>
      <c r="G32" s="426"/>
      <c r="H32" s="426"/>
      <c r="I32" s="427"/>
      <c r="J32" s="126">
        <v>32</v>
      </c>
    </row>
    <row r="33" spans="1:10" s="52" customFormat="1" ht="17.100000000000001" customHeight="1">
      <c r="A33" s="126" t="s">
        <v>313</v>
      </c>
      <c r="B33" s="425" t="s">
        <v>274</v>
      </c>
      <c r="C33" s="426"/>
      <c r="D33" s="426"/>
      <c r="E33" s="426"/>
      <c r="F33" s="426"/>
      <c r="G33" s="426"/>
      <c r="H33" s="426"/>
      <c r="I33" s="427"/>
      <c r="J33" s="126">
        <v>33</v>
      </c>
    </row>
    <row r="34" spans="1:10" s="52" customFormat="1" ht="17.100000000000001" customHeight="1">
      <c r="A34" s="126" t="s">
        <v>314</v>
      </c>
      <c r="B34" s="425" t="s">
        <v>275</v>
      </c>
      <c r="C34" s="426"/>
      <c r="D34" s="426"/>
      <c r="E34" s="426"/>
      <c r="F34" s="426"/>
      <c r="G34" s="426"/>
      <c r="H34" s="426"/>
      <c r="I34" s="427"/>
      <c r="J34" s="126">
        <v>34</v>
      </c>
    </row>
    <row r="35" spans="1:10" s="52" customFormat="1" ht="17.100000000000001" customHeight="1">
      <c r="A35" s="126" t="s">
        <v>315</v>
      </c>
      <c r="B35" s="425" t="s">
        <v>276</v>
      </c>
      <c r="C35" s="426"/>
      <c r="D35" s="426"/>
      <c r="E35" s="426"/>
      <c r="F35" s="426"/>
      <c r="G35" s="426"/>
      <c r="H35" s="426"/>
      <c r="I35" s="427"/>
      <c r="J35" s="126">
        <v>35</v>
      </c>
    </row>
    <row r="36" spans="1:10" s="52" customFormat="1" ht="17.100000000000001" customHeight="1">
      <c r="A36" s="126" t="s">
        <v>316</v>
      </c>
      <c r="B36" s="425" t="s">
        <v>277</v>
      </c>
      <c r="C36" s="426"/>
      <c r="D36" s="426"/>
      <c r="E36" s="426"/>
      <c r="F36" s="426"/>
      <c r="G36" s="426"/>
      <c r="H36" s="426"/>
      <c r="I36" s="427"/>
      <c r="J36" s="126">
        <v>36</v>
      </c>
    </row>
    <row r="37" spans="1:10" s="52" customFormat="1" ht="17.100000000000001" customHeight="1">
      <c r="A37" s="126" t="s">
        <v>317</v>
      </c>
      <c r="B37" s="425" t="s">
        <v>278</v>
      </c>
      <c r="C37" s="426"/>
      <c r="D37" s="426"/>
      <c r="E37" s="426"/>
      <c r="F37" s="426"/>
      <c r="G37" s="426"/>
      <c r="H37" s="426"/>
      <c r="I37" s="427"/>
      <c r="J37" s="126">
        <v>37</v>
      </c>
    </row>
    <row r="38" spans="1:10" s="52" customFormat="1" ht="17.100000000000001" customHeight="1">
      <c r="A38" s="126" t="s">
        <v>318</v>
      </c>
      <c r="B38" s="425" t="s">
        <v>279</v>
      </c>
      <c r="C38" s="426"/>
      <c r="D38" s="426"/>
      <c r="E38" s="426"/>
      <c r="F38" s="426"/>
      <c r="G38" s="426"/>
      <c r="H38" s="426"/>
      <c r="I38" s="427"/>
      <c r="J38" s="126">
        <v>38</v>
      </c>
    </row>
    <row r="39" spans="1:10" s="52" customFormat="1" ht="17.100000000000001" customHeight="1">
      <c r="A39" s="126" t="s">
        <v>319</v>
      </c>
      <c r="B39" s="425" t="s">
        <v>280</v>
      </c>
      <c r="C39" s="426"/>
      <c r="D39" s="426"/>
      <c r="E39" s="426"/>
      <c r="F39" s="426"/>
      <c r="G39" s="426"/>
      <c r="H39" s="426"/>
      <c r="I39" s="427"/>
      <c r="J39" s="126">
        <v>39</v>
      </c>
    </row>
    <row r="40" spans="1:10" s="52" customFormat="1" ht="17.100000000000001" customHeight="1">
      <c r="A40" s="126" t="s">
        <v>320</v>
      </c>
      <c r="B40" s="425" t="s">
        <v>281</v>
      </c>
      <c r="C40" s="426"/>
      <c r="D40" s="426"/>
      <c r="E40" s="426"/>
      <c r="F40" s="426"/>
      <c r="G40" s="426"/>
      <c r="H40" s="426"/>
      <c r="I40" s="427"/>
      <c r="J40" s="126">
        <v>40</v>
      </c>
    </row>
    <row r="41" spans="1:10" s="52" customFormat="1" ht="17.100000000000001" customHeight="1">
      <c r="A41" s="126" t="s">
        <v>321</v>
      </c>
      <c r="B41" s="425" t="s">
        <v>282</v>
      </c>
      <c r="C41" s="426"/>
      <c r="D41" s="426"/>
      <c r="E41" s="426"/>
      <c r="F41" s="426"/>
      <c r="G41" s="426"/>
      <c r="H41" s="426"/>
      <c r="I41" s="427"/>
      <c r="J41" s="126">
        <v>41</v>
      </c>
    </row>
    <row r="42" spans="1:10" s="52" customFormat="1" ht="17.100000000000001" customHeight="1">
      <c r="A42" s="126" t="s">
        <v>322</v>
      </c>
      <c r="B42" s="425" t="s">
        <v>283</v>
      </c>
      <c r="C42" s="426"/>
      <c r="D42" s="426"/>
      <c r="E42" s="426"/>
      <c r="F42" s="426"/>
      <c r="G42" s="426"/>
      <c r="H42" s="426"/>
      <c r="I42" s="427"/>
      <c r="J42" s="126">
        <v>42</v>
      </c>
    </row>
    <row r="43" spans="1:10" s="52" customFormat="1" ht="17.100000000000001" customHeight="1">
      <c r="A43" s="126" t="s">
        <v>323</v>
      </c>
      <c r="B43" s="425" t="s">
        <v>284</v>
      </c>
      <c r="C43" s="426"/>
      <c r="D43" s="426"/>
      <c r="E43" s="426"/>
      <c r="F43" s="426"/>
      <c r="G43" s="426"/>
      <c r="H43" s="426"/>
      <c r="I43" s="427"/>
      <c r="J43" s="126">
        <v>43</v>
      </c>
    </row>
    <row r="44" spans="1:10" s="52" customFormat="1" ht="17.100000000000001" customHeight="1">
      <c r="A44" s="126" t="s">
        <v>328</v>
      </c>
      <c r="B44" s="425" t="s">
        <v>285</v>
      </c>
      <c r="C44" s="426"/>
      <c r="D44" s="426"/>
      <c r="E44" s="426"/>
      <c r="F44" s="426"/>
      <c r="G44" s="426"/>
      <c r="H44" s="426"/>
      <c r="I44" s="427"/>
      <c r="J44" s="126">
        <v>44</v>
      </c>
    </row>
    <row r="45" spans="1:10" s="52" customFormat="1" ht="18" customHeight="1">
      <c r="A45" s="126" t="s">
        <v>345</v>
      </c>
      <c r="B45" s="421" t="s">
        <v>686</v>
      </c>
      <c r="C45" s="422"/>
      <c r="D45" s="422"/>
      <c r="E45" s="422"/>
      <c r="F45" s="422"/>
      <c r="G45" s="422"/>
      <c r="H45" s="422"/>
      <c r="I45" s="423"/>
      <c r="J45" s="126">
        <v>45</v>
      </c>
    </row>
    <row r="46" spans="1:10" s="52" customFormat="1" ht="17.100000000000001" customHeight="1">
      <c r="A46" s="126" t="s">
        <v>528</v>
      </c>
      <c r="B46" s="269" t="s">
        <v>687</v>
      </c>
      <c r="C46" s="270"/>
      <c r="D46" s="270"/>
      <c r="E46" s="270"/>
      <c r="F46" s="270"/>
      <c r="G46" s="270"/>
      <c r="H46" s="270"/>
      <c r="I46" s="271"/>
      <c r="J46" s="126">
        <v>46</v>
      </c>
    </row>
    <row r="47" spans="1:10" s="52" customFormat="1" ht="17.100000000000001" customHeight="1">
      <c r="A47" s="126" t="s">
        <v>529</v>
      </c>
      <c r="B47" s="269" t="s">
        <v>688</v>
      </c>
      <c r="C47" s="270"/>
      <c r="D47" s="270"/>
      <c r="E47" s="270"/>
      <c r="F47" s="270"/>
      <c r="G47" s="270"/>
      <c r="H47" s="270"/>
      <c r="I47" s="271"/>
      <c r="J47" s="126">
        <v>48</v>
      </c>
    </row>
    <row r="48" spans="1:10" s="52" customFormat="1" ht="17.100000000000001" customHeight="1">
      <c r="A48" s="126" t="s">
        <v>558</v>
      </c>
      <c r="B48" s="428" t="s">
        <v>286</v>
      </c>
      <c r="C48" s="428"/>
      <c r="D48" s="428"/>
      <c r="E48" s="428"/>
      <c r="F48" s="428"/>
      <c r="G48" s="428"/>
      <c r="H48" s="428"/>
      <c r="I48" s="428"/>
      <c r="J48" s="126">
        <v>49</v>
      </c>
    </row>
    <row r="49" spans="1:10" s="52" customFormat="1" ht="14.25">
      <c r="A49" s="128"/>
      <c r="B49" s="125"/>
      <c r="C49" s="125"/>
      <c r="D49" s="125"/>
      <c r="E49" s="125"/>
      <c r="F49" s="125"/>
      <c r="G49" s="125"/>
      <c r="H49" s="125"/>
      <c r="I49" s="125"/>
      <c r="J49" s="127"/>
    </row>
    <row r="50" spans="1:10" s="52" customFormat="1" ht="14.25">
      <c r="A50" s="129"/>
      <c r="J50" s="129"/>
    </row>
    <row r="51" spans="1:10" s="52" customFormat="1" ht="14.25">
      <c r="A51" s="129"/>
      <c r="J51" s="129"/>
    </row>
    <row r="52" spans="1:10" s="52" customFormat="1" ht="14.25">
      <c r="A52" s="129"/>
      <c r="J52" s="129"/>
    </row>
  </sheetData>
  <mergeCells count="45">
    <mergeCell ref="B10:I10"/>
    <mergeCell ref="B19:I19"/>
    <mergeCell ref="B18:I18"/>
    <mergeCell ref="B17:I17"/>
    <mergeCell ref="B16:I16"/>
    <mergeCell ref="B15:I15"/>
    <mergeCell ref="B13:I13"/>
    <mergeCell ref="B5:I5"/>
    <mergeCell ref="B3:I3"/>
    <mergeCell ref="B32:I32"/>
    <mergeCell ref="B31:I31"/>
    <mergeCell ref="B9:I9"/>
    <mergeCell ref="B8:I8"/>
    <mergeCell ref="B7:I7"/>
    <mergeCell ref="B6:I6"/>
    <mergeCell ref="B12:I12"/>
    <mergeCell ref="B11:I11"/>
    <mergeCell ref="B41:I41"/>
    <mergeCell ref="B35:I35"/>
    <mergeCell ref="B34:I34"/>
    <mergeCell ref="B33:I33"/>
    <mergeCell ref="B22:I22"/>
    <mergeCell ref="B28:I28"/>
    <mergeCell ref="B29:I29"/>
    <mergeCell ref="B30:I30"/>
    <mergeCell ref="B4:I4"/>
    <mergeCell ref="B36:I36"/>
    <mergeCell ref="B37:I37"/>
    <mergeCell ref="B48:I48"/>
    <mergeCell ref="B38:I38"/>
    <mergeCell ref="B39:I39"/>
    <mergeCell ref="B40:I40"/>
    <mergeCell ref="B44:I44"/>
    <mergeCell ref="B43:I43"/>
    <mergeCell ref="B42:I42"/>
    <mergeCell ref="B45:I45"/>
    <mergeCell ref="A1:I1"/>
    <mergeCell ref="B14:I14"/>
    <mergeCell ref="B27:I27"/>
    <mergeCell ref="B26:I26"/>
    <mergeCell ref="B25:I25"/>
    <mergeCell ref="B24:I24"/>
    <mergeCell ref="B23:I23"/>
    <mergeCell ref="B21:I21"/>
    <mergeCell ref="B20:I20"/>
  </mergeCells>
  <phoneticPr fontId="0" type="noConversion"/>
  <pageMargins left="0.65" right="0.39" top="0.63" bottom="0.47" header="0.5" footer="0.43"/>
  <pageSetup paperSize="9" scale="95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18"/>
  <dimension ref="B2:K46"/>
  <sheetViews>
    <sheetView topLeftCell="B1" workbookViewId="0">
      <selection activeCell="G7" sqref="G7:G37"/>
    </sheetView>
  </sheetViews>
  <sheetFormatPr defaultRowHeight="12.75"/>
  <cols>
    <col min="1" max="1" width="1.5703125" style="13" customWidth="1"/>
    <col min="2" max="4" width="5.7109375" style="13" bestFit="1" customWidth="1"/>
    <col min="5" max="5" width="10.7109375" style="24" customWidth="1"/>
    <col min="6" max="6" width="43.7109375" style="13" customWidth="1"/>
    <col min="7" max="7" width="15.7109375" style="13" customWidth="1"/>
    <col min="8" max="8" width="15.7109375" style="90" customWidth="1"/>
    <col min="9" max="9" width="8.7109375" style="140" customWidth="1"/>
    <col min="10" max="16384" width="9.140625" style="13"/>
  </cols>
  <sheetData>
    <row r="2" spans="2:11" s="112" customFormat="1" ht="15" customHeight="1">
      <c r="B2" s="450" t="s">
        <v>181</v>
      </c>
      <c r="C2" s="450"/>
      <c r="D2" s="450"/>
      <c r="E2" s="450"/>
      <c r="F2" s="450"/>
      <c r="G2" s="450"/>
      <c r="H2" s="288"/>
      <c r="I2" s="289"/>
    </row>
    <row r="3" spans="2:11" s="1" customFormat="1" ht="16.5" thickBot="1">
      <c r="E3" s="2"/>
      <c r="F3" s="449"/>
      <c r="G3" s="449"/>
      <c r="H3" s="181"/>
      <c r="I3" s="182"/>
    </row>
    <row r="4" spans="2:11" s="1" customFormat="1" ht="76.5" customHeight="1">
      <c r="B4" s="3" t="s">
        <v>79</v>
      </c>
      <c r="C4" s="4" t="s">
        <v>80</v>
      </c>
      <c r="D4" s="5" t="s">
        <v>112</v>
      </c>
      <c r="E4" s="6" t="s">
        <v>223</v>
      </c>
      <c r="F4" s="7" t="s">
        <v>82</v>
      </c>
      <c r="G4" s="316" t="s">
        <v>557</v>
      </c>
      <c r="H4" s="316" t="s">
        <v>683</v>
      </c>
      <c r="I4" s="149" t="s">
        <v>497</v>
      </c>
    </row>
    <row r="5" spans="2:11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34">
        <v>6</v>
      </c>
      <c r="H5" s="9">
        <v>7</v>
      </c>
      <c r="I5" s="150">
        <v>8</v>
      </c>
    </row>
    <row r="6" spans="2:11" s="2" customFormat="1" ht="12.95" customHeight="1">
      <c r="B6" s="10" t="s">
        <v>138</v>
      </c>
      <c r="C6" s="11" t="s">
        <v>83</v>
      </c>
      <c r="D6" s="11" t="s">
        <v>84</v>
      </c>
      <c r="E6" s="9"/>
      <c r="F6" s="9"/>
      <c r="G6" s="34"/>
      <c r="H6" s="165"/>
      <c r="I6" s="151"/>
    </row>
    <row r="7" spans="2:11" s="1" customFormat="1" ht="12.95" customHeight="1">
      <c r="B7" s="17"/>
      <c r="C7" s="12"/>
      <c r="D7" s="12"/>
      <c r="E7" s="9">
        <v>611000</v>
      </c>
      <c r="F7" s="12" t="s">
        <v>167</v>
      </c>
      <c r="G7" s="20">
        <f>SUM(G8:G11)</f>
        <v>181880</v>
      </c>
      <c r="H7" s="392">
        <f>SUM(H8:H11)</f>
        <v>172860</v>
      </c>
      <c r="I7" s="152">
        <f t="shared" ref="I7:I40" si="0">IF(G7=0,"",H7/G7*100)</f>
        <v>95.040686166703324</v>
      </c>
    </row>
    <row r="8" spans="2:11" ht="12.95" customHeight="1">
      <c r="B8" s="14"/>
      <c r="C8" s="15"/>
      <c r="D8" s="15"/>
      <c r="E8" s="16">
        <v>611100</v>
      </c>
      <c r="F8" s="26" t="s">
        <v>210</v>
      </c>
      <c r="G8" s="117">
        <v>141200</v>
      </c>
      <c r="H8" s="394">
        <f>137200+6760</f>
        <v>143960</v>
      </c>
      <c r="I8" s="153">
        <f t="shared" si="0"/>
        <v>101.95467422096318</v>
      </c>
    </row>
    <row r="9" spans="2:11" ht="12.95" customHeight="1">
      <c r="B9" s="14"/>
      <c r="C9" s="15"/>
      <c r="D9" s="15"/>
      <c r="E9" s="16">
        <v>611200</v>
      </c>
      <c r="F9" s="15" t="s">
        <v>211</v>
      </c>
      <c r="G9" s="117">
        <f>31900+7*240</f>
        <v>33580</v>
      </c>
      <c r="H9" s="394">
        <f>28900</f>
        <v>28900</v>
      </c>
      <c r="I9" s="153">
        <f t="shared" si="0"/>
        <v>86.063132817153061</v>
      </c>
    </row>
    <row r="10" spans="2:11" ht="12.95" customHeight="1">
      <c r="B10" s="14"/>
      <c r="C10" s="15"/>
      <c r="D10" s="15"/>
      <c r="E10" s="16">
        <v>611200</v>
      </c>
      <c r="F10" s="363" t="s">
        <v>699</v>
      </c>
      <c r="G10" s="82">
        <v>7100</v>
      </c>
      <c r="H10" s="391">
        <v>0</v>
      </c>
      <c r="I10" s="153">
        <f t="shared" si="0"/>
        <v>0</v>
      </c>
      <c r="K10" s="89"/>
    </row>
    <row r="11" spans="2:11" ht="12.95" customHeight="1">
      <c r="B11" s="14"/>
      <c r="C11" s="15"/>
      <c r="D11" s="15"/>
      <c r="E11" s="16"/>
      <c r="F11" s="26"/>
      <c r="G11" s="117"/>
      <c r="H11" s="394"/>
      <c r="I11" s="153" t="str">
        <f t="shared" si="0"/>
        <v/>
      </c>
    </row>
    <row r="12" spans="2:11" ht="12.95" customHeight="1">
      <c r="B12" s="14"/>
      <c r="C12" s="15"/>
      <c r="D12" s="15"/>
      <c r="E12" s="16"/>
      <c r="F12" s="15"/>
      <c r="G12" s="108"/>
      <c r="H12" s="392"/>
      <c r="I12" s="153" t="str">
        <f t="shared" si="0"/>
        <v/>
      </c>
    </row>
    <row r="13" spans="2:11" s="1" customFormat="1" ht="12.95" customHeight="1">
      <c r="B13" s="17"/>
      <c r="C13" s="12"/>
      <c r="D13" s="12"/>
      <c r="E13" s="9">
        <v>612000</v>
      </c>
      <c r="F13" s="12" t="s">
        <v>166</v>
      </c>
      <c r="G13" s="108">
        <f>G14</f>
        <v>15200</v>
      </c>
      <c r="H13" s="392">
        <f>H14</f>
        <v>16630</v>
      </c>
      <c r="I13" s="152">
        <f t="shared" si="0"/>
        <v>109.40789473684211</v>
      </c>
    </row>
    <row r="14" spans="2:11" ht="12.95" customHeight="1">
      <c r="B14" s="14"/>
      <c r="C14" s="15"/>
      <c r="D14" s="15"/>
      <c r="E14" s="16">
        <v>612100</v>
      </c>
      <c r="F14" s="18" t="s">
        <v>85</v>
      </c>
      <c r="G14" s="117">
        <v>15200</v>
      </c>
      <c r="H14" s="394">
        <f>15900+730</f>
        <v>16630</v>
      </c>
      <c r="I14" s="153">
        <f t="shared" si="0"/>
        <v>109.40789473684211</v>
      </c>
    </row>
    <row r="15" spans="2:11" ht="12.95" customHeight="1">
      <c r="B15" s="14"/>
      <c r="C15" s="15"/>
      <c r="D15" s="15"/>
      <c r="E15" s="16"/>
      <c r="F15" s="15"/>
      <c r="G15" s="117"/>
      <c r="H15" s="117"/>
      <c r="I15" s="153" t="str">
        <f t="shared" si="0"/>
        <v/>
      </c>
    </row>
    <row r="16" spans="2:11" ht="12.95" customHeight="1">
      <c r="B16" s="14"/>
      <c r="C16" s="15"/>
      <c r="D16" s="15"/>
      <c r="E16" s="16"/>
      <c r="F16" s="15"/>
      <c r="G16" s="20"/>
      <c r="H16" s="20"/>
      <c r="I16" s="153" t="str">
        <f t="shared" si="0"/>
        <v/>
      </c>
    </row>
    <row r="17" spans="2:11" s="1" customFormat="1" ht="12.95" customHeight="1">
      <c r="B17" s="17"/>
      <c r="C17" s="12"/>
      <c r="D17" s="12"/>
      <c r="E17" s="9">
        <v>613000</v>
      </c>
      <c r="F17" s="12" t="s">
        <v>168</v>
      </c>
      <c r="G17" s="49">
        <f>SUM(G18:G27)</f>
        <v>33700</v>
      </c>
      <c r="H17" s="49">
        <f>SUM(H18:H27)</f>
        <v>24600</v>
      </c>
      <c r="I17" s="152">
        <f t="shared" si="0"/>
        <v>72.997032640949556</v>
      </c>
    </row>
    <row r="18" spans="2:11" ht="12.95" customHeight="1">
      <c r="B18" s="14"/>
      <c r="C18" s="15"/>
      <c r="D18" s="15"/>
      <c r="E18" s="16">
        <v>613100</v>
      </c>
      <c r="F18" s="15" t="s">
        <v>86</v>
      </c>
      <c r="G18" s="44">
        <v>5100</v>
      </c>
      <c r="H18" s="44">
        <v>5000</v>
      </c>
      <c r="I18" s="153">
        <f t="shared" si="0"/>
        <v>98.039215686274503</v>
      </c>
    </row>
    <row r="19" spans="2:11" ht="12.95" customHeight="1">
      <c r="B19" s="14"/>
      <c r="C19" s="15"/>
      <c r="D19" s="15"/>
      <c r="E19" s="16">
        <v>613200</v>
      </c>
      <c r="F19" s="15" t="s">
        <v>87</v>
      </c>
      <c r="G19" s="44">
        <v>0</v>
      </c>
      <c r="H19" s="44">
        <v>0</v>
      </c>
      <c r="I19" s="153" t="str">
        <f t="shared" si="0"/>
        <v/>
      </c>
    </row>
    <row r="20" spans="2:11" ht="12.95" customHeight="1">
      <c r="B20" s="14"/>
      <c r="C20" s="15"/>
      <c r="D20" s="15"/>
      <c r="E20" s="16">
        <v>613300</v>
      </c>
      <c r="F20" s="26" t="s">
        <v>212</v>
      </c>
      <c r="G20" s="44">
        <v>3500</v>
      </c>
      <c r="H20" s="44">
        <v>3500</v>
      </c>
      <c r="I20" s="153">
        <f t="shared" si="0"/>
        <v>100</v>
      </c>
    </row>
    <row r="21" spans="2:11" ht="12.95" customHeight="1">
      <c r="B21" s="14"/>
      <c r="C21" s="15"/>
      <c r="D21" s="15"/>
      <c r="E21" s="16">
        <v>613400</v>
      </c>
      <c r="F21" s="15" t="s">
        <v>169</v>
      </c>
      <c r="G21" s="44">
        <v>0</v>
      </c>
      <c r="H21" s="44">
        <v>100</v>
      </c>
      <c r="I21" s="153" t="str">
        <f t="shared" si="0"/>
        <v/>
      </c>
    </row>
    <row r="22" spans="2:11" ht="12.95" customHeight="1">
      <c r="B22" s="14"/>
      <c r="C22" s="15"/>
      <c r="D22" s="15"/>
      <c r="E22" s="16">
        <v>613500</v>
      </c>
      <c r="F22" s="15" t="s">
        <v>88</v>
      </c>
      <c r="G22" s="44">
        <v>0</v>
      </c>
      <c r="H22" s="44">
        <v>0</v>
      </c>
      <c r="I22" s="153" t="str">
        <f t="shared" si="0"/>
        <v/>
      </c>
    </row>
    <row r="23" spans="2:11" ht="12.95" customHeight="1">
      <c r="B23" s="14"/>
      <c r="C23" s="15"/>
      <c r="D23" s="15"/>
      <c r="E23" s="16">
        <v>613600</v>
      </c>
      <c r="F23" s="26" t="s">
        <v>213</v>
      </c>
      <c r="G23" s="44">
        <v>0</v>
      </c>
      <c r="H23" s="44">
        <v>0</v>
      </c>
      <c r="I23" s="153" t="str">
        <f t="shared" si="0"/>
        <v/>
      </c>
    </row>
    <row r="24" spans="2:11" ht="12.95" customHeight="1">
      <c r="B24" s="14"/>
      <c r="C24" s="15"/>
      <c r="D24" s="15"/>
      <c r="E24" s="16">
        <v>613700</v>
      </c>
      <c r="F24" s="15" t="s">
        <v>89</v>
      </c>
      <c r="G24" s="44">
        <v>600</v>
      </c>
      <c r="H24" s="44">
        <v>1000</v>
      </c>
      <c r="I24" s="153">
        <f t="shared" si="0"/>
        <v>166.66666666666669</v>
      </c>
    </row>
    <row r="25" spans="2:11" ht="12.95" customHeight="1">
      <c r="B25" s="14"/>
      <c r="C25" s="15"/>
      <c r="D25" s="15"/>
      <c r="E25" s="16">
        <v>613800</v>
      </c>
      <c r="F25" s="15" t="s">
        <v>170</v>
      </c>
      <c r="G25" s="44">
        <v>0</v>
      </c>
      <c r="H25" s="44">
        <v>0</v>
      </c>
      <c r="I25" s="153" t="str">
        <f t="shared" si="0"/>
        <v/>
      </c>
      <c r="K25" s="81"/>
    </row>
    <row r="26" spans="2:11" ht="12.95" customHeight="1">
      <c r="B26" s="14"/>
      <c r="C26" s="15"/>
      <c r="D26" s="15"/>
      <c r="E26" s="16">
        <v>613900</v>
      </c>
      <c r="F26" s="15" t="s">
        <v>171</v>
      </c>
      <c r="G26" s="117">
        <v>14000</v>
      </c>
      <c r="H26" s="117">
        <v>15000</v>
      </c>
      <c r="I26" s="153">
        <f t="shared" si="0"/>
        <v>107.14285714285714</v>
      </c>
      <c r="K26" s="81"/>
    </row>
    <row r="27" spans="2:11" ht="12.95" customHeight="1">
      <c r="B27" s="14"/>
      <c r="C27" s="15"/>
      <c r="D27" s="15"/>
      <c r="E27" s="16">
        <v>613900</v>
      </c>
      <c r="F27" s="363" t="s">
        <v>701</v>
      </c>
      <c r="G27" s="44">
        <v>10500</v>
      </c>
      <c r="H27" s="44">
        <v>0</v>
      </c>
      <c r="I27" s="153">
        <f t="shared" si="0"/>
        <v>0</v>
      </c>
    </row>
    <row r="28" spans="2:11" ht="12.95" customHeight="1">
      <c r="B28" s="14"/>
      <c r="C28" s="15"/>
      <c r="D28" s="15"/>
      <c r="E28" s="16"/>
      <c r="F28" s="15"/>
      <c r="G28" s="20"/>
      <c r="H28" s="20"/>
      <c r="I28" s="153" t="str">
        <f t="shared" si="0"/>
        <v/>
      </c>
    </row>
    <row r="29" spans="2:11" s="1" customFormat="1" ht="12.95" customHeight="1">
      <c r="B29" s="17"/>
      <c r="C29" s="12"/>
      <c r="D29" s="12"/>
      <c r="E29" s="9">
        <v>614000</v>
      </c>
      <c r="F29" s="12" t="s">
        <v>214</v>
      </c>
      <c r="G29" s="20">
        <f>SUM(G30:G30)</f>
        <v>700000</v>
      </c>
      <c r="H29" s="20">
        <f>SUM(H30:H30)</f>
        <v>900000</v>
      </c>
      <c r="I29" s="152">
        <f t="shared" si="0"/>
        <v>128.57142857142858</v>
      </c>
    </row>
    <row r="30" spans="2:11" s="1" customFormat="1" ht="12.95" customHeight="1">
      <c r="B30" s="17"/>
      <c r="C30" s="12"/>
      <c r="D30" s="75"/>
      <c r="E30" s="131">
        <v>614500</v>
      </c>
      <c r="F30" s="115" t="s">
        <v>116</v>
      </c>
      <c r="G30" s="117">
        <v>700000</v>
      </c>
      <c r="H30" s="117">
        <v>900000</v>
      </c>
      <c r="I30" s="153">
        <f t="shared" si="0"/>
        <v>128.57142857142858</v>
      </c>
    </row>
    <row r="31" spans="2:11" ht="12.95" customHeight="1">
      <c r="B31" s="14"/>
      <c r="C31" s="15"/>
      <c r="D31" s="15"/>
      <c r="E31" s="16"/>
      <c r="F31" s="26"/>
      <c r="G31" s="117"/>
      <c r="H31" s="117"/>
      <c r="I31" s="153" t="str">
        <f t="shared" si="0"/>
        <v/>
      </c>
    </row>
    <row r="32" spans="2:11" ht="12.95" customHeight="1">
      <c r="B32" s="17"/>
      <c r="C32" s="12"/>
      <c r="D32" s="12"/>
      <c r="E32" s="9">
        <v>821000</v>
      </c>
      <c r="F32" s="12" t="s">
        <v>92</v>
      </c>
      <c r="G32" s="108">
        <f>SUM(G33:G34)</f>
        <v>1500</v>
      </c>
      <c r="H32" s="108">
        <f>SUM(H33:H34)</f>
        <v>2000</v>
      </c>
      <c r="I32" s="152">
        <f t="shared" si="0"/>
        <v>133.33333333333331</v>
      </c>
    </row>
    <row r="33" spans="2:9" ht="12.95" customHeight="1">
      <c r="B33" s="14"/>
      <c r="C33" s="15"/>
      <c r="D33" s="15"/>
      <c r="E33" s="16">
        <v>821200</v>
      </c>
      <c r="F33" s="15" t="s">
        <v>93</v>
      </c>
      <c r="G33" s="117">
        <v>0</v>
      </c>
      <c r="H33" s="117">
        <v>0</v>
      </c>
      <c r="I33" s="153" t="str">
        <f t="shared" si="0"/>
        <v/>
      </c>
    </row>
    <row r="34" spans="2:9" ht="12.95" customHeight="1">
      <c r="B34" s="14"/>
      <c r="C34" s="15"/>
      <c r="D34" s="15"/>
      <c r="E34" s="16">
        <v>821300</v>
      </c>
      <c r="F34" s="15" t="s">
        <v>94</v>
      </c>
      <c r="G34" s="117">
        <v>1500</v>
      </c>
      <c r="H34" s="117">
        <v>2000</v>
      </c>
      <c r="I34" s="153">
        <f t="shared" si="0"/>
        <v>133.33333333333331</v>
      </c>
    </row>
    <row r="35" spans="2:9" s="1" customFormat="1" ht="12.95" customHeight="1">
      <c r="B35" s="14"/>
      <c r="C35" s="15"/>
      <c r="D35" s="15"/>
      <c r="E35" s="16"/>
      <c r="F35" s="15"/>
      <c r="G35" s="44"/>
      <c r="H35" s="44"/>
      <c r="I35" s="153" t="str">
        <f t="shared" si="0"/>
        <v/>
      </c>
    </row>
    <row r="36" spans="2:9" ht="12.95" customHeight="1">
      <c r="B36" s="14"/>
      <c r="C36" s="15"/>
      <c r="D36" s="15"/>
      <c r="E36" s="16"/>
      <c r="F36" s="15"/>
      <c r="G36" s="44"/>
      <c r="H36" s="44"/>
      <c r="I36" s="153" t="str">
        <f t="shared" si="0"/>
        <v/>
      </c>
    </row>
    <row r="37" spans="2:9" ht="12.95" customHeight="1">
      <c r="B37" s="17"/>
      <c r="C37" s="12"/>
      <c r="D37" s="12"/>
      <c r="E37" s="9"/>
      <c r="F37" s="12" t="s">
        <v>95</v>
      </c>
      <c r="G37" s="108">
        <v>7</v>
      </c>
      <c r="H37" s="108">
        <v>7</v>
      </c>
      <c r="I37" s="153"/>
    </row>
    <row r="38" spans="2:9" ht="12.95" customHeight="1">
      <c r="B38" s="17"/>
      <c r="C38" s="12"/>
      <c r="D38" s="12"/>
      <c r="E38" s="9"/>
      <c r="F38" s="12" t="s">
        <v>115</v>
      </c>
      <c r="G38" s="20">
        <f>G7+G13+G17+G29+G32</f>
        <v>932280</v>
      </c>
      <c r="H38" s="20">
        <f>H7+H13+H17+H29+H32</f>
        <v>1116090</v>
      </c>
      <c r="I38" s="152">
        <f t="shared" si="0"/>
        <v>119.7161796885056</v>
      </c>
    </row>
    <row r="39" spans="2:9" ht="12.95" customHeight="1">
      <c r="B39" s="17"/>
      <c r="C39" s="12"/>
      <c r="D39" s="12"/>
      <c r="E39" s="9"/>
      <c r="F39" s="12" t="s">
        <v>96</v>
      </c>
      <c r="G39" s="20">
        <f>G38</f>
        <v>932280</v>
      </c>
      <c r="H39" s="20">
        <f>H38</f>
        <v>1116090</v>
      </c>
      <c r="I39" s="152">
        <f t="shared" si="0"/>
        <v>119.7161796885056</v>
      </c>
    </row>
    <row r="40" spans="2:9" s="1" customFormat="1" ht="12.95" customHeight="1">
      <c r="B40" s="17"/>
      <c r="C40" s="12"/>
      <c r="D40" s="12"/>
      <c r="E40" s="9"/>
      <c r="F40" s="12" t="s">
        <v>97</v>
      </c>
      <c r="G40" s="20">
        <f>G39</f>
        <v>932280</v>
      </c>
      <c r="H40" s="20">
        <f>H39</f>
        <v>1116090</v>
      </c>
      <c r="I40" s="152">
        <f t="shared" si="0"/>
        <v>119.7161796885056</v>
      </c>
    </row>
    <row r="41" spans="2:9" s="1" customFormat="1" ht="12.95" customHeight="1" thickBot="1">
      <c r="B41" s="21"/>
      <c r="C41" s="22"/>
      <c r="D41" s="22"/>
      <c r="E41" s="23"/>
      <c r="F41" s="22"/>
      <c r="G41" s="48"/>
      <c r="H41" s="45"/>
      <c r="I41" s="156"/>
    </row>
    <row r="42" spans="2:9" s="1" customFormat="1" ht="12.95" customHeight="1">
      <c r="B42" s="13"/>
      <c r="C42" s="13"/>
      <c r="D42" s="13"/>
      <c r="E42" s="24"/>
      <c r="F42" s="81"/>
      <c r="G42" s="13"/>
      <c r="H42" s="90"/>
      <c r="I42" s="140"/>
    </row>
    <row r="43" spans="2:9" s="1" customFormat="1" ht="12.95" customHeight="1">
      <c r="B43" s="81"/>
      <c r="C43" s="13"/>
      <c r="D43" s="13"/>
      <c r="E43" s="24"/>
      <c r="F43" s="13"/>
      <c r="G43" s="13"/>
      <c r="H43" s="90"/>
      <c r="I43" s="140"/>
    </row>
    <row r="44" spans="2:9" ht="12.95" customHeight="1">
      <c r="B44" s="81"/>
    </row>
    <row r="45" spans="2:9">
      <c r="B45" s="81"/>
    </row>
    <row r="46" spans="2:9">
      <c r="B46" s="81"/>
    </row>
  </sheetData>
  <mergeCells count="2">
    <mergeCell ref="B2:G2"/>
    <mergeCell ref="F3:G3"/>
  </mergeCells>
  <phoneticPr fontId="2" type="noConversion"/>
  <pageMargins left="0.19685039370078741" right="0.19685039370078741" top="0.59055118110236227" bottom="0.59055118110236227" header="0.51181102362204722" footer="0.51181102362204722"/>
  <pageSetup paperSize="9" scale="88" firstPageNumber="10" orientation="portrait" useFirstPageNumber="1" horizontalDpi="180" verticalDpi="180" r:id="rId1"/>
  <headerFooter alignWithMargins="0">
    <oddFooter>&amp;R22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19"/>
  <dimension ref="B2:K56"/>
  <sheetViews>
    <sheetView topLeftCell="A7" workbookViewId="0">
      <selection activeCell="G7" sqref="G7:G50"/>
    </sheetView>
  </sheetViews>
  <sheetFormatPr defaultRowHeight="12.75"/>
  <cols>
    <col min="1" max="1" width="1.5703125" style="13" customWidth="1"/>
    <col min="2" max="4" width="5.7109375" style="13" bestFit="1" customWidth="1"/>
    <col min="5" max="5" width="10.7109375" style="24" customWidth="1"/>
    <col min="6" max="6" width="43.7109375" style="13" customWidth="1"/>
    <col min="7" max="8" width="15.7109375" style="13" customWidth="1"/>
    <col min="9" max="9" width="8.7109375" style="140" customWidth="1"/>
    <col min="10" max="16384" width="9.140625" style="13"/>
  </cols>
  <sheetData>
    <row r="2" spans="2:11" ht="15" customHeight="1">
      <c r="B2" s="450" t="s">
        <v>140</v>
      </c>
      <c r="C2" s="450"/>
      <c r="D2" s="450"/>
      <c r="E2" s="450"/>
      <c r="F2" s="450"/>
      <c r="G2" s="450"/>
      <c r="H2" s="450"/>
      <c r="I2" s="147"/>
    </row>
    <row r="3" spans="2:11" s="1" customFormat="1" ht="16.5" thickBot="1">
      <c r="E3" s="2"/>
      <c r="F3" s="449"/>
      <c r="G3" s="449"/>
      <c r="H3" s="181"/>
      <c r="I3" s="182"/>
    </row>
    <row r="4" spans="2:11" s="1" customFormat="1" ht="76.5" customHeight="1">
      <c r="B4" s="3" t="s">
        <v>79</v>
      </c>
      <c r="C4" s="4" t="s">
        <v>80</v>
      </c>
      <c r="D4" s="5" t="s">
        <v>112</v>
      </c>
      <c r="E4" s="6" t="s">
        <v>81</v>
      </c>
      <c r="F4" s="7" t="s">
        <v>82</v>
      </c>
      <c r="G4" s="316" t="s">
        <v>557</v>
      </c>
      <c r="H4" s="316" t="s">
        <v>683</v>
      </c>
      <c r="I4" s="149" t="s">
        <v>497</v>
      </c>
    </row>
    <row r="5" spans="2:11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34">
        <v>6</v>
      </c>
      <c r="H5" s="9">
        <v>7</v>
      </c>
      <c r="I5" s="150">
        <v>8</v>
      </c>
    </row>
    <row r="6" spans="2:11" s="2" customFormat="1" ht="12.95" customHeight="1">
      <c r="B6" s="10" t="s">
        <v>139</v>
      </c>
      <c r="C6" s="11" t="s">
        <v>83</v>
      </c>
      <c r="D6" s="11" t="s">
        <v>84</v>
      </c>
      <c r="E6" s="9"/>
      <c r="F6" s="9"/>
      <c r="G6" s="34"/>
      <c r="H6" s="9"/>
      <c r="I6" s="151"/>
    </row>
    <row r="7" spans="2:11" s="2" customFormat="1" ht="12.95" customHeight="1">
      <c r="B7" s="10"/>
      <c r="C7" s="11"/>
      <c r="D7" s="11"/>
      <c r="E7" s="9">
        <v>600000</v>
      </c>
      <c r="F7" s="27" t="s">
        <v>124</v>
      </c>
      <c r="G7" s="25">
        <f>G8</f>
        <v>15000</v>
      </c>
      <c r="H7" s="25">
        <f>H8</f>
        <v>15000</v>
      </c>
      <c r="I7" s="152">
        <f t="shared" ref="I7:I53" si="0">IF(G7=0,"",H7/G7*100)</f>
        <v>100</v>
      </c>
    </row>
    <row r="8" spans="2:11" s="2" customFormat="1" ht="12.95" customHeight="1">
      <c r="B8" s="10"/>
      <c r="C8" s="11"/>
      <c r="D8" s="11"/>
      <c r="E8" s="56">
        <v>600000</v>
      </c>
      <c r="F8" s="57" t="s">
        <v>111</v>
      </c>
      <c r="G8" s="82">
        <v>15000</v>
      </c>
      <c r="H8" s="82">
        <v>15000</v>
      </c>
      <c r="I8" s="153">
        <f t="shared" si="0"/>
        <v>100</v>
      </c>
    </row>
    <row r="9" spans="2:11" s="2" customFormat="1" ht="12.95" customHeight="1">
      <c r="B9" s="10"/>
      <c r="C9" s="11"/>
      <c r="D9" s="11"/>
      <c r="E9" s="9"/>
      <c r="F9" s="9"/>
      <c r="G9" s="82"/>
      <c r="H9" s="82"/>
      <c r="I9" s="153" t="str">
        <f t="shared" si="0"/>
        <v/>
      </c>
    </row>
    <row r="10" spans="2:11" s="1" customFormat="1" ht="12.95" customHeight="1">
      <c r="B10" s="17"/>
      <c r="C10" s="12"/>
      <c r="D10" s="12"/>
      <c r="E10" s="9">
        <v>611000</v>
      </c>
      <c r="F10" s="12" t="s">
        <v>167</v>
      </c>
      <c r="G10" s="20">
        <f>SUM(G11:G13)</f>
        <v>346700</v>
      </c>
      <c r="H10" s="392">
        <f>SUM(H11:H13)</f>
        <v>369600</v>
      </c>
      <c r="I10" s="152">
        <f t="shared" si="0"/>
        <v>106.60513412171906</v>
      </c>
    </row>
    <row r="11" spans="2:11" ht="12.95" customHeight="1">
      <c r="B11" s="14"/>
      <c r="C11" s="15"/>
      <c r="D11" s="15"/>
      <c r="E11" s="16">
        <v>611100</v>
      </c>
      <c r="F11" s="26" t="s">
        <v>210</v>
      </c>
      <c r="G11" s="44">
        <v>267200</v>
      </c>
      <c r="H11" s="394">
        <f>287800+14300</f>
        <v>302100</v>
      </c>
      <c r="I11" s="153">
        <f t="shared" si="0"/>
        <v>113.06137724550898</v>
      </c>
    </row>
    <row r="12" spans="2:11" ht="12.95" customHeight="1">
      <c r="B12" s="14"/>
      <c r="C12" s="15"/>
      <c r="D12" s="15"/>
      <c r="E12" s="16">
        <v>611200</v>
      </c>
      <c r="F12" s="15" t="s">
        <v>211</v>
      </c>
      <c r="G12" s="82">
        <f>58000+15*240</f>
        <v>61600</v>
      </c>
      <c r="H12" s="391">
        <f>64500+3000</f>
        <v>67500</v>
      </c>
      <c r="I12" s="153">
        <f t="shared" si="0"/>
        <v>109.57792207792207</v>
      </c>
    </row>
    <row r="13" spans="2:11" ht="12.95" customHeight="1">
      <c r="B13" s="14"/>
      <c r="C13" s="15"/>
      <c r="D13" s="15"/>
      <c r="E13" s="16">
        <v>611200</v>
      </c>
      <c r="F13" s="363" t="s">
        <v>699</v>
      </c>
      <c r="G13" s="82">
        <v>17900</v>
      </c>
      <c r="H13" s="391">
        <v>0</v>
      </c>
      <c r="I13" s="153">
        <f t="shared" si="0"/>
        <v>0</v>
      </c>
      <c r="K13" s="89"/>
    </row>
    <row r="14" spans="2:11" ht="12.95" customHeight="1">
      <c r="B14" s="14"/>
      <c r="C14" s="15"/>
      <c r="D14" s="15"/>
      <c r="E14" s="16"/>
      <c r="F14" s="26"/>
      <c r="G14" s="43"/>
      <c r="H14" s="391"/>
      <c r="I14" s="153" t="str">
        <f t="shared" si="0"/>
        <v/>
      </c>
    </row>
    <row r="15" spans="2:11" ht="12.95" customHeight="1">
      <c r="B15" s="14"/>
      <c r="C15" s="15"/>
      <c r="D15" s="15"/>
      <c r="E15" s="16"/>
      <c r="F15" s="15"/>
      <c r="G15" s="43"/>
      <c r="H15" s="391"/>
      <c r="I15" s="153" t="str">
        <f t="shared" si="0"/>
        <v/>
      </c>
    </row>
    <row r="16" spans="2:11" s="1" customFormat="1" ht="12.95" customHeight="1">
      <c r="B16" s="17"/>
      <c r="C16" s="12"/>
      <c r="D16" s="12"/>
      <c r="E16" s="9">
        <v>612000</v>
      </c>
      <c r="F16" s="12" t="s">
        <v>166</v>
      </c>
      <c r="G16" s="20">
        <f>G17+G18</f>
        <v>28500</v>
      </c>
      <c r="H16" s="392">
        <f>H17+H18</f>
        <v>33330</v>
      </c>
      <c r="I16" s="152">
        <f t="shared" si="0"/>
        <v>116.94736842105262</v>
      </c>
    </row>
    <row r="17" spans="2:9" ht="12.95" customHeight="1">
      <c r="B17" s="14"/>
      <c r="C17" s="15"/>
      <c r="D17" s="15"/>
      <c r="E17" s="16">
        <v>612100</v>
      </c>
      <c r="F17" s="18" t="s">
        <v>85</v>
      </c>
      <c r="G17" s="43">
        <v>28500</v>
      </c>
      <c r="H17" s="391">
        <f>31800+1530</f>
        <v>33330</v>
      </c>
      <c r="I17" s="153">
        <f t="shared" si="0"/>
        <v>116.94736842105262</v>
      </c>
    </row>
    <row r="18" spans="2:9" ht="12.95" customHeight="1">
      <c r="B18" s="14"/>
      <c r="C18" s="15"/>
      <c r="D18" s="15"/>
      <c r="E18" s="16"/>
      <c r="F18" s="15"/>
      <c r="G18" s="43"/>
      <c r="H18" s="43"/>
      <c r="I18" s="153" t="str">
        <f t="shared" si="0"/>
        <v/>
      </c>
    </row>
    <row r="19" spans="2:9" ht="12.95" customHeight="1">
      <c r="B19" s="14"/>
      <c r="C19" s="15"/>
      <c r="D19" s="15"/>
      <c r="E19" s="16"/>
      <c r="F19" s="15"/>
      <c r="G19" s="43"/>
      <c r="H19" s="43"/>
      <c r="I19" s="153" t="str">
        <f t="shared" si="0"/>
        <v/>
      </c>
    </row>
    <row r="20" spans="2:9" s="1" customFormat="1" ht="12.95" customHeight="1">
      <c r="B20" s="17"/>
      <c r="C20" s="12"/>
      <c r="D20" s="12"/>
      <c r="E20" s="9">
        <v>613000</v>
      </c>
      <c r="F20" s="12" t="s">
        <v>168</v>
      </c>
      <c r="G20" s="49">
        <f>SUM(G21:G31)</f>
        <v>141500</v>
      </c>
      <c r="H20" s="49">
        <f>SUM(H21:H31)</f>
        <v>117600</v>
      </c>
      <c r="I20" s="152">
        <f t="shared" si="0"/>
        <v>83.109540636042396</v>
      </c>
    </row>
    <row r="21" spans="2:9" ht="12.95" customHeight="1">
      <c r="B21" s="14"/>
      <c r="C21" s="15"/>
      <c r="D21" s="15"/>
      <c r="E21" s="16">
        <v>613100</v>
      </c>
      <c r="F21" s="15" t="s">
        <v>86</v>
      </c>
      <c r="G21" s="43">
        <v>4500</v>
      </c>
      <c r="H21" s="43">
        <v>4500</v>
      </c>
      <c r="I21" s="153">
        <f t="shared" si="0"/>
        <v>100</v>
      </c>
    </row>
    <row r="22" spans="2:9" ht="12.95" customHeight="1">
      <c r="B22" s="14"/>
      <c r="C22" s="15"/>
      <c r="D22" s="15"/>
      <c r="E22" s="16">
        <v>613200</v>
      </c>
      <c r="F22" s="15" t="s">
        <v>87</v>
      </c>
      <c r="G22" s="43">
        <v>0</v>
      </c>
      <c r="H22" s="43">
        <v>0</v>
      </c>
      <c r="I22" s="153" t="str">
        <f t="shared" si="0"/>
        <v/>
      </c>
    </row>
    <row r="23" spans="2:9" ht="12.95" customHeight="1">
      <c r="B23" s="14"/>
      <c r="C23" s="15"/>
      <c r="D23" s="15"/>
      <c r="E23" s="16">
        <v>613300</v>
      </c>
      <c r="F23" s="26" t="s">
        <v>212</v>
      </c>
      <c r="G23" s="82">
        <v>5600</v>
      </c>
      <c r="H23" s="43">
        <v>5900</v>
      </c>
      <c r="I23" s="153">
        <f t="shared" si="0"/>
        <v>105.35714285714286</v>
      </c>
    </row>
    <row r="24" spans="2:9" ht="12.95" customHeight="1">
      <c r="B24" s="14"/>
      <c r="C24" s="15"/>
      <c r="D24" s="15"/>
      <c r="E24" s="16">
        <v>613400</v>
      </c>
      <c r="F24" s="15" t="s">
        <v>169</v>
      </c>
      <c r="G24" s="43">
        <v>3000</v>
      </c>
      <c r="H24" s="43">
        <v>3000</v>
      </c>
      <c r="I24" s="153">
        <f t="shared" si="0"/>
        <v>100</v>
      </c>
    </row>
    <row r="25" spans="2:9" ht="12.95" customHeight="1">
      <c r="B25" s="14"/>
      <c r="C25" s="15"/>
      <c r="D25" s="15"/>
      <c r="E25" s="16">
        <v>613500</v>
      </c>
      <c r="F25" s="15" t="s">
        <v>88</v>
      </c>
      <c r="G25" s="82">
        <v>0</v>
      </c>
      <c r="H25" s="82">
        <v>0</v>
      </c>
      <c r="I25" s="153" t="str">
        <f t="shared" si="0"/>
        <v/>
      </c>
    </row>
    <row r="26" spans="2:9" ht="12.95" customHeight="1">
      <c r="B26" s="14"/>
      <c r="C26" s="15"/>
      <c r="D26" s="15"/>
      <c r="E26" s="16">
        <v>613600</v>
      </c>
      <c r="F26" s="26" t="s">
        <v>213</v>
      </c>
      <c r="G26" s="82">
        <v>0</v>
      </c>
      <c r="H26" s="82">
        <v>0</v>
      </c>
      <c r="I26" s="153" t="str">
        <f t="shared" si="0"/>
        <v/>
      </c>
    </row>
    <row r="27" spans="2:9" ht="12.95" customHeight="1">
      <c r="B27" s="14"/>
      <c r="C27" s="15"/>
      <c r="D27" s="15"/>
      <c r="E27" s="16">
        <v>613700</v>
      </c>
      <c r="F27" s="15" t="s">
        <v>89</v>
      </c>
      <c r="G27" s="117">
        <v>3500</v>
      </c>
      <c r="H27" s="117">
        <v>2000</v>
      </c>
      <c r="I27" s="153">
        <f t="shared" si="0"/>
        <v>57.142857142857139</v>
      </c>
    </row>
    <row r="28" spans="2:9" ht="12.95" customHeight="1">
      <c r="B28" s="14"/>
      <c r="C28" s="15"/>
      <c r="D28" s="15"/>
      <c r="E28" s="16">
        <v>613800</v>
      </c>
      <c r="F28" s="15" t="s">
        <v>170</v>
      </c>
      <c r="G28" s="82">
        <v>7200</v>
      </c>
      <c r="H28" s="82">
        <v>7200</v>
      </c>
      <c r="I28" s="153">
        <f t="shared" si="0"/>
        <v>100</v>
      </c>
    </row>
    <row r="29" spans="2:9" ht="12.95" customHeight="1">
      <c r="B29" s="14"/>
      <c r="C29" s="15"/>
      <c r="D29" s="15"/>
      <c r="E29" s="16">
        <v>613900</v>
      </c>
      <c r="F29" s="15" t="s">
        <v>171</v>
      </c>
      <c r="G29" s="166">
        <v>25000</v>
      </c>
      <c r="H29" s="166">
        <v>21500</v>
      </c>
      <c r="I29" s="153">
        <f t="shared" si="0"/>
        <v>86</v>
      </c>
    </row>
    <row r="30" spans="2:9" ht="12.95" customHeight="1">
      <c r="B30" s="14"/>
      <c r="C30" s="15"/>
      <c r="D30" s="15"/>
      <c r="E30" s="63">
        <v>613900</v>
      </c>
      <c r="F30" s="26" t="s">
        <v>706</v>
      </c>
      <c r="G30" s="82">
        <v>73500</v>
      </c>
      <c r="H30" s="82">
        <v>73500</v>
      </c>
      <c r="I30" s="153">
        <f t="shared" si="0"/>
        <v>100</v>
      </c>
    </row>
    <row r="31" spans="2:9" ht="12.95" customHeight="1">
      <c r="B31" s="14"/>
      <c r="C31" s="15"/>
      <c r="D31" s="15"/>
      <c r="E31" s="16">
        <v>613900</v>
      </c>
      <c r="F31" s="363" t="s">
        <v>701</v>
      </c>
      <c r="G31" s="82">
        <v>19200</v>
      </c>
      <c r="H31" s="82">
        <v>0</v>
      </c>
      <c r="I31" s="153">
        <f t="shared" si="0"/>
        <v>0</v>
      </c>
    </row>
    <row r="32" spans="2:9" ht="12.95" customHeight="1">
      <c r="B32" s="14"/>
      <c r="C32" s="15"/>
      <c r="D32" s="15"/>
      <c r="E32" s="63"/>
      <c r="F32" s="15"/>
      <c r="G32" s="82"/>
      <c r="H32" s="82"/>
      <c r="I32" s="153" t="str">
        <f t="shared" si="0"/>
        <v/>
      </c>
    </row>
    <row r="33" spans="2:11" s="1" customFormat="1" ht="12.95" customHeight="1">
      <c r="B33" s="17"/>
      <c r="C33" s="12"/>
      <c r="D33" s="31"/>
      <c r="E33" s="9">
        <v>614000</v>
      </c>
      <c r="F33" s="12" t="s">
        <v>214</v>
      </c>
      <c r="G33" s="108">
        <f>SUM(G34:G36)</f>
        <v>448000</v>
      </c>
      <c r="H33" s="108">
        <f>SUM(H34:H36)</f>
        <v>330000</v>
      </c>
      <c r="I33" s="152">
        <f t="shared" si="0"/>
        <v>73.660714285714292</v>
      </c>
    </row>
    <row r="34" spans="2:11" ht="12.95" customHeight="1">
      <c r="B34" s="14"/>
      <c r="C34" s="15"/>
      <c r="D34" s="30"/>
      <c r="E34" s="16">
        <v>614100</v>
      </c>
      <c r="F34" s="58" t="s">
        <v>341</v>
      </c>
      <c r="G34" s="82">
        <f>314000+28000</f>
        <v>342000</v>
      </c>
      <c r="H34" s="82">
        <v>250000</v>
      </c>
      <c r="I34" s="153">
        <f t="shared" si="0"/>
        <v>73.099415204678365</v>
      </c>
      <c r="J34" s="107"/>
      <c r="K34" s="81"/>
    </row>
    <row r="35" spans="2:11" ht="12.95" customHeight="1">
      <c r="B35" s="14"/>
      <c r="C35" s="15"/>
      <c r="D35" s="30"/>
      <c r="E35" s="61">
        <v>614800</v>
      </c>
      <c r="F35" s="58" t="s">
        <v>113</v>
      </c>
      <c r="G35" s="82">
        <v>50000</v>
      </c>
      <c r="H35" s="82">
        <v>50000</v>
      </c>
      <c r="I35" s="153">
        <f t="shared" si="0"/>
        <v>100</v>
      </c>
      <c r="J35" s="81"/>
    </row>
    <row r="36" spans="2:11" ht="12.95" customHeight="1">
      <c r="B36" s="14"/>
      <c r="C36" s="15"/>
      <c r="D36" s="30"/>
      <c r="E36" s="61">
        <v>614800</v>
      </c>
      <c r="F36" s="58" t="s">
        <v>640</v>
      </c>
      <c r="G36" s="82">
        <f>10000+22000+24000</f>
        <v>56000</v>
      </c>
      <c r="H36" s="82">
        <v>30000</v>
      </c>
      <c r="I36" s="153">
        <f t="shared" si="0"/>
        <v>53.571428571428569</v>
      </c>
      <c r="J36" s="81"/>
    </row>
    <row r="37" spans="2:11" ht="12.95" customHeight="1">
      <c r="B37" s="14"/>
      <c r="C37" s="15"/>
      <c r="D37" s="30"/>
      <c r="E37" s="103"/>
      <c r="F37" s="58"/>
      <c r="G37" s="82"/>
      <c r="H37" s="82"/>
      <c r="I37" s="153" t="str">
        <f t="shared" si="0"/>
        <v/>
      </c>
    </row>
    <row r="38" spans="2:11" ht="12.95" customHeight="1">
      <c r="B38" s="14"/>
      <c r="C38" s="15"/>
      <c r="D38" s="15"/>
      <c r="E38" s="97">
        <v>616000</v>
      </c>
      <c r="F38" s="33" t="s">
        <v>217</v>
      </c>
      <c r="G38" s="167">
        <f>SUM(G39:G41)</f>
        <v>81310</v>
      </c>
      <c r="H38" s="167">
        <f>SUM(H39:H41)</f>
        <v>80500</v>
      </c>
      <c r="I38" s="152">
        <f t="shared" si="0"/>
        <v>99.003812569179686</v>
      </c>
    </row>
    <row r="39" spans="2:11" ht="12.95" customHeight="1">
      <c r="B39" s="14"/>
      <c r="C39" s="15"/>
      <c r="D39" s="15"/>
      <c r="E39" s="76">
        <v>616300</v>
      </c>
      <c r="F39" s="66" t="s">
        <v>337</v>
      </c>
      <c r="G39" s="82">
        <v>14020</v>
      </c>
      <c r="H39" s="82">
        <v>11000</v>
      </c>
      <c r="I39" s="153">
        <f t="shared" si="0"/>
        <v>78.459343794579169</v>
      </c>
      <c r="K39" s="90"/>
    </row>
    <row r="40" spans="2:11" ht="12.95" customHeight="1">
      <c r="B40" s="14"/>
      <c r="C40" s="15"/>
      <c r="D40" s="15"/>
      <c r="E40" s="76">
        <v>616300</v>
      </c>
      <c r="F40" s="66" t="s">
        <v>224</v>
      </c>
      <c r="G40" s="82">
        <v>23440</v>
      </c>
      <c r="H40" s="82">
        <v>25000</v>
      </c>
      <c r="I40" s="153">
        <f t="shared" si="0"/>
        <v>106.65529010238907</v>
      </c>
    </row>
    <row r="41" spans="2:11" ht="12.95" customHeight="1">
      <c r="B41" s="14"/>
      <c r="C41" s="15"/>
      <c r="D41" s="15"/>
      <c r="E41" s="76">
        <v>616300</v>
      </c>
      <c r="F41" s="66" t="s">
        <v>229</v>
      </c>
      <c r="G41" s="82">
        <v>43850</v>
      </c>
      <c r="H41" s="82">
        <v>44500</v>
      </c>
      <c r="I41" s="153">
        <f t="shared" si="0"/>
        <v>101.4823261117446</v>
      </c>
    </row>
    <row r="42" spans="2:11" ht="12.95" customHeight="1">
      <c r="B42" s="14"/>
      <c r="C42" s="15"/>
      <c r="D42" s="15"/>
      <c r="E42" s="16"/>
      <c r="F42" s="15"/>
      <c r="G42" s="108"/>
      <c r="H42" s="108"/>
      <c r="I42" s="153" t="str">
        <f t="shared" si="0"/>
        <v/>
      </c>
    </row>
    <row r="43" spans="2:11" ht="12.95" customHeight="1">
      <c r="B43" s="17"/>
      <c r="C43" s="12"/>
      <c r="D43" s="12"/>
      <c r="E43" s="9">
        <v>821000</v>
      </c>
      <c r="F43" s="12" t="s">
        <v>92</v>
      </c>
      <c r="G43" s="108">
        <f>SUM(G44:G45)</f>
        <v>12000</v>
      </c>
      <c r="H43" s="108">
        <f>SUM(H44:H45)</f>
        <v>5000</v>
      </c>
      <c r="I43" s="152">
        <f t="shared" si="0"/>
        <v>41.666666666666671</v>
      </c>
    </row>
    <row r="44" spans="2:11" ht="12.95" customHeight="1">
      <c r="B44" s="14"/>
      <c r="C44" s="15"/>
      <c r="D44" s="15"/>
      <c r="E44" s="16">
        <v>821200</v>
      </c>
      <c r="F44" s="15" t="s">
        <v>93</v>
      </c>
      <c r="G44" s="117">
        <v>0</v>
      </c>
      <c r="H44" s="117">
        <v>0</v>
      </c>
      <c r="I44" s="153" t="str">
        <f t="shared" si="0"/>
        <v/>
      </c>
    </row>
    <row r="45" spans="2:11" s="1" customFormat="1" ht="12.95" customHeight="1">
      <c r="B45" s="14"/>
      <c r="C45" s="15"/>
      <c r="D45" s="15"/>
      <c r="E45" s="16">
        <v>821300</v>
      </c>
      <c r="F45" s="15" t="s">
        <v>94</v>
      </c>
      <c r="G45" s="117">
        <v>12000</v>
      </c>
      <c r="H45" s="117">
        <v>5000</v>
      </c>
      <c r="I45" s="153">
        <f t="shared" si="0"/>
        <v>41.666666666666671</v>
      </c>
    </row>
    <row r="46" spans="2:11" ht="12.95" customHeight="1">
      <c r="B46" s="14"/>
      <c r="C46" s="15"/>
      <c r="D46" s="15"/>
      <c r="E46" s="16"/>
      <c r="F46" s="15"/>
      <c r="G46" s="82"/>
      <c r="H46" s="82"/>
      <c r="I46" s="153" t="str">
        <f t="shared" si="0"/>
        <v/>
      </c>
    </row>
    <row r="47" spans="2:11" ht="12.95" customHeight="1">
      <c r="B47" s="17"/>
      <c r="C47" s="12"/>
      <c r="D47" s="12"/>
      <c r="E47" s="9">
        <v>823000</v>
      </c>
      <c r="F47" s="12" t="s">
        <v>225</v>
      </c>
      <c r="G47" s="108">
        <f>SUM(G48:G48)</f>
        <v>1384620</v>
      </c>
      <c r="H47" s="108">
        <f>SUM(H48:H48)</f>
        <v>1384620</v>
      </c>
      <c r="I47" s="152">
        <f t="shared" si="0"/>
        <v>100</v>
      </c>
    </row>
    <row r="48" spans="2:11" ht="12.95" customHeight="1">
      <c r="B48" s="14"/>
      <c r="C48" s="15"/>
      <c r="D48" s="15"/>
      <c r="E48" s="16">
        <v>823300</v>
      </c>
      <c r="F48" s="26" t="s">
        <v>331</v>
      </c>
      <c r="G48" s="117">
        <v>1384620</v>
      </c>
      <c r="H48" s="117">
        <v>1384620</v>
      </c>
      <c r="I48" s="153">
        <f t="shared" si="0"/>
        <v>100</v>
      </c>
    </row>
    <row r="49" spans="2:9" ht="12.95" customHeight="1">
      <c r="B49" s="14"/>
      <c r="C49" s="15"/>
      <c r="D49" s="15"/>
      <c r="E49" s="16"/>
      <c r="F49" s="15"/>
      <c r="G49" s="15"/>
      <c r="H49" s="15"/>
      <c r="I49" s="153" t="str">
        <f t="shared" si="0"/>
        <v/>
      </c>
    </row>
    <row r="50" spans="2:9" ht="12.95" customHeight="1">
      <c r="B50" s="17"/>
      <c r="C50" s="12"/>
      <c r="D50" s="12"/>
      <c r="E50" s="9"/>
      <c r="F50" s="12" t="s">
        <v>95</v>
      </c>
      <c r="G50" s="12">
        <v>15</v>
      </c>
      <c r="H50" s="398">
        <v>15</v>
      </c>
      <c r="I50" s="153"/>
    </row>
    <row r="51" spans="2:9" ht="12.95" customHeight="1">
      <c r="B51" s="17"/>
      <c r="C51" s="12"/>
      <c r="D51" s="12"/>
      <c r="E51" s="9"/>
      <c r="F51" s="12" t="s">
        <v>115</v>
      </c>
      <c r="G51" s="20">
        <f>G7+G10+G16+G20+G33+G38+G43+G47</f>
        <v>2457630</v>
      </c>
      <c r="H51" s="20">
        <f>H7+H10+H16+H20+H33+H38+H43+H47</f>
        <v>2335650</v>
      </c>
      <c r="I51" s="152">
        <f t="shared" si="0"/>
        <v>95.036681681131824</v>
      </c>
    </row>
    <row r="52" spans="2:9" s="1" customFormat="1" ht="12.95" customHeight="1">
      <c r="B52" s="17"/>
      <c r="C52" s="12"/>
      <c r="D52" s="12"/>
      <c r="E52" s="9"/>
      <c r="F52" s="12" t="s">
        <v>96</v>
      </c>
      <c r="G52" s="20">
        <f>G51</f>
        <v>2457630</v>
      </c>
      <c r="H52" s="20">
        <f>H51</f>
        <v>2335650</v>
      </c>
      <c r="I52" s="152">
        <f t="shared" si="0"/>
        <v>95.036681681131824</v>
      </c>
    </row>
    <row r="53" spans="2:9" s="1" customFormat="1" ht="12.95" customHeight="1">
      <c r="B53" s="17"/>
      <c r="C53" s="12"/>
      <c r="D53" s="12"/>
      <c r="E53" s="9"/>
      <c r="F53" s="12" t="s">
        <v>97</v>
      </c>
      <c r="G53" s="20">
        <f>G52</f>
        <v>2457630</v>
      </c>
      <c r="H53" s="20">
        <f>H52</f>
        <v>2335650</v>
      </c>
      <c r="I53" s="152">
        <f t="shared" si="0"/>
        <v>95.036681681131824</v>
      </c>
    </row>
    <row r="54" spans="2:9" s="1" customFormat="1" ht="12.95" customHeight="1" thickBot="1">
      <c r="B54" s="21"/>
      <c r="C54" s="22"/>
      <c r="D54" s="22"/>
      <c r="E54" s="23"/>
      <c r="F54" s="22"/>
      <c r="G54" s="48"/>
      <c r="H54" s="22"/>
      <c r="I54" s="156"/>
    </row>
    <row r="55" spans="2:9" s="1" customFormat="1" ht="12.95" customHeight="1">
      <c r="B55" s="13"/>
      <c r="C55" s="13"/>
      <c r="D55" s="13"/>
      <c r="E55" s="24"/>
      <c r="F55" s="13"/>
      <c r="G55" s="13"/>
      <c r="H55" s="13"/>
      <c r="I55" s="140"/>
    </row>
    <row r="56" spans="2:9" ht="12.95" customHeight="1"/>
  </sheetData>
  <mergeCells count="2">
    <mergeCell ref="B2:H2"/>
    <mergeCell ref="F3:G3"/>
  </mergeCells>
  <phoneticPr fontId="2" type="noConversion"/>
  <pageMargins left="0.19685039370078741" right="0.19685039370078741" top="0.59055118110236227" bottom="0.59055118110236227" header="0.51181102362204722" footer="0.51181102362204722"/>
  <pageSetup paperSize="9" scale="88" firstPageNumber="10" orientation="portrait" useFirstPageNumber="1" horizontalDpi="180" verticalDpi="180" r:id="rId1"/>
  <headerFooter alignWithMargins="0">
    <oddFooter>&amp;R23</oddFooter>
  </headerFooter>
  <colBreaks count="1" manualBreakCount="1">
    <brk id="9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20"/>
  <dimension ref="B2:K50"/>
  <sheetViews>
    <sheetView topLeftCell="C1" zoomScaleSheetLayoutView="130" workbookViewId="0">
      <selection activeCell="G7" sqref="G7:G39"/>
    </sheetView>
  </sheetViews>
  <sheetFormatPr defaultRowHeight="12.75"/>
  <cols>
    <col min="1" max="1" width="1.5703125" style="13" customWidth="1"/>
    <col min="2" max="4" width="5.7109375" style="13" bestFit="1" customWidth="1"/>
    <col min="5" max="5" width="10.5703125" style="24" customWidth="1"/>
    <col min="6" max="6" width="43.7109375" style="13" customWidth="1"/>
    <col min="7" max="8" width="15.7109375" style="13" customWidth="1"/>
    <col min="9" max="9" width="8.7109375" style="140" customWidth="1"/>
    <col min="10" max="16384" width="9.140625" style="13"/>
  </cols>
  <sheetData>
    <row r="2" spans="2:11" ht="15" customHeight="1">
      <c r="B2" s="448" t="s">
        <v>141</v>
      </c>
      <c r="C2" s="448"/>
      <c r="D2" s="448"/>
      <c r="E2" s="448"/>
      <c r="F2" s="448"/>
      <c r="G2" s="448"/>
      <c r="H2" s="448"/>
      <c r="I2" s="146"/>
    </row>
    <row r="3" spans="2:11" s="1" customFormat="1" ht="16.5" thickBot="1">
      <c r="E3" s="2"/>
      <c r="F3" s="449"/>
      <c r="G3" s="449"/>
      <c r="H3" s="181"/>
      <c r="I3" s="182"/>
    </row>
    <row r="4" spans="2:11" s="1" customFormat="1" ht="76.5" customHeight="1">
      <c r="B4" s="3" t="s">
        <v>79</v>
      </c>
      <c r="C4" s="4" t="s">
        <v>80</v>
      </c>
      <c r="D4" s="5" t="s">
        <v>112</v>
      </c>
      <c r="E4" s="6" t="s">
        <v>81</v>
      </c>
      <c r="F4" s="7" t="s">
        <v>82</v>
      </c>
      <c r="G4" s="316" t="s">
        <v>557</v>
      </c>
      <c r="H4" s="316" t="s">
        <v>683</v>
      </c>
      <c r="I4" s="149" t="s">
        <v>497</v>
      </c>
    </row>
    <row r="5" spans="2:11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34">
        <v>6</v>
      </c>
      <c r="H5" s="9">
        <v>7</v>
      </c>
      <c r="I5" s="150">
        <v>8</v>
      </c>
    </row>
    <row r="6" spans="2:11" s="2" customFormat="1" ht="12.95" customHeight="1">
      <c r="B6" s="10" t="s">
        <v>142</v>
      </c>
      <c r="C6" s="11" t="s">
        <v>83</v>
      </c>
      <c r="D6" s="11" t="s">
        <v>84</v>
      </c>
      <c r="E6" s="9"/>
      <c r="F6" s="9"/>
      <c r="G6" s="34"/>
      <c r="H6" s="9"/>
      <c r="I6" s="151"/>
    </row>
    <row r="7" spans="2:11" s="1" customFormat="1" ht="12.95" customHeight="1">
      <c r="B7" s="17"/>
      <c r="C7" s="12"/>
      <c r="D7" s="12"/>
      <c r="E7" s="9">
        <v>611000</v>
      </c>
      <c r="F7" s="12" t="s">
        <v>167</v>
      </c>
      <c r="G7" s="20">
        <f>SUM(G8:G11)</f>
        <v>231180</v>
      </c>
      <c r="H7" s="392">
        <f>SUM(H8:H11)</f>
        <v>231460</v>
      </c>
      <c r="I7" s="152">
        <f t="shared" ref="I7:I42" si="0">IF(G7=0,"",H7/G7*100)</f>
        <v>100.12111774374945</v>
      </c>
    </row>
    <row r="8" spans="2:11" ht="12.95" customHeight="1">
      <c r="B8" s="14"/>
      <c r="C8" s="15"/>
      <c r="D8" s="15"/>
      <c r="E8" s="16">
        <v>611100</v>
      </c>
      <c r="F8" s="26" t="s">
        <v>210</v>
      </c>
      <c r="G8" s="82">
        <v>147200</v>
      </c>
      <c r="H8" s="391">
        <f>148400+35100+7400+1760</f>
        <v>192660</v>
      </c>
      <c r="I8" s="153">
        <f t="shared" si="0"/>
        <v>130.88315217391303</v>
      </c>
    </row>
    <row r="9" spans="2:11" ht="12.95" customHeight="1">
      <c r="B9" s="14"/>
      <c r="C9" s="15"/>
      <c r="D9" s="15"/>
      <c r="E9" s="16">
        <v>611200</v>
      </c>
      <c r="F9" s="15" t="s">
        <v>211</v>
      </c>
      <c r="G9" s="82">
        <f>32100+7*240</f>
        <v>33780</v>
      </c>
      <c r="H9" s="391">
        <f>31900+6900</f>
        <v>38800</v>
      </c>
      <c r="I9" s="153">
        <f t="shared" si="0"/>
        <v>114.86086441681469</v>
      </c>
    </row>
    <row r="10" spans="2:11" ht="12.95" customHeight="1">
      <c r="B10" s="14"/>
      <c r="C10" s="15"/>
      <c r="D10" s="15"/>
      <c r="E10" s="16">
        <v>611200</v>
      </c>
      <c r="F10" s="363" t="s">
        <v>699</v>
      </c>
      <c r="G10" s="82">
        <v>50200</v>
      </c>
      <c r="H10" s="391">
        <v>0</v>
      </c>
      <c r="I10" s="153">
        <f t="shared" si="0"/>
        <v>0</v>
      </c>
      <c r="K10" s="89"/>
    </row>
    <row r="11" spans="2:11" ht="12.95" customHeight="1">
      <c r="B11" s="14"/>
      <c r="C11" s="15"/>
      <c r="D11" s="15"/>
      <c r="E11" s="16"/>
      <c r="F11" s="26"/>
      <c r="G11" s="43"/>
      <c r="H11" s="391"/>
      <c r="I11" s="153" t="str">
        <f t="shared" si="0"/>
        <v/>
      </c>
    </row>
    <row r="12" spans="2:11" ht="12.95" customHeight="1">
      <c r="B12" s="14"/>
      <c r="C12" s="15"/>
      <c r="D12" s="15"/>
      <c r="E12" s="16"/>
      <c r="F12" s="15"/>
      <c r="G12" s="20"/>
      <c r="H12" s="392"/>
      <c r="I12" s="153" t="str">
        <f t="shared" si="0"/>
        <v/>
      </c>
    </row>
    <row r="13" spans="2:11" s="1" customFormat="1" ht="12.95" customHeight="1">
      <c r="B13" s="17"/>
      <c r="C13" s="12"/>
      <c r="D13" s="12"/>
      <c r="E13" s="9">
        <v>612000</v>
      </c>
      <c r="F13" s="12" t="s">
        <v>166</v>
      </c>
      <c r="G13" s="20">
        <f>G14</f>
        <v>15900</v>
      </c>
      <c r="H13" s="392">
        <f>H14</f>
        <v>21580</v>
      </c>
      <c r="I13" s="152">
        <f t="shared" si="0"/>
        <v>135.72327044025155</v>
      </c>
    </row>
    <row r="14" spans="2:11" ht="12.95" customHeight="1">
      <c r="B14" s="14"/>
      <c r="C14" s="15"/>
      <c r="D14" s="15"/>
      <c r="E14" s="16">
        <v>612100</v>
      </c>
      <c r="F14" s="18" t="s">
        <v>85</v>
      </c>
      <c r="G14" s="82">
        <v>15900</v>
      </c>
      <c r="H14" s="391">
        <f>16700+3900+780+200</f>
        <v>21580</v>
      </c>
      <c r="I14" s="153">
        <f t="shared" si="0"/>
        <v>135.72327044025155</v>
      </c>
    </row>
    <row r="15" spans="2:11" ht="12.95" customHeight="1">
      <c r="B15" s="14"/>
      <c r="C15" s="15"/>
      <c r="D15" s="15"/>
      <c r="E15" s="16"/>
      <c r="F15" s="15"/>
      <c r="G15" s="43"/>
      <c r="H15" s="43"/>
      <c r="I15" s="153" t="str">
        <f t="shared" si="0"/>
        <v/>
      </c>
    </row>
    <row r="16" spans="2:11" ht="12.95" customHeight="1">
      <c r="B16" s="14"/>
      <c r="C16" s="15"/>
      <c r="D16" s="15"/>
      <c r="E16" s="16"/>
      <c r="F16" s="15"/>
      <c r="G16" s="49"/>
      <c r="H16" s="49"/>
      <c r="I16" s="153" t="str">
        <f t="shared" si="0"/>
        <v/>
      </c>
    </row>
    <row r="17" spans="2:11" s="1" customFormat="1" ht="12.95" customHeight="1">
      <c r="B17" s="17"/>
      <c r="C17" s="12"/>
      <c r="D17" s="12"/>
      <c r="E17" s="9">
        <v>613000</v>
      </c>
      <c r="F17" s="12" t="s">
        <v>168</v>
      </c>
      <c r="G17" s="49">
        <f>SUM(G18:G27)</f>
        <v>141790</v>
      </c>
      <c r="H17" s="49">
        <f>SUM(H18:H27)</f>
        <v>92610</v>
      </c>
      <c r="I17" s="152">
        <f t="shared" si="0"/>
        <v>65.314902320332891</v>
      </c>
      <c r="K17" s="91"/>
    </row>
    <row r="18" spans="2:11" ht="12.95" customHeight="1">
      <c r="B18" s="14"/>
      <c r="C18" s="15"/>
      <c r="D18" s="15"/>
      <c r="E18" s="16">
        <v>613100</v>
      </c>
      <c r="F18" s="15" t="s">
        <v>86</v>
      </c>
      <c r="G18" s="43">
        <v>4000</v>
      </c>
      <c r="H18" s="43">
        <v>3510</v>
      </c>
      <c r="I18" s="153">
        <f t="shared" si="0"/>
        <v>87.75</v>
      </c>
    </row>
    <row r="19" spans="2:11" ht="12.95" customHeight="1">
      <c r="B19" s="14"/>
      <c r="C19" s="15"/>
      <c r="D19" s="15"/>
      <c r="E19" s="16">
        <v>613200</v>
      </c>
      <c r="F19" s="15" t="s">
        <v>87</v>
      </c>
      <c r="G19" s="43">
        <v>0</v>
      </c>
      <c r="H19" s="43">
        <v>0</v>
      </c>
      <c r="I19" s="153" t="str">
        <f t="shared" si="0"/>
        <v/>
      </c>
    </row>
    <row r="20" spans="2:11" ht="12.95" customHeight="1">
      <c r="B20" s="14"/>
      <c r="C20" s="15"/>
      <c r="D20" s="15"/>
      <c r="E20" s="16">
        <v>613300</v>
      </c>
      <c r="F20" s="26" t="s">
        <v>212</v>
      </c>
      <c r="G20" s="43">
        <v>15000</v>
      </c>
      <c r="H20" s="43">
        <v>15000</v>
      </c>
      <c r="I20" s="153">
        <f t="shared" si="0"/>
        <v>100</v>
      </c>
    </row>
    <row r="21" spans="2:11" ht="12.95" customHeight="1">
      <c r="B21" s="14"/>
      <c r="C21" s="15"/>
      <c r="D21" s="15"/>
      <c r="E21" s="16">
        <v>613400</v>
      </c>
      <c r="F21" s="15" t="s">
        <v>169</v>
      </c>
      <c r="G21" s="82">
        <v>600</v>
      </c>
      <c r="H21" s="82">
        <v>600</v>
      </c>
      <c r="I21" s="153">
        <f t="shared" si="0"/>
        <v>100</v>
      </c>
    </row>
    <row r="22" spans="2:11" ht="12.95" customHeight="1">
      <c r="B22" s="14"/>
      <c r="C22" s="15"/>
      <c r="D22" s="15"/>
      <c r="E22" s="16">
        <v>613500</v>
      </c>
      <c r="F22" s="15" t="s">
        <v>88</v>
      </c>
      <c r="G22" s="82">
        <v>0</v>
      </c>
      <c r="H22" s="82">
        <v>0</v>
      </c>
      <c r="I22" s="153" t="str">
        <f t="shared" si="0"/>
        <v/>
      </c>
    </row>
    <row r="23" spans="2:11" ht="12.95" customHeight="1">
      <c r="B23" s="14"/>
      <c r="C23" s="15"/>
      <c r="D23" s="15"/>
      <c r="E23" s="16">
        <v>613600</v>
      </c>
      <c r="F23" s="26" t="s">
        <v>213</v>
      </c>
      <c r="G23" s="82">
        <v>0</v>
      </c>
      <c r="H23" s="82">
        <v>0</v>
      </c>
      <c r="I23" s="153" t="str">
        <f t="shared" si="0"/>
        <v/>
      </c>
    </row>
    <row r="24" spans="2:11" ht="12.95" customHeight="1">
      <c r="B24" s="14"/>
      <c r="C24" s="15"/>
      <c r="D24" s="15"/>
      <c r="E24" s="16">
        <v>613700</v>
      </c>
      <c r="F24" s="15" t="s">
        <v>89</v>
      </c>
      <c r="G24" s="82">
        <v>1000</v>
      </c>
      <c r="H24" s="82">
        <v>3500</v>
      </c>
      <c r="I24" s="153">
        <f t="shared" si="0"/>
        <v>350</v>
      </c>
    </row>
    <row r="25" spans="2:11" ht="12.95" customHeight="1">
      <c r="B25" s="14"/>
      <c r="C25" s="15"/>
      <c r="D25" s="15"/>
      <c r="E25" s="16">
        <v>613800</v>
      </c>
      <c r="F25" s="15" t="s">
        <v>170</v>
      </c>
      <c r="G25" s="82">
        <v>0</v>
      </c>
      <c r="H25" s="82">
        <v>0</v>
      </c>
      <c r="I25" s="153" t="str">
        <f t="shared" si="0"/>
        <v/>
      </c>
    </row>
    <row r="26" spans="2:11" ht="12.95" customHeight="1">
      <c r="B26" s="14"/>
      <c r="C26" s="15"/>
      <c r="D26" s="15"/>
      <c r="E26" s="16">
        <v>613900</v>
      </c>
      <c r="F26" s="15" t="s">
        <v>171</v>
      </c>
      <c r="G26" s="117">
        <v>69490</v>
      </c>
      <c r="H26" s="117">
        <v>70000</v>
      </c>
      <c r="I26" s="153">
        <f t="shared" si="0"/>
        <v>100.73391854943156</v>
      </c>
    </row>
    <row r="27" spans="2:11" ht="12.95" customHeight="1">
      <c r="B27" s="14"/>
      <c r="C27" s="15"/>
      <c r="D27" s="15"/>
      <c r="E27" s="16">
        <v>613900</v>
      </c>
      <c r="F27" s="363" t="s">
        <v>701</v>
      </c>
      <c r="G27" s="82">
        <v>51700</v>
      </c>
      <c r="H27" s="82">
        <v>0</v>
      </c>
      <c r="I27" s="153">
        <f t="shared" si="0"/>
        <v>0</v>
      </c>
    </row>
    <row r="28" spans="2:11" ht="12.95" customHeight="1">
      <c r="B28" s="14"/>
      <c r="C28" s="15"/>
      <c r="D28" s="15"/>
      <c r="E28" s="16"/>
      <c r="F28" s="15"/>
      <c r="G28" s="108"/>
      <c r="H28" s="108"/>
      <c r="I28" s="153" t="str">
        <f t="shared" si="0"/>
        <v/>
      </c>
    </row>
    <row r="29" spans="2:11" s="1" customFormat="1" ht="12.95" customHeight="1">
      <c r="B29" s="17"/>
      <c r="C29" s="12"/>
      <c r="D29" s="12"/>
      <c r="E29" s="9">
        <v>614000</v>
      </c>
      <c r="F29" s="12" t="s">
        <v>214</v>
      </c>
      <c r="G29" s="108">
        <f>SUM(G30:G31)</f>
        <v>2362000</v>
      </c>
      <c r="H29" s="108">
        <f>SUM(H30:H31)</f>
        <v>3000000</v>
      </c>
      <c r="I29" s="152">
        <f t="shared" si="0"/>
        <v>127.01100762066046</v>
      </c>
    </row>
    <row r="30" spans="2:11" ht="12.95" customHeight="1">
      <c r="B30" s="14"/>
      <c r="C30" s="15"/>
      <c r="D30" s="30"/>
      <c r="E30" s="16">
        <v>614100</v>
      </c>
      <c r="F30" s="26" t="s">
        <v>227</v>
      </c>
      <c r="G30" s="117">
        <v>490000</v>
      </c>
      <c r="H30" s="117">
        <v>300000</v>
      </c>
      <c r="I30" s="153">
        <f t="shared" si="0"/>
        <v>61.224489795918366</v>
      </c>
    </row>
    <row r="31" spans="2:11" ht="12.95" customHeight="1">
      <c r="B31" s="14"/>
      <c r="C31" s="15"/>
      <c r="D31" s="15"/>
      <c r="E31" s="16">
        <v>614200</v>
      </c>
      <c r="F31" s="26" t="s">
        <v>107</v>
      </c>
      <c r="G31" s="117">
        <v>1872000</v>
      </c>
      <c r="H31" s="117">
        <v>2700000</v>
      </c>
      <c r="I31" s="153">
        <f t="shared" si="0"/>
        <v>144.23076923076923</v>
      </c>
    </row>
    <row r="32" spans="2:11" ht="12.95" customHeight="1">
      <c r="B32" s="14"/>
      <c r="C32" s="15"/>
      <c r="D32" s="15"/>
      <c r="E32" s="16"/>
      <c r="F32" s="15"/>
      <c r="G32" s="82"/>
      <c r="H32" s="82"/>
      <c r="I32" s="153" t="str">
        <f t="shared" si="0"/>
        <v/>
      </c>
    </row>
    <row r="33" spans="2:10" ht="12.95" customHeight="1">
      <c r="B33" s="14"/>
      <c r="C33" s="15"/>
      <c r="D33" s="15"/>
      <c r="E33" s="16"/>
      <c r="F33" s="15"/>
      <c r="G33" s="108"/>
      <c r="H33" s="108"/>
      <c r="I33" s="153" t="str">
        <f t="shared" si="0"/>
        <v/>
      </c>
    </row>
    <row r="34" spans="2:10" ht="12.95" customHeight="1">
      <c r="B34" s="17"/>
      <c r="C34" s="12"/>
      <c r="D34" s="12"/>
      <c r="E34" s="9">
        <v>821000</v>
      </c>
      <c r="F34" s="12" t="s">
        <v>92</v>
      </c>
      <c r="G34" s="108">
        <f>G35+G36</f>
        <v>1500</v>
      </c>
      <c r="H34" s="108">
        <f>H35+H36</f>
        <v>1500</v>
      </c>
      <c r="I34" s="152">
        <f t="shared" si="0"/>
        <v>100</v>
      </c>
    </row>
    <row r="35" spans="2:10" s="1" customFormat="1" ht="12.95" customHeight="1">
      <c r="B35" s="14"/>
      <c r="C35" s="15"/>
      <c r="D35" s="15"/>
      <c r="E35" s="16">
        <v>821200</v>
      </c>
      <c r="F35" s="15" t="s">
        <v>93</v>
      </c>
      <c r="G35" s="82">
        <v>0</v>
      </c>
      <c r="H35" s="82">
        <v>0</v>
      </c>
      <c r="I35" s="153" t="str">
        <f t="shared" si="0"/>
        <v/>
      </c>
      <c r="J35" s="1" t="s">
        <v>179</v>
      </c>
    </row>
    <row r="36" spans="2:10" ht="12.95" customHeight="1">
      <c r="B36" s="14"/>
      <c r="C36" s="15"/>
      <c r="D36" s="15"/>
      <c r="E36" s="16">
        <v>821300</v>
      </c>
      <c r="F36" s="15" t="s">
        <v>94</v>
      </c>
      <c r="G36" s="82">
        <v>1500</v>
      </c>
      <c r="H36" s="82">
        <v>1500</v>
      </c>
      <c r="I36" s="153">
        <f t="shared" si="0"/>
        <v>100</v>
      </c>
    </row>
    <row r="37" spans="2:10" ht="12.95" customHeight="1">
      <c r="B37" s="14"/>
      <c r="C37" s="15"/>
      <c r="D37" s="15"/>
      <c r="E37" s="16"/>
      <c r="F37" s="15"/>
      <c r="G37" s="82"/>
      <c r="H37" s="82"/>
      <c r="I37" s="153" t="str">
        <f t="shared" si="0"/>
        <v/>
      </c>
    </row>
    <row r="38" spans="2:10" ht="12.95" customHeight="1">
      <c r="B38" s="14"/>
      <c r="C38" s="15"/>
      <c r="D38" s="15"/>
      <c r="E38" s="16"/>
      <c r="F38" s="15"/>
      <c r="G38" s="20"/>
      <c r="H38" s="20"/>
      <c r="I38" s="153" t="str">
        <f t="shared" si="0"/>
        <v/>
      </c>
    </row>
    <row r="39" spans="2:10" ht="12.95" customHeight="1">
      <c r="B39" s="17"/>
      <c r="C39" s="12"/>
      <c r="D39" s="12"/>
      <c r="E39" s="9"/>
      <c r="F39" s="12" t="s">
        <v>95</v>
      </c>
      <c r="G39" s="108">
        <v>7</v>
      </c>
      <c r="H39" s="108">
        <v>10</v>
      </c>
      <c r="I39" s="153"/>
    </row>
    <row r="40" spans="2:10" s="1" customFormat="1" ht="12.95" customHeight="1">
      <c r="B40" s="17"/>
      <c r="C40" s="12"/>
      <c r="D40" s="12"/>
      <c r="E40" s="9"/>
      <c r="F40" s="12" t="s">
        <v>115</v>
      </c>
      <c r="G40" s="20">
        <f>G7+G13+G17+G29+G34</f>
        <v>2752370</v>
      </c>
      <c r="H40" s="20">
        <f>H7+H13+H17+H29+H34</f>
        <v>3347150</v>
      </c>
      <c r="I40" s="152">
        <f t="shared" si="0"/>
        <v>121.60973996955352</v>
      </c>
    </row>
    <row r="41" spans="2:10" s="1" customFormat="1" ht="12.95" customHeight="1">
      <c r="B41" s="17"/>
      <c r="C41" s="12"/>
      <c r="D41" s="12"/>
      <c r="E41" s="9"/>
      <c r="F41" s="12" t="s">
        <v>96</v>
      </c>
      <c r="G41" s="20">
        <f>G40</f>
        <v>2752370</v>
      </c>
      <c r="H41" s="20">
        <f>H40</f>
        <v>3347150</v>
      </c>
      <c r="I41" s="152">
        <f t="shared" si="0"/>
        <v>121.60973996955352</v>
      </c>
    </row>
    <row r="42" spans="2:10" s="1" customFormat="1" ht="12.95" customHeight="1">
      <c r="B42" s="17"/>
      <c r="C42" s="12"/>
      <c r="D42" s="12"/>
      <c r="E42" s="9"/>
      <c r="F42" s="12" t="s">
        <v>97</v>
      </c>
      <c r="G42" s="20">
        <f>G41</f>
        <v>2752370</v>
      </c>
      <c r="H42" s="20">
        <f>H41</f>
        <v>3347150</v>
      </c>
      <c r="I42" s="152">
        <f t="shared" si="0"/>
        <v>121.60973996955352</v>
      </c>
    </row>
    <row r="43" spans="2:10" s="1" customFormat="1" ht="12.95" customHeight="1" thickBot="1">
      <c r="B43" s="21"/>
      <c r="C43" s="22"/>
      <c r="D43" s="22"/>
      <c r="E43" s="23"/>
      <c r="F43" s="22"/>
      <c r="G43" s="48"/>
      <c r="H43" s="22"/>
      <c r="I43" s="156"/>
    </row>
    <row r="44" spans="2:10" ht="12.95" customHeight="1"/>
    <row r="46" spans="2:10">
      <c r="B46" s="81"/>
    </row>
    <row r="47" spans="2:10">
      <c r="B47" s="81"/>
    </row>
    <row r="48" spans="2:10">
      <c r="B48" s="81"/>
    </row>
    <row r="49" spans="2:2">
      <c r="B49" s="81"/>
    </row>
    <row r="50" spans="2:2">
      <c r="B50" s="81"/>
    </row>
  </sheetData>
  <mergeCells count="2">
    <mergeCell ref="B2:H2"/>
    <mergeCell ref="F3:G3"/>
  </mergeCells>
  <phoneticPr fontId="2" type="noConversion"/>
  <pageMargins left="0.19685039370078741" right="0.19685039370078741" top="0.59055118110236227" bottom="0.59055118110236227" header="0.51181102362204722" footer="0.51181102362204722"/>
  <pageSetup paperSize="9" scale="88" firstPageNumber="10" orientation="portrait" useFirstPageNumber="1" horizontalDpi="180" verticalDpi="180" r:id="rId1"/>
  <headerFooter alignWithMargins="0">
    <oddFooter>&amp;R24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21"/>
  <dimension ref="B2:K50"/>
  <sheetViews>
    <sheetView topLeftCell="C10" zoomScaleSheetLayoutView="100" workbookViewId="0">
      <selection activeCell="G7" sqref="G7:G42"/>
    </sheetView>
  </sheetViews>
  <sheetFormatPr defaultRowHeight="12.75"/>
  <cols>
    <col min="1" max="1" width="1.5703125" style="13" customWidth="1"/>
    <col min="2" max="4" width="5.7109375" style="13" bestFit="1" customWidth="1"/>
    <col min="5" max="5" width="11" style="24" customWidth="1"/>
    <col min="6" max="6" width="43.7109375" style="13" customWidth="1"/>
    <col min="7" max="7" width="15.7109375" style="13" customWidth="1"/>
    <col min="8" max="8" width="15.7109375" style="90" customWidth="1"/>
    <col min="9" max="9" width="8.7109375" style="140" customWidth="1"/>
    <col min="10" max="16384" width="9.140625" style="13"/>
  </cols>
  <sheetData>
    <row r="2" spans="2:11" ht="15" customHeight="1">
      <c r="B2" s="448" t="s">
        <v>182</v>
      </c>
      <c r="C2" s="448"/>
      <c r="D2" s="448"/>
      <c r="E2" s="448"/>
      <c r="F2" s="448"/>
      <c r="G2" s="448"/>
    </row>
    <row r="3" spans="2:11" s="1" customFormat="1" ht="16.5" thickBot="1">
      <c r="E3" s="2"/>
      <c r="F3" s="449"/>
      <c r="G3" s="449"/>
      <c r="H3" s="181"/>
      <c r="I3" s="182"/>
    </row>
    <row r="4" spans="2:11" s="1" customFormat="1" ht="76.5" customHeight="1">
      <c r="B4" s="3" t="s">
        <v>79</v>
      </c>
      <c r="C4" s="4" t="s">
        <v>80</v>
      </c>
      <c r="D4" s="5" t="s">
        <v>112</v>
      </c>
      <c r="E4" s="6" t="s">
        <v>81</v>
      </c>
      <c r="F4" s="7" t="s">
        <v>82</v>
      </c>
      <c r="G4" s="316" t="s">
        <v>557</v>
      </c>
      <c r="H4" s="316" t="s">
        <v>683</v>
      </c>
      <c r="I4" s="149" t="s">
        <v>497</v>
      </c>
    </row>
    <row r="5" spans="2:11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34">
        <v>6</v>
      </c>
      <c r="H5" s="9">
        <v>7</v>
      </c>
      <c r="I5" s="150">
        <v>8</v>
      </c>
    </row>
    <row r="6" spans="2:11" s="2" customFormat="1" ht="12.95" customHeight="1">
      <c r="B6" s="10" t="s">
        <v>143</v>
      </c>
      <c r="C6" s="11" t="s">
        <v>83</v>
      </c>
      <c r="D6" s="11" t="s">
        <v>84</v>
      </c>
      <c r="E6" s="9"/>
      <c r="F6" s="9"/>
      <c r="G6" s="34"/>
      <c r="H6" s="165"/>
      <c r="I6" s="151"/>
    </row>
    <row r="7" spans="2:11" s="1" customFormat="1" ht="12.95" customHeight="1">
      <c r="B7" s="17"/>
      <c r="C7" s="12"/>
      <c r="D7" s="12"/>
      <c r="E7" s="9">
        <v>611000</v>
      </c>
      <c r="F7" s="12" t="s">
        <v>167</v>
      </c>
      <c r="G7" s="20">
        <f>SUM(G8:G11)</f>
        <v>219910</v>
      </c>
      <c r="H7" s="392">
        <f>SUM(H8:H11)</f>
        <v>221810</v>
      </c>
      <c r="I7" s="152">
        <f t="shared" ref="I7:I45" si="0">IF(G7=0,"",H7/G7*100)</f>
        <v>100.86398981401483</v>
      </c>
    </row>
    <row r="8" spans="2:11" ht="12.95" customHeight="1">
      <c r="B8" s="14"/>
      <c r="C8" s="15"/>
      <c r="D8" s="15"/>
      <c r="E8" s="16">
        <v>611100</v>
      </c>
      <c r="F8" s="26" t="s">
        <v>210</v>
      </c>
      <c r="G8" s="117">
        <v>171500</v>
      </c>
      <c r="H8" s="394">
        <f>174200+8610</f>
        <v>182810</v>
      </c>
      <c r="I8" s="153">
        <f t="shared" si="0"/>
        <v>106.59475218658892</v>
      </c>
    </row>
    <row r="9" spans="2:11" ht="12.95" customHeight="1">
      <c r="B9" s="14"/>
      <c r="C9" s="15"/>
      <c r="D9" s="15"/>
      <c r="E9" s="16">
        <v>611200</v>
      </c>
      <c r="F9" s="15" t="s">
        <v>211</v>
      </c>
      <c r="G9" s="117">
        <f>39900+9*240</f>
        <v>42060</v>
      </c>
      <c r="H9" s="394">
        <f>37500+1500</f>
        <v>39000</v>
      </c>
      <c r="I9" s="153">
        <f t="shared" si="0"/>
        <v>92.724679029957201</v>
      </c>
    </row>
    <row r="10" spans="2:11" ht="12.95" customHeight="1">
      <c r="B10" s="14"/>
      <c r="C10" s="15"/>
      <c r="D10" s="15"/>
      <c r="E10" s="16">
        <v>611200</v>
      </c>
      <c r="F10" s="363" t="s">
        <v>699</v>
      </c>
      <c r="G10" s="82">
        <v>6350</v>
      </c>
      <c r="H10" s="391">
        <v>0</v>
      </c>
      <c r="I10" s="153">
        <f t="shared" si="0"/>
        <v>0</v>
      </c>
      <c r="K10" s="89"/>
    </row>
    <row r="11" spans="2:11" ht="12.95" customHeight="1">
      <c r="B11" s="14"/>
      <c r="C11" s="15"/>
      <c r="D11" s="15"/>
      <c r="E11" s="16"/>
      <c r="F11" s="26"/>
      <c r="G11" s="44"/>
      <c r="H11" s="394"/>
      <c r="I11" s="153" t="str">
        <f t="shared" si="0"/>
        <v/>
      </c>
    </row>
    <row r="12" spans="2:11" ht="12.95" customHeight="1">
      <c r="B12" s="14"/>
      <c r="C12" s="15"/>
      <c r="D12" s="15"/>
      <c r="E12" s="16"/>
      <c r="F12" s="15"/>
      <c r="G12" s="20"/>
      <c r="H12" s="392"/>
      <c r="I12" s="153" t="str">
        <f t="shared" si="0"/>
        <v/>
      </c>
    </row>
    <row r="13" spans="2:11" s="1" customFormat="1" ht="12.95" customHeight="1">
      <c r="B13" s="17"/>
      <c r="C13" s="12"/>
      <c r="D13" s="12"/>
      <c r="E13" s="9">
        <v>612000</v>
      </c>
      <c r="F13" s="12" t="s">
        <v>166</v>
      </c>
      <c r="G13" s="20">
        <f>G14</f>
        <v>18500</v>
      </c>
      <c r="H13" s="392">
        <f>H14</f>
        <v>20330</v>
      </c>
      <c r="I13" s="152">
        <f t="shared" si="0"/>
        <v>109.8918918918919</v>
      </c>
    </row>
    <row r="14" spans="2:11" ht="12.95" customHeight="1">
      <c r="B14" s="14"/>
      <c r="C14" s="15"/>
      <c r="D14" s="15"/>
      <c r="E14" s="16">
        <v>612100</v>
      </c>
      <c r="F14" s="18" t="s">
        <v>85</v>
      </c>
      <c r="G14" s="117">
        <v>18500</v>
      </c>
      <c r="H14" s="394">
        <f>19400+930</f>
        <v>20330</v>
      </c>
      <c r="I14" s="153">
        <f t="shared" si="0"/>
        <v>109.8918918918919</v>
      </c>
    </row>
    <row r="15" spans="2:11" ht="12.95" customHeight="1">
      <c r="B15" s="14"/>
      <c r="C15" s="15"/>
      <c r="D15" s="15"/>
      <c r="E15" s="16"/>
      <c r="F15" s="15"/>
      <c r="G15" s="44"/>
      <c r="H15" s="44"/>
      <c r="I15" s="153" t="str">
        <f t="shared" si="0"/>
        <v/>
      </c>
    </row>
    <row r="16" spans="2:11" ht="12.95" customHeight="1">
      <c r="B16" s="14"/>
      <c r="C16" s="15"/>
      <c r="D16" s="15"/>
      <c r="E16" s="16"/>
      <c r="F16" s="15"/>
      <c r="G16" s="20"/>
      <c r="H16" s="20"/>
      <c r="I16" s="153" t="str">
        <f t="shared" si="0"/>
        <v/>
      </c>
    </row>
    <row r="17" spans="2:10" s="1" customFormat="1" ht="12.95" customHeight="1">
      <c r="B17" s="17"/>
      <c r="C17" s="12"/>
      <c r="D17" s="12"/>
      <c r="E17" s="9">
        <v>613000</v>
      </c>
      <c r="F17" s="12" t="s">
        <v>168</v>
      </c>
      <c r="G17" s="49">
        <f>SUM(G18:G28)</f>
        <v>415650</v>
      </c>
      <c r="H17" s="49">
        <f>SUM(H18:H28)</f>
        <v>317800</v>
      </c>
      <c r="I17" s="152">
        <f t="shared" si="0"/>
        <v>76.458558883676176</v>
      </c>
    </row>
    <row r="18" spans="2:10" ht="12.95" customHeight="1">
      <c r="B18" s="14"/>
      <c r="C18" s="15"/>
      <c r="D18" s="15"/>
      <c r="E18" s="16">
        <v>613100</v>
      </c>
      <c r="F18" s="15" t="s">
        <v>86</v>
      </c>
      <c r="G18" s="44">
        <v>1800</v>
      </c>
      <c r="H18" s="44">
        <v>1800</v>
      </c>
      <c r="I18" s="153">
        <f t="shared" si="0"/>
        <v>100</v>
      </c>
    </row>
    <row r="19" spans="2:10" ht="12.95" customHeight="1">
      <c r="B19" s="14"/>
      <c r="C19" s="15"/>
      <c r="D19" s="15"/>
      <c r="E19" s="16">
        <v>613200</v>
      </c>
      <c r="F19" s="15" t="s">
        <v>87</v>
      </c>
      <c r="G19" s="44">
        <v>0</v>
      </c>
      <c r="H19" s="44">
        <v>0</v>
      </c>
      <c r="I19" s="153" t="str">
        <f t="shared" si="0"/>
        <v/>
      </c>
    </row>
    <row r="20" spans="2:10" ht="12.95" customHeight="1">
      <c r="B20" s="14"/>
      <c r="C20" s="15"/>
      <c r="D20" s="15"/>
      <c r="E20" s="16">
        <v>613300</v>
      </c>
      <c r="F20" s="26" t="s">
        <v>212</v>
      </c>
      <c r="G20" s="44">
        <v>5000</v>
      </c>
      <c r="H20" s="44">
        <v>5000</v>
      </c>
      <c r="I20" s="153">
        <f t="shared" si="0"/>
        <v>100</v>
      </c>
    </row>
    <row r="21" spans="2:10" ht="12.95" customHeight="1">
      <c r="B21" s="14"/>
      <c r="C21" s="15"/>
      <c r="D21" s="15"/>
      <c r="E21" s="16">
        <v>613400</v>
      </c>
      <c r="F21" s="15" t="s">
        <v>169</v>
      </c>
      <c r="G21" s="44">
        <v>0</v>
      </c>
      <c r="H21" s="44">
        <v>0</v>
      </c>
      <c r="I21" s="153" t="str">
        <f t="shared" si="0"/>
        <v/>
      </c>
    </row>
    <row r="22" spans="2:10" ht="12.95" customHeight="1">
      <c r="B22" s="14"/>
      <c r="C22" s="15"/>
      <c r="D22" s="15"/>
      <c r="E22" s="16">
        <v>613500</v>
      </c>
      <c r="F22" s="15" t="s">
        <v>88</v>
      </c>
      <c r="G22" s="117">
        <v>0</v>
      </c>
      <c r="H22" s="117">
        <v>0</v>
      </c>
      <c r="I22" s="153" t="str">
        <f t="shared" si="0"/>
        <v/>
      </c>
    </row>
    <row r="23" spans="2:10" ht="12.95" customHeight="1">
      <c r="B23" s="14"/>
      <c r="C23" s="15"/>
      <c r="D23" s="15"/>
      <c r="E23" s="16">
        <v>613600</v>
      </c>
      <c r="F23" s="26" t="s">
        <v>213</v>
      </c>
      <c r="G23" s="117">
        <v>0</v>
      </c>
      <c r="H23" s="117">
        <v>0</v>
      </c>
      <c r="I23" s="153" t="str">
        <f t="shared" si="0"/>
        <v/>
      </c>
    </row>
    <row r="24" spans="2:10" ht="12.95" customHeight="1">
      <c r="B24" s="14"/>
      <c r="C24" s="15"/>
      <c r="D24" s="15"/>
      <c r="E24" s="63">
        <v>613700</v>
      </c>
      <c r="F24" s="15" t="s">
        <v>89</v>
      </c>
      <c r="G24" s="117">
        <v>1500</v>
      </c>
      <c r="H24" s="117">
        <v>1000</v>
      </c>
      <c r="I24" s="153">
        <f t="shared" si="0"/>
        <v>66.666666666666657</v>
      </c>
    </row>
    <row r="25" spans="2:10" ht="12.95" customHeight="1">
      <c r="B25" s="14"/>
      <c r="C25" s="15"/>
      <c r="D25" s="30"/>
      <c r="E25" s="16">
        <v>613700</v>
      </c>
      <c r="F25" s="62" t="s">
        <v>90</v>
      </c>
      <c r="G25" s="117">
        <v>390000</v>
      </c>
      <c r="H25" s="117">
        <v>300000</v>
      </c>
      <c r="I25" s="153">
        <f t="shared" si="0"/>
        <v>76.923076923076934</v>
      </c>
    </row>
    <row r="26" spans="2:10" ht="12.95" customHeight="1">
      <c r="B26" s="14"/>
      <c r="C26" s="15"/>
      <c r="D26" s="15"/>
      <c r="E26" s="60">
        <v>613800</v>
      </c>
      <c r="F26" s="15" t="s">
        <v>170</v>
      </c>
      <c r="G26" s="117">
        <v>0</v>
      </c>
      <c r="H26" s="117">
        <v>0</v>
      </c>
      <c r="I26" s="153" t="str">
        <f t="shared" si="0"/>
        <v/>
      </c>
    </row>
    <row r="27" spans="2:10" ht="12.95" customHeight="1">
      <c r="B27" s="14"/>
      <c r="C27" s="15"/>
      <c r="D27" s="15"/>
      <c r="E27" s="16">
        <v>613900</v>
      </c>
      <c r="F27" s="15" t="s">
        <v>171</v>
      </c>
      <c r="G27" s="117">
        <v>11000</v>
      </c>
      <c r="H27" s="117">
        <v>10000</v>
      </c>
      <c r="I27" s="153">
        <f t="shared" si="0"/>
        <v>90.909090909090907</v>
      </c>
      <c r="J27" s="107"/>
    </row>
    <row r="28" spans="2:10" ht="12.95" customHeight="1">
      <c r="B28" s="14"/>
      <c r="C28" s="15"/>
      <c r="D28" s="15"/>
      <c r="E28" s="16">
        <v>613900</v>
      </c>
      <c r="F28" s="363" t="s">
        <v>701</v>
      </c>
      <c r="G28" s="117">
        <v>6350</v>
      </c>
      <c r="H28" s="117">
        <v>0</v>
      </c>
      <c r="I28" s="153">
        <f t="shared" si="0"/>
        <v>0</v>
      </c>
    </row>
    <row r="29" spans="2:10" ht="12.95" customHeight="1">
      <c r="B29" s="14"/>
      <c r="C29" s="15"/>
      <c r="D29" s="15"/>
      <c r="E29" s="16"/>
      <c r="F29" s="15"/>
      <c r="G29" s="117"/>
      <c r="H29" s="117"/>
      <c r="I29" s="153" t="str">
        <f t="shared" si="0"/>
        <v/>
      </c>
    </row>
    <row r="30" spans="2:10" s="1" customFormat="1" ht="12.95" customHeight="1">
      <c r="B30" s="17"/>
      <c r="C30" s="12"/>
      <c r="D30" s="12"/>
      <c r="E30" s="9">
        <v>614000</v>
      </c>
      <c r="F30" s="12" t="s">
        <v>214</v>
      </c>
      <c r="G30" s="108">
        <f>SUM(G31:G32)</f>
        <v>100000</v>
      </c>
      <c r="H30" s="108">
        <f>SUM(H31:H32)</f>
        <v>160000</v>
      </c>
      <c r="I30" s="152">
        <f t="shared" si="0"/>
        <v>160</v>
      </c>
    </row>
    <row r="31" spans="2:10" ht="12.95" customHeight="1">
      <c r="B31" s="14"/>
      <c r="C31" s="15"/>
      <c r="D31" s="30"/>
      <c r="E31" s="60">
        <v>614100</v>
      </c>
      <c r="F31" s="69" t="s">
        <v>180</v>
      </c>
      <c r="G31" s="117">
        <v>100000</v>
      </c>
      <c r="H31" s="117">
        <v>140000</v>
      </c>
      <c r="I31" s="153">
        <f t="shared" si="0"/>
        <v>140</v>
      </c>
    </row>
    <row r="32" spans="2:10" ht="12.95" customHeight="1">
      <c r="B32" s="14"/>
      <c r="C32" s="15"/>
      <c r="D32" s="15"/>
      <c r="E32" s="16">
        <v>614100</v>
      </c>
      <c r="F32" s="26" t="s">
        <v>233</v>
      </c>
      <c r="G32" s="117">
        <v>0</v>
      </c>
      <c r="H32" s="117">
        <v>20000</v>
      </c>
      <c r="I32" s="153" t="str">
        <f t="shared" si="0"/>
        <v/>
      </c>
    </row>
    <row r="33" spans="2:11" ht="12.95" customHeight="1">
      <c r="B33" s="14"/>
      <c r="C33" s="15"/>
      <c r="D33" s="15"/>
      <c r="E33" s="16"/>
      <c r="F33" s="15"/>
      <c r="G33" s="117"/>
      <c r="H33" s="117"/>
      <c r="I33" s="153" t="str">
        <f t="shared" si="0"/>
        <v/>
      </c>
    </row>
    <row r="34" spans="2:11" ht="12.95" customHeight="1">
      <c r="B34" s="14"/>
      <c r="C34" s="15"/>
      <c r="D34" s="15"/>
      <c r="E34" s="9"/>
      <c r="F34" s="12"/>
      <c r="G34" s="108"/>
      <c r="H34" s="108"/>
      <c r="I34" s="153" t="str">
        <f t="shared" si="0"/>
        <v/>
      </c>
    </row>
    <row r="35" spans="2:11" ht="12.95" customHeight="1">
      <c r="B35" s="14"/>
      <c r="C35" s="15"/>
      <c r="D35" s="15"/>
      <c r="E35" s="16"/>
      <c r="F35" s="26"/>
      <c r="G35" s="117"/>
      <c r="H35" s="117"/>
      <c r="I35" s="153" t="str">
        <f t="shared" si="0"/>
        <v/>
      </c>
    </row>
    <row r="36" spans="2:11" ht="12.95" customHeight="1">
      <c r="B36" s="14"/>
      <c r="C36" s="15"/>
      <c r="D36" s="15"/>
      <c r="E36" s="16"/>
      <c r="F36" s="15"/>
      <c r="G36" s="117"/>
      <c r="H36" s="117"/>
      <c r="I36" s="153" t="str">
        <f t="shared" si="0"/>
        <v/>
      </c>
    </row>
    <row r="37" spans="2:11" s="1" customFormat="1" ht="12.95" customHeight="1">
      <c r="B37" s="17"/>
      <c r="C37" s="12"/>
      <c r="D37" s="12"/>
      <c r="E37" s="9">
        <v>821000</v>
      </c>
      <c r="F37" s="12" t="s">
        <v>92</v>
      </c>
      <c r="G37" s="108">
        <f>SUM(G38:G40)</f>
        <v>1083000</v>
      </c>
      <c r="H37" s="108">
        <f>SUM(H38:H40)</f>
        <v>603000</v>
      </c>
      <c r="I37" s="152">
        <f t="shared" si="0"/>
        <v>55.678670360110807</v>
      </c>
    </row>
    <row r="38" spans="2:11" ht="12.95" customHeight="1">
      <c r="B38" s="14"/>
      <c r="C38" s="15"/>
      <c r="D38" s="15"/>
      <c r="E38" s="16">
        <v>821200</v>
      </c>
      <c r="F38" s="15" t="s">
        <v>93</v>
      </c>
      <c r="G38" s="117">
        <v>0</v>
      </c>
      <c r="H38" s="117">
        <v>0</v>
      </c>
      <c r="I38" s="153" t="str">
        <f t="shared" si="0"/>
        <v/>
      </c>
    </row>
    <row r="39" spans="2:11" ht="12.95" customHeight="1">
      <c r="B39" s="14"/>
      <c r="C39" s="15"/>
      <c r="D39" s="15"/>
      <c r="E39" s="16">
        <v>821300</v>
      </c>
      <c r="F39" s="15" t="s">
        <v>94</v>
      </c>
      <c r="G39" s="117">
        <v>3000</v>
      </c>
      <c r="H39" s="117">
        <v>3000</v>
      </c>
      <c r="I39" s="153">
        <f t="shared" si="0"/>
        <v>100</v>
      </c>
    </row>
    <row r="40" spans="2:11" ht="12.95" customHeight="1">
      <c r="B40" s="14"/>
      <c r="C40" s="15"/>
      <c r="D40" s="15"/>
      <c r="E40" s="119">
        <v>821600</v>
      </c>
      <c r="F40" s="110" t="s">
        <v>106</v>
      </c>
      <c r="G40" s="117">
        <v>1080000</v>
      </c>
      <c r="H40" s="117">
        <v>600000</v>
      </c>
      <c r="I40" s="153">
        <f t="shared" si="0"/>
        <v>55.555555555555557</v>
      </c>
      <c r="K40" s="90"/>
    </row>
    <row r="41" spans="2:11" ht="12.95" customHeight="1">
      <c r="B41" s="14"/>
      <c r="C41" s="15"/>
      <c r="D41" s="15"/>
      <c r="E41" s="16"/>
      <c r="F41" s="15"/>
      <c r="G41" s="108"/>
      <c r="H41" s="108"/>
      <c r="I41" s="153" t="str">
        <f t="shared" si="0"/>
        <v/>
      </c>
    </row>
    <row r="42" spans="2:11" s="1" customFormat="1" ht="12.95" customHeight="1">
      <c r="B42" s="17"/>
      <c r="C42" s="12"/>
      <c r="D42" s="12"/>
      <c r="E42" s="9"/>
      <c r="F42" s="12" t="s">
        <v>95</v>
      </c>
      <c r="G42" s="108">
        <v>9</v>
      </c>
      <c r="H42" s="108">
        <v>9</v>
      </c>
      <c r="I42" s="153"/>
    </row>
    <row r="43" spans="2:11" s="1" customFormat="1" ht="12.95" customHeight="1">
      <c r="B43" s="17"/>
      <c r="C43" s="12"/>
      <c r="D43" s="12"/>
      <c r="E43" s="9"/>
      <c r="F43" s="12" t="s">
        <v>115</v>
      </c>
      <c r="G43" s="20">
        <f>G7+G13+G17+G30+G37</f>
        <v>1837060</v>
      </c>
      <c r="H43" s="20">
        <f>H7+H13+H17+H30+H37</f>
        <v>1322940</v>
      </c>
      <c r="I43" s="152">
        <f t="shared" si="0"/>
        <v>72.013978857522346</v>
      </c>
    </row>
    <row r="44" spans="2:11" s="1" customFormat="1" ht="12.95" customHeight="1">
      <c r="B44" s="17"/>
      <c r="C44" s="12"/>
      <c r="D44" s="12"/>
      <c r="E44" s="9"/>
      <c r="F44" s="12" t="s">
        <v>96</v>
      </c>
      <c r="G44" s="20">
        <f>G43</f>
        <v>1837060</v>
      </c>
      <c r="H44" s="20">
        <f>H43</f>
        <v>1322940</v>
      </c>
      <c r="I44" s="152">
        <f t="shared" si="0"/>
        <v>72.013978857522346</v>
      </c>
    </row>
    <row r="45" spans="2:11" s="1" customFormat="1" ht="12.95" customHeight="1">
      <c r="B45" s="17"/>
      <c r="C45" s="12"/>
      <c r="D45" s="12"/>
      <c r="E45" s="9"/>
      <c r="F45" s="12" t="s">
        <v>97</v>
      </c>
      <c r="G45" s="20">
        <f>G44</f>
        <v>1837060</v>
      </c>
      <c r="H45" s="20">
        <f>H44</f>
        <v>1322940</v>
      </c>
      <c r="I45" s="152">
        <f t="shared" si="0"/>
        <v>72.013978857522346</v>
      </c>
    </row>
    <row r="46" spans="2:11" ht="12.95" customHeight="1" thickBot="1">
      <c r="B46" s="21"/>
      <c r="C46" s="22"/>
      <c r="D46" s="22"/>
      <c r="E46" s="23"/>
      <c r="F46" s="22"/>
      <c r="G46" s="48"/>
      <c r="H46" s="45"/>
      <c r="I46" s="156"/>
    </row>
    <row r="48" spans="2:11">
      <c r="B48" s="81"/>
    </row>
    <row r="49" spans="2:2">
      <c r="B49" s="81"/>
    </row>
    <row r="50" spans="2:2">
      <c r="B50" s="81"/>
    </row>
  </sheetData>
  <mergeCells count="2">
    <mergeCell ref="B2:G2"/>
    <mergeCell ref="F3:G3"/>
  </mergeCells>
  <phoneticPr fontId="2" type="noConversion"/>
  <pageMargins left="0.19685039370078741" right="0.19685039370078741" top="0.59055118110236227" bottom="0.59055118110236227" header="0.51181102362204722" footer="0.51181102362204722"/>
  <pageSetup paperSize="9" scale="88" firstPageNumber="10" orientation="portrait" useFirstPageNumber="1" horizontalDpi="180" verticalDpi="180" r:id="rId1"/>
  <headerFooter alignWithMargins="0">
    <oddFooter>&amp;R25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22"/>
  <dimension ref="B2:K48"/>
  <sheetViews>
    <sheetView topLeftCell="C5" zoomScaleSheetLayoutView="100" workbookViewId="0">
      <selection activeCell="G7" sqref="G7:G40"/>
    </sheetView>
  </sheetViews>
  <sheetFormatPr defaultRowHeight="12.75"/>
  <cols>
    <col min="1" max="1" width="1.5703125" style="13" customWidth="1"/>
    <col min="2" max="4" width="5.7109375" style="13" bestFit="1" customWidth="1"/>
    <col min="5" max="5" width="10.85546875" style="24" customWidth="1"/>
    <col min="6" max="6" width="43.7109375" style="13" customWidth="1"/>
    <col min="7" max="8" width="15.7109375" style="13" customWidth="1"/>
    <col min="9" max="9" width="8.7109375" style="140" customWidth="1"/>
    <col min="10" max="16384" width="9.140625" style="13"/>
  </cols>
  <sheetData>
    <row r="2" spans="2:11" ht="15" customHeight="1">
      <c r="B2" s="450" t="s">
        <v>144</v>
      </c>
      <c r="C2" s="450"/>
      <c r="D2" s="450"/>
      <c r="E2" s="450"/>
      <c r="F2" s="450"/>
      <c r="G2" s="450"/>
      <c r="H2" s="450"/>
      <c r="I2" s="147"/>
    </row>
    <row r="3" spans="2:11" s="1" customFormat="1" ht="16.5" thickBot="1">
      <c r="E3" s="2"/>
      <c r="F3" s="449"/>
      <c r="G3" s="449"/>
      <c r="H3" s="181"/>
      <c r="I3" s="182"/>
    </row>
    <row r="4" spans="2:11" s="1" customFormat="1" ht="76.5" customHeight="1">
      <c r="B4" s="3" t="s">
        <v>79</v>
      </c>
      <c r="C4" s="4" t="s">
        <v>80</v>
      </c>
      <c r="D4" s="5" t="s">
        <v>112</v>
      </c>
      <c r="E4" s="6" t="s">
        <v>81</v>
      </c>
      <c r="F4" s="7" t="s">
        <v>82</v>
      </c>
      <c r="G4" s="316" t="s">
        <v>557</v>
      </c>
      <c r="H4" s="316" t="s">
        <v>683</v>
      </c>
      <c r="I4" s="149" t="s">
        <v>497</v>
      </c>
    </row>
    <row r="5" spans="2:11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34">
        <v>6</v>
      </c>
      <c r="H5" s="9">
        <v>7</v>
      </c>
      <c r="I5" s="150">
        <v>8</v>
      </c>
    </row>
    <row r="6" spans="2:11" s="2" customFormat="1" ht="12.95" customHeight="1">
      <c r="B6" s="10" t="s">
        <v>145</v>
      </c>
      <c r="C6" s="11" t="s">
        <v>83</v>
      </c>
      <c r="D6" s="11" t="s">
        <v>84</v>
      </c>
      <c r="E6" s="9"/>
      <c r="F6" s="9"/>
      <c r="G6" s="34"/>
      <c r="H6" s="9"/>
      <c r="I6" s="151"/>
    </row>
    <row r="7" spans="2:11" s="1" customFormat="1" ht="12.95" customHeight="1">
      <c r="B7" s="17"/>
      <c r="C7" s="12"/>
      <c r="D7" s="12"/>
      <c r="E7" s="9">
        <v>611000</v>
      </c>
      <c r="F7" s="12" t="s">
        <v>167</v>
      </c>
      <c r="G7" s="20">
        <f>SUM(G8:G11)</f>
        <v>510740</v>
      </c>
      <c r="H7" s="392">
        <f>SUM(H8:H11)</f>
        <v>529540</v>
      </c>
      <c r="I7" s="152">
        <f t="shared" ref="I7:I43" si="0">IF(G7=0,"",H7/G7*100)</f>
        <v>103.68093354740179</v>
      </c>
    </row>
    <row r="8" spans="2:11" ht="12.95" customHeight="1">
      <c r="B8" s="14"/>
      <c r="C8" s="15"/>
      <c r="D8" s="15"/>
      <c r="E8" s="16">
        <v>611100</v>
      </c>
      <c r="F8" s="26" t="s">
        <v>210</v>
      </c>
      <c r="G8" s="82">
        <v>399300</v>
      </c>
      <c r="H8" s="391">
        <f>405900+11700+20150+590</f>
        <v>438340</v>
      </c>
      <c r="I8" s="153">
        <f t="shared" si="0"/>
        <v>109.77710994239919</v>
      </c>
    </row>
    <row r="9" spans="2:11" ht="12.95" customHeight="1">
      <c r="B9" s="14"/>
      <c r="C9" s="15"/>
      <c r="D9" s="15"/>
      <c r="E9" s="16">
        <v>611200</v>
      </c>
      <c r="F9" s="15" t="s">
        <v>211</v>
      </c>
      <c r="G9" s="82">
        <f>87900+21*240</f>
        <v>92940</v>
      </c>
      <c r="H9" s="396">
        <f>88300+2900</f>
        <v>91200</v>
      </c>
      <c r="I9" s="153">
        <f t="shared" si="0"/>
        <v>98.127824402840545</v>
      </c>
    </row>
    <row r="10" spans="2:11" ht="12.95" customHeight="1">
      <c r="B10" s="14"/>
      <c r="C10" s="15"/>
      <c r="D10" s="15"/>
      <c r="E10" s="16">
        <v>611200</v>
      </c>
      <c r="F10" s="363" t="s">
        <v>699</v>
      </c>
      <c r="G10" s="82">
        <v>18500</v>
      </c>
      <c r="H10" s="391">
        <v>0</v>
      </c>
      <c r="I10" s="153">
        <f t="shared" si="0"/>
        <v>0</v>
      </c>
      <c r="K10" s="89"/>
    </row>
    <row r="11" spans="2:11" ht="12.95" customHeight="1">
      <c r="B11" s="14"/>
      <c r="C11" s="15"/>
      <c r="D11" s="15"/>
      <c r="E11" s="16"/>
      <c r="F11" s="26"/>
      <c r="G11" s="43"/>
      <c r="H11" s="391"/>
      <c r="I11" s="153" t="str">
        <f t="shared" si="0"/>
        <v/>
      </c>
    </row>
    <row r="12" spans="2:11" ht="12.95" customHeight="1">
      <c r="B12" s="14"/>
      <c r="C12" s="15"/>
      <c r="D12" s="15"/>
      <c r="E12" s="16"/>
      <c r="F12" s="15"/>
      <c r="G12" s="20"/>
      <c r="H12" s="392"/>
      <c r="I12" s="153" t="str">
        <f t="shared" si="0"/>
        <v/>
      </c>
    </row>
    <row r="13" spans="2:11" s="1" customFormat="1" ht="12.95" customHeight="1">
      <c r="B13" s="17"/>
      <c r="C13" s="12"/>
      <c r="D13" s="12"/>
      <c r="E13" s="9">
        <v>612000</v>
      </c>
      <c r="F13" s="12" t="s">
        <v>166</v>
      </c>
      <c r="G13" s="20">
        <f>G14</f>
        <v>42500</v>
      </c>
      <c r="H13" s="392">
        <f>H14</f>
        <v>48530</v>
      </c>
      <c r="I13" s="152">
        <f t="shared" si="0"/>
        <v>114.18823529411766</v>
      </c>
    </row>
    <row r="14" spans="2:11" ht="12.95" customHeight="1">
      <c r="B14" s="14"/>
      <c r="C14" s="15"/>
      <c r="D14" s="15"/>
      <c r="E14" s="16">
        <v>612100</v>
      </c>
      <c r="F14" s="18" t="s">
        <v>85</v>
      </c>
      <c r="G14" s="43">
        <v>42500</v>
      </c>
      <c r="H14" s="391">
        <f>45000+1300+2160+70</f>
        <v>48530</v>
      </c>
      <c r="I14" s="153">
        <f t="shared" si="0"/>
        <v>114.18823529411766</v>
      </c>
    </row>
    <row r="15" spans="2:11" ht="12.95" customHeight="1">
      <c r="B15" s="14"/>
      <c r="C15" s="15"/>
      <c r="D15" s="15"/>
      <c r="E15" s="16"/>
      <c r="F15" s="15"/>
      <c r="G15" s="43"/>
      <c r="H15" s="43"/>
      <c r="I15" s="153" t="str">
        <f t="shared" si="0"/>
        <v/>
      </c>
    </row>
    <row r="16" spans="2:11" ht="12.95" customHeight="1">
      <c r="B16" s="14"/>
      <c r="C16" s="15"/>
      <c r="D16" s="15"/>
      <c r="E16" s="16"/>
      <c r="F16" s="15"/>
      <c r="G16" s="49"/>
      <c r="H16" s="49"/>
      <c r="I16" s="153" t="str">
        <f t="shared" si="0"/>
        <v/>
      </c>
    </row>
    <row r="17" spans="2:10" s="1" customFormat="1" ht="12.95" customHeight="1">
      <c r="B17" s="17"/>
      <c r="C17" s="12"/>
      <c r="D17" s="12"/>
      <c r="E17" s="9">
        <v>613000</v>
      </c>
      <c r="F17" s="12" t="s">
        <v>168</v>
      </c>
      <c r="G17" s="49">
        <f>SUM(G18:G27)</f>
        <v>94930</v>
      </c>
      <c r="H17" s="49">
        <f>SUM(H18:H27)</f>
        <v>65490</v>
      </c>
      <c r="I17" s="152">
        <f t="shared" si="0"/>
        <v>68.987675129042444</v>
      </c>
    </row>
    <row r="18" spans="2:10" ht="12.95" customHeight="1">
      <c r="B18" s="14"/>
      <c r="C18" s="15"/>
      <c r="D18" s="15"/>
      <c r="E18" s="16">
        <v>613100</v>
      </c>
      <c r="F18" s="15" t="s">
        <v>86</v>
      </c>
      <c r="G18" s="82">
        <v>8190</v>
      </c>
      <c r="H18" s="82">
        <v>7000</v>
      </c>
      <c r="I18" s="153">
        <f t="shared" si="0"/>
        <v>85.470085470085465</v>
      </c>
    </row>
    <row r="19" spans="2:10" ht="12.95" customHeight="1">
      <c r="B19" s="14"/>
      <c r="C19" s="15"/>
      <c r="D19" s="15"/>
      <c r="E19" s="16">
        <v>613200</v>
      </c>
      <c r="F19" s="15" t="s">
        <v>87</v>
      </c>
      <c r="G19" s="82">
        <v>0</v>
      </c>
      <c r="H19" s="82">
        <v>0</v>
      </c>
      <c r="I19" s="153" t="str">
        <f t="shared" si="0"/>
        <v/>
      </c>
    </row>
    <row r="20" spans="2:10" ht="12.95" customHeight="1">
      <c r="B20" s="14"/>
      <c r="C20" s="15"/>
      <c r="D20" s="15"/>
      <c r="E20" s="16">
        <v>613300</v>
      </c>
      <c r="F20" s="26" t="s">
        <v>212</v>
      </c>
      <c r="G20" s="82">
        <v>6500</v>
      </c>
      <c r="H20" s="82">
        <v>6500</v>
      </c>
      <c r="I20" s="153">
        <f t="shared" si="0"/>
        <v>100</v>
      </c>
    </row>
    <row r="21" spans="2:10" ht="12.95" customHeight="1">
      <c r="B21" s="14"/>
      <c r="C21" s="15"/>
      <c r="D21" s="15"/>
      <c r="E21" s="16">
        <v>613400</v>
      </c>
      <c r="F21" s="15" t="s">
        <v>169</v>
      </c>
      <c r="G21" s="82">
        <v>2500</v>
      </c>
      <c r="H21" s="82">
        <v>2100</v>
      </c>
      <c r="I21" s="153">
        <f t="shared" si="0"/>
        <v>84</v>
      </c>
    </row>
    <row r="22" spans="2:10" ht="12.95" customHeight="1">
      <c r="B22" s="14"/>
      <c r="C22" s="15"/>
      <c r="D22" s="15"/>
      <c r="E22" s="16">
        <v>613500</v>
      </c>
      <c r="F22" s="15" t="s">
        <v>88</v>
      </c>
      <c r="G22" s="82">
        <v>2810</v>
      </c>
      <c r="H22" s="82">
        <v>1890</v>
      </c>
      <c r="I22" s="153">
        <f t="shared" si="0"/>
        <v>67.259786476868328</v>
      </c>
    </row>
    <row r="23" spans="2:10" ht="12.95" customHeight="1">
      <c r="B23" s="14"/>
      <c r="C23" s="15"/>
      <c r="D23" s="15"/>
      <c r="E23" s="16">
        <v>613600</v>
      </c>
      <c r="F23" s="26" t="s">
        <v>213</v>
      </c>
      <c r="G23" s="82">
        <v>5500</v>
      </c>
      <c r="H23" s="82">
        <v>5500</v>
      </c>
      <c r="I23" s="153">
        <f t="shared" si="0"/>
        <v>100</v>
      </c>
    </row>
    <row r="24" spans="2:10" ht="12.95" customHeight="1">
      <c r="B24" s="14"/>
      <c r="C24" s="15"/>
      <c r="D24" s="15"/>
      <c r="E24" s="16">
        <v>613700</v>
      </c>
      <c r="F24" s="15" t="s">
        <v>89</v>
      </c>
      <c r="G24" s="82">
        <v>7500</v>
      </c>
      <c r="H24" s="82">
        <v>7500</v>
      </c>
      <c r="I24" s="153">
        <f t="shared" si="0"/>
        <v>100</v>
      </c>
    </row>
    <row r="25" spans="2:10" ht="12.95" customHeight="1">
      <c r="B25" s="14"/>
      <c r="C25" s="15"/>
      <c r="D25" s="15"/>
      <c r="E25" s="16">
        <v>613800</v>
      </c>
      <c r="F25" s="15" t="s">
        <v>170</v>
      </c>
      <c r="G25" s="82">
        <v>0</v>
      </c>
      <c r="H25" s="82">
        <v>0</v>
      </c>
      <c r="I25" s="153" t="str">
        <f t="shared" si="0"/>
        <v/>
      </c>
    </row>
    <row r="26" spans="2:10" ht="12.95" customHeight="1">
      <c r="B26" s="14"/>
      <c r="C26" s="15"/>
      <c r="D26" s="15"/>
      <c r="E26" s="16">
        <v>613900</v>
      </c>
      <c r="F26" s="15" t="s">
        <v>171</v>
      </c>
      <c r="G26" s="82">
        <v>44030</v>
      </c>
      <c r="H26" s="82">
        <v>35000</v>
      </c>
      <c r="I26" s="153">
        <f t="shared" si="0"/>
        <v>79.491255961844203</v>
      </c>
      <c r="J26" s="107"/>
    </row>
    <row r="27" spans="2:10" ht="12.95" customHeight="1">
      <c r="B27" s="14"/>
      <c r="C27" s="15"/>
      <c r="D27" s="15"/>
      <c r="E27" s="16">
        <v>613900</v>
      </c>
      <c r="F27" s="363" t="s">
        <v>701</v>
      </c>
      <c r="G27" s="82">
        <v>17900</v>
      </c>
      <c r="H27" s="82">
        <v>0</v>
      </c>
      <c r="I27" s="153">
        <f t="shared" si="0"/>
        <v>0</v>
      </c>
    </row>
    <row r="28" spans="2:10" ht="12.95" customHeight="1">
      <c r="B28" s="14"/>
      <c r="C28" s="15"/>
      <c r="D28" s="15"/>
      <c r="E28" s="16"/>
      <c r="F28" s="15"/>
      <c r="G28" s="108"/>
      <c r="H28" s="108"/>
      <c r="I28" s="153" t="str">
        <f t="shared" si="0"/>
        <v/>
      </c>
    </row>
    <row r="29" spans="2:10" s="1" customFormat="1" ht="12.95" customHeight="1">
      <c r="B29" s="17"/>
      <c r="C29" s="12"/>
      <c r="D29" s="12"/>
      <c r="E29" s="9">
        <v>614000</v>
      </c>
      <c r="F29" s="12" t="s">
        <v>214</v>
      </c>
      <c r="G29" s="108">
        <f>SUM(G30:G33)</f>
        <v>2100000</v>
      </c>
      <c r="H29" s="108">
        <f>SUM(H30:H33)</f>
        <v>1865000</v>
      </c>
      <c r="I29" s="152">
        <f t="shared" si="0"/>
        <v>88.80952380952381</v>
      </c>
    </row>
    <row r="30" spans="2:10" s="1" customFormat="1" ht="12.95" customHeight="1">
      <c r="B30" s="17"/>
      <c r="C30" s="12"/>
      <c r="D30" s="31"/>
      <c r="E30" s="56">
        <v>614100</v>
      </c>
      <c r="F30" s="18" t="s">
        <v>165</v>
      </c>
      <c r="G30" s="117">
        <v>100000</v>
      </c>
      <c r="H30" s="117">
        <v>150000</v>
      </c>
      <c r="I30" s="153">
        <f t="shared" si="0"/>
        <v>150</v>
      </c>
    </row>
    <row r="31" spans="2:10" ht="12.95" customHeight="1">
      <c r="B31" s="14"/>
      <c r="C31" s="15"/>
      <c r="D31" s="15"/>
      <c r="E31" s="16">
        <v>614500</v>
      </c>
      <c r="F31" s="29" t="s">
        <v>498</v>
      </c>
      <c r="G31" s="117">
        <v>800000</v>
      </c>
      <c r="H31" s="117">
        <v>900000</v>
      </c>
      <c r="I31" s="153">
        <f t="shared" si="0"/>
        <v>112.5</v>
      </c>
    </row>
    <row r="32" spans="2:10" ht="12.95" customHeight="1">
      <c r="B32" s="14"/>
      <c r="C32" s="15"/>
      <c r="D32" s="15"/>
      <c r="E32" s="16">
        <v>614500</v>
      </c>
      <c r="F32" s="29" t="s">
        <v>499</v>
      </c>
      <c r="G32" s="117">
        <v>400000</v>
      </c>
      <c r="H32" s="117">
        <v>400000</v>
      </c>
      <c r="I32" s="153">
        <f t="shared" si="0"/>
        <v>100</v>
      </c>
    </row>
    <row r="33" spans="2:9" ht="12.95" customHeight="1">
      <c r="B33" s="14"/>
      <c r="C33" s="15"/>
      <c r="D33" s="15"/>
      <c r="E33" s="56">
        <v>614500</v>
      </c>
      <c r="F33" s="29" t="s">
        <v>500</v>
      </c>
      <c r="G33" s="117">
        <v>800000</v>
      </c>
      <c r="H33" s="117">
        <v>415000</v>
      </c>
      <c r="I33" s="153">
        <f t="shared" si="0"/>
        <v>51.875000000000007</v>
      </c>
    </row>
    <row r="34" spans="2:9" ht="12.95" customHeight="1">
      <c r="B34" s="14"/>
      <c r="C34" s="15"/>
      <c r="D34" s="15"/>
      <c r="E34" s="16"/>
      <c r="F34" s="26"/>
      <c r="G34" s="82"/>
      <c r="H34" s="82"/>
      <c r="I34" s="153" t="str">
        <f t="shared" si="0"/>
        <v/>
      </c>
    </row>
    <row r="35" spans="2:9" s="1" customFormat="1" ht="12.95" customHeight="1">
      <c r="B35" s="17"/>
      <c r="C35" s="12"/>
      <c r="D35" s="12"/>
      <c r="E35" s="9">
        <v>821000</v>
      </c>
      <c r="F35" s="12" t="s">
        <v>92</v>
      </c>
      <c r="G35" s="108">
        <f>SUM(G36:G38)</f>
        <v>13330</v>
      </c>
      <c r="H35" s="108">
        <f>SUM(H36:H38)</f>
        <v>13000</v>
      </c>
      <c r="I35" s="152">
        <f t="shared" si="0"/>
        <v>97.52438109527381</v>
      </c>
    </row>
    <row r="36" spans="2:9" ht="12.95" customHeight="1">
      <c r="B36" s="14"/>
      <c r="C36" s="15"/>
      <c r="D36" s="15"/>
      <c r="E36" s="16">
        <v>821200</v>
      </c>
      <c r="F36" s="15" t="s">
        <v>93</v>
      </c>
      <c r="G36" s="82">
        <v>0</v>
      </c>
      <c r="H36" s="82">
        <v>0</v>
      </c>
      <c r="I36" s="153" t="str">
        <f t="shared" si="0"/>
        <v/>
      </c>
    </row>
    <row r="37" spans="2:9" ht="12.95" customHeight="1">
      <c r="B37" s="14"/>
      <c r="C37" s="15"/>
      <c r="D37" s="15"/>
      <c r="E37" s="16">
        <v>821300</v>
      </c>
      <c r="F37" s="15" t="s">
        <v>94</v>
      </c>
      <c r="G37" s="82">
        <v>13330</v>
      </c>
      <c r="H37" s="82">
        <v>13000</v>
      </c>
      <c r="I37" s="153">
        <f t="shared" si="0"/>
        <v>97.52438109527381</v>
      </c>
    </row>
    <row r="38" spans="2:9" ht="12.95" customHeight="1">
      <c r="B38" s="14"/>
      <c r="C38" s="15"/>
      <c r="D38" s="15"/>
      <c r="E38" s="16"/>
      <c r="F38" s="26"/>
      <c r="G38" s="82"/>
      <c r="H38" s="82"/>
      <c r="I38" s="153" t="str">
        <f t="shared" si="0"/>
        <v/>
      </c>
    </row>
    <row r="39" spans="2:9" ht="12.95" customHeight="1">
      <c r="B39" s="14"/>
      <c r="C39" s="15"/>
      <c r="D39" s="15"/>
      <c r="E39" s="16"/>
      <c r="F39" s="15"/>
      <c r="G39" s="43"/>
      <c r="H39" s="43"/>
      <c r="I39" s="153" t="str">
        <f t="shared" si="0"/>
        <v/>
      </c>
    </row>
    <row r="40" spans="2:9" s="1" customFormat="1" ht="12.95" customHeight="1">
      <c r="B40" s="17"/>
      <c r="C40" s="12"/>
      <c r="D40" s="12"/>
      <c r="E40" s="9"/>
      <c r="F40" s="12" t="s">
        <v>95</v>
      </c>
      <c r="G40" s="20">
        <v>21</v>
      </c>
      <c r="H40" s="20">
        <v>22</v>
      </c>
      <c r="I40" s="153"/>
    </row>
    <row r="41" spans="2:9" s="1" customFormat="1" ht="12.95" customHeight="1">
      <c r="B41" s="17"/>
      <c r="C41" s="12"/>
      <c r="D41" s="12"/>
      <c r="E41" s="9"/>
      <c r="F41" s="12" t="s">
        <v>115</v>
      </c>
      <c r="G41" s="20">
        <f>G7+G13+G17+G29+G35</f>
        <v>2761500</v>
      </c>
      <c r="H41" s="20">
        <f>H7+H13+H17+H29+H35</f>
        <v>2521560</v>
      </c>
      <c r="I41" s="152">
        <f t="shared" si="0"/>
        <v>91.311243889190649</v>
      </c>
    </row>
    <row r="42" spans="2:9" s="1" customFormat="1" ht="12.95" customHeight="1">
      <c r="B42" s="17"/>
      <c r="C42" s="12"/>
      <c r="D42" s="12"/>
      <c r="E42" s="9"/>
      <c r="F42" s="12" t="s">
        <v>96</v>
      </c>
      <c r="G42" s="20">
        <f>G41</f>
        <v>2761500</v>
      </c>
      <c r="H42" s="20">
        <f>H41</f>
        <v>2521560</v>
      </c>
      <c r="I42" s="152">
        <f t="shared" si="0"/>
        <v>91.311243889190649</v>
      </c>
    </row>
    <row r="43" spans="2:9" s="1" customFormat="1" ht="12.95" customHeight="1">
      <c r="B43" s="17"/>
      <c r="C43" s="12"/>
      <c r="D43" s="12"/>
      <c r="E43" s="9"/>
      <c r="F43" s="12" t="s">
        <v>97</v>
      </c>
      <c r="G43" s="20">
        <f>G42</f>
        <v>2761500</v>
      </c>
      <c r="H43" s="20">
        <f>H42</f>
        <v>2521560</v>
      </c>
      <c r="I43" s="152">
        <f t="shared" si="0"/>
        <v>91.311243889190649</v>
      </c>
    </row>
    <row r="44" spans="2:9" ht="12.95" customHeight="1" thickBot="1">
      <c r="B44" s="21"/>
      <c r="C44" s="22"/>
      <c r="D44" s="22"/>
      <c r="E44" s="23"/>
      <c r="F44" s="22"/>
      <c r="G44" s="48"/>
      <c r="H44" s="45"/>
      <c r="I44" s="156"/>
    </row>
    <row r="46" spans="2:9">
      <c r="B46" s="81"/>
    </row>
    <row r="47" spans="2:9">
      <c r="B47" s="81"/>
    </row>
    <row r="48" spans="2:9">
      <c r="B48" s="81"/>
    </row>
  </sheetData>
  <mergeCells count="2">
    <mergeCell ref="B2:H2"/>
    <mergeCell ref="F3:G3"/>
  </mergeCells>
  <phoneticPr fontId="2" type="noConversion"/>
  <pageMargins left="0.19685039370078741" right="0.19685039370078741" top="0.59055118110236227" bottom="0.59055118110236227" header="0.51181102362204722" footer="0.51181102362204722"/>
  <pageSetup paperSize="9" scale="88" firstPageNumber="10" orientation="portrait" useFirstPageNumber="1" horizontalDpi="180" verticalDpi="180" r:id="rId1"/>
  <headerFooter alignWithMargins="0">
    <oddFooter>&amp;R26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23"/>
  <dimension ref="B2:K64"/>
  <sheetViews>
    <sheetView topLeftCell="A13" zoomScaleSheetLayoutView="100" workbookViewId="0">
      <selection activeCell="G7" sqref="G7:G54"/>
    </sheetView>
  </sheetViews>
  <sheetFormatPr defaultRowHeight="12.75"/>
  <cols>
    <col min="1" max="1" width="1.5703125" style="13" customWidth="1"/>
    <col min="2" max="4" width="5.7109375" style="13" bestFit="1" customWidth="1"/>
    <col min="5" max="5" width="10.85546875" style="24" customWidth="1"/>
    <col min="6" max="6" width="43.7109375" style="13" customWidth="1"/>
    <col min="7" max="8" width="15.7109375" style="13" customWidth="1"/>
    <col min="9" max="9" width="8.7109375" style="140" customWidth="1"/>
    <col min="10" max="16384" width="9.140625" style="13"/>
  </cols>
  <sheetData>
    <row r="2" spans="2:11" ht="15" customHeight="1">
      <c r="B2" s="450" t="s">
        <v>146</v>
      </c>
      <c r="C2" s="450"/>
      <c r="D2" s="450"/>
      <c r="E2" s="450"/>
      <c r="F2" s="450"/>
      <c r="G2" s="450"/>
    </row>
    <row r="3" spans="2:11" s="1" customFormat="1" ht="16.5" thickBot="1">
      <c r="E3" s="2"/>
      <c r="F3" s="449"/>
      <c r="G3" s="449"/>
      <c r="H3" s="181"/>
      <c r="I3" s="182"/>
    </row>
    <row r="4" spans="2:11" s="1" customFormat="1" ht="76.5" customHeight="1">
      <c r="B4" s="3" t="s">
        <v>79</v>
      </c>
      <c r="C4" s="4" t="s">
        <v>80</v>
      </c>
      <c r="D4" s="5" t="s">
        <v>112</v>
      </c>
      <c r="E4" s="6" t="s">
        <v>81</v>
      </c>
      <c r="F4" s="7" t="s">
        <v>82</v>
      </c>
      <c r="G4" s="316" t="s">
        <v>557</v>
      </c>
      <c r="H4" s="316" t="s">
        <v>683</v>
      </c>
      <c r="I4" s="149" t="s">
        <v>497</v>
      </c>
    </row>
    <row r="5" spans="2:11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34">
        <v>6</v>
      </c>
      <c r="H5" s="9">
        <v>7</v>
      </c>
      <c r="I5" s="150">
        <v>8</v>
      </c>
    </row>
    <row r="6" spans="2:11" s="2" customFormat="1" ht="12.95" customHeight="1">
      <c r="B6" s="10" t="s">
        <v>147</v>
      </c>
      <c r="C6" s="11" t="s">
        <v>83</v>
      </c>
      <c r="D6" s="11" t="s">
        <v>84</v>
      </c>
      <c r="E6" s="9"/>
      <c r="F6" s="9"/>
      <c r="G6" s="34"/>
      <c r="H6" s="9"/>
      <c r="I6" s="151"/>
    </row>
    <row r="7" spans="2:11" s="1" customFormat="1" ht="12.95" customHeight="1">
      <c r="B7" s="17"/>
      <c r="C7" s="12"/>
      <c r="D7" s="12"/>
      <c r="E7" s="9">
        <v>611000</v>
      </c>
      <c r="F7" s="12" t="s">
        <v>167</v>
      </c>
      <c r="G7" s="20">
        <f>SUM(G8:G11)</f>
        <v>264800</v>
      </c>
      <c r="H7" s="392">
        <f>SUM(H8:H11)</f>
        <v>271280</v>
      </c>
      <c r="I7" s="152">
        <f t="shared" ref="I7:I55" si="0">IF(G7=0,"",H7/G7*100)</f>
        <v>102.44712990936556</v>
      </c>
    </row>
    <row r="8" spans="2:11" ht="12.95" customHeight="1">
      <c r="B8" s="14"/>
      <c r="C8" s="15"/>
      <c r="D8" s="15"/>
      <c r="E8" s="16">
        <v>611100</v>
      </c>
      <c r="F8" s="26" t="s">
        <v>210</v>
      </c>
      <c r="G8" s="44">
        <v>208600</v>
      </c>
      <c r="H8" s="394">
        <f>221300+10580</f>
        <v>231880</v>
      </c>
      <c r="I8" s="153">
        <f t="shared" si="0"/>
        <v>111.16011505273251</v>
      </c>
    </row>
    <row r="9" spans="2:11" ht="12.95" customHeight="1">
      <c r="B9" s="14"/>
      <c r="C9" s="15"/>
      <c r="D9" s="15"/>
      <c r="E9" s="16">
        <v>611200</v>
      </c>
      <c r="F9" s="15" t="s">
        <v>211</v>
      </c>
      <c r="G9" s="44">
        <f>34500+10*240</f>
        <v>36900</v>
      </c>
      <c r="H9" s="394">
        <f>37900+1500</f>
        <v>39400</v>
      </c>
      <c r="I9" s="153">
        <f t="shared" si="0"/>
        <v>106.77506775067751</v>
      </c>
      <c r="K9" s="90"/>
    </row>
    <row r="10" spans="2:11" ht="12.95" customHeight="1">
      <c r="B10" s="14"/>
      <c r="C10" s="15"/>
      <c r="D10" s="15"/>
      <c r="E10" s="16">
        <v>611200</v>
      </c>
      <c r="F10" s="363" t="s">
        <v>699</v>
      </c>
      <c r="G10" s="82">
        <v>19300</v>
      </c>
      <c r="H10" s="391">
        <v>0</v>
      </c>
      <c r="I10" s="153">
        <f t="shared" si="0"/>
        <v>0</v>
      </c>
      <c r="K10" s="89"/>
    </row>
    <row r="11" spans="2:11" ht="12.95" customHeight="1">
      <c r="B11" s="14"/>
      <c r="C11" s="15"/>
      <c r="D11" s="15"/>
      <c r="E11" s="16"/>
      <c r="F11" s="26"/>
      <c r="G11" s="44"/>
      <c r="H11" s="394"/>
      <c r="I11" s="153" t="str">
        <f t="shared" si="0"/>
        <v/>
      </c>
    </row>
    <row r="12" spans="2:11" ht="12.95" customHeight="1">
      <c r="B12" s="14"/>
      <c r="C12" s="15"/>
      <c r="D12" s="15"/>
      <c r="E12" s="16"/>
      <c r="F12" s="15"/>
      <c r="G12" s="20"/>
      <c r="H12" s="392"/>
      <c r="I12" s="153" t="str">
        <f t="shared" si="0"/>
        <v/>
      </c>
    </row>
    <row r="13" spans="2:11" s="1" customFormat="1" ht="12.95" customHeight="1">
      <c r="B13" s="17"/>
      <c r="C13" s="12"/>
      <c r="D13" s="12"/>
      <c r="E13" s="9">
        <v>612000</v>
      </c>
      <c r="F13" s="12" t="s">
        <v>166</v>
      </c>
      <c r="G13" s="20">
        <f>G14</f>
        <v>22400</v>
      </c>
      <c r="H13" s="392">
        <f>H14</f>
        <v>24730</v>
      </c>
      <c r="I13" s="152">
        <f t="shared" si="0"/>
        <v>110.40178571428572</v>
      </c>
    </row>
    <row r="14" spans="2:11" ht="12.95" customHeight="1">
      <c r="B14" s="14"/>
      <c r="C14" s="15"/>
      <c r="D14" s="15"/>
      <c r="E14" s="16">
        <v>612100</v>
      </c>
      <c r="F14" s="18" t="s">
        <v>85</v>
      </c>
      <c r="G14" s="44">
        <v>22400</v>
      </c>
      <c r="H14" s="394">
        <f>23600+1130</f>
        <v>24730</v>
      </c>
      <c r="I14" s="153">
        <f t="shared" si="0"/>
        <v>110.40178571428572</v>
      </c>
    </row>
    <row r="15" spans="2:11" ht="12.95" customHeight="1">
      <c r="B15" s="14"/>
      <c r="C15" s="15"/>
      <c r="D15" s="15"/>
      <c r="E15" s="16"/>
      <c r="F15" s="15"/>
      <c r="G15" s="117"/>
      <c r="H15" s="117"/>
      <c r="I15" s="153" t="str">
        <f t="shared" si="0"/>
        <v/>
      </c>
    </row>
    <row r="16" spans="2:11" ht="12.95" customHeight="1">
      <c r="B16" s="14"/>
      <c r="C16" s="15"/>
      <c r="D16" s="15"/>
      <c r="E16" s="16"/>
      <c r="F16" s="15"/>
      <c r="G16" s="108"/>
      <c r="H16" s="108"/>
      <c r="I16" s="153" t="str">
        <f t="shared" si="0"/>
        <v/>
      </c>
    </row>
    <row r="17" spans="2:10" s="1" customFormat="1" ht="12.95" customHeight="1">
      <c r="B17" s="17"/>
      <c r="C17" s="12"/>
      <c r="D17" s="12"/>
      <c r="E17" s="9">
        <v>613000</v>
      </c>
      <c r="F17" s="12" t="s">
        <v>168</v>
      </c>
      <c r="G17" s="108">
        <f>SUM(G18:G29)</f>
        <v>108550</v>
      </c>
      <c r="H17" s="108">
        <f>SUM(H18:H29)</f>
        <v>93300</v>
      </c>
      <c r="I17" s="152">
        <f t="shared" si="0"/>
        <v>85.951174573929066</v>
      </c>
    </row>
    <row r="18" spans="2:10" ht="12.95" customHeight="1">
      <c r="B18" s="14"/>
      <c r="C18" s="15"/>
      <c r="D18" s="15"/>
      <c r="E18" s="16">
        <v>613100</v>
      </c>
      <c r="F18" s="15" t="s">
        <v>86</v>
      </c>
      <c r="G18" s="117">
        <v>5100</v>
      </c>
      <c r="H18" s="117">
        <v>4500</v>
      </c>
      <c r="I18" s="153">
        <f t="shared" si="0"/>
        <v>88.235294117647058</v>
      </c>
    </row>
    <row r="19" spans="2:10" ht="12.95" customHeight="1">
      <c r="B19" s="14"/>
      <c r="C19" s="15"/>
      <c r="D19" s="15"/>
      <c r="E19" s="16">
        <v>613200</v>
      </c>
      <c r="F19" s="15" t="s">
        <v>87</v>
      </c>
      <c r="G19" s="117">
        <v>0</v>
      </c>
      <c r="H19" s="117">
        <v>0</v>
      </c>
      <c r="I19" s="153" t="str">
        <f t="shared" si="0"/>
        <v/>
      </c>
    </row>
    <row r="20" spans="2:10" ht="12.95" customHeight="1">
      <c r="B20" s="14"/>
      <c r="C20" s="15"/>
      <c r="D20" s="15"/>
      <c r="E20" s="16">
        <v>613300</v>
      </c>
      <c r="F20" s="26" t="s">
        <v>212</v>
      </c>
      <c r="G20" s="117">
        <v>4100</v>
      </c>
      <c r="H20" s="117">
        <v>4100</v>
      </c>
      <c r="I20" s="153">
        <f t="shared" si="0"/>
        <v>100</v>
      </c>
    </row>
    <row r="21" spans="2:10" ht="12.95" customHeight="1">
      <c r="B21" s="14"/>
      <c r="C21" s="15"/>
      <c r="D21" s="15"/>
      <c r="E21" s="16">
        <v>613400</v>
      </c>
      <c r="F21" s="15" t="s">
        <v>169</v>
      </c>
      <c r="G21" s="117">
        <v>1100</v>
      </c>
      <c r="H21" s="117">
        <v>7700</v>
      </c>
      <c r="I21" s="153">
        <f t="shared" si="0"/>
        <v>700</v>
      </c>
    </row>
    <row r="22" spans="2:10" ht="12.95" customHeight="1">
      <c r="B22" s="14"/>
      <c r="C22" s="15"/>
      <c r="D22" s="15"/>
      <c r="E22" s="16">
        <v>613500</v>
      </c>
      <c r="F22" s="15" t="s">
        <v>88</v>
      </c>
      <c r="G22" s="117">
        <v>0</v>
      </c>
      <c r="H22" s="117">
        <v>0</v>
      </c>
      <c r="I22" s="153" t="str">
        <f t="shared" si="0"/>
        <v/>
      </c>
    </row>
    <row r="23" spans="2:10" ht="12.95" customHeight="1">
      <c r="B23" s="14"/>
      <c r="C23" s="15"/>
      <c r="D23" s="15"/>
      <c r="E23" s="16">
        <v>613600</v>
      </c>
      <c r="F23" s="26" t="s">
        <v>213</v>
      </c>
      <c r="G23" s="117">
        <v>0</v>
      </c>
      <c r="H23" s="117">
        <v>0</v>
      </c>
      <c r="I23" s="153" t="str">
        <f t="shared" si="0"/>
        <v/>
      </c>
    </row>
    <row r="24" spans="2:10" ht="12.95" customHeight="1">
      <c r="B24" s="14"/>
      <c r="C24" s="15"/>
      <c r="D24" s="15"/>
      <c r="E24" s="16">
        <v>613700</v>
      </c>
      <c r="F24" s="15" t="s">
        <v>89</v>
      </c>
      <c r="G24" s="117">
        <v>800</v>
      </c>
      <c r="H24" s="117">
        <v>3000</v>
      </c>
      <c r="I24" s="153">
        <f t="shared" si="0"/>
        <v>375</v>
      </c>
    </row>
    <row r="25" spans="2:10" ht="12.95" customHeight="1">
      <c r="B25" s="14"/>
      <c r="C25" s="15"/>
      <c r="D25" s="15"/>
      <c r="E25" s="16">
        <v>613800</v>
      </c>
      <c r="F25" s="15" t="s">
        <v>170</v>
      </c>
      <c r="G25" s="117">
        <v>0</v>
      </c>
      <c r="H25" s="117">
        <v>0</v>
      </c>
      <c r="I25" s="153" t="str">
        <f t="shared" si="0"/>
        <v/>
      </c>
    </row>
    <row r="26" spans="2:10" ht="12.95" customHeight="1">
      <c r="B26" s="14"/>
      <c r="C26" s="15"/>
      <c r="D26" s="15"/>
      <c r="E26" s="16">
        <v>613800</v>
      </c>
      <c r="F26" s="26" t="s">
        <v>190</v>
      </c>
      <c r="G26" s="117">
        <v>0</v>
      </c>
      <c r="H26" s="117">
        <v>0</v>
      </c>
      <c r="I26" s="153" t="str">
        <f t="shared" si="0"/>
        <v/>
      </c>
    </row>
    <row r="27" spans="2:10" ht="12.95" customHeight="1">
      <c r="B27" s="14"/>
      <c r="C27" s="15"/>
      <c r="D27" s="15"/>
      <c r="E27" s="16">
        <v>613900</v>
      </c>
      <c r="F27" s="26" t="s">
        <v>171</v>
      </c>
      <c r="G27" s="117">
        <v>21000</v>
      </c>
      <c r="H27" s="117">
        <v>19000</v>
      </c>
      <c r="I27" s="153">
        <f t="shared" si="0"/>
        <v>90.476190476190482</v>
      </c>
    </row>
    <row r="28" spans="2:10" ht="12.95" customHeight="1">
      <c r="B28" s="14"/>
      <c r="C28" s="15"/>
      <c r="D28" s="15"/>
      <c r="E28" s="16">
        <v>613900</v>
      </c>
      <c r="F28" s="26" t="s">
        <v>184</v>
      </c>
      <c r="G28" s="117">
        <v>57000</v>
      </c>
      <c r="H28" s="117">
        <v>55000</v>
      </c>
      <c r="I28" s="153">
        <f t="shared" si="0"/>
        <v>96.491228070175438</v>
      </c>
    </row>
    <row r="29" spans="2:10" ht="12.95" customHeight="1">
      <c r="B29" s="14"/>
      <c r="C29" s="15"/>
      <c r="D29" s="15"/>
      <c r="E29" s="16">
        <v>613900</v>
      </c>
      <c r="F29" s="363" t="s">
        <v>701</v>
      </c>
      <c r="G29" s="117">
        <v>19450</v>
      </c>
      <c r="H29" s="117">
        <v>0</v>
      </c>
      <c r="I29" s="153">
        <f t="shared" si="0"/>
        <v>0</v>
      </c>
    </row>
    <row r="30" spans="2:10" ht="12.95" customHeight="1">
      <c r="B30" s="14"/>
      <c r="C30" s="15"/>
      <c r="D30" s="15"/>
      <c r="E30" s="16"/>
      <c r="F30" s="15"/>
      <c r="G30" s="117"/>
      <c r="H30" s="117"/>
      <c r="I30" s="153" t="str">
        <f t="shared" si="0"/>
        <v/>
      </c>
    </row>
    <row r="31" spans="2:10" s="1" customFormat="1" ht="12.95" customHeight="1">
      <c r="B31" s="17"/>
      <c r="C31" s="12"/>
      <c r="D31" s="12"/>
      <c r="E31" s="9">
        <v>614000</v>
      </c>
      <c r="F31" s="12" t="s">
        <v>214</v>
      </c>
      <c r="G31" s="108">
        <f>SUM(G32:G38)</f>
        <v>1064000</v>
      </c>
      <c r="H31" s="108">
        <f>SUM(H32:H38)</f>
        <v>1070000</v>
      </c>
      <c r="I31" s="152">
        <f t="shared" si="0"/>
        <v>100.5639097744361</v>
      </c>
    </row>
    <row r="32" spans="2:10" s="191" customFormat="1" ht="24.75" customHeight="1">
      <c r="B32" s="183"/>
      <c r="C32" s="184"/>
      <c r="D32" s="185"/>
      <c r="E32" s="186">
        <v>614100</v>
      </c>
      <c r="F32" s="187" t="s">
        <v>236</v>
      </c>
      <c r="G32" s="188">
        <v>158000</v>
      </c>
      <c r="H32" s="188">
        <v>160000</v>
      </c>
      <c r="I32" s="189">
        <f t="shared" si="0"/>
        <v>101.26582278481013</v>
      </c>
      <c r="J32" s="190"/>
    </row>
    <row r="33" spans="2:10" ht="12.95" customHeight="1">
      <c r="B33" s="14"/>
      <c r="C33" s="15"/>
      <c r="D33" s="15"/>
      <c r="E33" s="118">
        <v>614100</v>
      </c>
      <c r="F33" s="115" t="s">
        <v>102</v>
      </c>
      <c r="G33" s="117">
        <f>275000+25000</f>
        <v>300000</v>
      </c>
      <c r="H33" s="117">
        <v>300000</v>
      </c>
      <c r="I33" s="153">
        <f t="shared" si="0"/>
        <v>100</v>
      </c>
    </row>
    <row r="34" spans="2:10" ht="12.95" customHeight="1">
      <c r="B34" s="14"/>
      <c r="C34" s="15"/>
      <c r="D34" s="15"/>
      <c r="E34" s="118">
        <v>614100</v>
      </c>
      <c r="F34" s="115" t="s">
        <v>501</v>
      </c>
      <c r="G34" s="117">
        <v>291000</v>
      </c>
      <c r="H34" s="117">
        <v>295000</v>
      </c>
      <c r="I34" s="153">
        <f t="shared" si="0"/>
        <v>101.37457044673539</v>
      </c>
    </row>
    <row r="35" spans="2:10" ht="12.95" customHeight="1">
      <c r="B35" s="14"/>
      <c r="C35" s="15"/>
      <c r="D35" s="15"/>
      <c r="E35" s="16">
        <v>614200</v>
      </c>
      <c r="F35" s="29" t="s">
        <v>114</v>
      </c>
      <c r="G35" s="117">
        <v>120000</v>
      </c>
      <c r="H35" s="117">
        <v>120000</v>
      </c>
      <c r="I35" s="153">
        <f t="shared" si="0"/>
        <v>100</v>
      </c>
    </row>
    <row r="36" spans="2:10" s="191" customFormat="1" ht="24.75" customHeight="1">
      <c r="B36" s="183"/>
      <c r="C36" s="184"/>
      <c r="D36" s="184"/>
      <c r="E36" s="186">
        <v>614200</v>
      </c>
      <c r="F36" s="192" t="s">
        <v>333</v>
      </c>
      <c r="G36" s="188">
        <v>15000</v>
      </c>
      <c r="H36" s="188">
        <v>15000</v>
      </c>
      <c r="I36" s="189">
        <f t="shared" si="0"/>
        <v>100</v>
      </c>
    </row>
    <row r="37" spans="2:10" ht="12.95" customHeight="1">
      <c r="B37" s="14"/>
      <c r="C37" s="15"/>
      <c r="D37" s="15"/>
      <c r="E37" s="56">
        <v>614300</v>
      </c>
      <c r="F37" s="29" t="s">
        <v>103</v>
      </c>
      <c r="G37" s="117">
        <v>30000</v>
      </c>
      <c r="H37" s="117">
        <v>30000</v>
      </c>
      <c r="I37" s="153">
        <f t="shared" si="0"/>
        <v>100</v>
      </c>
    </row>
    <row r="38" spans="2:10" ht="12.95" customHeight="1">
      <c r="B38" s="14"/>
      <c r="C38" s="15"/>
      <c r="D38" s="15"/>
      <c r="E38" s="56">
        <v>614300</v>
      </c>
      <c r="F38" s="29" t="s">
        <v>104</v>
      </c>
      <c r="G38" s="117">
        <v>150000</v>
      </c>
      <c r="H38" s="117">
        <v>150000</v>
      </c>
      <c r="I38" s="153">
        <f t="shared" si="0"/>
        <v>100</v>
      </c>
      <c r="J38" s="107"/>
    </row>
    <row r="39" spans="2:10" ht="12.95" customHeight="1">
      <c r="B39" s="14"/>
      <c r="C39" s="15"/>
      <c r="D39" s="15"/>
      <c r="E39" s="56"/>
      <c r="F39" s="29"/>
      <c r="G39" s="117"/>
      <c r="H39" s="117"/>
      <c r="I39" s="153" t="str">
        <f t="shared" si="0"/>
        <v/>
      </c>
      <c r="J39" s="107"/>
    </row>
    <row r="40" spans="2:10" ht="12.95" customHeight="1">
      <c r="B40" s="14"/>
      <c r="C40" s="15"/>
      <c r="D40" s="15"/>
      <c r="E40" s="9">
        <v>615000</v>
      </c>
      <c r="F40" s="33" t="s">
        <v>91</v>
      </c>
      <c r="G40" s="108">
        <f>G41</f>
        <v>0</v>
      </c>
      <c r="H40" s="108">
        <f>H41</f>
        <v>0</v>
      </c>
      <c r="I40" s="152" t="str">
        <f t="shared" si="0"/>
        <v/>
      </c>
      <c r="J40" s="107"/>
    </row>
    <row r="41" spans="2:10" ht="12.95" customHeight="1">
      <c r="B41" s="14"/>
      <c r="C41" s="15"/>
      <c r="D41" s="15"/>
      <c r="E41" s="16">
        <v>615100</v>
      </c>
      <c r="F41" s="66" t="s">
        <v>91</v>
      </c>
      <c r="G41" s="117">
        <v>0</v>
      </c>
      <c r="H41" s="117">
        <v>0</v>
      </c>
      <c r="I41" s="153" t="str">
        <f t="shared" si="0"/>
        <v/>
      </c>
      <c r="J41" s="107"/>
    </row>
    <row r="42" spans="2:10" ht="12.95" customHeight="1">
      <c r="B42" s="14"/>
      <c r="C42" s="15"/>
      <c r="D42" s="15"/>
      <c r="E42" s="56"/>
      <c r="F42" s="29"/>
      <c r="G42" s="117"/>
      <c r="H42" s="117"/>
      <c r="I42" s="153" t="str">
        <f t="shared" si="0"/>
        <v/>
      </c>
    </row>
    <row r="43" spans="2:10" ht="12.95" customHeight="1">
      <c r="B43" s="14"/>
      <c r="C43" s="15"/>
      <c r="D43" s="15"/>
      <c r="E43" s="9">
        <v>616000</v>
      </c>
      <c r="F43" s="33" t="s">
        <v>215</v>
      </c>
      <c r="G43" s="108">
        <f>G44</f>
        <v>12560</v>
      </c>
      <c r="H43" s="108">
        <f>H44</f>
        <v>9300</v>
      </c>
      <c r="I43" s="152">
        <f t="shared" si="0"/>
        <v>74.044585987261144</v>
      </c>
    </row>
    <row r="44" spans="2:10" ht="12.95" customHeight="1">
      <c r="B44" s="14"/>
      <c r="C44" s="15"/>
      <c r="D44" s="15"/>
      <c r="E44" s="16">
        <v>616300</v>
      </c>
      <c r="F44" s="66" t="s">
        <v>226</v>
      </c>
      <c r="G44" s="117">
        <v>12560</v>
      </c>
      <c r="H44" s="117">
        <v>9300</v>
      </c>
      <c r="I44" s="153">
        <f t="shared" si="0"/>
        <v>74.044585987261144</v>
      </c>
    </row>
    <row r="45" spans="2:10" ht="12.95" customHeight="1">
      <c r="B45" s="14"/>
      <c r="C45" s="15"/>
      <c r="D45" s="15"/>
      <c r="E45" s="16"/>
      <c r="F45" s="15"/>
      <c r="G45" s="82"/>
      <c r="H45" s="82"/>
      <c r="I45" s="153" t="str">
        <f t="shared" si="0"/>
        <v/>
      </c>
    </row>
    <row r="46" spans="2:10" s="1" customFormat="1" ht="12.95" customHeight="1">
      <c r="B46" s="17"/>
      <c r="C46" s="12"/>
      <c r="D46" s="12"/>
      <c r="E46" s="9">
        <v>821000</v>
      </c>
      <c r="F46" s="12" t="s">
        <v>92</v>
      </c>
      <c r="G46" s="108">
        <f>SUM(G47:G48)</f>
        <v>1440</v>
      </c>
      <c r="H46" s="108">
        <f>SUM(H47:H48)</f>
        <v>16100</v>
      </c>
      <c r="I46" s="152">
        <f t="shared" si="0"/>
        <v>1118.0555555555554</v>
      </c>
    </row>
    <row r="47" spans="2:10" ht="12.95" customHeight="1">
      <c r="B47" s="14"/>
      <c r="C47" s="15"/>
      <c r="D47" s="15"/>
      <c r="E47" s="16">
        <v>821200</v>
      </c>
      <c r="F47" s="15" t="s">
        <v>93</v>
      </c>
      <c r="G47" s="82">
        <v>0</v>
      </c>
      <c r="H47" s="82">
        <v>0</v>
      </c>
      <c r="I47" s="153" t="str">
        <f t="shared" si="0"/>
        <v/>
      </c>
    </row>
    <row r="48" spans="2:10" ht="12.95" customHeight="1">
      <c r="B48" s="14"/>
      <c r="C48" s="15"/>
      <c r="D48" s="15"/>
      <c r="E48" s="16">
        <v>821300</v>
      </c>
      <c r="F48" s="15" t="s">
        <v>94</v>
      </c>
      <c r="G48" s="117">
        <v>1440</v>
      </c>
      <c r="H48" s="117">
        <v>16100</v>
      </c>
      <c r="I48" s="153">
        <f t="shared" si="0"/>
        <v>1118.0555555555554</v>
      </c>
    </row>
    <row r="49" spans="2:9" ht="12.95" customHeight="1">
      <c r="B49" s="14"/>
      <c r="C49" s="15"/>
      <c r="D49" s="15"/>
      <c r="E49" s="16"/>
      <c r="F49" s="15"/>
      <c r="G49" s="82"/>
      <c r="H49" s="82"/>
      <c r="I49" s="153" t="str">
        <f t="shared" si="0"/>
        <v/>
      </c>
    </row>
    <row r="50" spans="2:9" ht="12.95" customHeight="1">
      <c r="B50" s="14"/>
      <c r="C50" s="15"/>
      <c r="D50" s="15"/>
      <c r="E50" s="9">
        <v>823000</v>
      </c>
      <c r="F50" s="12" t="s">
        <v>216</v>
      </c>
      <c r="G50" s="108">
        <f>G51</f>
        <v>74130</v>
      </c>
      <c r="H50" s="108">
        <f>H51</f>
        <v>75000</v>
      </c>
      <c r="I50" s="152">
        <f t="shared" si="0"/>
        <v>101.17361392148926</v>
      </c>
    </row>
    <row r="51" spans="2:9" ht="12.95" customHeight="1">
      <c r="B51" s="14"/>
      <c r="C51" s="15"/>
      <c r="D51" s="15"/>
      <c r="E51" s="16">
        <v>823300</v>
      </c>
      <c r="F51" s="26" t="s">
        <v>189</v>
      </c>
      <c r="G51" s="117">
        <v>74130</v>
      </c>
      <c r="H51" s="117">
        <v>75000</v>
      </c>
      <c r="I51" s="153">
        <f t="shared" si="0"/>
        <v>101.17361392148926</v>
      </c>
    </row>
    <row r="52" spans="2:9" ht="12.95" customHeight="1">
      <c r="B52" s="14"/>
      <c r="C52" s="15"/>
      <c r="D52" s="15"/>
      <c r="E52" s="16"/>
      <c r="F52" s="26"/>
      <c r="G52" s="82"/>
      <c r="H52" s="82"/>
      <c r="I52" s="153" t="str">
        <f t="shared" si="0"/>
        <v/>
      </c>
    </row>
    <row r="53" spans="2:9" ht="12.95" customHeight="1">
      <c r="B53" s="14"/>
      <c r="C53" s="15"/>
      <c r="D53" s="15"/>
      <c r="E53" s="16"/>
      <c r="F53" s="15"/>
      <c r="G53" s="82"/>
      <c r="H53" s="82"/>
      <c r="I53" s="153" t="str">
        <f t="shared" si="0"/>
        <v/>
      </c>
    </row>
    <row r="54" spans="2:9" s="1" customFormat="1" ht="12.95" customHeight="1">
      <c r="B54" s="17"/>
      <c r="C54" s="12"/>
      <c r="D54" s="12"/>
      <c r="E54" s="9"/>
      <c r="F54" s="12" t="s">
        <v>95</v>
      </c>
      <c r="G54" s="20">
        <v>10</v>
      </c>
      <c r="H54" s="20">
        <v>10</v>
      </c>
      <c r="I54" s="153"/>
    </row>
    <row r="55" spans="2:9" s="1" customFormat="1" ht="12.95" customHeight="1">
      <c r="B55" s="17"/>
      <c r="C55" s="12"/>
      <c r="D55" s="12"/>
      <c r="E55" s="9"/>
      <c r="F55" s="12" t="s">
        <v>115</v>
      </c>
      <c r="G55" s="20">
        <f>G7+G13+G17+G31+G40+G43+G46+G50</f>
        <v>1547880</v>
      </c>
      <c r="H55" s="20">
        <f>H7+H13+H17+H31+H40+H43+H46+H50</f>
        <v>1559710</v>
      </c>
      <c r="I55" s="152">
        <f t="shared" si="0"/>
        <v>100.76427113212911</v>
      </c>
    </row>
    <row r="56" spans="2:9" s="1" customFormat="1" ht="12.95" customHeight="1">
      <c r="B56" s="17"/>
      <c r="C56" s="12"/>
      <c r="D56" s="12"/>
      <c r="E56" s="9"/>
      <c r="F56" s="12" t="s">
        <v>96</v>
      </c>
      <c r="G56" s="20"/>
      <c r="H56" s="15"/>
      <c r="I56" s="154"/>
    </row>
    <row r="57" spans="2:9" s="1" customFormat="1" ht="12.95" customHeight="1">
      <c r="B57" s="17"/>
      <c r="C57" s="12"/>
      <c r="D57" s="12"/>
      <c r="E57" s="9"/>
      <c r="F57" s="12" t="s">
        <v>97</v>
      </c>
      <c r="G57" s="20"/>
      <c r="H57" s="15"/>
      <c r="I57" s="154"/>
    </row>
    <row r="58" spans="2:9" ht="12.95" customHeight="1" thickBot="1">
      <c r="B58" s="21"/>
      <c r="C58" s="22"/>
      <c r="D58" s="22"/>
      <c r="E58" s="23"/>
      <c r="F58" s="22"/>
      <c r="G58" s="48"/>
      <c r="H58" s="22"/>
      <c r="I58" s="156"/>
    </row>
    <row r="61" spans="2:9">
      <c r="B61" s="81"/>
    </row>
    <row r="62" spans="2:9">
      <c r="B62" s="81"/>
    </row>
    <row r="63" spans="2:9">
      <c r="B63" s="81"/>
    </row>
    <row r="64" spans="2:9">
      <c r="B64" s="81"/>
    </row>
  </sheetData>
  <mergeCells count="2">
    <mergeCell ref="B2:G2"/>
    <mergeCell ref="F3:G3"/>
  </mergeCells>
  <phoneticPr fontId="2" type="noConversion"/>
  <pageMargins left="0.19685039370078741" right="0.19685039370078741" top="0.59055118110236227" bottom="0.59055118110236227" header="0.51181102362204722" footer="0.51181102362204722"/>
  <pageSetup paperSize="9" scale="88" firstPageNumber="10" orientation="portrait" useFirstPageNumber="1" horizontalDpi="180" verticalDpi="180" r:id="rId1"/>
  <headerFooter alignWithMargins="0">
    <oddFooter>&amp;R27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25"/>
  <dimension ref="B2:L60"/>
  <sheetViews>
    <sheetView topLeftCell="C13" zoomScaleSheetLayoutView="100" workbookViewId="0">
      <selection activeCell="G7" sqref="G7:G41"/>
    </sheetView>
  </sheetViews>
  <sheetFormatPr defaultRowHeight="12.75"/>
  <cols>
    <col min="1" max="1" width="1.5703125" style="13" customWidth="1"/>
    <col min="2" max="4" width="5.7109375" style="13" bestFit="1" customWidth="1"/>
    <col min="5" max="5" width="11.140625" style="24" customWidth="1"/>
    <col min="6" max="6" width="43.7109375" style="13" customWidth="1"/>
    <col min="7" max="7" width="15.7109375" style="13" customWidth="1"/>
    <col min="8" max="8" width="15.7109375" style="90" customWidth="1"/>
    <col min="9" max="9" width="8.7109375" style="140" customWidth="1"/>
    <col min="10" max="16384" width="9.140625" style="13"/>
  </cols>
  <sheetData>
    <row r="2" spans="2:11" ht="15" customHeight="1">
      <c r="B2" s="448" t="s">
        <v>172</v>
      </c>
      <c r="C2" s="448"/>
      <c r="D2" s="448"/>
      <c r="E2" s="448"/>
      <c r="F2" s="448"/>
      <c r="G2" s="448"/>
    </row>
    <row r="3" spans="2:11" s="1" customFormat="1" ht="16.5" thickBot="1">
      <c r="E3" s="2"/>
      <c r="F3" s="449"/>
      <c r="G3" s="449"/>
      <c r="H3" s="181"/>
      <c r="I3" s="182"/>
    </row>
    <row r="4" spans="2:11" s="1" customFormat="1" ht="76.5" customHeight="1">
      <c r="B4" s="3" t="s">
        <v>79</v>
      </c>
      <c r="C4" s="4" t="s">
        <v>80</v>
      </c>
      <c r="D4" s="5" t="s">
        <v>112</v>
      </c>
      <c r="E4" s="6" t="s">
        <v>81</v>
      </c>
      <c r="F4" s="7" t="s">
        <v>82</v>
      </c>
      <c r="G4" s="316" t="s">
        <v>557</v>
      </c>
      <c r="H4" s="316" t="s">
        <v>683</v>
      </c>
      <c r="I4" s="149" t="s">
        <v>497</v>
      </c>
    </row>
    <row r="5" spans="2:11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34">
        <v>6</v>
      </c>
      <c r="H5" s="9">
        <v>7</v>
      </c>
      <c r="I5" s="150">
        <v>8</v>
      </c>
    </row>
    <row r="6" spans="2:11" s="2" customFormat="1" ht="12.95" customHeight="1">
      <c r="B6" s="10" t="s">
        <v>147</v>
      </c>
      <c r="C6" s="11" t="s">
        <v>136</v>
      </c>
      <c r="D6" s="11" t="s">
        <v>121</v>
      </c>
      <c r="E6" s="9"/>
      <c r="F6" s="9"/>
      <c r="G6" s="34"/>
      <c r="H6" s="165"/>
      <c r="I6" s="151"/>
    </row>
    <row r="7" spans="2:11" s="1" customFormat="1" ht="12.95" customHeight="1">
      <c r="B7" s="17"/>
      <c r="C7" s="12"/>
      <c r="D7" s="12"/>
      <c r="E7" s="9">
        <v>611000</v>
      </c>
      <c r="F7" s="12" t="s">
        <v>167</v>
      </c>
      <c r="G7" s="20">
        <f>SUM(G8:G11)</f>
        <v>1079260</v>
      </c>
      <c r="H7" s="392">
        <f>SUM(H8:H11)</f>
        <v>1125570</v>
      </c>
      <c r="I7" s="152">
        <f t="shared" ref="I7:I42" si="0">IF(G7=0,"",H7/G7*100)</f>
        <v>104.29090302614755</v>
      </c>
    </row>
    <row r="8" spans="2:11" ht="12.95" customHeight="1">
      <c r="B8" s="14"/>
      <c r="C8" s="15"/>
      <c r="D8" s="15"/>
      <c r="E8" s="16">
        <v>611100</v>
      </c>
      <c r="F8" s="26" t="s">
        <v>210</v>
      </c>
      <c r="G8" s="44">
        <f>859400+7300</f>
        <v>866700</v>
      </c>
      <c r="H8" s="394">
        <f>856300+10160+42800</f>
        <v>909260</v>
      </c>
      <c r="I8" s="153">
        <f t="shared" si="0"/>
        <v>104.91058036229374</v>
      </c>
    </row>
    <row r="9" spans="2:11" ht="12.95" customHeight="1">
      <c r="B9" s="14"/>
      <c r="C9" s="15"/>
      <c r="D9" s="15"/>
      <c r="E9" s="16">
        <v>611200</v>
      </c>
      <c r="F9" s="15" t="s">
        <v>211</v>
      </c>
      <c r="G9" s="44">
        <f>192200+5000+54*240</f>
        <v>210160</v>
      </c>
      <c r="H9" s="394">
        <f>196000+7500+12810</f>
        <v>216310</v>
      </c>
      <c r="I9" s="153">
        <f t="shared" si="0"/>
        <v>102.92634183479254</v>
      </c>
    </row>
    <row r="10" spans="2:11" ht="12.95" customHeight="1">
      <c r="B10" s="14"/>
      <c r="C10" s="15"/>
      <c r="D10" s="15"/>
      <c r="E10" s="16">
        <v>611200</v>
      </c>
      <c r="F10" s="363" t="s">
        <v>699</v>
      </c>
      <c r="G10" s="82">
        <v>2400</v>
      </c>
      <c r="H10" s="391">
        <v>0</v>
      </c>
      <c r="I10" s="153">
        <f t="shared" si="0"/>
        <v>0</v>
      </c>
      <c r="K10" s="89"/>
    </row>
    <row r="11" spans="2:11" ht="12.95" customHeight="1">
      <c r="B11" s="14"/>
      <c r="C11" s="15"/>
      <c r="D11" s="15"/>
      <c r="E11" s="16"/>
      <c r="F11" s="26"/>
      <c r="G11" s="44"/>
      <c r="H11" s="394"/>
      <c r="I11" s="153" t="str">
        <f t="shared" si="0"/>
        <v/>
      </c>
    </row>
    <row r="12" spans="2:11" ht="12.95" customHeight="1">
      <c r="B12" s="14"/>
      <c r="C12" s="15"/>
      <c r="D12" s="15"/>
      <c r="E12" s="16"/>
      <c r="F12" s="15"/>
      <c r="G12" s="20"/>
      <c r="H12" s="392"/>
      <c r="I12" s="153" t="str">
        <f t="shared" si="0"/>
        <v/>
      </c>
      <c r="K12" s="81" t="s">
        <v>179</v>
      </c>
    </row>
    <row r="13" spans="2:11" s="1" customFormat="1" ht="12.95" customHeight="1">
      <c r="B13" s="17"/>
      <c r="C13" s="12"/>
      <c r="D13" s="12"/>
      <c r="E13" s="9">
        <v>612000</v>
      </c>
      <c r="F13" s="12" t="s">
        <v>166</v>
      </c>
      <c r="G13" s="20">
        <f>G14</f>
        <v>92700</v>
      </c>
      <c r="H13" s="392">
        <f>H14</f>
        <v>96800</v>
      </c>
      <c r="I13" s="152">
        <f t="shared" si="0"/>
        <v>104.42286947141316</v>
      </c>
    </row>
    <row r="14" spans="2:11" ht="12.95" customHeight="1">
      <c r="B14" s="14"/>
      <c r="C14" s="15"/>
      <c r="D14" s="15"/>
      <c r="E14" s="16">
        <v>612100</v>
      </c>
      <c r="F14" s="18" t="s">
        <v>85</v>
      </c>
      <c r="G14" s="44">
        <v>92700</v>
      </c>
      <c r="H14" s="394">
        <f>92200+4600</f>
        <v>96800</v>
      </c>
      <c r="I14" s="153">
        <f t="shared" si="0"/>
        <v>104.42286947141316</v>
      </c>
    </row>
    <row r="15" spans="2:11" ht="12.95" customHeight="1">
      <c r="B15" s="14"/>
      <c r="C15" s="15"/>
      <c r="D15" s="15"/>
      <c r="E15" s="16"/>
      <c r="F15" s="15"/>
      <c r="G15" s="44"/>
      <c r="H15" s="44"/>
      <c r="I15" s="153" t="str">
        <f t="shared" si="0"/>
        <v/>
      </c>
    </row>
    <row r="16" spans="2:11" ht="12.95" customHeight="1">
      <c r="B16" s="14"/>
      <c r="C16" s="15"/>
      <c r="D16" s="15"/>
      <c r="E16" s="16"/>
      <c r="F16" s="15"/>
      <c r="G16" s="20"/>
      <c r="H16" s="20"/>
      <c r="I16" s="153" t="str">
        <f t="shared" si="0"/>
        <v/>
      </c>
    </row>
    <row r="17" spans="2:9" s="1" customFormat="1" ht="12.95" customHeight="1">
      <c r="B17" s="17"/>
      <c r="C17" s="12"/>
      <c r="D17" s="12"/>
      <c r="E17" s="9">
        <v>613000</v>
      </c>
      <c r="F17" s="12" t="s">
        <v>168</v>
      </c>
      <c r="G17" s="49">
        <f>SUM(G18:G27)</f>
        <v>159500</v>
      </c>
      <c r="H17" s="49">
        <f>SUM(H18:H27)</f>
        <v>167500</v>
      </c>
      <c r="I17" s="152">
        <f t="shared" si="0"/>
        <v>105.01567398119123</v>
      </c>
    </row>
    <row r="18" spans="2:9" ht="12.95" customHeight="1">
      <c r="B18" s="14"/>
      <c r="C18" s="15"/>
      <c r="D18" s="15"/>
      <c r="E18" s="16">
        <v>613100</v>
      </c>
      <c r="F18" s="15" t="s">
        <v>86</v>
      </c>
      <c r="G18" s="44">
        <v>6000</v>
      </c>
      <c r="H18" s="44">
        <v>6000</v>
      </c>
      <c r="I18" s="153">
        <f t="shared" si="0"/>
        <v>100</v>
      </c>
    </row>
    <row r="19" spans="2:9" ht="12.95" customHeight="1">
      <c r="B19" s="14"/>
      <c r="C19" s="15"/>
      <c r="D19" s="15"/>
      <c r="E19" s="16">
        <v>613200</v>
      </c>
      <c r="F19" s="15" t="s">
        <v>87</v>
      </c>
      <c r="G19" s="44">
        <v>60000</v>
      </c>
      <c r="H19" s="44">
        <v>70000</v>
      </c>
      <c r="I19" s="153">
        <f t="shared" si="0"/>
        <v>116.66666666666667</v>
      </c>
    </row>
    <row r="20" spans="2:9" ht="12.95" customHeight="1">
      <c r="B20" s="14"/>
      <c r="C20" s="15"/>
      <c r="D20" s="15"/>
      <c r="E20" s="16">
        <v>613300</v>
      </c>
      <c r="F20" s="26" t="s">
        <v>212</v>
      </c>
      <c r="G20" s="44">
        <v>7400</v>
      </c>
      <c r="H20" s="44">
        <v>8000</v>
      </c>
      <c r="I20" s="153">
        <f t="shared" si="0"/>
        <v>108.10810810810811</v>
      </c>
    </row>
    <row r="21" spans="2:9" ht="12.95" customHeight="1">
      <c r="B21" s="14"/>
      <c r="C21" s="15"/>
      <c r="D21" s="15"/>
      <c r="E21" s="16">
        <v>613400</v>
      </c>
      <c r="F21" s="15" t="s">
        <v>169</v>
      </c>
      <c r="G21" s="44">
        <v>22000</v>
      </c>
      <c r="H21" s="44">
        <v>22000</v>
      </c>
      <c r="I21" s="153">
        <f t="shared" si="0"/>
        <v>100</v>
      </c>
    </row>
    <row r="22" spans="2:9" ht="12.95" customHeight="1">
      <c r="B22" s="14"/>
      <c r="C22" s="15"/>
      <c r="D22" s="15"/>
      <c r="E22" s="16">
        <v>613500</v>
      </c>
      <c r="F22" s="15" t="s">
        <v>88</v>
      </c>
      <c r="G22" s="117">
        <v>1500</v>
      </c>
      <c r="H22" s="117">
        <v>1500</v>
      </c>
      <c r="I22" s="153">
        <f t="shared" si="0"/>
        <v>100</v>
      </c>
    </row>
    <row r="23" spans="2:9" ht="12.95" customHeight="1">
      <c r="B23" s="14"/>
      <c r="C23" s="15"/>
      <c r="D23" s="15"/>
      <c r="E23" s="16">
        <v>613600</v>
      </c>
      <c r="F23" s="26" t="s">
        <v>213</v>
      </c>
      <c r="G23" s="44">
        <v>0</v>
      </c>
      <c r="H23" s="44">
        <v>0</v>
      </c>
      <c r="I23" s="153" t="str">
        <f t="shared" si="0"/>
        <v/>
      </c>
    </row>
    <row r="24" spans="2:9" ht="12.95" customHeight="1">
      <c r="B24" s="14"/>
      <c r="C24" s="15"/>
      <c r="D24" s="15"/>
      <c r="E24" s="16">
        <v>613700</v>
      </c>
      <c r="F24" s="15" t="s">
        <v>89</v>
      </c>
      <c r="G24" s="44">
        <v>14000</v>
      </c>
      <c r="H24" s="44">
        <v>15000</v>
      </c>
      <c r="I24" s="153">
        <f t="shared" si="0"/>
        <v>107.14285714285714</v>
      </c>
    </row>
    <row r="25" spans="2:9" ht="12.95" customHeight="1">
      <c r="B25" s="14"/>
      <c r="C25" s="15"/>
      <c r="D25" s="15"/>
      <c r="E25" s="16">
        <v>613800</v>
      </c>
      <c r="F25" s="15" t="s">
        <v>170</v>
      </c>
      <c r="G25" s="44">
        <v>300</v>
      </c>
      <c r="H25" s="44">
        <v>0</v>
      </c>
      <c r="I25" s="153">
        <f t="shared" si="0"/>
        <v>0</v>
      </c>
    </row>
    <row r="26" spans="2:9" ht="12.95" customHeight="1">
      <c r="B26" s="14"/>
      <c r="C26" s="15"/>
      <c r="D26" s="15"/>
      <c r="E26" s="16">
        <v>613900</v>
      </c>
      <c r="F26" s="15" t="s">
        <v>171</v>
      </c>
      <c r="G26" s="117">
        <v>45000</v>
      </c>
      <c r="H26" s="117">
        <v>45000</v>
      </c>
      <c r="I26" s="153">
        <f t="shared" si="0"/>
        <v>100</v>
      </c>
    </row>
    <row r="27" spans="2:9" ht="12.95" customHeight="1">
      <c r="B27" s="14"/>
      <c r="C27" s="15"/>
      <c r="D27" s="15"/>
      <c r="E27" s="16">
        <v>613900</v>
      </c>
      <c r="F27" s="363" t="s">
        <v>701</v>
      </c>
      <c r="G27" s="407">
        <v>3300</v>
      </c>
      <c r="H27" s="109">
        <v>0</v>
      </c>
      <c r="I27" s="153">
        <f t="shared" si="0"/>
        <v>0</v>
      </c>
    </row>
    <row r="28" spans="2:9" s="1" customFormat="1" ht="12.95" customHeight="1">
      <c r="B28" s="17"/>
      <c r="C28" s="12"/>
      <c r="D28" s="12"/>
      <c r="E28" s="9"/>
      <c r="F28" s="12"/>
      <c r="G28" s="44"/>
      <c r="H28" s="44"/>
      <c r="I28" s="153" t="str">
        <f t="shared" si="0"/>
        <v/>
      </c>
    </row>
    <row r="29" spans="2:9" ht="12.95" customHeight="1">
      <c r="B29" s="14"/>
      <c r="C29" s="15"/>
      <c r="D29" s="30"/>
      <c r="E29" s="16"/>
      <c r="F29" s="29"/>
      <c r="G29" s="44"/>
      <c r="H29" s="44"/>
      <c r="I29" s="153" t="str">
        <f t="shared" si="0"/>
        <v/>
      </c>
    </row>
    <row r="30" spans="2:9" ht="12.95" customHeight="1">
      <c r="B30" s="14"/>
      <c r="C30" s="15"/>
      <c r="D30" s="15"/>
      <c r="E30" s="60"/>
      <c r="F30" s="29"/>
      <c r="G30" s="44"/>
      <c r="H30" s="44"/>
      <c r="I30" s="153" t="str">
        <f t="shared" si="0"/>
        <v/>
      </c>
    </row>
    <row r="31" spans="2:9" ht="12.95" customHeight="1">
      <c r="B31" s="14"/>
      <c r="C31" s="15"/>
      <c r="D31" s="15"/>
      <c r="E31" s="16"/>
      <c r="F31" s="15"/>
      <c r="G31" s="44"/>
      <c r="H31" s="44"/>
      <c r="I31" s="153" t="str">
        <f t="shared" si="0"/>
        <v/>
      </c>
    </row>
    <row r="32" spans="2:9" ht="12.95" customHeight="1">
      <c r="B32" s="14"/>
      <c r="C32" s="15"/>
      <c r="D32" s="15"/>
      <c r="E32" s="16"/>
      <c r="F32" s="15"/>
      <c r="G32" s="44"/>
      <c r="H32" s="44"/>
      <c r="I32" s="153" t="str">
        <f t="shared" si="0"/>
        <v/>
      </c>
    </row>
    <row r="33" spans="2:12" ht="12.95" customHeight="1">
      <c r="B33" s="14"/>
      <c r="C33" s="15"/>
      <c r="D33" s="15"/>
      <c r="E33" s="9"/>
      <c r="F33" s="12"/>
      <c r="G33" s="44"/>
      <c r="H33" s="44"/>
      <c r="I33" s="153" t="str">
        <f t="shared" si="0"/>
        <v/>
      </c>
    </row>
    <row r="34" spans="2:12" ht="12.95" customHeight="1">
      <c r="B34" s="14"/>
      <c r="C34" s="15"/>
      <c r="D34" s="15"/>
      <c r="E34" s="16"/>
      <c r="F34" s="26"/>
      <c r="G34" s="44"/>
      <c r="H34" s="44"/>
      <c r="I34" s="153" t="str">
        <f t="shared" si="0"/>
        <v/>
      </c>
    </row>
    <row r="35" spans="2:12" ht="12.95" customHeight="1">
      <c r="B35" s="14"/>
      <c r="C35" s="15"/>
      <c r="D35" s="15"/>
      <c r="E35" s="16"/>
      <c r="F35" s="15"/>
      <c r="G35" s="20"/>
      <c r="H35" s="20"/>
      <c r="I35" s="153" t="str">
        <f t="shared" si="0"/>
        <v/>
      </c>
    </row>
    <row r="36" spans="2:12" s="1" customFormat="1" ht="12.95" customHeight="1">
      <c r="B36" s="17"/>
      <c r="C36" s="12"/>
      <c r="D36" s="12"/>
      <c r="E36" s="9">
        <v>821000</v>
      </c>
      <c r="F36" s="12" t="s">
        <v>92</v>
      </c>
      <c r="G36" s="20">
        <f>SUM(G37:G39)</f>
        <v>14340</v>
      </c>
      <c r="H36" s="20">
        <f>SUM(H37:H39)</f>
        <v>81000</v>
      </c>
      <c r="I36" s="152">
        <f t="shared" si="0"/>
        <v>564.85355648535563</v>
      </c>
    </row>
    <row r="37" spans="2:12" ht="12.95" customHeight="1">
      <c r="B37" s="14"/>
      <c r="C37" s="15"/>
      <c r="D37" s="15"/>
      <c r="E37" s="16">
        <v>821200</v>
      </c>
      <c r="F37" s="15" t="s">
        <v>93</v>
      </c>
      <c r="G37" s="117">
        <v>6000</v>
      </c>
      <c r="H37" s="117">
        <v>77000</v>
      </c>
      <c r="I37" s="153">
        <f t="shared" si="0"/>
        <v>1283.3333333333335</v>
      </c>
      <c r="J37" s="81"/>
    </row>
    <row r="38" spans="2:12" ht="12.95" customHeight="1">
      <c r="B38" s="14"/>
      <c r="C38" s="15"/>
      <c r="D38" s="15"/>
      <c r="E38" s="16">
        <v>821300</v>
      </c>
      <c r="F38" s="15" t="s">
        <v>94</v>
      </c>
      <c r="G38" s="117">
        <v>8340</v>
      </c>
      <c r="H38" s="117">
        <v>4000</v>
      </c>
      <c r="I38" s="153">
        <f t="shared" si="0"/>
        <v>47.961630695443645</v>
      </c>
    </row>
    <row r="39" spans="2:12" ht="12.95" customHeight="1">
      <c r="B39" s="14"/>
      <c r="C39" s="15"/>
      <c r="D39" s="15"/>
      <c r="E39" s="16"/>
      <c r="F39" s="26"/>
      <c r="G39" s="44"/>
      <c r="H39" s="44"/>
      <c r="I39" s="153" t="str">
        <f t="shared" si="0"/>
        <v/>
      </c>
    </row>
    <row r="40" spans="2:12" ht="12.95" customHeight="1">
      <c r="B40" s="14"/>
      <c r="C40" s="15"/>
      <c r="D40" s="15"/>
      <c r="E40" s="16"/>
      <c r="F40" s="15"/>
      <c r="G40" s="44"/>
      <c r="H40" s="44"/>
      <c r="I40" s="153" t="str">
        <f t="shared" si="0"/>
        <v/>
      </c>
    </row>
    <row r="41" spans="2:12" s="1" customFormat="1" ht="12.95" customHeight="1">
      <c r="B41" s="17"/>
      <c r="C41" s="12"/>
      <c r="D41" s="12"/>
      <c r="E41" s="9"/>
      <c r="F41" s="12" t="s">
        <v>95</v>
      </c>
      <c r="G41" s="25" t="s">
        <v>709</v>
      </c>
      <c r="H41" s="25" t="s">
        <v>709</v>
      </c>
      <c r="I41" s="153"/>
    </row>
    <row r="42" spans="2:12" s="1" customFormat="1" ht="12.95" customHeight="1">
      <c r="B42" s="17"/>
      <c r="C42" s="12"/>
      <c r="D42" s="12"/>
      <c r="E42" s="9"/>
      <c r="F42" s="12" t="s">
        <v>115</v>
      </c>
      <c r="G42" s="20">
        <f>G7+G13+G17+G36</f>
        <v>1345800</v>
      </c>
      <c r="H42" s="20">
        <f>H7+H13+H17+H36</f>
        <v>1470870</v>
      </c>
      <c r="I42" s="152">
        <f t="shared" si="0"/>
        <v>109.29335711101204</v>
      </c>
    </row>
    <row r="43" spans="2:12" s="1" customFormat="1" ht="12.95" customHeight="1">
      <c r="B43" s="17"/>
      <c r="C43" s="12"/>
      <c r="D43" s="12"/>
      <c r="E43" s="9"/>
      <c r="F43" s="12" t="s">
        <v>96</v>
      </c>
      <c r="G43" s="20"/>
      <c r="H43" s="20"/>
      <c r="I43" s="155"/>
      <c r="L43" s="1" t="s">
        <v>179</v>
      </c>
    </row>
    <row r="44" spans="2:12" s="1" customFormat="1" ht="12.95" customHeight="1">
      <c r="B44" s="17"/>
      <c r="C44" s="12"/>
      <c r="D44" s="12"/>
      <c r="E44" s="9"/>
      <c r="F44" s="12" t="s">
        <v>97</v>
      </c>
      <c r="G44" s="20"/>
      <c r="H44" s="43"/>
      <c r="I44" s="154"/>
    </row>
    <row r="45" spans="2:12" ht="12.95" customHeight="1" thickBot="1">
      <c r="B45" s="21"/>
      <c r="C45" s="22"/>
      <c r="D45" s="22"/>
      <c r="E45" s="23"/>
      <c r="F45" s="22"/>
      <c r="G45" s="48"/>
      <c r="H45" s="45"/>
      <c r="I45" s="156"/>
    </row>
    <row r="47" spans="2:12">
      <c r="B47" s="81"/>
    </row>
    <row r="48" spans="2:12">
      <c r="B48" s="81"/>
    </row>
    <row r="49" spans="2:2">
      <c r="B49" s="81"/>
    </row>
    <row r="50" spans="2:2">
      <c r="B50" s="81"/>
    </row>
    <row r="51" spans="2:2">
      <c r="B51" s="81"/>
    </row>
    <row r="52" spans="2:2">
      <c r="B52" s="81"/>
    </row>
    <row r="53" spans="2:2">
      <c r="B53" s="81"/>
    </row>
    <row r="54" spans="2:2">
      <c r="B54" s="81"/>
    </row>
    <row r="55" spans="2:2">
      <c r="B55" s="81"/>
    </row>
    <row r="56" spans="2:2">
      <c r="B56" s="81"/>
    </row>
    <row r="57" spans="2:2">
      <c r="B57" s="81"/>
    </row>
    <row r="58" spans="2:2">
      <c r="B58" s="81"/>
    </row>
    <row r="59" spans="2:2">
      <c r="B59" s="81"/>
    </row>
    <row r="60" spans="2:2">
      <c r="B60" s="81"/>
    </row>
  </sheetData>
  <mergeCells count="2">
    <mergeCell ref="B2:G2"/>
    <mergeCell ref="F3:G3"/>
  </mergeCells>
  <phoneticPr fontId="2" type="noConversion"/>
  <pageMargins left="0.19685039370078741" right="0.19685039370078741" top="0.59055118110236227" bottom="0.59055118110236227" header="0.51181102362204722" footer="0.51181102362204722"/>
  <pageSetup paperSize="9" scale="88" firstPageNumber="10" orientation="portrait" useFirstPageNumber="1" horizontalDpi="180" verticalDpi="180" r:id="rId1"/>
  <headerFooter alignWithMargins="0">
    <oddFooter>&amp;R28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24"/>
  <dimension ref="B2:K51"/>
  <sheetViews>
    <sheetView topLeftCell="C7" zoomScaleSheetLayoutView="100" workbookViewId="0">
      <selection activeCell="G7" sqref="G7:G41"/>
    </sheetView>
  </sheetViews>
  <sheetFormatPr defaultRowHeight="12.75"/>
  <cols>
    <col min="1" max="1" width="1.5703125" style="13" customWidth="1"/>
    <col min="2" max="4" width="5.7109375" style="13" bestFit="1" customWidth="1"/>
    <col min="5" max="5" width="10.42578125" style="24" customWidth="1"/>
    <col min="6" max="6" width="43.7109375" style="13" customWidth="1"/>
    <col min="7" max="8" width="15.7109375" style="13" customWidth="1"/>
    <col min="9" max="9" width="8.7109375" style="140" customWidth="1"/>
    <col min="10" max="16384" width="9.140625" style="13"/>
  </cols>
  <sheetData>
    <row r="2" spans="2:11" ht="15" customHeight="1">
      <c r="B2" s="448" t="s">
        <v>326</v>
      </c>
      <c r="C2" s="448"/>
      <c r="D2" s="448"/>
      <c r="E2" s="448"/>
      <c r="F2" s="448"/>
      <c r="G2" s="448"/>
    </row>
    <row r="3" spans="2:11" s="1" customFormat="1" ht="16.5" thickBot="1">
      <c r="E3" s="2"/>
      <c r="F3" s="449"/>
      <c r="G3" s="449"/>
      <c r="H3" s="181"/>
      <c r="I3" s="182"/>
    </row>
    <row r="4" spans="2:11" s="1" customFormat="1" ht="76.5" customHeight="1">
      <c r="B4" s="3" t="s">
        <v>79</v>
      </c>
      <c r="C4" s="4" t="s">
        <v>80</v>
      </c>
      <c r="D4" s="5" t="s">
        <v>112</v>
      </c>
      <c r="E4" s="6" t="s">
        <v>81</v>
      </c>
      <c r="F4" s="7" t="s">
        <v>82</v>
      </c>
      <c r="G4" s="316" t="s">
        <v>557</v>
      </c>
      <c r="H4" s="316" t="s">
        <v>683</v>
      </c>
      <c r="I4" s="149" t="s">
        <v>497</v>
      </c>
    </row>
    <row r="5" spans="2:11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34">
        <v>6</v>
      </c>
      <c r="H5" s="9">
        <v>7</v>
      </c>
      <c r="I5" s="150">
        <v>8</v>
      </c>
    </row>
    <row r="6" spans="2:11" s="2" customFormat="1" ht="12.95" customHeight="1">
      <c r="B6" s="135" t="s">
        <v>147</v>
      </c>
      <c r="C6" s="136" t="s">
        <v>136</v>
      </c>
      <c r="D6" s="136" t="s">
        <v>128</v>
      </c>
      <c r="E6" s="9"/>
      <c r="F6" s="9"/>
      <c r="G6" s="34"/>
      <c r="H6" s="9"/>
      <c r="I6" s="151"/>
    </row>
    <row r="7" spans="2:11" s="1" customFormat="1" ht="12.95" customHeight="1">
      <c r="B7" s="17"/>
      <c r="C7" s="12"/>
      <c r="D7" s="12"/>
      <c r="E7" s="9">
        <v>611000</v>
      </c>
      <c r="F7" s="12" t="s">
        <v>167</v>
      </c>
      <c r="G7" s="20">
        <f>SUM(G8:G11)</f>
        <v>1020000</v>
      </c>
      <c r="H7" s="392">
        <f>SUM(H8:H11)</f>
        <v>1048080</v>
      </c>
      <c r="I7" s="152">
        <f t="shared" ref="I7:I42" si="0">IF(G7=0,"",H7/G7*100)</f>
        <v>102.75294117647059</v>
      </c>
    </row>
    <row r="8" spans="2:11" ht="12.95" customHeight="1">
      <c r="B8" s="14"/>
      <c r="C8" s="15"/>
      <c r="D8" s="15"/>
      <c r="E8" s="16">
        <v>611100</v>
      </c>
      <c r="F8" s="26" t="s">
        <v>210</v>
      </c>
      <c r="G8" s="44">
        <f>811100</f>
        <v>811100</v>
      </c>
      <c r="H8" s="394">
        <f>752500+11700+26100+37620+1310</f>
        <v>829230</v>
      </c>
      <c r="I8" s="153">
        <f t="shared" si="0"/>
        <v>102.23523609912463</v>
      </c>
    </row>
    <row r="9" spans="2:11" ht="12.95" customHeight="1">
      <c r="B9" s="14"/>
      <c r="C9" s="15"/>
      <c r="D9" s="15"/>
      <c r="E9" s="16">
        <v>611200</v>
      </c>
      <c r="F9" s="15" t="s">
        <v>211</v>
      </c>
      <c r="G9" s="117">
        <f>193700+55*240</f>
        <v>206900</v>
      </c>
      <c r="H9" s="394">
        <f>199100+7000+3200+9550</f>
        <v>218850</v>
      </c>
      <c r="I9" s="153">
        <f t="shared" si="0"/>
        <v>105.77573707104881</v>
      </c>
      <c r="K9" s="81"/>
    </row>
    <row r="10" spans="2:11" ht="12.95" customHeight="1">
      <c r="B10" s="14"/>
      <c r="C10" s="15"/>
      <c r="D10" s="15"/>
      <c r="E10" s="16">
        <v>611200</v>
      </c>
      <c r="F10" s="363" t="s">
        <v>699</v>
      </c>
      <c r="G10" s="82">
        <v>2000</v>
      </c>
      <c r="H10" s="391">
        <v>0</v>
      </c>
      <c r="I10" s="153">
        <f t="shared" si="0"/>
        <v>0</v>
      </c>
      <c r="K10" s="89"/>
    </row>
    <row r="11" spans="2:11" ht="12.95" customHeight="1">
      <c r="B11" s="14"/>
      <c r="C11" s="15"/>
      <c r="D11" s="15"/>
      <c r="E11" s="16"/>
      <c r="F11" s="26"/>
      <c r="G11" s="44"/>
      <c r="H11" s="394"/>
      <c r="I11" s="153" t="str">
        <f t="shared" si="0"/>
        <v/>
      </c>
    </row>
    <row r="12" spans="2:11" ht="12.95" customHeight="1">
      <c r="B12" s="14"/>
      <c r="C12" s="15"/>
      <c r="D12" s="15"/>
      <c r="E12" s="16"/>
      <c r="F12" s="15"/>
      <c r="G12" s="20"/>
      <c r="H12" s="392"/>
      <c r="I12" s="153" t="str">
        <f t="shared" si="0"/>
        <v/>
      </c>
    </row>
    <row r="13" spans="2:11" s="1" customFormat="1" ht="12.95" customHeight="1">
      <c r="B13" s="17"/>
      <c r="C13" s="12"/>
      <c r="D13" s="12"/>
      <c r="E13" s="9">
        <v>612000</v>
      </c>
      <c r="F13" s="12" t="s">
        <v>166</v>
      </c>
      <c r="G13" s="20">
        <f>G14</f>
        <v>86600</v>
      </c>
      <c r="H13" s="392">
        <f>H14</f>
        <v>88200</v>
      </c>
      <c r="I13" s="152">
        <f t="shared" si="0"/>
        <v>101.84757505773672</v>
      </c>
    </row>
    <row r="14" spans="2:11" ht="12.95" customHeight="1">
      <c r="B14" s="14"/>
      <c r="C14" s="15"/>
      <c r="D14" s="15"/>
      <c r="E14" s="16">
        <v>612100</v>
      </c>
      <c r="F14" s="18" t="s">
        <v>85</v>
      </c>
      <c r="G14" s="44">
        <v>86600</v>
      </c>
      <c r="H14" s="394">
        <f>81100+2900+4050+150</f>
        <v>88200</v>
      </c>
      <c r="I14" s="153">
        <f t="shared" si="0"/>
        <v>101.84757505773672</v>
      </c>
    </row>
    <row r="15" spans="2:11" ht="12.95" customHeight="1">
      <c r="B15" s="14"/>
      <c r="C15" s="15"/>
      <c r="D15" s="15"/>
      <c r="E15" s="16"/>
      <c r="F15" s="15"/>
      <c r="G15" s="44"/>
      <c r="H15" s="44"/>
      <c r="I15" s="153" t="str">
        <f t="shared" si="0"/>
        <v/>
      </c>
    </row>
    <row r="16" spans="2:11" ht="12.95" customHeight="1">
      <c r="B16" s="14"/>
      <c r="C16" s="15"/>
      <c r="D16" s="15"/>
      <c r="E16" s="16"/>
      <c r="F16" s="15"/>
      <c r="G16" s="20"/>
      <c r="H16" s="20"/>
      <c r="I16" s="153" t="str">
        <f t="shared" si="0"/>
        <v/>
      </c>
    </row>
    <row r="17" spans="2:9" s="1" customFormat="1" ht="12.95" customHeight="1">
      <c r="B17" s="17"/>
      <c r="C17" s="12"/>
      <c r="D17" s="12"/>
      <c r="E17" s="9">
        <v>613000</v>
      </c>
      <c r="F17" s="12" t="s">
        <v>168</v>
      </c>
      <c r="G17" s="49">
        <f>SUM(G18:G27)</f>
        <v>152700</v>
      </c>
      <c r="H17" s="49">
        <f>SUM(H18:H27)</f>
        <v>168500</v>
      </c>
      <c r="I17" s="152">
        <f t="shared" si="0"/>
        <v>110.34708578912901</v>
      </c>
    </row>
    <row r="18" spans="2:9" ht="12.95" customHeight="1">
      <c r="B18" s="14"/>
      <c r="C18" s="15"/>
      <c r="D18" s="15"/>
      <c r="E18" s="16">
        <v>613100</v>
      </c>
      <c r="F18" s="15" t="s">
        <v>86</v>
      </c>
      <c r="G18" s="117">
        <v>5000</v>
      </c>
      <c r="H18" s="117">
        <v>5000</v>
      </c>
      <c r="I18" s="153">
        <f t="shared" si="0"/>
        <v>100</v>
      </c>
    </row>
    <row r="19" spans="2:9" ht="12.95" customHeight="1">
      <c r="B19" s="14"/>
      <c r="C19" s="15"/>
      <c r="D19" s="15"/>
      <c r="E19" s="16">
        <v>613200</v>
      </c>
      <c r="F19" s="15" t="s">
        <v>87</v>
      </c>
      <c r="G19" s="44">
        <v>68000</v>
      </c>
      <c r="H19" s="44">
        <v>80000</v>
      </c>
      <c r="I19" s="153">
        <f t="shared" si="0"/>
        <v>117.64705882352942</v>
      </c>
    </row>
    <row r="20" spans="2:9" ht="12.95" customHeight="1">
      <c r="B20" s="14"/>
      <c r="C20" s="15"/>
      <c r="D20" s="15"/>
      <c r="E20" s="16">
        <v>613300</v>
      </c>
      <c r="F20" s="26" t="s">
        <v>212</v>
      </c>
      <c r="G20" s="117">
        <v>12000</v>
      </c>
      <c r="H20" s="117">
        <v>18000</v>
      </c>
      <c r="I20" s="153">
        <f t="shared" si="0"/>
        <v>150</v>
      </c>
    </row>
    <row r="21" spans="2:9" ht="12.95" customHeight="1">
      <c r="B21" s="14"/>
      <c r="C21" s="15"/>
      <c r="D21" s="15"/>
      <c r="E21" s="16">
        <v>613400</v>
      </c>
      <c r="F21" s="15" t="s">
        <v>169</v>
      </c>
      <c r="G21" s="117">
        <v>24000</v>
      </c>
      <c r="H21" s="117">
        <v>25000</v>
      </c>
      <c r="I21" s="153">
        <f t="shared" si="0"/>
        <v>104.16666666666667</v>
      </c>
    </row>
    <row r="22" spans="2:9" ht="12.95" customHeight="1">
      <c r="B22" s="14"/>
      <c r="C22" s="15"/>
      <c r="D22" s="15"/>
      <c r="E22" s="16">
        <v>613500</v>
      </c>
      <c r="F22" s="15" t="s">
        <v>88</v>
      </c>
      <c r="G22" s="117">
        <v>500</v>
      </c>
      <c r="H22" s="117">
        <v>500</v>
      </c>
      <c r="I22" s="153">
        <f t="shared" si="0"/>
        <v>100</v>
      </c>
    </row>
    <row r="23" spans="2:9" ht="12.95" customHeight="1">
      <c r="B23" s="14"/>
      <c r="C23" s="15"/>
      <c r="D23" s="15"/>
      <c r="E23" s="16">
        <v>613600</v>
      </c>
      <c r="F23" s="26" t="s">
        <v>213</v>
      </c>
      <c r="G23" s="117">
        <v>0</v>
      </c>
      <c r="H23" s="117">
        <v>0</v>
      </c>
      <c r="I23" s="153" t="str">
        <f t="shared" si="0"/>
        <v/>
      </c>
    </row>
    <row r="24" spans="2:9" ht="12.95" customHeight="1">
      <c r="B24" s="14"/>
      <c r="C24" s="15"/>
      <c r="D24" s="15"/>
      <c r="E24" s="16">
        <v>613700</v>
      </c>
      <c r="F24" s="15" t="s">
        <v>89</v>
      </c>
      <c r="G24" s="117">
        <v>22500</v>
      </c>
      <c r="H24" s="117">
        <v>30000</v>
      </c>
      <c r="I24" s="153">
        <f t="shared" si="0"/>
        <v>133.33333333333331</v>
      </c>
    </row>
    <row r="25" spans="2:9" ht="12.95" customHeight="1">
      <c r="B25" s="14"/>
      <c r="C25" s="15"/>
      <c r="D25" s="15"/>
      <c r="E25" s="16">
        <v>613800</v>
      </c>
      <c r="F25" s="15" t="s">
        <v>170</v>
      </c>
      <c r="G25" s="117">
        <v>0</v>
      </c>
      <c r="H25" s="117">
        <v>0</v>
      </c>
      <c r="I25" s="153" t="str">
        <f t="shared" si="0"/>
        <v/>
      </c>
    </row>
    <row r="26" spans="2:9" ht="12.95" customHeight="1">
      <c r="B26" s="14"/>
      <c r="C26" s="15"/>
      <c r="D26" s="15"/>
      <c r="E26" s="16">
        <v>613900</v>
      </c>
      <c r="F26" s="15" t="s">
        <v>171</v>
      </c>
      <c r="G26" s="117">
        <v>18000</v>
      </c>
      <c r="H26" s="117">
        <v>10000</v>
      </c>
      <c r="I26" s="153">
        <f t="shared" si="0"/>
        <v>55.555555555555557</v>
      </c>
    </row>
    <row r="27" spans="2:9" ht="12.95" customHeight="1">
      <c r="B27" s="14"/>
      <c r="C27" s="15"/>
      <c r="D27" s="15"/>
      <c r="E27" s="16">
        <v>613900</v>
      </c>
      <c r="F27" s="363" t="s">
        <v>701</v>
      </c>
      <c r="G27" s="166">
        <v>2700</v>
      </c>
      <c r="H27" s="169">
        <v>0</v>
      </c>
      <c r="I27" s="153">
        <f t="shared" si="0"/>
        <v>0</v>
      </c>
    </row>
    <row r="28" spans="2:9" s="1" customFormat="1" ht="12.95" customHeight="1">
      <c r="B28" s="17"/>
      <c r="C28" s="12"/>
      <c r="D28" s="12"/>
      <c r="E28" s="9"/>
      <c r="F28" s="12"/>
      <c r="G28" s="117"/>
      <c r="H28" s="117"/>
      <c r="I28" s="153" t="str">
        <f t="shared" si="0"/>
        <v/>
      </c>
    </row>
    <row r="29" spans="2:9" ht="12.95" customHeight="1">
      <c r="B29" s="14"/>
      <c r="C29" s="15"/>
      <c r="D29" s="30"/>
      <c r="E29" s="16"/>
      <c r="F29" s="29"/>
      <c r="G29" s="117"/>
      <c r="H29" s="117"/>
      <c r="I29" s="153" t="str">
        <f t="shared" si="0"/>
        <v/>
      </c>
    </row>
    <row r="30" spans="2:9" ht="12.95" customHeight="1">
      <c r="B30" s="14"/>
      <c r="C30" s="15"/>
      <c r="D30" s="15"/>
      <c r="E30" s="60"/>
      <c r="F30" s="29"/>
      <c r="G30" s="117"/>
      <c r="H30" s="117"/>
      <c r="I30" s="153" t="str">
        <f t="shared" si="0"/>
        <v/>
      </c>
    </row>
    <row r="31" spans="2:9" ht="12.95" customHeight="1">
      <c r="B31" s="14"/>
      <c r="C31" s="15"/>
      <c r="D31" s="15"/>
      <c r="E31" s="16"/>
      <c r="F31" s="15"/>
      <c r="G31" s="117"/>
      <c r="H31" s="117"/>
      <c r="I31" s="153" t="str">
        <f t="shared" si="0"/>
        <v/>
      </c>
    </row>
    <row r="32" spans="2:9" ht="12.95" customHeight="1">
      <c r="B32" s="14"/>
      <c r="C32" s="15"/>
      <c r="D32" s="15"/>
      <c r="E32" s="16"/>
      <c r="F32" s="15"/>
      <c r="G32" s="117"/>
      <c r="H32" s="117"/>
      <c r="I32" s="153" t="str">
        <f t="shared" si="0"/>
        <v/>
      </c>
    </row>
    <row r="33" spans="2:10" ht="12.95" customHeight="1">
      <c r="B33" s="14"/>
      <c r="C33" s="15"/>
      <c r="D33" s="15"/>
      <c r="E33" s="9"/>
      <c r="F33" s="12"/>
      <c r="G33" s="117"/>
      <c r="H33" s="117"/>
      <c r="I33" s="153" t="str">
        <f t="shared" si="0"/>
        <v/>
      </c>
    </row>
    <row r="34" spans="2:10" ht="12.95" customHeight="1">
      <c r="B34" s="14"/>
      <c r="C34" s="15"/>
      <c r="D34" s="15"/>
      <c r="E34" s="16"/>
      <c r="F34" s="26"/>
      <c r="G34" s="117"/>
      <c r="H34" s="117"/>
      <c r="I34" s="153" t="str">
        <f t="shared" si="0"/>
        <v/>
      </c>
    </row>
    <row r="35" spans="2:10" ht="12.95" customHeight="1">
      <c r="B35" s="14"/>
      <c r="C35" s="15"/>
      <c r="D35" s="15"/>
      <c r="E35" s="16"/>
      <c r="F35" s="15"/>
      <c r="G35" s="108"/>
      <c r="H35" s="108"/>
      <c r="I35" s="153" t="str">
        <f t="shared" si="0"/>
        <v/>
      </c>
    </row>
    <row r="36" spans="2:10" s="1" customFormat="1" ht="12.95" customHeight="1">
      <c r="B36" s="17"/>
      <c r="C36" s="12"/>
      <c r="D36" s="12"/>
      <c r="E36" s="9">
        <v>821000</v>
      </c>
      <c r="F36" s="12" t="s">
        <v>92</v>
      </c>
      <c r="G36" s="108">
        <f>SUM(G37:G39)</f>
        <v>5000</v>
      </c>
      <c r="H36" s="108">
        <f>SUM(H37:H39)</f>
        <v>5000</v>
      </c>
      <c r="I36" s="152">
        <f t="shared" si="0"/>
        <v>100</v>
      </c>
    </row>
    <row r="37" spans="2:10" ht="12.95" customHeight="1">
      <c r="B37" s="14"/>
      <c r="C37" s="15"/>
      <c r="D37" s="15"/>
      <c r="E37" s="119">
        <v>821200</v>
      </c>
      <c r="F37" s="19" t="s">
        <v>93</v>
      </c>
      <c r="G37" s="117">
        <v>0</v>
      </c>
      <c r="H37" s="117">
        <v>0</v>
      </c>
      <c r="I37" s="153" t="str">
        <f t="shared" si="0"/>
        <v/>
      </c>
      <c r="J37" s="81"/>
    </row>
    <row r="38" spans="2:10" ht="12.95" customHeight="1">
      <c r="B38" s="14"/>
      <c r="C38" s="15"/>
      <c r="D38" s="15"/>
      <c r="E38" s="16">
        <v>821300</v>
      </c>
      <c r="F38" s="15" t="s">
        <v>94</v>
      </c>
      <c r="G38" s="117">
        <v>5000</v>
      </c>
      <c r="H38" s="117">
        <v>5000</v>
      </c>
      <c r="I38" s="153">
        <f t="shared" si="0"/>
        <v>100</v>
      </c>
    </row>
    <row r="39" spans="2:10" ht="12.95" customHeight="1">
      <c r="B39" s="14"/>
      <c r="C39" s="15"/>
      <c r="D39" s="15"/>
      <c r="E39" s="16"/>
      <c r="F39" s="26"/>
      <c r="G39" s="117"/>
      <c r="H39" s="117"/>
      <c r="I39" s="153" t="str">
        <f t="shared" si="0"/>
        <v/>
      </c>
    </row>
    <row r="40" spans="2:10" ht="12.95" customHeight="1">
      <c r="B40" s="14"/>
      <c r="C40" s="15"/>
      <c r="D40" s="15"/>
      <c r="E40" s="16"/>
      <c r="F40" s="15"/>
      <c r="G40" s="117"/>
      <c r="H40" s="117"/>
      <c r="I40" s="153" t="str">
        <f t="shared" si="0"/>
        <v/>
      </c>
    </row>
    <row r="41" spans="2:10" s="1" customFormat="1" ht="12.95" customHeight="1">
      <c r="B41" s="17"/>
      <c r="C41" s="12"/>
      <c r="D41" s="12"/>
      <c r="E41" s="9"/>
      <c r="F41" s="12" t="s">
        <v>95</v>
      </c>
      <c r="G41" s="25" t="s">
        <v>730</v>
      </c>
      <c r="H41" s="25" t="s">
        <v>721</v>
      </c>
      <c r="I41" s="153"/>
    </row>
    <row r="42" spans="2:10" s="1" customFormat="1" ht="12.95" customHeight="1">
      <c r="B42" s="17"/>
      <c r="C42" s="12"/>
      <c r="D42" s="12"/>
      <c r="E42" s="9"/>
      <c r="F42" s="12" t="s">
        <v>115</v>
      </c>
      <c r="G42" s="20">
        <f>G7+G13+G17+G36</f>
        <v>1264300</v>
      </c>
      <c r="H42" s="20">
        <f>H7+H13+H17+H36</f>
        <v>1309780</v>
      </c>
      <c r="I42" s="152">
        <f t="shared" si="0"/>
        <v>103.59724748872894</v>
      </c>
    </row>
    <row r="43" spans="2:10" s="1" customFormat="1" ht="12.95" customHeight="1">
      <c r="B43" s="17"/>
      <c r="C43" s="12"/>
      <c r="D43" s="12"/>
      <c r="E43" s="9"/>
      <c r="F43" s="12" t="s">
        <v>96</v>
      </c>
      <c r="G43" s="20"/>
      <c r="H43" s="20"/>
      <c r="I43" s="155"/>
    </row>
    <row r="44" spans="2:10" s="1" customFormat="1" ht="12.95" customHeight="1">
      <c r="B44" s="17"/>
      <c r="C44" s="12"/>
      <c r="D44" s="12"/>
      <c r="E44" s="9"/>
      <c r="F44" s="12" t="s">
        <v>97</v>
      </c>
      <c r="G44" s="20"/>
      <c r="H44" s="43"/>
      <c r="I44" s="154"/>
    </row>
    <row r="45" spans="2:10" ht="12.95" customHeight="1" thickBot="1">
      <c r="B45" s="21"/>
      <c r="C45" s="22"/>
      <c r="D45" s="22"/>
      <c r="E45" s="23"/>
      <c r="F45" s="22"/>
      <c r="G45" s="48"/>
      <c r="H45" s="45"/>
      <c r="I45" s="156"/>
    </row>
    <row r="47" spans="2:10">
      <c r="B47" s="81"/>
    </row>
    <row r="48" spans="2:10">
      <c r="B48" s="81"/>
    </row>
    <row r="49" spans="2:2">
      <c r="B49" s="81"/>
    </row>
    <row r="50" spans="2:2">
      <c r="B50" s="81"/>
    </row>
    <row r="51" spans="2:2">
      <c r="B51" s="81"/>
    </row>
  </sheetData>
  <mergeCells count="2">
    <mergeCell ref="B2:G2"/>
    <mergeCell ref="F3:G3"/>
  </mergeCells>
  <phoneticPr fontId="2" type="noConversion"/>
  <pageMargins left="0.19685039370078741" right="0.19685039370078741" top="0.59055118110236227" bottom="0.59055118110236227" header="0.51181102362204722" footer="0.51181102362204722"/>
  <pageSetup paperSize="9" scale="88" firstPageNumber="10" orientation="portrait" useFirstPageNumber="1" horizontalDpi="180" verticalDpi="180" r:id="rId1"/>
  <headerFooter alignWithMargins="0">
    <oddFooter>&amp;R29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codeName="Sheet33"/>
  <dimension ref="B2:K51"/>
  <sheetViews>
    <sheetView topLeftCell="C7" zoomScaleSheetLayoutView="100" workbookViewId="0">
      <selection activeCell="G7" sqref="G7:G41"/>
    </sheetView>
  </sheetViews>
  <sheetFormatPr defaultRowHeight="12.75"/>
  <cols>
    <col min="1" max="1" width="1.5703125" style="13" customWidth="1"/>
    <col min="2" max="4" width="5.7109375" style="13" bestFit="1" customWidth="1"/>
    <col min="5" max="5" width="10.42578125" style="24" customWidth="1"/>
    <col min="6" max="6" width="43.7109375" style="13" customWidth="1"/>
    <col min="7" max="8" width="15.7109375" style="13" customWidth="1"/>
    <col min="9" max="9" width="8.7109375" style="140" customWidth="1"/>
    <col min="10" max="10" width="9.140625" style="13"/>
    <col min="11" max="11" width="9.5703125" style="13" bestFit="1" customWidth="1"/>
    <col min="12" max="16384" width="9.140625" style="13"/>
  </cols>
  <sheetData>
    <row r="2" spans="2:11" ht="15" customHeight="1">
      <c r="B2" s="448" t="s">
        <v>327</v>
      </c>
      <c r="C2" s="448"/>
      <c r="D2" s="448"/>
      <c r="E2" s="448"/>
      <c r="F2" s="448"/>
      <c r="G2" s="448"/>
    </row>
    <row r="3" spans="2:11" s="1" customFormat="1" ht="16.5" thickBot="1">
      <c r="E3" s="2"/>
      <c r="F3" s="449"/>
      <c r="G3" s="449"/>
      <c r="H3" s="181"/>
      <c r="I3" s="182"/>
    </row>
    <row r="4" spans="2:11" s="1" customFormat="1" ht="76.5" customHeight="1">
      <c r="B4" s="3" t="s">
        <v>79</v>
      </c>
      <c r="C4" s="4" t="s">
        <v>80</v>
      </c>
      <c r="D4" s="5" t="s">
        <v>112</v>
      </c>
      <c r="E4" s="6" t="s">
        <v>81</v>
      </c>
      <c r="F4" s="7" t="s">
        <v>82</v>
      </c>
      <c r="G4" s="316" t="s">
        <v>557</v>
      </c>
      <c r="H4" s="316" t="s">
        <v>683</v>
      </c>
      <c r="I4" s="149" t="s">
        <v>497</v>
      </c>
    </row>
    <row r="5" spans="2:11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34">
        <v>6</v>
      </c>
      <c r="H5" s="9">
        <v>7</v>
      </c>
      <c r="I5" s="150">
        <v>8</v>
      </c>
    </row>
    <row r="6" spans="2:11" s="2" customFormat="1" ht="12.95" customHeight="1">
      <c r="B6" s="135" t="s">
        <v>147</v>
      </c>
      <c r="C6" s="136" t="s">
        <v>136</v>
      </c>
      <c r="D6" s="136" t="s">
        <v>129</v>
      </c>
      <c r="E6" s="9"/>
      <c r="F6" s="9"/>
      <c r="G6" s="34"/>
      <c r="H6" s="9"/>
      <c r="I6" s="151"/>
    </row>
    <row r="7" spans="2:11" s="1" customFormat="1" ht="12.95" customHeight="1">
      <c r="B7" s="17"/>
      <c r="C7" s="12"/>
      <c r="D7" s="12"/>
      <c r="E7" s="9">
        <v>611000</v>
      </c>
      <c r="F7" s="12" t="s">
        <v>167</v>
      </c>
      <c r="G7" s="20">
        <f>SUM(G8:G11)</f>
        <v>840800</v>
      </c>
      <c r="H7" s="392">
        <f>SUM(H8:H11)</f>
        <v>832760</v>
      </c>
      <c r="I7" s="152">
        <f t="shared" ref="I7:I43" si="0">IF(G7=0,"",H7/G7*100)</f>
        <v>99.043767840152242</v>
      </c>
    </row>
    <row r="8" spans="2:11" ht="12.95" customHeight="1">
      <c r="B8" s="14"/>
      <c r="C8" s="15"/>
      <c r="D8" s="15"/>
      <c r="E8" s="16">
        <v>611100</v>
      </c>
      <c r="F8" s="26" t="s">
        <v>210</v>
      </c>
      <c r="G8" s="44">
        <v>662400</v>
      </c>
      <c r="H8" s="394">
        <f>637300+31860</f>
        <v>669160</v>
      </c>
      <c r="I8" s="153">
        <f t="shared" si="0"/>
        <v>101.02053140096618</v>
      </c>
      <c r="J8" s="81"/>
    </row>
    <row r="9" spans="2:11" ht="12.95" customHeight="1">
      <c r="B9" s="14"/>
      <c r="C9" s="15"/>
      <c r="D9" s="15"/>
      <c r="E9" s="16">
        <v>611200</v>
      </c>
      <c r="F9" s="15" t="s">
        <v>211</v>
      </c>
      <c r="G9" s="117">
        <f>162800+45*240</f>
        <v>173600</v>
      </c>
      <c r="H9" s="394">
        <f>162000+1600</f>
        <v>163600</v>
      </c>
      <c r="I9" s="153">
        <f t="shared" si="0"/>
        <v>94.239631336405523</v>
      </c>
    </row>
    <row r="10" spans="2:11" ht="12.95" customHeight="1">
      <c r="B10" s="14"/>
      <c r="C10" s="15"/>
      <c r="D10" s="15"/>
      <c r="E10" s="16">
        <v>611200</v>
      </c>
      <c r="F10" s="363" t="s">
        <v>699</v>
      </c>
      <c r="G10" s="82">
        <v>4800</v>
      </c>
      <c r="H10" s="391">
        <v>0</v>
      </c>
      <c r="I10" s="153">
        <f t="shared" si="0"/>
        <v>0</v>
      </c>
      <c r="K10" s="89"/>
    </row>
    <row r="11" spans="2:11" ht="12.95" customHeight="1">
      <c r="B11" s="14"/>
      <c r="C11" s="15"/>
      <c r="D11" s="15"/>
      <c r="E11" s="16"/>
      <c r="F11" s="26"/>
      <c r="G11" s="44"/>
      <c r="H11" s="394"/>
      <c r="I11" s="153" t="str">
        <f t="shared" si="0"/>
        <v/>
      </c>
    </row>
    <row r="12" spans="2:11" ht="12.95" customHeight="1">
      <c r="B12" s="14"/>
      <c r="C12" s="15"/>
      <c r="D12" s="15"/>
      <c r="E12" s="16"/>
      <c r="F12" s="15"/>
      <c r="G12" s="20"/>
      <c r="H12" s="392"/>
      <c r="I12" s="153" t="str">
        <f t="shared" si="0"/>
        <v/>
      </c>
    </row>
    <row r="13" spans="2:11" s="1" customFormat="1" ht="12.95" customHeight="1">
      <c r="B13" s="17"/>
      <c r="C13" s="12"/>
      <c r="D13" s="12"/>
      <c r="E13" s="9">
        <v>612000</v>
      </c>
      <c r="F13" s="12" t="s">
        <v>166</v>
      </c>
      <c r="G13" s="20">
        <f>G14</f>
        <v>71100</v>
      </c>
      <c r="H13" s="392">
        <f>H14</f>
        <v>72030</v>
      </c>
      <c r="I13" s="152">
        <f t="shared" si="0"/>
        <v>101.30801687763713</v>
      </c>
    </row>
    <row r="14" spans="2:11" ht="12.95" customHeight="1">
      <c r="B14" s="14"/>
      <c r="C14" s="15"/>
      <c r="D14" s="15"/>
      <c r="E14" s="16">
        <v>612100</v>
      </c>
      <c r="F14" s="18" t="s">
        <v>85</v>
      </c>
      <c r="G14" s="44">
        <v>71100</v>
      </c>
      <c r="H14" s="394">
        <f>68600+3430</f>
        <v>72030</v>
      </c>
      <c r="I14" s="153">
        <f t="shared" si="0"/>
        <v>101.30801687763713</v>
      </c>
    </row>
    <row r="15" spans="2:11" ht="12.95" customHeight="1">
      <c r="B15" s="14"/>
      <c r="C15" s="15"/>
      <c r="D15" s="15"/>
      <c r="E15" s="16"/>
      <c r="F15" s="15"/>
      <c r="G15" s="44"/>
      <c r="H15" s="44"/>
      <c r="I15" s="153" t="str">
        <f t="shared" si="0"/>
        <v/>
      </c>
    </row>
    <row r="16" spans="2:11" ht="12.95" customHeight="1">
      <c r="B16" s="14"/>
      <c r="C16" s="15"/>
      <c r="D16" s="15"/>
      <c r="E16" s="16"/>
      <c r="F16" s="15"/>
      <c r="G16" s="20"/>
      <c r="H16" s="20"/>
      <c r="I16" s="153" t="str">
        <f t="shared" si="0"/>
        <v/>
      </c>
    </row>
    <row r="17" spans="2:9" s="1" customFormat="1" ht="12.95" customHeight="1">
      <c r="B17" s="17"/>
      <c r="C17" s="12"/>
      <c r="D17" s="12"/>
      <c r="E17" s="9">
        <v>613000</v>
      </c>
      <c r="F17" s="12" t="s">
        <v>168</v>
      </c>
      <c r="G17" s="49">
        <f>SUM(G18:G27)</f>
        <v>147100</v>
      </c>
      <c r="H17" s="49">
        <f>SUM(H18:H27)</f>
        <v>138500</v>
      </c>
      <c r="I17" s="152">
        <f t="shared" si="0"/>
        <v>94.153636981645136</v>
      </c>
    </row>
    <row r="18" spans="2:9" ht="12.95" customHeight="1">
      <c r="B18" s="14"/>
      <c r="C18" s="15"/>
      <c r="D18" s="15"/>
      <c r="E18" s="16">
        <v>613100</v>
      </c>
      <c r="F18" s="15" t="s">
        <v>86</v>
      </c>
      <c r="G18" s="117">
        <v>4000</v>
      </c>
      <c r="H18" s="117">
        <v>4000</v>
      </c>
      <c r="I18" s="153">
        <f t="shared" si="0"/>
        <v>100</v>
      </c>
    </row>
    <row r="19" spans="2:9" ht="12.95" customHeight="1">
      <c r="B19" s="14"/>
      <c r="C19" s="15"/>
      <c r="D19" s="15"/>
      <c r="E19" s="16">
        <v>613200</v>
      </c>
      <c r="F19" s="15" t="s">
        <v>87</v>
      </c>
      <c r="G19" s="44">
        <v>45000</v>
      </c>
      <c r="H19" s="44">
        <v>45000</v>
      </c>
      <c r="I19" s="153">
        <f t="shared" si="0"/>
        <v>100</v>
      </c>
    </row>
    <row r="20" spans="2:9" ht="12.95" customHeight="1">
      <c r="B20" s="14"/>
      <c r="C20" s="15"/>
      <c r="D20" s="15"/>
      <c r="E20" s="16">
        <v>613300</v>
      </c>
      <c r="F20" s="26" t="s">
        <v>212</v>
      </c>
      <c r="G20" s="44">
        <v>7500</v>
      </c>
      <c r="H20" s="44">
        <v>7500</v>
      </c>
      <c r="I20" s="153">
        <f t="shared" si="0"/>
        <v>100</v>
      </c>
    </row>
    <row r="21" spans="2:9" ht="12.95" customHeight="1">
      <c r="B21" s="14"/>
      <c r="C21" s="15"/>
      <c r="D21" s="15"/>
      <c r="E21" s="16">
        <v>613400</v>
      </c>
      <c r="F21" s="15" t="s">
        <v>169</v>
      </c>
      <c r="G21" s="44">
        <v>16000</v>
      </c>
      <c r="H21" s="44">
        <v>15000</v>
      </c>
      <c r="I21" s="153">
        <f t="shared" si="0"/>
        <v>93.75</v>
      </c>
    </row>
    <row r="22" spans="2:9" ht="12.95" customHeight="1">
      <c r="B22" s="14"/>
      <c r="C22" s="15"/>
      <c r="D22" s="15"/>
      <c r="E22" s="16">
        <v>613500</v>
      </c>
      <c r="F22" s="15" t="s">
        <v>88</v>
      </c>
      <c r="G22" s="117">
        <v>3000</v>
      </c>
      <c r="H22" s="117">
        <v>3000</v>
      </c>
      <c r="I22" s="153">
        <f t="shared" si="0"/>
        <v>100</v>
      </c>
    </row>
    <row r="23" spans="2:9" ht="12.95" customHeight="1">
      <c r="B23" s="14"/>
      <c r="C23" s="15"/>
      <c r="D23" s="15"/>
      <c r="E23" s="16">
        <v>613600</v>
      </c>
      <c r="F23" s="26" t="s">
        <v>213</v>
      </c>
      <c r="G23" s="117">
        <v>0</v>
      </c>
      <c r="H23" s="117">
        <v>0</v>
      </c>
      <c r="I23" s="153" t="str">
        <f t="shared" si="0"/>
        <v/>
      </c>
    </row>
    <row r="24" spans="2:9" ht="12.95" customHeight="1">
      <c r="B24" s="14"/>
      <c r="C24" s="15"/>
      <c r="D24" s="15"/>
      <c r="E24" s="16">
        <v>613700</v>
      </c>
      <c r="F24" s="15" t="s">
        <v>89</v>
      </c>
      <c r="G24" s="117">
        <v>15000</v>
      </c>
      <c r="H24" s="117">
        <v>14000</v>
      </c>
      <c r="I24" s="153">
        <f t="shared" si="0"/>
        <v>93.333333333333329</v>
      </c>
    </row>
    <row r="25" spans="2:9" ht="12.95" customHeight="1">
      <c r="B25" s="14"/>
      <c r="C25" s="15"/>
      <c r="D25" s="15"/>
      <c r="E25" s="16">
        <v>613800</v>
      </c>
      <c r="F25" s="15" t="s">
        <v>170</v>
      </c>
      <c r="G25" s="117">
        <v>0</v>
      </c>
      <c r="H25" s="117">
        <v>0</v>
      </c>
      <c r="I25" s="153" t="str">
        <f t="shared" si="0"/>
        <v/>
      </c>
    </row>
    <row r="26" spans="2:9" ht="12.95" customHeight="1">
      <c r="B26" s="14"/>
      <c r="C26" s="15"/>
      <c r="D26" s="15"/>
      <c r="E26" s="16">
        <v>613900</v>
      </c>
      <c r="F26" s="15" t="s">
        <v>171</v>
      </c>
      <c r="G26" s="117">
        <v>50000</v>
      </c>
      <c r="H26" s="117">
        <v>50000</v>
      </c>
      <c r="I26" s="153">
        <f t="shared" si="0"/>
        <v>100</v>
      </c>
    </row>
    <row r="27" spans="2:9" ht="12.95" customHeight="1">
      <c r="B27" s="14"/>
      <c r="C27" s="15"/>
      <c r="D27" s="15"/>
      <c r="E27" s="16">
        <v>613900</v>
      </c>
      <c r="F27" s="363" t="s">
        <v>701</v>
      </c>
      <c r="G27" s="166">
        <v>6600</v>
      </c>
      <c r="H27" s="169">
        <v>0</v>
      </c>
      <c r="I27" s="153">
        <f t="shared" si="0"/>
        <v>0</v>
      </c>
    </row>
    <row r="28" spans="2:9" s="1" customFormat="1" ht="12.95" customHeight="1">
      <c r="B28" s="17"/>
      <c r="C28" s="12"/>
      <c r="D28" s="12"/>
      <c r="E28" s="9"/>
      <c r="F28" s="12"/>
      <c r="G28" s="117"/>
      <c r="H28" s="117"/>
      <c r="I28" s="153" t="str">
        <f t="shared" si="0"/>
        <v/>
      </c>
    </row>
    <row r="29" spans="2:9" ht="12.95" customHeight="1">
      <c r="B29" s="14"/>
      <c r="C29" s="15"/>
      <c r="D29" s="30"/>
      <c r="E29" s="16"/>
      <c r="F29" s="29"/>
      <c r="G29" s="117"/>
      <c r="H29" s="117"/>
      <c r="I29" s="153" t="str">
        <f t="shared" si="0"/>
        <v/>
      </c>
    </row>
    <row r="30" spans="2:9" ht="12.95" customHeight="1">
      <c r="B30" s="14"/>
      <c r="C30" s="15"/>
      <c r="D30" s="15"/>
      <c r="E30" s="60"/>
      <c r="F30" s="29"/>
      <c r="G30" s="117"/>
      <c r="H30" s="117"/>
      <c r="I30" s="153" t="str">
        <f t="shared" si="0"/>
        <v/>
      </c>
    </row>
    <row r="31" spans="2:9" ht="12.95" customHeight="1">
      <c r="B31" s="14"/>
      <c r="C31" s="15"/>
      <c r="D31" s="15"/>
      <c r="E31" s="16"/>
      <c r="F31" s="15"/>
      <c r="G31" s="117"/>
      <c r="H31" s="117"/>
      <c r="I31" s="153" t="str">
        <f t="shared" si="0"/>
        <v/>
      </c>
    </row>
    <row r="32" spans="2:9" ht="12.95" customHeight="1">
      <c r="B32" s="14"/>
      <c r="C32" s="15"/>
      <c r="D32" s="15"/>
      <c r="E32" s="16"/>
      <c r="F32" s="15"/>
      <c r="G32" s="117"/>
      <c r="H32" s="117"/>
      <c r="I32" s="153" t="str">
        <f t="shared" si="0"/>
        <v/>
      </c>
    </row>
    <row r="33" spans="2:10" ht="12.95" customHeight="1">
      <c r="B33" s="14"/>
      <c r="C33" s="15"/>
      <c r="D33" s="15"/>
      <c r="E33" s="9"/>
      <c r="F33" s="12"/>
      <c r="G33" s="117"/>
      <c r="H33" s="117"/>
      <c r="I33" s="153" t="str">
        <f t="shared" si="0"/>
        <v/>
      </c>
    </row>
    <row r="34" spans="2:10" ht="12.95" customHeight="1">
      <c r="B34" s="14"/>
      <c r="C34" s="15"/>
      <c r="D34" s="15"/>
      <c r="E34" s="16"/>
      <c r="F34" s="26"/>
      <c r="G34" s="117"/>
      <c r="H34" s="117"/>
      <c r="I34" s="153" t="str">
        <f t="shared" si="0"/>
        <v/>
      </c>
    </row>
    <row r="35" spans="2:10" ht="12.95" customHeight="1">
      <c r="B35" s="14"/>
      <c r="C35" s="15"/>
      <c r="D35" s="15"/>
      <c r="E35" s="16"/>
      <c r="F35" s="15"/>
      <c r="G35" s="108"/>
      <c r="H35" s="108"/>
      <c r="I35" s="153" t="str">
        <f t="shared" si="0"/>
        <v/>
      </c>
    </row>
    <row r="36" spans="2:10" s="1" customFormat="1" ht="12.95" customHeight="1">
      <c r="B36" s="17"/>
      <c r="C36" s="12"/>
      <c r="D36" s="12"/>
      <c r="E36" s="9">
        <v>821000</v>
      </c>
      <c r="F36" s="12" t="s">
        <v>92</v>
      </c>
      <c r="G36" s="108">
        <f>SUM(G37:G39)</f>
        <v>4500</v>
      </c>
      <c r="H36" s="108">
        <f>SUM(H37:H39)</f>
        <v>5000</v>
      </c>
      <c r="I36" s="152">
        <f t="shared" si="0"/>
        <v>111.11111111111111</v>
      </c>
    </row>
    <row r="37" spans="2:10" ht="12.95" customHeight="1">
      <c r="B37" s="14"/>
      <c r="C37" s="15"/>
      <c r="D37" s="15"/>
      <c r="E37" s="119">
        <v>821200</v>
      </c>
      <c r="F37" s="19" t="s">
        <v>93</v>
      </c>
      <c r="G37" s="117">
        <v>0</v>
      </c>
      <c r="H37" s="117">
        <v>0</v>
      </c>
      <c r="I37" s="153" t="str">
        <f t="shared" si="0"/>
        <v/>
      </c>
      <c r="J37" s="81"/>
    </row>
    <row r="38" spans="2:10" ht="12.95" customHeight="1">
      <c r="B38" s="14"/>
      <c r="C38" s="15"/>
      <c r="D38" s="15"/>
      <c r="E38" s="16">
        <v>821300</v>
      </c>
      <c r="F38" s="15" t="s">
        <v>94</v>
      </c>
      <c r="G38" s="117">
        <v>4500</v>
      </c>
      <c r="H38" s="117">
        <v>5000</v>
      </c>
      <c r="I38" s="153">
        <f t="shared" si="0"/>
        <v>111.11111111111111</v>
      </c>
    </row>
    <row r="39" spans="2:10" ht="12.95" customHeight="1">
      <c r="B39" s="14"/>
      <c r="C39" s="15"/>
      <c r="D39" s="15"/>
      <c r="E39" s="16"/>
      <c r="F39" s="26"/>
      <c r="G39" s="117"/>
      <c r="H39" s="117"/>
      <c r="I39" s="153" t="str">
        <f t="shared" si="0"/>
        <v/>
      </c>
    </row>
    <row r="40" spans="2:10" ht="12.95" customHeight="1">
      <c r="B40" s="14"/>
      <c r="C40" s="15"/>
      <c r="D40" s="15"/>
      <c r="E40" s="16"/>
      <c r="F40" s="15"/>
      <c r="G40" s="44"/>
      <c r="H40" s="44"/>
      <c r="I40" s="153" t="str">
        <f t="shared" si="0"/>
        <v/>
      </c>
    </row>
    <row r="41" spans="2:10" s="1" customFormat="1" ht="12.95" customHeight="1">
      <c r="B41" s="17"/>
      <c r="C41" s="12"/>
      <c r="D41" s="12"/>
      <c r="E41" s="9"/>
      <c r="F41" s="12" t="s">
        <v>95</v>
      </c>
      <c r="G41" s="25" t="s">
        <v>710</v>
      </c>
      <c r="H41" s="25" t="s">
        <v>710</v>
      </c>
      <c r="I41" s="153"/>
    </row>
    <row r="42" spans="2:10" s="1" customFormat="1" ht="12.95" customHeight="1">
      <c r="B42" s="17"/>
      <c r="C42" s="12"/>
      <c r="D42" s="12"/>
      <c r="E42" s="9"/>
      <c r="F42" s="12" t="s">
        <v>115</v>
      </c>
      <c r="G42" s="20">
        <f>G7+G13+G17+G36</f>
        <v>1063500</v>
      </c>
      <c r="H42" s="20">
        <f>H7+H13+H17+H36</f>
        <v>1048290</v>
      </c>
      <c r="I42" s="152">
        <f t="shared" si="0"/>
        <v>98.569816643159385</v>
      </c>
    </row>
    <row r="43" spans="2:10" s="1" customFormat="1" ht="12.95" customHeight="1">
      <c r="B43" s="17"/>
      <c r="C43" s="12"/>
      <c r="D43" s="12"/>
      <c r="E43" s="9"/>
      <c r="F43" s="12" t="s">
        <v>96</v>
      </c>
      <c r="G43" s="20">
        <f>G42+'22'!G42+'21'!G42</f>
        <v>3673600</v>
      </c>
      <c r="H43" s="20">
        <f>H42+'22'!H42+'21'!H42</f>
        <v>3828940</v>
      </c>
      <c r="I43" s="152">
        <f t="shared" si="0"/>
        <v>104.22854965156793</v>
      </c>
    </row>
    <row r="44" spans="2:10" s="1" customFormat="1" ht="12.95" customHeight="1">
      <c r="B44" s="17"/>
      <c r="C44" s="12"/>
      <c r="D44" s="12"/>
      <c r="E44" s="9"/>
      <c r="F44" s="12" t="s">
        <v>97</v>
      </c>
      <c r="G44" s="20"/>
      <c r="H44" s="43"/>
      <c r="I44" s="154"/>
    </row>
    <row r="45" spans="2:10" ht="12.95" customHeight="1" thickBot="1">
      <c r="B45" s="21"/>
      <c r="C45" s="22"/>
      <c r="D45" s="22"/>
      <c r="E45" s="23"/>
      <c r="F45" s="22"/>
      <c r="G45" s="48"/>
      <c r="H45" s="45"/>
      <c r="I45" s="156"/>
    </row>
    <row r="47" spans="2:10">
      <c r="B47" s="81"/>
    </row>
    <row r="48" spans="2:10">
      <c r="B48" s="81"/>
    </row>
    <row r="49" spans="2:2">
      <c r="B49" s="81"/>
    </row>
    <row r="50" spans="2:2">
      <c r="B50" s="81"/>
    </row>
    <row r="51" spans="2:2">
      <c r="B51" s="81"/>
    </row>
  </sheetData>
  <mergeCells count="2">
    <mergeCell ref="B2:G2"/>
    <mergeCell ref="F3:G3"/>
  </mergeCells>
  <phoneticPr fontId="2" type="noConversion"/>
  <pageMargins left="0.19685039370078741" right="0.19685039370078741" top="0.59055118110236227" bottom="0.59055118110236227" header="0.51181102362204722" footer="0.51181102362204722"/>
  <pageSetup paperSize="9" scale="88" firstPageNumber="10" orientation="portrait" useFirstPageNumber="1" horizontalDpi="180" verticalDpi="180" r:id="rId1"/>
  <headerFooter alignWithMargins="0">
    <oddFooter>&amp;R30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 codeName="Sheet26"/>
  <dimension ref="B2:K54"/>
  <sheetViews>
    <sheetView topLeftCell="C10" zoomScaleSheetLayoutView="100" workbookViewId="0">
      <selection activeCell="G7" sqref="G7:G41"/>
    </sheetView>
  </sheetViews>
  <sheetFormatPr defaultRowHeight="12.75"/>
  <cols>
    <col min="1" max="1" width="1.5703125" style="13" customWidth="1"/>
    <col min="2" max="4" width="5.7109375" style="13" bestFit="1" customWidth="1"/>
    <col min="5" max="5" width="11" style="24" customWidth="1"/>
    <col min="6" max="6" width="43.7109375" style="13" customWidth="1"/>
    <col min="7" max="7" width="15.7109375" style="13" customWidth="1"/>
    <col min="8" max="8" width="15.7109375" style="90" customWidth="1"/>
    <col min="9" max="9" width="8.7109375" style="140" customWidth="1"/>
    <col min="10" max="16384" width="9.140625" style="13"/>
  </cols>
  <sheetData>
    <row r="2" spans="2:11" ht="15" customHeight="1">
      <c r="B2" s="450" t="s">
        <v>148</v>
      </c>
      <c r="C2" s="450"/>
      <c r="D2" s="450"/>
      <c r="E2" s="450"/>
      <c r="F2" s="450"/>
      <c r="G2" s="450"/>
    </row>
    <row r="3" spans="2:11" s="1" customFormat="1" ht="16.5" thickBot="1">
      <c r="E3" s="2"/>
      <c r="F3" s="449"/>
      <c r="G3" s="449"/>
      <c r="H3" s="181"/>
      <c r="I3" s="182"/>
    </row>
    <row r="4" spans="2:11" s="1" customFormat="1" ht="76.5" customHeight="1">
      <c r="B4" s="3" t="s">
        <v>79</v>
      </c>
      <c r="C4" s="4" t="s">
        <v>80</v>
      </c>
      <c r="D4" s="5" t="s">
        <v>112</v>
      </c>
      <c r="E4" s="6" t="s">
        <v>81</v>
      </c>
      <c r="F4" s="7" t="s">
        <v>82</v>
      </c>
      <c r="G4" s="316" t="s">
        <v>557</v>
      </c>
      <c r="H4" s="316" t="s">
        <v>683</v>
      </c>
      <c r="I4" s="149" t="s">
        <v>497</v>
      </c>
    </row>
    <row r="5" spans="2:11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34">
        <v>6</v>
      </c>
      <c r="H5" s="9">
        <v>7</v>
      </c>
      <c r="I5" s="150">
        <v>8</v>
      </c>
    </row>
    <row r="6" spans="2:11" s="2" customFormat="1" ht="12.95" customHeight="1">
      <c r="B6" s="10" t="s">
        <v>147</v>
      </c>
      <c r="C6" s="11" t="s">
        <v>149</v>
      </c>
      <c r="D6" s="11" t="s">
        <v>84</v>
      </c>
      <c r="E6" s="9"/>
      <c r="F6" s="9"/>
      <c r="G6" s="34"/>
      <c r="H6" s="165"/>
      <c r="I6" s="151"/>
    </row>
    <row r="7" spans="2:11" s="1" customFormat="1" ht="12.95" customHeight="1">
      <c r="B7" s="17"/>
      <c r="C7" s="12"/>
      <c r="D7" s="12"/>
      <c r="E7" s="9">
        <v>611000</v>
      </c>
      <c r="F7" s="12" t="s">
        <v>167</v>
      </c>
      <c r="G7" s="20">
        <f>SUM(G8:G11)</f>
        <v>1005060</v>
      </c>
      <c r="H7" s="392">
        <f>SUM(H8:H11)</f>
        <v>1039400</v>
      </c>
      <c r="I7" s="152">
        <f t="shared" ref="I7:I42" si="0">IF(G7=0,"",H7/G7*100)</f>
        <v>103.41671144011302</v>
      </c>
    </row>
    <row r="8" spans="2:11" ht="12.95" customHeight="1">
      <c r="B8" s="14"/>
      <c r="C8" s="15"/>
      <c r="D8" s="15"/>
      <c r="E8" s="16">
        <v>611100</v>
      </c>
      <c r="F8" s="26" t="s">
        <v>210</v>
      </c>
      <c r="G8" s="117">
        <f>793900+2700+4000</f>
        <v>800600</v>
      </c>
      <c r="H8" s="394">
        <f>819000+8000+40900-4000</f>
        <v>863900</v>
      </c>
      <c r="I8" s="153">
        <f t="shared" si="0"/>
        <v>107.90657007244566</v>
      </c>
      <c r="J8" s="107"/>
    </row>
    <row r="9" spans="2:11" ht="12.95" customHeight="1">
      <c r="B9" s="14"/>
      <c r="C9" s="15"/>
      <c r="D9" s="15"/>
      <c r="E9" s="16">
        <v>611200</v>
      </c>
      <c r="F9" s="15" t="s">
        <v>211</v>
      </c>
      <c r="G9" s="117">
        <f>177400+54*240</f>
        <v>190360</v>
      </c>
      <c r="H9" s="394">
        <f>170500+5000</f>
        <v>175500</v>
      </c>
      <c r="I9" s="153">
        <f t="shared" si="0"/>
        <v>92.193738180289969</v>
      </c>
    </row>
    <row r="10" spans="2:11" ht="12.95" customHeight="1">
      <c r="B10" s="14"/>
      <c r="C10" s="15"/>
      <c r="D10" s="15"/>
      <c r="E10" s="16">
        <v>611200</v>
      </c>
      <c r="F10" s="363" t="s">
        <v>699</v>
      </c>
      <c r="G10" s="82">
        <v>14100</v>
      </c>
      <c r="H10" s="391">
        <v>0</v>
      </c>
      <c r="I10" s="153">
        <f t="shared" si="0"/>
        <v>0</v>
      </c>
      <c r="K10" s="89"/>
    </row>
    <row r="11" spans="2:11" ht="12.95" customHeight="1">
      <c r="B11" s="14"/>
      <c r="C11" s="15"/>
      <c r="D11" s="15"/>
      <c r="E11" s="16"/>
      <c r="F11" s="26"/>
      <c r="G11" s="117"/>
      <c r="H11" s="394"/>
      <c r="I11" s="153" t="str">
        <f t="shared" si="0"/>
        <v/>
      </c>
    </row>
    <row r="12" spans="2:11" ht="12.95" customHeight="1">
      <c r="B12" s="14"/>
      <c r="C12" s="15"/>
      <c r="D12" s="15"/>
      <c r="E12" s="16"/>
      <c r="F12" s="15"/>
      <c r="G12" s="108"/>
      <c r="H12" s="392"/>
      <c r="I12" s="153" t="str">
        <f t="shared" si="0"/>
        <v/>
      </c>
    </row>
    <row r="13" spans="2:11" s="1" customFormat="1" ht="12.95" customHeight="1">
      <c r="B13" s="17"/>
      <c r="C13" s="12"/>
      <c r="D13" s="12"/>
      <c r="E13" s="9">
        <v>612000</v>
      </c>
      <c r="F13" s="12" t="s">
        <v>166</v>
      </c>
      <c r="G13" s="108">
        <f>G14</f>
        <v>85700</v>
      </c>
      <c r="H13" s="392">
        <f>H14</f>
        <v>92000</v>
      </c>
      <c r="I13" s="152">
        <f t="shared" si="0"/>
        <v>107.3512252042007</v>
      </c>
    </row>
    <row r="14" spans="2:11" ht="12.95" customHeight="1">
      <c r="B14" s="14"/>
      <c r="C14" s="15"/>
      <c r="D14" s="15"/>
      <c r="E14" s="16">
        <v>612100</v>
      </c>
      <c r="F14" s="18" t="s">
        <v>85</v>
      </c>
      <c r="G14" s="117">
        <v>85700</v>
      </c>
      <c r="H14" s="394">
        <f>88100+4400-500</f>
        <v>92000</v>
      </c>
      <c r="I14" s="153">
        <f t="shared" si="0"/>
        <v>107.3512252042007</v>
      </c>
    </row>
    <row r="15" spans="2:11" ht="12.95" customHeight="1">
      <c r="B15" s="14"/>
      <c r="C15" s="15"/>
      <c r="D15" s="15"/>
      <c r="E15" s="16"/>
      <c r="F15" s="15"/>
      <c r="G15" s="44"/>
      <c r="H15" s="44"/>
      <c r="I15" s="153" t="str">
        <f t="shared" si="0"/>
        <v/>
      </c>
    </row>
    <row r="16" spans="2:11" ht="12.95" customHeight="1">
      <c r="B16" s="14"/>
      <c r="C16" s="15"/>
      <c r="D16" s="15"/>
      <c r="E16" s="16"/>
      <c r="F16" s="15"/>
      <c r="G16" s="20"/>
      <c r="H16" s="20"/>
      <c r="I16" s="153" t="str">
        <f t="shared" si="0"/>
        <v/>
      </c>
    </row>
    <row r="17" spans="2:9" s="1" customFormat="1" ht="12.95" customHeight="1">
      <c r="B17" s="17"/>
      <c r="C17" s="12"/>
      <c r="D17" s="12"/>
      <c r="E17" s="9">
        <v>613000</v>
      </c>
      <c r="F17" s="12" t="s">
        <v>168</v>
      </c>
      <c r="G17" s="49">
        <f>SUM(G18:G27)</f>
        <v>115100</v>
      </c>
      <c r="H17" s="49">
        <f>SUM(H18:H27)</f>
        <v>98500</v>
      </c>
      <c r="I17" s="152">
        <f t="shared" si="0"/>
        <v>85.577758470894878</v>
      </c>
    </row>
    <row r="18" spans="2:9" ht="12.95" customHeight="1">
      <c r="B18" s="14"/>
      <c r="C18" s="15"/>
      <c r="D18" s="15"/>
      <c r="E18" s="16">
        <v>613100</v>
      </c>
      <c r="F18" s="15" t="s">
        <v>86</v>
      </c>
      <c r="G18" s="117">
        <v>5000</v>
      </c>
      <c r="H18" s="117">
        <v>5000</v>
      </c>
      <c r="I18" s="153">
        <f t="shared" si="0"/>
        <v>100</v>
      </c>
    </row>
    <row r="19" spans="2:9" ht="12.95" customHeight="1">
      <c r="B19" s="14"/>
      <c r="C19" s="15"/>
      <c r="D19" s="15"/>
      <c r="E19" s="16">
        <v>613200</v>
      </c>
      <c r="F19" s="15" t="s">
        <v>87</v>
      </c>
      <c r="G19" s="117">
        <v>30000</v>
      </c>
      <c r="H19" s="117">
        <v>30000</v>
      </c>
      <c r="I19" s="153">
        <f t="shared" si="0"/>
        <v>100</v>
      </c>
    </row>
    <row r="20" spans="2:9" ht="12.95" customHeight="1">
      <c r="B20" s="14"/>
      <c r="C20" s="15"/>
      <c r="D20" s="15"/>
      <c r="E20" s="16">
        <v>613300</v>
      </c>
      <c r="F20" s="26" t="s">
        <v>212</v>
      </c>
      <c r="G20" s="117">
        <v>6000</v>
      </c>
      <c r="H20" s="117">
        <v>6000</v>
      </c>
      <c r="I20" s="153">
        <f t="shared" si="0"/>
        <v>100</v>
      </c>
    </row>
    <row r="21" spans="2:9" ht="12.95" customHeight="1">
      <c r="B21" s="14"/>
      <c r="C21" s="15"/>
      <c r="D21" s="15"/>
      <c r="E21" s="16">
        <v>613400</v>
      </c>
      <c r="F21" s="15" t="s">
        <v>169</v>
      </c>
      <c r="G21" s="117">
        <v>12000</v>
      </c>
      <c r="H21" s="117">
        <v>12000</v>
      </c>
      <c r="I21" s="153">
        <f t="shared" si="0"/>
        <v>100</v>
      </c>
    </row>
    <row r="22" spans="2:9" ht="12.95" customHeight="1">
      <c r="B22" s="14"/>
      <c r="C22" s="15"/>
      <c r="D22" s="15"/>
      <c r="E22" s="16">
        <v>613500</v>
      </c>
      <c r="F22" s="15" t="s">
        <v>88</v>
      </c>
      <c r="G22" s="117">
        <v>500</v>
      </c>
      <c r="H22" s="117">
        <v>500</v>
      </c>
      <c r="I22" s="153">
        <f t="shared" si="0"/>
        <v>100</v>
      </c>
    </row>
    <row r="23" spans="2:9" ht="12.95" customHeight="1">
      <c r="B23" s="14"/>
      <c r="C23" s="15"/>
      <c r="D23" s="15"/>
      <c r="E23" s="16">
        <v>613600</v>
      </c>
      <c r="F23" s="26" t="s">
        <v>213</v>
      </c>
      <c r="G23" s="117">
        <v>0</v>
      </c>
      <c r="H23" s="117">
        <v>0</v>
      </c>
      <c r="I23" s="153" t="str">
        <f t="shared" si="0"/>
        <v/>
      </c>
    </row>
    <row r="24" spans="2:9" ht="12.95" customHeight="1">
      <c r="B24" s="14"/>
      <c r="C24" s="15"/>
      <c r="D24" s="15"/>
      <c r="E24" s="16">
        <v>613700</v>
      </c>
      <c r="F24" s="15" t="s">
        <v>89</v>
      </c>
      <c r="G24" s="117">
        <v>8000</v>
      </c>
      <c r="H24" s="117">
        <v>9000</v>
      </c>
      <c r="I24" s="153">
        <f t="shared" si="0"/>
        <v>112.5</v>
      </c>
    </row>
    <row r="25" spans="2:9" ht="12.95" customHeight="1">
      <c r="B25" s="14"/>
      <c r="C25" s="15"/>
      <c r="D25" s="15"/>
      <c r="E25" s="16">
        <v>613800</v>
      </c>
      <c r="F25" s="15" t="s">
        <v>170</v>
      </c>
      <c r="G25" s="117">
        <v>0</v>
      </c>
      <c r="H25" s="117">
        <v>0</v>
      </c>
      <c r="I25" s="153" t="str">
        <f t="shared" si="0"/>
        <v/>
      </c>
    </row>
    <row r="26" spans="2:9" ht="12.95" customHeight="1">
      <c r="B26" s="14"/>
      <c r="C26" s="15"/>
      <c r="D26" s="15"/>
      <c r="E26" s="16">
        <v>613900</v>
      </c>
      <c r="F26" s="15" t="s">
        <v>171</v>
      </c>
      <c r="G26" s="117">
        <v>36000</v>
      </c>
      <c r="H26" s="117">
        <v>36000</v>
      </c>
      <c r="I26" s="153">
        <f t="shared" si="0"/>
        <v>100</v>
      </c>
    </row>
    <row r="27" spans="2:9" ht="12.95" customHeight="1">
      <c r="B27" s="14"/>
      <c r="C27" s="15"/>
      <c r="D27" s="15"/>
      <c r="E27" s="16">
        <v>613900</v>
      </c>
      <c r="F27" s="363" t="s">
        <v>701</v>
      </c>
      <c r="G27" s="117">
        <v>17600</v>
      </c>
      <c r="H27" s="117">
        <v>0</v>
      </c>
      <c r="I27" s="153">
        <f t="shared" si="0"/>
        <v>0</v>
      </c>
    </row>
    <row r="28" spans="2:9" s="1" customFormat="1" ht="12.95" customHeight="1">
      <c r="B28" s="17"/>
      <c r="C28" s="12"/>
      <c r="D28" s="12"/>
      <c r="E28" s="9"/>
      <c r="F28" s="12"/>
      <c r="G28" s="117"/>
      <c r="H28" s="117"/>
      <c r="I28" s="153" t="str">
        <f t="shared" si="0"/>
        <v/>
      </c>
    </row>
    <row r="29" spans="2:9" ht="12.95" customHeight="1">
      <c r="B29" s="14"/>
      <c r="C29" s="15"/>
      <c r="D29" s="30"/>
      <c r="E29" s="16"/>
      <c r="F29" s="29"/>
      <c r="G29" s="117"/>
      <c r="H29" s="117"/>
      <c r="I29" s="153" t="str">
        <f t="shared" si="0"/>
        <v/>
      </c>
    </row>
    <row r="30" spans="2:9" ht="12.95" customHeight="1">
      <c r="B30" s="14"/>
      <c r="C30" s="15"/>
      <c r="D30" s="15"/>
      <c r="E30" s="60"/>
      <c r="F30" s="29"/>
      <c r="G30" s="117"/>
      <c r="H30" s="117"/>
      <c r="I30" s="153" t="str">
        <f t="shared" si="0"/>
        <v/>
      </c>
    </row>
    <row r="31" spans="2:9" ht="12.95" customHeight="1">
      <c r="B31" s="14"/>
      <c r="C31" s="15"/>
      <c r="D31" s="15"/>
      <c r="E31" s="16"/>
      <c r="F31" s="15"/>
      <c r="G31" s="117"/>
      <c r="H31" s="117"/>
      <c r="I31" s="153" t="str">
        <f t="shared" si="0"/>
        <v/>
      </c>
    </row>
    <row r="32" spans="2:9" ht="12.95" customHeight="1">
      <c r="B32" s="14"/>
      <c r="C32" s="15"/>
      <c r="D32" s="15"/>
      <c r="E32" s="16"/>
      <c r="F32" s="15"/>
      <c r="G32" s="117"/>
      <c r="H32" s="117"/>
      <c r="I32" s="153" t="str">
        <f t="shared" si="0"/>
        <v/>
      </c>
    </row>
    <row r="33" spans="2:9" ht="12.95" customHeight="1">
      <c r="B33" s="14"/>
      <c r="C33" s="15"/>
      <c r="D33" s="15"/>
      <c r="E33" s="9"/>
      <c r="F33" s="12"/>
      <c r="G33" s="117"/>
      <c r="H33" s="117"/>
      <c r="I33" s="153" t="str">
        <f t="shared" si="0"/>
        <v/>
      </c>
    </row>
    <row r="34" spans="2:9" ht="12.95" customHeight="1">
      <c r="B34" s="14"/>
      <c r="C34" s="15"/>
      <c r="D34" s="15"/>
      <c r="E34" s="16"/>
      <c r="F34" s="26"/>
      <c r="G34" s="117"/>
      <c r="H34" s="117"/>
      <c r="I34" s="153" t="str">
        <f t="shared" si="0"/>
        <v/>
      </c>
    </row>
    <row r="35" spans="2:9" ht="12.95" customHeight="1">
      <c r="B35" s="14"/>
      <c r="C35" s="15"/>
      <c r="D35" s="15"/>
      <c r="E35" s="16"/>
      <c r="F35" s="15"/>
      <c r="G35" s="108"/>
      <c r="H35" s="108"/>
      <c r="I35" s="153" t="str">
        <f t="shared" si="0"/>
        <v/>
      </c>
    </row>
    <row r="36" spans="2:9" s="1" customFormat="1" ht="12.95" customHeight="1">
      <c r="B36" s="17"/>
      <c r="C36" s="12"/>
      <c r="D36" s="12"/>
      <c r="E36" s="9">
        <v>821000</v>
      </c>
      <c r="F36" s="12" t="s">
        <v>92</v>
      </c>
      <c r="G36" s="108">
        <f>SUM(G37:G39)</f>
        <v>6000</v>
      </c>
      <c r="H36" s="108">
        <f>SUM(H37:H39)</f>
        <v>3000</v>
      </c>
      <c r="I36" s="152">
        <f t="shared" si="0"/>
        <v>50</v>
      </c>
    </row>
    <row r="37" spans="2:9" ht="12.95" customHeight="1">
      <c r="B37" s="14"/>
      <c r="C37" s="15"/>
      <c r="D37" s="15"/>
      <c r="E37" s="16">
        <v>821200</v>
      </c>
      <c r="F37" s="15" t="s">
        <v>93</v>
      </c>
      <c r="G37" s="117">
        <v>0</v>
      </c>
      <c r="H37" s="117">
        <v>0</v>
      </c>
      <c r="I37" s="153" t="str">
        <f t="shared" si="0"/>
        <v/>
      </c>
    </row>
    <row r="38" spans="2:9" ht="12.95" customHeight="1">
      <c r="B38" s="14"/>
      <c r="C38" s="15"/>
      <c r="D38" s="15"/>
      <c r="E38" s="16">
        <v>821300</v>
      </c>
      <c r="F38" s="15" t="s">
        <v>94</v>
      </c>
      <c r="G38" s="117">
        <v>6000</v>
      </c>
      <c r="H38" s="117">
        <v>3000</v>
      </c>
      <c r="I38" s="153">
        <f t="shared" si="0"/>
        <v>50</v>
      </c>
    </row>
    <row r="39" spans="2:9" ht="12.95" customHeight="1">
      <c r="B39" s="14"/>
      <c r="C39" s="15"/>
      <c r="D39" s="15"/>
      <c r="E39" s="16"/>
      <c r="F39" s="26"/>
      <c r="G39" s="117"/>
      <c r="H39" s="117"/>
      <c r="I39" s="153" t="str">
        <f t="shared" si="0"/>
        <v/>
      </c>
    </row>
    <row r="40" spans="2:9" ht="12.95" customHeight="1">
      <c r="B40" s="14"/>
      <c r="C40" s="15"/>
      <c r="D40" s="15"/>
      <c r="E40" s="16"/>
      <c r="F40" s="15"/>
      <c r="G40" s="117"/>
      <c r="H40" s="117"/>
      <c r="I40" s="153" t="str">
        <f t="shared" si="0"/>
        <v/>
      </c>
    </row>
    <row r="41" spans="2:9" s="1" customFormat="1" ht="12.95" customHeight="1">
      <c r="B41" s="17"/>
      <c r="C41" s="12"/>
      <c r="D41" s="12"/>
      <c r="E41" s="9"/>
      <c r="F41" s="12" t="s">
        <v>95</v>
      </c>
      <c r="G41" s="25" t="s">
        <v>731</v>
      </c>
      <c r="H41" s="25" t="s">
        <v>718</v>
      </c>
      <c r="I41" s="153"/>
    </row>
    <row r="42" spans="2:9" s="1" customFormat="1" ht="12.95" customHeight="1">
      <c r="B42" s="17"/>
      <c r="C42" s="12"/>
      <c r="D42" s="12"/>
      <c r="E42" s="9"/>
      <c r="F42" s="12" t="s">
        <v>115</v>
      </c>
      <c r="G42" s="20">
        <f>G7+G13+G17+G36</f>
        <v>1211860</v>
      </c>
      <c r="H42" s="20">
        <f>H7+H13+H17+H36</f>
        <v>1232900</v>
      </c>
      <c r="I42" s="152">
        <f t="shared" si="0"/>
        <v>101.73617414552835</v>
      </c>
    </row>
    <row r="43" spans="2:9" s="1" customFormat="1" ht="12.95" customHeight="1">
      <c r="B43" s="17"/>
      <c r="C43" s="12"/>
      <c r="D43" s="12"/>
      <c r="E43" s="9"/>
      <c r="F43" s="12" t="s">
        <v>96</v>
      </c>
      <c r="G43" s="20"/>
      <c r="H43" s="20"/>
      <c r="I43" s="155"/>
    </row>
    <row r="44" spans="2:9" s="1" customFormat="1" ht="12.95" customHeight="1">
      <c r="B44" s="17"/>
      <c r="C44" s="12"/>
      <c r="D44" s="12"/>
      <c r="E44" s="9"/>
      <c r="F44" s="12" t="s">
        <v>97</v>
      </c>
      <c r="G44" s="20"/>
      <c r="H44" s="43"/>
      <c r="I44" s="154"/>
    </row>
    <row r="45" spans="2:9" ht="12.95" customHeight="1" thickBot="1">
      <c r="B45" s="21"/>
      <c r="C45" s="22"/>
      <c r="D45" s="22"/>
      <c r="E45" s="23"/>
      <c r="F45" s="22"/>
      <c r="G45" s="48"/>
      <c r="H45" s="45"/>
      <c r="I45" s="156"/>
    </row>
    <row r="48" spans="2:9">
      <c r="B48" s="81"/>
    </row>
    <row r="49" spans="2:2">
      <c r="B49" s="81"/>
    </row>
    <row r="50" spans="2:2">
      <c r="B50" s="81"/>
    </row>
    <row r="51" spans="2:2">
      <c r="B51" s="81"/>
    </row>
    <row r="52" spans="2:2">
      <c r="B52" s="81"/>
    </row>
    <row r="53" spans="2:2">
      <c r="B53" s="81"/>
    </row>
    <row r="54" spans="2:2">
      <c r="B54" s="81"/>
    </row>
  </sheetData>
  <mergeCells count="2">
    <mergeCell ref="B2:G2"/>
    <mergeCell ref="F3:G3"/>
  </mergeCells>
  <phoneticPr fontId="2" type="noConversion"/>
  <pageMargins left="0.19685039370078741" right="0.19685039370078741" top="0.59055118110236227" bottom="0.59055118110236227" header="0.51181102362204722" footer="0.51181102362204722"/>
  <pageSetup paperSize="9" scale="88" firstPageNumber="10" orientation="portrait" useFirstPageNumber="1" horizontalDpi="180" verticalDpi="180" r:id="rId1"/>
  <headerFooter alignWithMargins="0">
    <oddFooter>&amp;R31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/>
  <dimension ref="A1:Z316"/>
  <sheetViews>
    <sheetView topLeftCell="A25" workbookViewId="0">
      <selection activeCell="G45" sqref="G45"/>
    </sheetView>
  </sheetViews>
  <sheetFormatPr defaultRowHeight="15" customHeight="1"/>
  <cols>
    <col min="1" max="1" width="50" customWidth="1"/>
    <col min="2" max="2" width="17.42578125" customWidth="1"/>
    <col min="3" max="3" width="18.28515625" customWidth="1"/>
    <col min="4" max="4" width="8.85546875" customWidth="1"/>
    <col min="5" max="5" width="6.42578125" customWidth="1"/>
    <col min="7" max="8" width="15.7109375" customWidth="1"/>
    <col min="9" max="9" width="8.7109375" customWidth="1"/>
  </cols>
  <sheetData>
    <row r="1" spans="1:26" ht="15" customHeight="1">
      <c r="A1" s="432" t="s">
        <v>671</v>
      </c>
      <c r="B1" s="432"/>
      <c r="C1" s="432"/>
      <c r="D1" s="432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</row>
    <row r="2" spans="1:26" ht="15" customHeight="1">
      <c r="A2" s="432"/>
      <c r="B2" s="432"/>
      <c r="C2" s="432"/>
      <c r="D2" s="432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</row>
    <row r="3" spans="1:26" ht="15" customHeight="1">
      <c r="A3" s="432"/>
      <c r="B3" s="432"/>
      <c r="C3" s="432"/>
      <c r="D3" s="432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</row>
    <row r="4" spans="1:26" ht="10.5" customHeight="1">
      <c r="A4" s="432"/>
      <c r="B4" s="432"/>
      <c r="C4" s="432"/>
      <c r="D4" s="432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</row>
    <row r="5" spans="1:26" ht="9" hidden="1" customHeight="1">
      <c r="A5" s="416"/>
      <c r="B5" s="416"/>
      <c r="C5" s="416"/>
      <c r="D5" s="416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</row>
    <row r="6" spans="1:26" ht="9" customHeight="1">
      <c r="A6" s="290"/>
      <c r="B6" s="290"/>
      <c r="C6" s="290"/>
      <c r="D6" s="290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</row>
    <row r="7" spans="1:26" ht="18.75" customHeight="1">
      <c r="A7" s="433" t="s">
        <v>690</v>
      </c>
      <c r="B7" s="433"/>
      <c r="C7" s="433"/>
      <c r="D7" s="433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</row>
    <row r="8" spans="1:26" ht="15" customHeight="1">
      <c r="A8" s="434" t="s">
        <v>691</v>
      </c>
      <c r="B8" s="434"/>
      <c r="C8" s="434"/>
      <c r="D8" s="434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</row>
    <row r="9" spans="1:26" ht="6.75" customHeight="1">
      <c r="A9" s="52"/>
      <c r="B9" s="51"/>
      <c r="C9" s="51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</row>
    <row r="10" spans="1:26" ht="15" customHeight="1">
      <c r="A10" s="234" t="s">
        <v>202</v>
      </c>
      <c r="B10" s="68"/>
      <c r="C10" s="68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</row>
    <row r="11" spans="1:26" ht="6.75" customHeight="1">
      <c r="A11" s="53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</row>
    <row r="12" spans="1:26" ht="15" customHeight="1">
      <c r="A12" s="53" t="s">
        <v>203</v>
      </c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</row>
    <row r="13" spans="1:26" ht="18" customHeight="1">
      <c r="A13" s="435" t="s">
        <v>693</v>
      </c>
      <c r="B13" s="436"/>
      <c r="C13" s="436"/>
      <c r="D13" s="436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</row>
    <row r="14" spans="1:26" ht="16.5" customHeight="1">
      <c r="B14" s="366"/>
      <c r="C14" s="366"/>
      <c r="D14" s="366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</row>
    <row r="15" spans="1:26" ht="10.5" customHeight="1">
      <c r="A15" s="70"/>
      <c r="B15" s="70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</row>
    <row r="16" spans="1:26" ht="40.5" customHeight="1">
      <c r="A16" s="245" t="s">
        <v>324</v>
      </c>
      <c r="B16" s="284" t="s">
        <v>555</v>
      </c>
      <c r="C16" s="284" t="s">
        <v>684</v>
      </c>
      <c r="D16" s="284" t="s">
        <v>465</v>
      </c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</row>
    <row r="17" spans="1:26" s="238" customFormat="1" ht="12.75" customHeight="1">
      <c r="A17" s="241">
        <v>1</v>
      </c>
      <c r="B17" s="242">
        <v>2</v>
      </c>
      <c r="C17" s="242">
        <v>3</v>
      </c>
      <c r="D17" s="241">
        <v>4</v>
      </c>
      <c r="F17" s="239"/>
      <c r="G17" s="239"/>
      <c r="H17" s="239"/>
      <c r="I17" s="239"/>
      <c r="J17" s="239"/>
      <c r="K17" s="239"/>
      <c r="L17" s="239"/>
      <c r="M17" s="239"/>
      <c r="N17" s="239"/>
      <c r="O17" s="239"/>
      <c r="P17" s="239"/>
      <c r="Q17" s="239"/>
      <c r="R17" s="239"/>
      <c r="S17" s="239"/>
      <c r="T17" s="239"/>
      <c r="U17" s="239"/>
      <c r="V17" s="239"/>
      <c r="W17" s="239"/>
      <c r="X17" s="239"/>
      <c r="Y17" s="239"/>
      <c r="Z17" s="239"/>
    </row>
    <row r="18" spans="1:26" ht="15" customHeight="1">
      <c r="A18" s="240" t="s">
        <v>483</v>
      </c>
      <c r="B18" s="248">
        <f>B19+B27+B28+B29+B30</f>
        <v>39817470</v>
      </c>
      <c r="C18" s="248">
        <f>C19+C27+C28+C29+C30</f>
        <v>39962940</v>
      </c>
      <c r="D18" s="259">
        <f>IF(B18=0,,C18/B18*100)</f>
        <v>100.36534214755484</v>
      </c>
      <c r="E18" s="23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</row>
    <row r="19" spans="1:26" ht="15" customHeight="1">
      <c r="A19" s="236" t="s">
        <v>479</v>
      </c>
      <c r="B19" s="244">
        <f>SUM(B20:B26)</f>
        <v>34190490</v>
      </c>
      <c r="C19" s="244">
        <f>SUM(C20:C26)</f>
        <v>33587730</v>
      </c>
      <c r="D19" s="260">
        <f t="shared" ref="D19:D54" si="0">IF(B19=0,,C19/B19*100)</f>
        <v>98.237053636844635</v>
      </c>
      <c r="E19" s="23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</row>
    <row r="20" spans="1:26" ht="15" customHeight="1">
      <c r="A20" s="237" t="s">
        <v>467</v>
      </c>
      <c r="B20" s="255">
        <f>Prihodi!D6</f>
        <v>2421450</v>
      </c>
      <c r="C20" s="255">
        <f>Prihodi!E6</f>
        <v>2503780</v>
      </c>
      <c r="D20" s="356">
        <f t="shared" si="0"/>
        <v>103.40002890829874</v>
      </c>
      <c r="E20" s="23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</row>
    <row r="21" spans="1:26" ht="15" customHeight="1">
      <c r="A21" s="237" t="s">
        <v>468</v>
      </c>
      <c r="B21" s="255">
        <f>Prihodi!D14</f>
        <v>3340</v>
      </c>
      <c r="C21" s="255">
        <f>Prihodi!E14</f>
        <v>3400</v>
      </c>
      <c r="D21" s="261">
        <f t="shared" si="0"/>
        <v>101.79640718562875</v>
      </c>
      <c r="E21" s="23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</row>
    <row r="22" spans="1:26" ht="15" customHeight="1">
      <c r="A22" s="237" t="s">
        <v>469</v>
      </c>
      <c r="B22" s="255">
        <f>Prihodi!D18</f>
        <v>277530</v>
      </c>
      <c r="C22" s="255">
        <f>Prihodi!E18</f>
        <v>275100</v>
      </c>
      <c r="D22" s="267">
        <f t="shared" si="0"/>
        <v>99.124418981731708</v>
      </c>
      <c r="E22" s="23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</row>
    <row r="23" spans="1:26" ht="15" customHeight="1">
      <c r="A23" s="237" t="s">
        <v>470</v>
      </c>
      <c r="B23" s="256">
        <f>Prihodi!D26</f>
        <v>5090</v>
      </c>
      <c r="C23" s="256">
        <f>Prihodi!E26</f>
        <v>4800</v>
      </c>
      <c r="D23" s="262">
        <f t="shared" si="0"/>
        <v>94.302554027504911</v>
      </c>
      <c r="E23" s="23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</row>
    <row r="24" spans="1:26" ht="15" customHeight="1">
      <c r="A24" s="237" t="s">
        <v>471</v>
      </c>
      <c r="B24" s="256">
        <f>Prihodi!D36</f>
        <v>2535470</v>
      </c>
      <c r="C24" s="256">
        <f>Prihodi!E36</f>
        <v>2621680</v>
      </c>
      <c r="D24" s="262">
        <f t="shared" si="0"/>
        <v>103.4001585504857</v>
      </c>
      <c r="E24" s="23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</row>
    <row r="25" spans="1:26" ht="15" customHeight="1">
      <c r="A25" s="237" t="s">
        <v>472</v>
      </c>
      <c r="B25" s="256">
        <f>Prihodi!D45</f>
        <v>28947500</v>
      </c>
      <c r="C25" s="256">
        <f>Prihodi!E45</f>
        <v>28178820</v>
      </c>
      <c r="D25" s="262">
        <f t="shared" si="0"/>
        <v>97.344572070126958</v>
      </c>
      <c r="E25" s="23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</row>
    <row r="26" spans="1:26" ht="15" customHeight="1">
      <c r="A26" s="237" t="s">
        <v>473</v>
      </c>
      <c r="B26" s="256">
        <f>Prihodi!D49</f>
        <v>110</v>
      </c>
      <c r="C26" s="256">
        <f>Prihodi!E49</f>
        <v>150</v>
      </c>
      <c r="D26" s="262">
        <f t="shared" si="0"/>
        <v>136.36363636363635</v>
      </c>
      <c r="E26" s="23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</row>
    <row r="27" spans="1:26" ht="15" customHeight="1">
      <c r="A27" s="236" t="s">
        <v>474</v>
      </c>
      <c r="B27" s="244">
        <f>Prihodi!D55</f>
        <v>2987650</v>
      </c>
      <c r="C27" s="244">
        <f>Prihodi!E55</f>
        <v>2661010</v>
      </c>
      <c r="D27" s="260">
        <f t="shared" si="0"/>
        <v>89.0669924522618</v>
      </c>
      <c r="E27" s="23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</row>
    <row r="28" spans="1:26" ht="15" customHeight="1">
      <c r="A28" s="236" t="s">
        <v>553</v>
      </c>
      <c r="B28" s="244">
        <f>Prihodi!D144</f>
        <v>1997450</v>
      </c>
      <c r="C28" s="244">
        <f>Prihodi!E144</f>
        <v>3158900</v>
      </c>
      <c r="D28" s="260">
        <f t="shared" si="0"/>
        <v>158.14663696212671</v>
      </c>
      <c r="E28" s="23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</row>
    <row r="29" spans="1:26" ht="15" customHeight="1">
      <c r="A29" s="236" t="s">
        <v>554</v>
      </c>
      <c r="B29" s="244">
        <f>Prihodi!D174</f>
        <v>462680</v>
      </c>
      <c r="C29" s="244">
        <f>Prihodi!E174</f>
        <v>554000</v>
      </c>
      <c r="D29" s="260">
        <f t="shared" si="0"/>
        <v>119.73718336647359</v>
      </c>
      <c r="E29" s="23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</row>
    <row r="30" spans="1:26" ht="15" customHeight="1">
      <c r="A30" s="236" t="s">
        <v>482</v>
      </c>
      <c r="B30" s="244">
        <f>Prihodi!D199</f>
        <v>179200</v>
      </c>
      <c r="C30" s="244">
        <f>Prihodi!E199</f>
        <v>1300</v>
      </c>
      <c r="D30" s="260">
        <f t="shared" si="0"/>
        <v>0.7254464285714286</v>
      </c>
      <c r="E30" s="23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</row>
    <row r="31" spans="1:26" ht="15" customHeight="1">
      <c r="A31" s="240" t="s">
        <v>660</v>
      </c>
      <c r="B31" s="248">
        <f>SUM(B32:B38)</f>
        <v>36215220</v>
      </c>
      <c r="C31" s="248">
        <f>SUM(C32:C38)</f>
        <v>37313830</v>
      </c>
      <c r="D31" s="263">
        <f t="shared" si="0"/>
        <v>103.03355881864033</v>
      </c>
      <c r="E31" s="23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</row>
    <row r="32" spans="1:26" s="68" customFormat="1" ht="15" customHeight="1">
      <c r="A32" s="243" t="s">
        <v>661</v>
      </c>
      <c r="B32" s="357">
        <f>Rashodi!E8</f>
        <v>960000</v>
      </c>
      <c r="C32" s="357">
        <f>Rashodi!F8</f>
        <v>510000</v>
      </c>
      <c r="D32" s="358">
        <f t="shared" si="0"/>
        <v>53.125</v>
      </c>
      <c r="E32" s="246"/>
      <c r="F32" s="247"/>
      <c r="G32" s="247"/>
      <c r="H32" s="247"/>
      <c r="I32" s="247"/>
      <c r="J32" s="247"/>
      <c r="K32" s="247"/>
      <c r="L32" s="247"/>
      <c r="M32" s="247"/>
      <c r="N32" s="247"/>
      <c r="O32" s="247"/>
      <c r="P32" s="247"/>
      <c r="Q32" s="247"/>
      <c r="R32" s="247"/>
      <c r="S32" s="247"/>
      <c r="T32" s="247"/>
      <c r="U32" s="247"/>
      <c r="V32" s="247"/>
      <c r="W32" s="247"/>
      <c r="X32" s="247"/>
      <c r="Y32" s="247"/>
    </row>
    <row r="33" spans="1:26" s="68" customFormat="1" ht="15" customHeight="1">
      <c r="A33" s="243" t="s">
        <v>662</v>
      </c>
      <c r="B33" s="357">
        <f>Rashodi!E14</f>
        <v>19494060</v>
      </c>
      <c r="C33" s="357">
        <f>Rashodi!F14</f>
        <v>20585650</v>
      </c>
      <c r="D33" s="358">
        <f t="shared" si="0"/>
        <v>105.59960316116808</v>
      </c>
      <c r="E33" s="246"/>
      <c r="F33" s="247"/>
      <c r="G33" s="247"/>
      <c r="H33" s="247"/>
      <c r="I33" s="247"/>
      <c r="J33" s="247"/>
      <c r="K33" s="247"/>
      <c r="L33" s="247"/>
      <c r="M33" s="247"/>
      <c r="N33" s="247"/>
      <c r="O33" s="247"/>
      <c r="P33" s="247"/>
      <c r="Q33" s="247"/>
      <c r="R33" s="247"/>
      <c r="S33" s="247"/>
      <c r="T33" s="247"/>
      <c r="U33" s="247"/>
      <c r="V33" s="247"/>
      <c r="W33" s="247"/>
      <c r="X33" s="247"/>
      <c r="Y33" s="247"/>
    </row>
    <row r="34" spans="1:26" ht="15" customHeight="1">
      <c r="A34" s="354" t="s">
        <v>663</v>
      </c>
      <c r="B34" s="359">
        <f>Rashodi!E19</f>
        <v>1817000</v>
      </c>
      <c r="C34" s="359">
        <f>Rashodi!F19</f>
        <v>2005190</v>
      </c>
      <c r="D34" s="360">
        <f t="shared" si="0"/>
        <v>110.35718216840947</v>
      </c>
      <c r="E34" s="23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</row>
    <row r="35" spans="1:26" ht="15" customHeight="1">
      <c r="A35" s="354" t="s">
        <v>664</v>
      </c>
      <c r="B35" s="359">
        <f>Rashodi!E22</f>
        <v>4674290</v>
      </c>
      <c r="C35" s="359">
        <f>Rashodi!F22</f>
        <v>4503190</v>
      </c>
      <c r="D35" s="360">
        <f>IF(B35=0,,C35/B35*100)</f>
        <v>96.339551033418985</v>
      </c>
      <c r="E35" s="23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</row>
    <row r="36" spans="1:26" ht="15" customHeight="1">
      <c r="A36" s="354" t="s">
        <v>665</v>
      </c>
      <c r="B36" s="359">
        <f>Rashodi!E39</f>
        <v>8676000</v>
      </c>
      <c r="C36" s="359">
        <f>Rashodi!F39</f>
        <v>9220000</v>
      </c>
      <c r="D36" s="360">
        <f t="shared" si="0"/>
        <v>106.27017058552329</v>
      </c>
      <c r="E36" s="23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</row>
    <row r="37" spans="1:26" ht="15" customHeight="1">
      <c r="A37" s="354" t="s">
        <v>666</v>
      </c>
      <c r="B37" s="359">
        <f>Rashodi!E74</f>
        <v>500000</v>
      </c>
      <c r="C37" s="359">
        <f>Rashodi!F74</f>
        <v>400000</v>
      </c>
      <c r="D37" s="360">
        <f>IF(B37=0,,C37/B37*100)</f>
        <v>80</v>
      </c>
      <c r="E37" s="23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</row>
    <row r="38" spans="1:26" ht="15" customHeight="1" thickBot="1">
      <c r="A38" s="355" t="s">
        <v>667</v>
      </c>
      <c r="B38" s="361">
        <f>Rashodi!E78</f>
        <v>93870</v>
      </c>
      <c r="C38" s="361">
        <f>Rashodi!F78</f>
        <v>89800</v>
      </c>
      <c r="D38" s="362">
        <f t="shared" si="0"/>
        <v>95.664216469585597</v>
      </c>
      <c r="E38" s="23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</row>
    <row r="39" spans="1:26" ht="15" customHeight="1" thickTop="1" thickBot="1">
      <c r="A39" s="249" t="s">
        <v>477</v>
      </c>
      <c r="B39" s="250">
        <f>B18-B31</f>
        <v>3602250</v>
      </c>
      <c r="C39" s="250">
        <f>C18-C31</f>
        <v>2649110</v>
      </c>
      <c r="D39" s="264">
        <f t="shared" si="0"/>
        <v>73.54042612256228</v>
      </c>
      <c r="E39" s="23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</row>
    <row r="40" spans="1:26" ht="15" customHeight="1" thickTop="1">
      <c r="A40" s="240" t="s">
        <v>475</v>
      </c>
      <c r="B40" s="248">
        <f>Prihodi!D205</f>
        <v>7510</v>
      </c>
      <c r="C40" s="248">
        <f>Prihodi!E210</f>
        <v>0</v>
      </c>
      <c r="D40" s="263">
        <f t="shared" si="0"/>
        <v>0</v>
      </c>
      <c r="E40" s="23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</row>
    <row r="41" spans="1:26" ht="15" customHeight="1">
      <c r="A41" s="240" t="s">
        <v>476</v>
      </c>
      <c r="B41" s="248">
        <f>B42</f>
        <v>2079690</v>
      </c>
      <c r="C41" s="248">
        <f>C42</f>
        <v>1167100</v>
      </c>
      <c r="D41" s="263">
        <f t="shared" si="0"/>
        <v>56.118940803677475</v>
      </c>
      <c r="E41" s="23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</row>
    <row r="42" spans="1:26" ht="15" customHeight="1" thickBot="1">
      <c r="A42" s="237" t="s">
        <v>668</v>
      </c>
      <c r="B42" s="255">
        <f>Rashodi!E85</f>
        <v>2079690</v>
      </c>
      <c r="C42" s="255">
        <f>Rashodi!F85</f>
        <v>1167100</v>
      </c>
      <c r="D42" s="267">
        <f>IF(B42=0,,C42/B42*100)</f>
        <v>56.118940803677475</v>
      </c>
      <c r="E42" s="23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</row>
    <row r="43" spans="1:26" ht="15" customHeight="1" thickTop="1" thickBot="1">
      <c r="A43" s="251" t="s">
        <v>478</v>
      </c>
      <c r="B43" s="252">
        <f>B40-B41</f>
        <v>-2072180</v>
      </c>
      <c r="C43" s="252">
        <f>C40-C41</f>
        <v>-1167100</v>
      </c>
      <c r="D43" s="265">
        <f t="shared" si="0"/>
        <v>56.32232721095658</v>
      </c>
      <c r="E43" s="23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</row>
    <row r="44" spans="1:26" ht="24.75" customHeight="1" thickTop="1" thickBot="1">
      <c r="A44" s="249" t="s">
        <v>491</v>
      </c>
      <c r="B44" s="250">
        <f>B39+B43</f>
        <v>1530070</v>
      </c>
      <c r="C44" s="250">
        <f>C39+C43</f>
        <v>1482010</v>
      </c>
      <c r="D44" s="264">
        <f t="shared" si="0"/>
        <v>96.858967236793092</v>
      </c>
      <c r="E44" s="23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</row>
    <row r="45" spans="1:26" ht="15" customHeight="1" thickTop="1">
      <c r="A45" s="240" t="s">
        <v>480</v>
      </c>
      <c r="B45" s="248">
        <f>0</f>
        <v>0</v>
      </c>
      <c r="C45" s="248">
        <f>0</f>
        <v>0</v>
      </c>
      <c r="D45" s="263">
        <f t="shared" si="0"/>
        <v>0</v>
      </c>
      <c r="E45" s="23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</row>
    <row r="46" spans="1:26" ht="26.25" customHeight="1">
      <c r="A46" s="218" t="s">
        <v>481</v>
      </c>
      <c r="B46" s="248">
        <f>B47</f>
        <v>1458750</v>
      </c>
      <c r="C46" s="248">
        <f>C47</f>
        <v>1459620</v>
      </c>
      <c r="D46" s="263">
        <f t="shared" si="0"/>
        <v>100.05964010282777</v>
      </c>
      <c r="E46" s="23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</row>
    <row r="47" spans="1:26" ht="15" customHeight="1" thickBot="1">
      <c r="A47" s="237" t="s">
        <v>484</v>
      </c>
      <c r="B47" s="255">
        <f>Rashodi!E92</f>
        <v>1458750</v>
      </c>
      <c r="C47" s="255">
        <f>Rashodi!F92</f>
        <v>1459620</v>
      </c>
      <c r="D47" s="267">
        <f t="shared" si="0"/>
        <v>100.05964010282777</v>
      </c>
      <c r="E47" s="23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</row>
    <row r="48" spans="1:26" ht="15" customHeight="1" thickTop="1" thickBot="1">
      <c r="A48" s="251" t="s">
        <v>485</v>
      </c>
      <c r="B48" s="252">
        <f>B45-B46</f>
        <v>-1458750</v>
      </c>
      <c r="C48" s="252">
        <f>C45-C46</f>
        <v>-1459620</v>
      </c>
      <c r="D48" s="265">
        <f t="shared" si="0"/>
        <v>100.05964010282777</v>
      </c>
      <c r="E48" s="23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</row>
    <row r="49" spans="1:26" ht="15" customHeight="1" thickTop="1" thickBot="1">
      <c r="A49" s="251" t="s">
        <v>486</v>
      </c>
      <c r="B49" s="252">
        <f>B44+B48</f>
        <v>71320</v>
      </c>
      <c r="C49" s="252">
        <f>C44+C48</f>
        <v>22390</v>
      </c>
      <c r="D49" s="265">
        <f t="shared" si="0"/>
        <v>31.393718452047111</v>
      </c>
      <c r="E49" s="23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</row>
    <row r="50" spans="1:26" ht="15" customHeight="1" thickTop="1" thickBot="1">
      <c r="A50" s="251" t="s">
        <v>487</v>
      </c>
      <c r="B50" s="252">
        <f>B49</f>
        <v>71320</v>
      </c>
      <c r="C50" s="252">
        <f>C49</f>
        <v>22390</v>
      </c>
      <c r="D50" s="265">
        <f t="shared" si="0"/>
        <v>31.393718452047111</v>
      </c>
      <c r="E50" s="23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</row>
    <row r="51" spans="1:26" ht="9.75" customHeight="1" thickTop="1">
      <c r="A51" s="253"/>
      <c r="B51" s="254"/>
      <c r="C51" s="254"/>
      <c r="D51" s="266"/>
      <c r="E51" s="23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</row>
    <row r="52" spans="1:26" ht="15" customHeight="1">
      <c r="A52" s="240" t="s">
        <v>466</v>
      </c>
      <c r="B52" s="248">
        <f>B18+B40+B45</f>
        <v>39824980</v>
      </c>
      <c r="C52" s="248">
        <f>C18+C40+C45</f>
        <v>39962940</v>
      </c>
      <c r="D52" s="263">
        <f t="shared" si="0"/>
        <v>100.34641574207947</v>
      </c>
      <c r="E52" s="23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</row>
    <row r="53" spans="1:26" ht="15" customHeight="1">
      <c r="A53" s="240" t="s">
        <v>670</v>
      </c>
      <c r="B53" s="248">
        <f>B31+B41+B46</f>
        <v>39753660</v>
      </c>
      <c r="C53" s="248">
        <f>C31+C41+C46</f>
        <v>39940550</v>
      </c>
      <c r="D53" s="263">
        <f t="shared" si="0"/>
        <v>100.47012023547015</v>
      </c>
      <c r="E53" s="23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</row>
    <row r="54" spans="1:26" ht="15" customHeight="1">
      <c r="A54" s="240" t="s">
        <v>669</v>
      </c>
      <c r="B54" s="248">
        <f>B52-B53</f>
        <v>71320</v>
      </c>
      <c r="C54" s="248">
        <f>C52-C53</f>
        <v>22390</v>
      </c>
      <c r="D54" s="263">
        <f t="shared" si="0"/>
        <v>31.393718452047111</v>
      </c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</row>
    <row r="55" spans="1:26" ht="15" customHeight="1">
      <c r="A55" s="246"/>
      <c r="B55" s="364"/>
      <c r="C55" s="364"/>
      <c r="D55" s="36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</row>
    <row r="56" spans="1:26" ht="15" customHeight="1">
      <c r="A56" s="53" t="s">
        <v>230</v>
      </c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</row>
    <row r="57" spans="1:26" ht="10.5" customHeight="1"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</row>
    <row r="58" spans="1:26" ht="27" customHeight="1">
      <c r="A58" s="435" t="s">
        <v>692</v>
      </c>
      <c r="B58" s="436"/>
      <c r="C58" s="436"/>
      <c r="D58" s="436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</row>
    <row r="59" spans="1:26" ht="27" customHeight="1"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</row>
    <row r="60" spans="1:26" ht="15.75" customHeight="1">
      <c r="A60" s="85"/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</row>
    <row r="61" spans="1:26" ht="15" customHeight="1">
      <c r="A61" s="87"/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</row>
    <row r="62" spans="1:26" ht="15" customHeight="1">
      <c r="A62" s="85"/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</row>
    <row r="63" spans="1:26" ht="15" customHeight="1">
      <c r="A63" s="85"/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</row>
    <row r="64" spans="1:26" ht="15" customHeight="1">
      <c r="A64" s="85"/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</row>
    <row r="65" spans="1:26" ht="15" customHeight="1">
      <c r="A65" s="85"/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</row>
    <row r="66" spans="1:26" ht="15" customHeight="1">
      <c r="A66" s="85"/>
      <c r="B66" s="85"/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</row>
    <row r="67" spans="1:26" ht="15" customHeight="1">
      <c r="A67" s="85"/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</row>
    <row r="68" spans="1:26" ht="15" customHeight="1">
      <c r="A68" s="85"/>
      <c r="B68" s="85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</row>
    <row r="69" spans="1:26" ht="15" customHeight="1">
      <c r="A69" s="85"/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</row>
    <row r="70" spans="1:26" ht="15" customHeight="1">
      <c r="A70" s="85"/>
      <c r="B70" s="85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</row>
    <row r="71" spans="1:26" ht="15" customHeight="1">
      <c r="A71" s="85"/>
      <c r="B71" s="85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</row>
    <row r="72" spans="1:26" ht="15" customHeight="1">
      <c r="A72" s="85"/>
      <c r="B72" s="85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</row>
    <row r="73" spans="1:26" ht="15" customHeight="1">
      <c r="A73" s="85"/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</row>
    <row r="74" spans="1:26" ht="15" customHeight="1">
      <c r="A74" s="85"/>
      <c r="B74" s="85"/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</row>
    <row r="75" spans="1:26" ht="15" customHeight="1">
      <c r="A75" s="85"/>
      <c r="B75" s="85"/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</row>
    <row r="76" spans="1:26" ht="15" customHeight="1">
      <c r="A76" s="85"/>
      <c r="B76" s="85"/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</row>
    <row r="77" spans="1:26" ht="15" customHeight="1">
      <c r="A77" s="85"/>
      <c r="B77" s="85"/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</row>
    <row r="78" spans="1:26" ht="15" customHeight="1">
      <c r="A78" s="85"/>
      <c r="B78" s="85"/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</row>
    <row r="79" spans="1:26" ht="15" customHeight="1">
      <c r="A79" s="85"/>
      <c r="B79" s="85"/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</row>
    <row r="80" spans="1:26" ht="15" customHeight="1">
      <c r="A80" s="85"/>
      <c r="B80" s="85"/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5"/>
    </row>
    <row r="81" spans="1:26" ht="15" customHeight="1">
      <c r="A81" s="85"/>
      <c r="B81" s="85"/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/>
    </row>
    <row r="82" spans="1:26" ht="15" customHeight="1">
      <c r="A82" s="85"/>
      <c r="B82" s="85"/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</row>
    <row r="83" spans="1:26" ht="15" customHeight="1">
      <c r="A83" s="85"/>
      <c r="B83" s="85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</row>
    <row r="84" spans="1:26" ht="15" customHeight="1">
      <c r="A84" s="85"/>
      <c r="B84" s="85"/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  <c r="Z84" s="85"/>
    </row>
    <row r="85" spans="1:26" ht="15" customHeight="1">
      <c r="A85" s="85"/>
      <c r="B85" s="85"/>
      <c r="C85" s="85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</row>
    <row r="86" spans="1:26" ht="15" customHeight="1">
      <c r="A86" s="85"/>
      <c r="B86" s="85"/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5"/>
      <c r="Z86" s="85"/>
    </row>
    <row r="87" spans="1:26" ht="15" customHeight="1">
      <c r="A87" s="85"/>
      <c r="B87" s="85"/>
      <c r="C87" s="85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5"/>
    </row>
    <row r="88" spans="1:26" ht="15" customHeight="1">
      <c r="A88" s="85"/>
      <c r="B88" s="85"/>
      <c r="C88" s="85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  <c r="Z88" s="85"/>
    </row>
    <row r="89" spans="1:26" ht="15" customHeight="1">
      <c r="A89" s="85"/>
      <c r="B89" s="85"/>
      <c r="C89" s="85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</row>
    <row r="90" spans="1:26" ht="15" customHeight="1">
      <c r="A90" s="85"/>
      <c r="B90" s="85"/>
      <c r="C90" s="85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  <c r="Z90" s="85"/>
    </row>
    <row r="91" spans="1:26" ht="15" customHeight="1">
      <c r="A91" s="85"/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</row>
    <row r="92" spans="1:26" ht="15" customHeight="1">
      <c r="A92" s="85"/>
      <c r="B92" s="85"/>
      <c r="C92" s="85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</row>
    <row r="93" spans="1:26" ht="15" customHeight="1">
      <c r="A93" s="85"/>
      <c r="B93" s="85"/>
      <c r="C93" s="85"/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5"/>
      <c r="Z93" s="85"/>
    </row>
    <row r="94" spans="1:26" ht="15" customHeight="1">
      <c r="A94" s="85"/>
      <c r="B94" s="85"/>
      <c r="C94" s="85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5"/>
      <c r="Z94" s="85"/>
    </row>
    <row r="95" spans="1:26" ht="15" customHeight="1">
      <c r="A95" s="85"/>
      <c r="B95" s="85"/>
      <c r="C95" s="85"/>
      <c r="D95" s="85"/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5"/>
      <c r="Z95" s="85"/>
    </row>
    <row r="96" spans="1:26" ht="15" customHeight="1">
      <c r="A96" s="85"/>
      <c r="B96" s="85"/>
      <c r="C96" s="85"/>
      <c r="D96" s="85"/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5"/>
      <c r="W96" s="85"/>
      <c r="X96" s="85"/>
      <c r="Y96" s="85"/>
      <c r="Z96" s="85"/>
    </row>
    <row r="97" spans="1:26" ht="15" customHeight="1">
      <c r="A97" s="85"/>
      <c r="B97" s="85"/>
      <c r="C97" s="85"/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85"/>
      <c r="Y97" s="85"/>
      <c r="Z97" s="85"/>
    </row>
    <row r="98" spans="1:26" ht="15" customHeight="1">
      <c r="A98" s="85"/>
      <c r="B98" s="85"/>
      <c r="C98" s="85"/>
      <c r="D98" s="85"/>
      <c r="E98" s="85"/>
      <c r="F98" s="85"/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85"/>
      <c r="R98" s="85"/>
      <c r="S98" s="85"/>
      <c r="T98" s="85"/>
      <c r="U98" s="85"/>
      <c r="V98" s="85"/>
      <c r="W98" s="85"/>
      <c r="X98" s="85"/>
      <c r="Y98" s="85"/>
      <c r="Z98" s="85"/>
    </row>
    <row r="99" spans="1:26" ht="15" customHeight="1">
      <c r="A99" s="85"/>
      <c r="B99" s="85"/>
      <c r="C99" s="85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85"/>
      <c r="W99" s="85"/>
      <c r="X99" s="85"/>
      <c r="Y99" s="85"/>
      <c r="Z99" s="85"/>
    </row>
    <row r="100" spans="1:26" ht="15" customHeight="1">
      <c r="A100" s="85"/>
      <c r="B100" s="85"/>
      <c r="C100" s="85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85"/>
      <c r="S100" s="85"/>
      <c r="T100" s="85"/>
      <c r="U100" s="85"/>
      <c r="V100" s="85"/>
      <c r="W100" s="85"/>
      <c r="X100" s="85"/>
      <c r="Y100" s="85"/>
      <c r="Z100" s="85"/>
    </row>
    <row r="101" spans="1:26" ht="15" customHeight="1">
      <c r="A101" s="85"/>
      <c r="B101" s="85"/>
      <c r="C101" s="85"/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85"/>
      <c r="Y101" s="85"/>
      <c r="Z101" s="85"/>
    </row>
    <row r="102" spans="1:26" ht="15" customHeight="1">
      <c r="A102" s="85"/>
      <c r="B102" s="85"/>
      <c r="C102" s="85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  <c r="Y102" s="85"/>
      <c r="Z102" s="85"/>
    </row>
    <row r="103" spans="1:26" ht="15" customHeight="1">
      <c r="A103" s="85"/>
      <c r="B103" s="85"/>
      <c r="C103" s="85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85"/>
      <c r="X103" s="85"/>
      <c r="Y103" s="85"/>
      <c r="Z103" s="85"/>
    </row>
    <row r="104" spans="1:26" ht="15" customHeight="1">
      <c r="A104" s="85"/>
      <c r="B104" s="85"/>
      <c r="C104" s="85"/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  <c r="U104" s="85"/>
      <c r="V104" s="85"/>
      <c r="W104" s="85"/>
      <c r="X104" s="85"/>
      <c r="Y104" s="85"/>
      <c r="Z104" s="85"/>
    </row>
    <row r="105" spans="1:26" ht="15" customHeight="1">
      <c r="A105" s="85"/>
      <c r="B105" s="85"/>
      <c r="C105" s="85"/>
      <c r="D105" s="85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85"/>
      <c r="W105" s="85"/>
      <c r="X105" s="85"/>
      <c r="Y105" s="85"/>
      <c r="Z105" s="85"/>
    </row>
    <row r="106" spans="1:26" ht="15" customHeight="1">
      <c r="A106" s="85"/>
      <c r="B106" s="85"/>
      <c r="C106" s="85"/>
      <c r="D106" s="85"/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  <c r="Y106" s="85"/>
      <c r="Z106" s="85"/>
    </row>
    <row r="107" spans="1:26" ht="15" customHeight="1">
      <c r="A107" s="85"/>
      <c r="B107" s="85"/>
      <c r="C107" s="85"/>
      <c r="D107" s="85"/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U107" s="85"/>
      <c r="V107" s="85"/>
      <c r="W107" s="85"/>
      <c r="X107" s="85"/>
      <c r="Y107" s="85"/>
      <c r="Z107" s="85"/>
    </row>
    <row r="108" spans="1:26" ht="15" customHeight="1">
      <c r="A108" s="85"/>
      <c r="B108" s="85"/>
      <c r="C108" s="85"/>
      <c r="D108" s="85"/>
      <c r="E108" s="85"/>
      <c r="F108" s="85"/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X108" s="85"/>
      <c r="Y108" s="85"/>
      <c r="Z108" s="85"/>
    </row>
    <row r="109" spans="1:26" ht="15" customHeight="1">
      <c r="A109" s="85"/>
      <c r="B109" s="85"/>
      <c r="C109" s="85"/>
      <c r="D109" s="85"/>
      <c r="E109" s="85"/>
      <c r="F109" s="85"/>
      <c r="G109" s="85"/>
      <c r="H109" s="85"/>
      <c r="I109" s="85"/>
      <c r="J109" s="85"/>
      <c r="K109" s="85"/>
      <c r="L109" s="85"/>
      <c r="M109" s="85"/>
      <c r="N109" s="85"/>
      <c r="O109" s="85"/>
      <c r="P109" s="85"/>
      <c r="Q109" s="85"/>
      <c r="R109" s="85"/>
      <c r="S109" s="85"/>
      <c r="T109" s="85"/>
      <c r="U109" s="85"/>
      <c r="V109" s="85"/>
      <c r="W109" s="85"/>
      <c r="X109" s="85"/>
      <c r="Y109" s="85"/>
      <c r="Z109" s="85"/>
    </row>
    <row r="110" spans="1:26" ht="15" customHeight="1">
      <c r="A110" s="85"/>
      <c r="B110" s="85"/>
      <c r="C110" s="85"/>
      <c r="D110" s="85"/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85"/>
      <c r="W110" s="85"/>
      <c r="X110" s="85"/>
      <c r="Y110" s="85"/>
      <c r="Z110" s="85"/>
    </row>
    <row r="111" spans="1:26" ht="15" customHeight="1">
      <c r="A111" s="85"/>
      <c r="B111" s="85"/>
      <c r="C111" s="85"/>
      <c r="D111" s="85"/>
      <c r="E111" s="85"/>
      <c r="F111" s="85"/>
      <c r="G111" s="85"/>
      <c r="H111" s="85"/>
      <c r="I111" s="85"/>
      <c r="J111" s="85"/>
      <c r="K111" s="85"/>
      <c r="L111" s="85"/>
      <c r="M111" s="85"/>
      <c r="N111" s="85"/>
      <c r="O111" s="85"/>
      <c r="P111" s="85"/>
      <c r="Q111" s="85"/>
      <c r="R111" s="85"/>
      <c r="S111" s="85"/>
      <c r="T111" s="85"/>
      <c r="U111" s="85"/>
      <c r="V111" s="85"/>
      <c r="W111" s="85"/>
      <c r="X111" s="85"/>
      <c r="Y111" s="85"/>
      <c r="Z111" s="85"/>
    </row>
    <row r="112" spans="1:26" ht="15" customHeight="1">
      <c r="A112" s="85"/>
      <c r="B112" s="85"/>
      <c r="C112" s="85"/>
      <c r="D112" s="85"/>
      <c r="E112" s="85"/>
      <c r="F112" s="85"/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 s="85"/>
      <c r="R112" s="85"/>
      <c r="S112" s="85"/>
      <c r="T112" s="85"/>
      <c r="U112" s="85"/>
      <c r="V112" s="85"/>
      <c r="W112" s="85"/>
      <c r="X112" s="85"/>
      <c r="Y112" s="85"/>
      <c r="Z112" s="85"/>
    </row>
    <row r="113" spans="1:26" ht="15" customHeight="1">
      <c r="A113" s="85"/>
      <c r="B113" s="85"/>
      <c r="C113" s="85"/>
      <c r="D113" s="85"/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85"/>
      <c r="V113" s="85"/>
      <c r="W113" s="85"/>
      <c r="X113" s="85"/>
      <c r="Y113" s="85"/>
      <c r="Z113" s="85"/>
    </row>
    <row r="114" spans="1:26" ht="15" customHeight="1">
      <c r="A114" s="85"/>
      <c r="B114" s="85"/>
      <c r="C114" s="85"/>
      <c r="D114" s="85"/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  <c r="R114" s="85"/>
      <c r="S114" s="85"/>
      <c r="T114" s="85"/>
      <c r="U114" s="85"/>
      <c r="V114" s="85"/>
      <c r="W114" s="85"/>
      <c r="X114" s="85"/>
      <c r="Y114" s="85"/>
      <c r="Z114" s="85"/>
    </row>
    <row r="115" spans="1:26" ht="15" customHeight="1">
      <c r="A115" s="85"/>
      <c r="B115" s="85"/>
      <c r="C115" s="85"/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  <c r="R115" s="85"/>
      <c r="S115" s="85"/>
      <c r="T115" s="85"/>
      <c r="U115" s="85"/>
      <c r="V115" s="85"/>
      <c r="W115" s="85"/>
      <c r="X115" s="85"/>
      <c r="Y115" s="85"/>
      <c r="Z115" s="85"/>
    </row>
    <row r="116" spans="1:26" ht="15" customHeight="1">
      <c r="A116" s="85"/>
      <c r="B116" s="85"/>
      <c r="C116" s="85"/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U116" s="85"/>
      <c r="V116" s="85"/>
      <c r="W116" s="85"/>
      <c r="X116" s="85"/>
      <c r="Y116" s="85"/>
      <c r="Z116" s="85"/>
    </row>
    <row r="117" spans="1:26" ht="15" customHeight="1">
      <c r="A117" s="85"/>
      <c r="B117" s="85"/>
      <c r="C117" s="85"/>
      <c r="D117" s="85"/>
      <c r="E117" s="85"/>
      <c r="F117" s="85"/>
      <c r="G117" s="85"/>
      <c r="H117" s="85"/>
      <c r="I117" s="85"/>
      <c r="J117" s="85"/>
      <c r="K117" s="85"/>
      <c r="L117" s="85"/>
      <c r="M117" s="85"/>
      <c r="N117" s="85"/>
      <c r="O117" s="85"/>
      <c r="P117" s="85"/>
      <c r="Q117" s="85"/>
      <c r="R117" s="85"/>
      <c r="S117" s="85"/>
      <c r="T117" s="85"/>
      <c r="U117" s="85"/>
      <c r="V117" s="85"/>
      <c r="W117" s="85"/>
      <c r="X117" s="85"/>
      <c r="Y117" s="85"/>
      <c r="Z117" s="85"/>
    </row>
    <row r="118" spans="1:26" ht="15" customHeight="1">
      <c r="A118" s="85"/>
      <c r="B118" s="85"/>
      <c r="C118" s="85"/>
      <c r="D118" s="85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5"/>
      <c r="Z118" s="85"/>
    </row>
    <row r="119" spans="1:26" ht="15" customHeight="1">
      <c r="A119" s="85"/>
      <c r="B119" s="85"/>
      <c r="C119" s="85"/>
      <c r="D119" s="85"/>
      <c r="E119" s="85"/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  <c r="V119" s="85"/>
      <c r="W119" s="85"/>
      <c r="X119" s="85"/>
      <c r="Y119" s="85"/>
      <c r="Z119" s="85"/>
    </row>
    <row r="120" spans="1:26" ht="15" customHeight="1">
      <c r="A120" s="85"/>
      <c r="B120" s="85"/>
      <c r="C120" s="85"/>
      <c r="D120" s="85"/>
      <c r="E120" s="85"/>
      <c r="F120" s="85"/>
      <c r="G120" s="85"/>
      <c r="H120" s="85"/>
      <c r="I120" s="85"/>
      <c r="J120" s="85"/>
      <c r="K120" s="85"/>
      <c r="L120" s="85"/>
      <c r="M120" s="85"/>
      <c r="N120" s="85"/>
      <c r="O120" s="85"/>
      <c r="P120" s="85"/>
      <c r="Q120" s="85"/>
      <c r="R120" s="85"/>
      <c r="S120" s="85"/>
      <c r="T120" s="85"/>
      <c r="U120" s="85"/>
      <c r="V120" s="85"/>
      <c r="W120" s="85"/>
      <c r="X120" s="85"/>
      <c r="Y120" s="85"/>
      <c r="Z120" s="85"/>
    </row>
    <row r="121" spans="1:26" ht="15" customHeight="1">
      <c r="A121" s="85"/>
      <c r="B121" s="85"/>
      <c r="C121" s="85"/>
      <c r="D121" s="85"/>
      <c r="E121" s="85"/>
      <c r="F121" s="85"/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85"/>
      <c r="R121" s="85"/>
      <c r="S121" s="85"/>
      <c r="T121" s="85"/>
      <c r="U121" s="85"/>
      <c r="V121" s="85"/>
      <c r="W121" s="85"/>
      <c r="X121" s="85"/>
      <c r="Y121" s="85"/>
      <c r="Z121" s="85"/>
    </row>
    <row r="122" spans="1:26" ht="15" customHeight="1">
      <c r="A122" s="85"/>
      <c r="B122" s="85"/>
      <c r="C122" s="85"/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85"/>
      <c r="S122" s="85"/>
      <c r="T122" s="85"/>
      <c r="U122" s="85"/>
      <c r="V122" s="85"/>
      <c r="W122" s="85"/>
      <c r="X122" s="85"/>
      <c r="Y122" s="85"/>
      <c r="Z122" s="85"/>
    </row>
    <row r="123" spans="1:26" ht="15" customHeight="1">
      <c r="A123" s="85"/>
      <c r="B123" s="85"/>
      <c r="C123" s="85"/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  <c r="R123" s="85"/>
      <c r="S123" s="85"/>
      <c r="T123" s="85"/>
      <c r="U123" s="85"/>
      <c r="V123" s="85"/>
      <c r="W123" s="85"/>
      <c r="X123" s="85"/>
      <c r="Y123" s="85"/>
      <c r="Z123" s="85"/>
    </row>
    <row r="124" spans="1:26" ht="15" customHeight="1">
      <c r="A124" s="85"/>
      <c r="B124" s="85"/>
      <c r="C124" s="85"/>
      <c r="D124" s="85"/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  <c r="R124" s="85"/>
      <c r="S124" s="85"/>
      <c r="T124" s="85"/>
      <c r="U124" s="85"/>
      <c r="V124" s="85"/>
      <c r="W124" s="85"/>
      <c r="X124" s="85"/>
      <c r="Y124" s="85"/>
      <c r="Z124" s="85"/>
    </row>
    <row r="125" spans="1:26" ht="15" customHeight="1">
      <c r="A125" s="85"/>
      <c r="B125" s="85"/>
      <c r="C125" s="85"/>
      <c r="D125" s="85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85"/>
      <c r="R125" s="85"/>
      <c r="S125" s="85"/>
      <c r="T125" s="85"/>
      <c r="U125" s="85"/>
      <c r="V125" s="85"/>
      <c r="W125" s="85"/>
      <c r="X125" s="85"/>
      <c r="Y125" s="85"/>
      <c r="Z125" s="85"/>
    </row>
    <row r="126" spans="1:26" ht="15" customHeight="1">
      <c r="A126" s="85"/>
      <c r="B126" s="85"/>
      <c r="C126" s="85"/>
      <c r="D126" s="85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  <c r="R126" s="85"/>
      <c r="S126" s="85"/>
      <c r="T126" s="85"/>
      <c r="U126" s="85"/>
      <c r="V126" s="85"/>
      <c r="W126" s="85"/>
      <c r="X126" s="85"/>
      <c r="Y126" s="85"/>
      <c r="Z126" s="85"/>
    </row>
    <row r="127" spans="1:26" ht="15" customHeight="1">
      <c r="A127" s="85"/>
      <c r="B127" s="85"/>
      <c r="C127" s="85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5"/>
      <c r="W127" s="85"/>
      <c r="X127" s="85"/>
      <c r="Y127" s="85"/>
      <c r="Z127" s="85"/>
    </row>
    <row r="128" spans="1:26" ht="15" customHeight="1">
      <c r="A128" s="85"/>
      <c r="B128" s="85"/>
      <c r="C128" s="85"/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85"/>
      <c r="S128" s="85"/>
      <c r="T128" s="85"/>
      <c r="U128" s="85"/>
      <c r="V128" s="85"/>
      <c r="W128" s="85"/>
      <c r="X128" s="85"/>
      <c r="Y128" s="85"/>
      <c r="Z128" s="85"/>
    </row>
    <row r="129" spans="1:26" ht="15" customHeight="1">
      <c r="A129" s="85"/>
      <c r="B129" s="85"/>
      <c r="C129" s="85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  <c r="U129" s="85"/>
      <c r="V129" s="85"/>
      <c r="W129" s="85"/>
      <c r="X129" s="85"/>
      <c r="Y129" s="85"/>
      <c r="Z129" s="85"/>
    </row>
    <row r="130" spans="1:26" ht="15" customHeight="1">
      <c r="A130" s="85"/>
      <c r="B130" s="85"/>
      <c r="C130" s="85"/>
      <c r="D130" s="85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 s="85"/>
      <c r="V130" s="85"/>
      <c r="W130" s="85"/>
      <c r="X130" s="85"/>
      <c r="Y130" s="85"/>
      <c r="Z130" s="85"/>
    </row>
    <row r="131" spans="1:26" ht="15" customHeight="1">
      <c r="A131" s="85"/>
      <c r="B131" s="85"/>
      <c r="C131" s="85"/>
      <c r="D131" s="85"/>
      <c r="E131" s="85"/>
      <c r="F131" s="85"/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85"/>
      <c r="R131" s="85"/>
      <c r="S131" s="85"/>
      <c r="T131" s="85"/>
      <c r="U131" s="85"/>
      <c r="V131" s="85"/>
      <c r="W131" s="85"/>
      <c r="X131" s="85"/>
      <c r="Y131" s="85"/>
      <c r="Z131" s="85"/>
    </row>
    <row r="132" spans="1:26" ht="15" customHeight="1">
      <c r="A132" s="85"/>
      <c r="B132" s="85"/>
      <c r="C132" s="85"/>
      <c r="D132" s="85"/>
      <c r="E132" s="85"/>
      <c r="F132" s="85"/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85"/>
      <c r="R132" s="85"/>
      <c r="S132" s="85"/>
      <c r="T132" s="85"/>
      <c r="U132" s="85"/>
      <c r="V132" s="85"/>
      <c r="W132" s="85"/>
      <c r="X132" s="85"/>
      <c r="Y132" s="85"/>
      <c r="Z132" s="85"/>
    </row>
    <row r="133" spans="1:26" ht="15" customHeight="1">
      <c r="A133" s="85"/>
      <c r="B133" s="85"/>
      <c r="C133" s="85"/>
      <c r="D133" s="85"/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85"/>
      <c r="R133" s="85"/>
      <c r="S133" s="85"/>
      <c r="T133" s="85"/>
      <c r="U133" s="85"/>
      <c r="V133" s="85"/>
      <c r="W133" s="85"/>
      <c r="X133" s="85"/>
      <c r="Y133" s="85"/>
      <c r="Z133" s="85"/>
    </row>
    <row r="134" spans="1:26" ht="15" customHeight="1">
      <c r="A134" s="85"/>
      <c r="B134" s="85"/>
      <c r="C134" s="85"/>
      <c r="D134" s="85"/>
      <c r="E134" s="85"/>
      <c r="F134" s="85"/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  <c r="R134" s="85"/>
      <c r="S134" s="85"/>
      <c r="T134" s="85"/>
      <c r="U134" s="85"/>
      <c r="V134" s="85"/>
      <c r="W134" s="85"/>
      <c r="X134" s="85"/>
      <c r="Y134" s="85"/>
      <c r="Z134" s="85"/>
    </row>
    <row r="135" spans="1:26" ht="15" customHeight="1">
      <c r="A135" s="85"/>
      <c r="B135" s="85"/>
      <c r="C135" s="85"/>
      <c r="D135" s="85"/>
      <c r="E135" s="85"/>
      <c r="F135" s="85"/>
      <c r="G135" s="85"/>
      <c r="H135" s="85"/>
      <c r="I135" s="85"/>
      <c r="J135" s="85"/>
      <c r="K135" s="85"/>
      <c r="L135" s="85"/>
      <c r="M135" s="85"/>
      <c r="N135" s="85"/>
      <c r="O135" s="85"/>
      <c r="P135" s="85"/>
      <c r="Q135" s="85"/>
      <c r="R135" s="85"/>
      <c r="S135" s="85"/>
      <c r="T135" s="85"/>
      <c r="U135" s="85"/>
      <c r="V135" s="85"/>
      <c r="W135" s="85"/>
      <c r="X135" s="85"/>
      <c r="Y135" s="85"/>
      <c r="Z135" s="85"/>
    </row>
    <row r="136" spans="1:26" ht="15" customHeight="1">
      <c r="A136" s="85"/>
      <c r="B136" s="85"/>
      <c r="C136" s="85"/>
      <c r="D136" s="85"/>
      <c r="E136" s="85"/>
      <c r="F136" s="85"/>
      <c r="G136" s="85"/>
      <c r="H136" s="85"/>
      <c r="I136" s="85"/>
      <c r="J136" s="85"/>
      <c r="K136" s="85"/>
      <c r="L136" s="85"/>
      <c r="M136" s="85"/>
      <c r="N136" s="85"/>
      <c r="O136" s="85"/>
      <c r="P136" s="85"/>
      <c r="Q136" s="85"/>
      <c r="R136" s="85"/>
      <c r="S136" s="85"/>
      <c r="T136" s="85"/>
      <c r="U136" s="85"/>
      <c r="V136" s="85"/>
      <c r="W136" s="85"/>
      <c r="X136" s="85"/>
      <c r="Y136" s="85"/>
      <c r="Z136" s="85"/>
    </row>
    <row r="137" spans="1:26" ht="15" customHeight="1">
      <c r="A137" s="85"/>
      <c r="B137" s="85"/>
      <c r="C137" s="85"/>
      <c r="D137" s="85"/>
      <c r="E137" s="85"/>
      <c r="F137" s="85"/>
      <c r="G137" s="85"/>
      <c r="H137" s="85"/>
      <c r="I137" s="85"/>
      <c r="J137" s="85"/>
      <c r="K137" s="85"/>
      <c r="L137" s="85"/>
      <c r="M137" s="85"/>
      <c r="N137" s="85"/>
      <c r="O137" s="85"/>
      <c r="P137" s="85"/>
      <c r="Q137" s="85"/>
      <c r="R137" s="85"/>
      <c r="S137" s="85"/>
      <c r="T137" s="85"/>
      <c r="U137" s="85"/>
      <c r="V137" s="85"/>
      <c r="W137" s="85"/>
      <c r="X137" s="85"/>
      <c r="Y137" s="85"/>
      <c r="Z137" s="85"/>
    </row>
    <row r="138" spans="1:26" ht="15" customHeight="1">
      <c r="A138" s="85"/>
      <c r="B138" s="85"/>
      <c r="C138" s="85"/>
      <c r="D138" s="85"/>
      <c r="E138" s="85"/>
      <c r="F138" s="85"/>
      <c r="G138" s="85"/>
      <c r="H138" s="85"/>
      <c r="I138" s="85"/>
      <c r="J138" s="85"/>
      <c r="K138" s="85"/>
      <c r="L138" s="85"/>
      <c r="M138" s="85"/>
      <c r="N138" s="85"/>
      <c r="O138" s="85"/>
      <c r="P138" s="85"/>
      <c r="Q138" s="85"/>
      <c r="R138" s="85"/>
      <c r="S138" s="85"/>
      <c r="T138" s="85"/>
      <c r="U138" s="85"/>
      <c r="V138" s="85"/>
      <c r="W138" s="85"/>
      <c r="X138" s="85"/>
      <c r="Y138" s="85"/>
      <c r="Z138" s="85"/>
    </row>
    <row r="139" spans="1:26" ht="15" customHeight="1">
      <c r="A139" s="85"/>
      <c r="B139" s="85"/>
      <c r="C139" s="85"/>
      <c r="D139" s="85"/>
      <c r="E139" s="85"/>
      <c r="F139" s="85"/>
      <c r="G139" s="85"/>
      <c r="H139" s="85"/>
      <c r="I139" s="85"/>
      <c r="J139" s="85"/>
      <c r="K139" s="85"/>
      <c r="L139" s="85"/>
      <c r="M139" s="85"/>
      <c r="N139" s="85"/>
      <c r="O139" s="85"/>
      <c r="P139" s="85"/>
      <c r="Q139" s="85"/>
      <c r="R139" s="85"/>
      <c r="S139" s="85"/>
      <c r="T139" s="85"/>
      <c r="U139" s="85"/>
      <c r="V139" s="85"/>
      <c r="W139" s="85"/>
      <c r="X139" s="85"/>
      <c r="Y139" s="85"/>
      <c r="Z139" s="85"/>
    </row>
    <row r="140" spans="1:26" ht="15" customHeight="1">
      <c r="A140" s="85"/>
      <c r="B140" s="85"/>
      <c r="C140" s="85"/>
      <c r="D140" s="85"/>
      <c r="E140" s="85"/>
      <c r="F140" s="85"/>
      <c r="G140" s="85"/>
      <c r="H140" s="85"/>
      <c r="I140" s="85"/>
      <c r="J140" s="85"/>
      <c r="K140" s="85"/>
      <c r="L140" s="85"/>
      <c r="M140" s="85"/>
      <c r="N140" s="85"/>
      <c r="O140" s="85"/>
      <c r="P140" s="85"/>
      <c r="Q140" s="85"/>
      <c r="R140" s="85"/>
      <c r="S140" s="85"/>
      <c r="T140" s="85"/>
      <c r="U140" s="85"/>
      <c r="V140" s="85"/>
      <c r="W140" s="85"/>
      <c r="X140" s="85"/>
      <c r="Y140" s="85"/>
      <c r="Z140" s="85"/>
    </row>
    <row r="141" spans="1:26" ht="15" customHeight="1">
      <c r="A141" s="85"/>
      <c r="B141" s="85"/>
      <c r="C141" s="85"/>
      <c r="D141" s="85"/>
      <c r="E141" s="85"/>
      <c r="F141" s="85"/>
      <c r="G141" s="85"/>
      <c r="H141" s="85"/>
      <c r="I141" s="85"/>
      <c r="J141" s="85"/>
      <c r="K141" s="85"/>
      <c r="L141" s="85"/>
      <c r="M141" s="85"/>
      <c r="N141" s="85"/>
      <c r="O141" s="85"/>
      <c r="P141" s="85"/>
      <c r="Q141" s="85"/>
      <c r="R141" s="85"/>
      <c r="S141" s="85"/>
      <c r="T141" s="85"/>
      <c r="U141" s="85"/>
      <c r="V141" s="85"/>
      <c r="W141" s="85"/>
      <c r="X141" s="85"/>
      <c r="Y141" s="85"/>
      <c r="Z141" s="85"/>
    </row>
    <row r="142" spans="1:26" ht="15" customHeight="1">
      <c r="A142" s="85"/>
      <c r="B142" s="85"/>
      <c r="C142" s="85"/>
      <c r="D142" s="85"/>
      <c r="E142" s="85"/>
      <c r="F142" s="85"/>
      <c r="G142" s="85"/>
      <c r="H142" s="85"/>
      <c r="I142" s="85"/>
      <c r="J142" s="85"/>
      <c r="K142" s="85"/>
      <c r="L142" s="85"/>
      <c r="M142" s="85"/>
      <c r="N142" s="85"/>
      <c r="O142" s="85"/>
      <c r="P142" s="85"/>
      <c r="Q142" s="85"/>
      <c r="R142" s="85"/>
      <c r="S142" s="85"/>
      <c r="T142" s="85"/>
      <c r="U142" s="85"/>
      <c r="V142" s="85"/>
      <c r="W142" s="85"/>
      <c r="X142" s="85"/>
      <c r="Y142" s="85"/>
      <c r="Z142" s="85"/>
    </row>
    <row r="143" spans="1:26" ht="15" customHeight="1">
      <c r="A143" s="85"/>
      <c r="B143" s="85"/>
      <c r="C143" s="85"/>
      <c r="D143" s="85"/>
      <c r="E143" s="85"/>
      <c r="F143" s="85"/>
      <c r="G143" s="85"/>
      <c r="H143" s="85"/>
      <c r="I143" s="85"/>
      <c r="J143" s="85"/>
      <c r="K143" s="85"/>
      <c r="L143" s="85"/>
      <c r="M143" s="85"/>
      <c r="N143" s="85"/>
      <c r="O143" s="85"/>
      <c r="P143" s="85"/>
      <c r="Q143" s="85"/>
      <c r="R143" s="85"/>
      <c r="S143" s="85"/>
      <c r="T143" s="85"/>
      <c r="U143" s="85"/>
      <c r="V143" s="85"/>
      <c r="W143" s="85"/>
      <c r="X143" s="85"/>
      <c r="Y143" s="85"/>
      <c r="Z143" s="85"/>
    </row>
    <row r="144" spans="1:26" ht="15" customHeight="1">
      <c r="A144" s="85"/>
      <c r="B144" s="85"/>
      <c r="C144" s="85"/>
      <c r="D144" s="85"/>
      <c r="E144" s="85"/>
      <c r="F144" s="85"/>
      <c r="G144" s="85"/>
      <c r="H144" s="85"/>
      <c r="I144" s="85"/>
      <c r="J144" s="85"/>
      <c r="K144" s="85"/>
      <c r="L144" s="85"/>
      <c r="M144" s="85"/>
      <c r="N144" s="85"/>
      <c r="O144" s="85"/>
      <c r="P144" s="85"/>
      <c r="Q144" s="85"/>
      <c r="R144" s="85"/>
      <c r="S144" s="85"/>
      <c r="T144" s="85"/>
      <c r="U144" s="85"/>
      <c r="V144" s="85"/>
      <c r="W144" s="85"/>
      <c r="X144" s="85"/>
      <c r="Y144" s="85"/>
      <c r="Z144" s="85"/>
    </row>
    <row r="145" spans="1:26" ht="15" customHeight="1">
      <c r="A145" s="85"/>
      <c r="B145" s="85"/>
      <c r="C145" s="85"/>
      <c r="D145" s="85"/>
      <c r="E145" s="85"/>
      <c r="F145" s="85"/>
      <c r="G145" s="85"/>
      <c r="H145" s="85"/>
      <c r="I145" s="85"/>
      <c r="J145" s="85"/>
      <c r="K145" s="85"/>
      <c r="L145" s="85"/>
      <c r="M145" s="85"/>
      <c r="N145" s="85"/>
      <c r="O145" s="85"/>
      <c r="P145" s="85"/>
      <c r="Q145" s="85"/>
      <c r="R145" s="85"/>
      <c r="S145" s="85"/>
      <c r="T145" s="85"/>
      <c r="U145" s="85"/>
      <c r="V145" s="85"/>
      <c r="W145" s="85"/>
      <c r="X145" s="85"/>
      <c r="Y145" s="85"/>
      <c r="Z145" s="85"/>
    </row>
    <row r="146" spans="1:26" ht="15" customHeight="1">
      <c r="A146" s="85"/>
      <c r="B146" s="85"/>
      <c r="C146" s="85"/>
      <c r="D146" s="85"/>
      <c r="E146" s="85"/>
      <c r="F146" s="85"/>
      <c r="G146" s="85"/>
      <c r="H146" s="85"/>
      <c r="I146" s="85"/>
      <c r="J146" s="85"/>
      <c r="K146" s="85"/>
      <c r="L146" s="85"/>
      <c r="M146" s="85"/>
      <c r="N146" s="85"/>
      <c r="O146" s="85"/>
      <c r="P146" s="85"/>
      <c r="Q146" s="85"/>
      <c r="R146" s="85"/>
      <c r="S146" s="85"/>
      <c r="T146" s="85"/>
      <c r="U146" s="85"/>
      <c r="V146" s="85"/>
      <c r="W146" s="85"/>
      <c r="X146" s="85"/>
      <c r="Y146" s="85"/>
      <c r="Z146" s="85"/>
    </row>
    <row r="147" spans="1:26" ht="15" customHeight="1">
      <c r="A147" s="85"/>
      <c r="B147" s="85"/>
      <c r="C147" s="85"/>
      <c r="D147" s="85"/>
      <c r="E147" s="85"/>
      <c r="F147" s="85"/>
      <c r="G147" s="85"/>
      <c r="H147" s="85"/>
      <c r="I147" s="85"/>
      <c r="J147" s="85"/>
      <c r="K147" s="85"/>
      <c r="L147" s="85"/>
      <c r="M147" s="85"/>
      <c r="N147" s="85"/>
      <c r="O147" s="85"/>
      <c r="P147" s="85"/>
      <c r="Q147" s="85"/>
      <c r="R147" s="85"/>
      <c r="S147" s="85"/>
      <c r="T147" s="85"/>
      <c r="U147" s="85"/>
      <c r="V147" s="85"/>
      <c r="W147" s="85"/>
      <c r="X147" s="85"/>
      <c r="Y147" s="85"/>
      <c r="Z147" s="85"/>
    </row>
    <row r="148" spans="1:26" ht="15" customHeight="1">
      <c r="A148" s="85"/>
      <c r="B148" s="85"/>
      <c r="C148" s="85"/>
      <c r="D148" s="85"/>
      <c r="E148" s="85"/>
      <c r="F148" s="85"/>
      <c r="G148" s="85"/>
      <c r="H148" s="85"/>
      <c r="I148" s="85"/>
      <c r="J148" s="85"/>
      <c r="K148" s="85"/>
      <c r="L148" s="85"/>
      <c r="M148" s="85"/>
      <c r="N148" s="85"/>
      <c r="O148" s="85"/>
      <c r="P148" s="85"/>
      <c r="Q148" s="85"/>
      <c r="R148" s="85"/>
      <c r="S148" s="85"/>
      <c r="T148" s="85"/>
      <c r="U148" s="85"/>
      <c r="V148" s="85"/>
      <c r="W148" s="85"/>
      <c r="X148" s="85"/>
      <c r="Y148" s="85"/>
      <c r="Z148" s="85"/>
    </row>
    <row r="149" spans="1:26" ht="15" customHeight="1">
      <c r="A149" s="85"/>
      <c r="B149" s="85"/>
      <c r="C149" s="85"/>
      <c r="D149" s="85"/>
      <c r="E149" s="85"/>
      <c r="F149" s="85"/>
      <c r="G149" s="85"/>
      <c r="H149" s="85"/>
      <c r="I149" s="85"/>
      <c r="J149" s="85"/>
      <c r="K149" s="85"/>
      <c r="L149" s="85"/>
      <c r="M149" s="85"/>
      <c r="N149" s="85"/>
      <c r="O149" s="85"/>
      <c r="P149" s="85"/>
      <c r="Q149" s="85"/>
      <c r="R149" s="85"/>
      <c r="S149" s="85"/>
      <c r="T149" s="85"/>
      <c r="U149" s="85"/>
      <c r="V149" s="85"/>
      <c r="W149" s="85"/>
      <c r="X149" s="85"/>
      <c r="Y149" s="85"/>
      <c r="Z149" s="85"/>
    </row>
    <row r="150" spans="1:26" ht="15" customHeight="1">
      <c r="A150" s="85"/>
      <c r="B150" s="85"/>
      <c r="C150" s="85"/>
      <c r="D150" s="85"/>
      <c r="E150" s="85"/>
      <c r="F150" s="85"/>
      <c r="G150" s="85"/>
      <c r="H150" s="85"/>
      <c r="I150" s="85"/>
      <c r="J150" s="85"/>
      <c r="K150" s="85"/>
      <c r="L150" s="85"/>
      <c r="M150" s="85"/>
      <c r="N150" s="85"/>
      <c r="O150" s="85"/>
      <c r="P150" s="85"/>
      <c r="Q150" s="85"/>
      <c r="R150" s="85"/>
      <c r="S150" s="85"/>
      <c r="T150" s="85"/>
      <c r="U150" s="85"/>
      <c r="V150" s="85"/>
      <c r="W150" s="85"/>
      <c r="X150" s="85"/>
      <c r="Y150" s="85"/>
      <c r="Z150" s="85"/>
    </row>
    <row r="151" spans="1:26" ht="15" customHeight="1">
      <c r="A151" s="85"/>
      <c r="B151" s="85"/>
      <c r="C151" s="85"/>
      <c r="D151" s="85"/>
      <c r="E151" s="85"/>
      <c r="F151" s="85"/>
      <c r="G151" s="85"/>
      <c r="H151" s="85"/>
      <c r="I151" s="85"/>
      <c r="J151" s="85"/>
      <c r="K151" s="85"/>
      <c r="L151" s="85"/>
      <c r="M151" s="85"/>
      <c r="N151" s="85"/>
      <c r="O151" s="85"/>
      <c r="P151" s="85"/>
      <c r="Q151" s="85"/>
      <c r="R151" s="85"/>
      <c r="S151" s="85"/>
      <c r="T151" s="85"/>
      <c r="U151" s="85"/>
      <c r="V151" s="85"/>
      <c r="W151" s="85"/>
      <c r="X151" s="85"/>
      <c r="Y151" s="85"/>
      <c r="Z151" s="85"/>
    </row>
    <row r="152" spans="1:26" ht="15" customHeight="1">
      <c r="A152" s="85"/>
      <c r="B152" s="85"/>
      <c r="C152" s="85"/>
      <c r="D152" s="85"/>
      <c r="E152" s="85"/>
      <c r="F152" s="85"/>
      <c r="G152" s="85"/>
      <c r="H152" s="85"/>
      <c r="I152" s="85"/>
      <c r="J152" s="85"/>
      <c r="K152" s="85"/>
      <c r="L152" s="85"/>
      <c r="M152" s="85"/>
      <c r="N152" s="85"/>
      <c r="O152" s="85"/>
      <c r="P152" s="85"/>
      <c r="Q152" s="85"/>
      <c r="R152" s="85"/>
      <c r="S152" s="85"/>
      <c r="T152" s="85"/>
      <c r="U152" s="85"/>
      <c r="V152" s="85"/>
      <c r="W152" s="85"/>
      <c r="X152" s="85"/>
      <c r="Y152" s="85"/>
      <c r="Z152" s="85"/>
    </row>
    <row r="153" spans="1:26" ht="15" customHeight="1">
      <c r="A153" s="85"/>
      <c r="B153" s="85"/>
      <c r="C153" s="85"/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N153" s="85"/>
      <c r="O153" s="85"/>
      <c r="P153" s="85"/>
      <c r="Q153" s="85"/>
      <c r="R153" s="85"/>
      <c r="S153" s="85"/>
      <c r="T153" s="85"/>
      <c r="U153" s="85"/>
      <c r="V153" s="85"/>
      <c r="W153" s="85"/>
      <c r="X153" s="85"/>
      <c r="Y153" s="85"/>
      <c r="Z153" s="85"/>
    </row>
    <row r="154" spans="1:26" ht="15" customHeight="1">
      <c r="A154" s="85"/>
      <c r="B154" s="85"/>
      <c r="C154" s="85"/>
      <c r="D154" s="85"/>
      <c r="E154" s="85"/>
      <c r="F154" s="85"/>
      <c r="G154" s="85"/>
      <c r="H154" s="85"/>
      <c r="I154" s="85"/>
      <c r="J154" s="85"/>
      <c r="K154" s="85"/>
      <c r="L154" s="85"/>
      <c r="M154" s="85"/>
      <c r="N154" s="85"/>
      <c r="O154" s="85"/>
      <c r="P154" s="85"/>
      <c r="Q154" s="85"/>
      <c r="R154" s="85"/>
      <c r="S154" s="85"/>
      <c r="T154" s="85"/>
      <c r="U154" s="85"/>
      <c r="V154" s="85"/>
      <c r="W154" s="85"/>
      <c r="X154" s="85"/>
      <c r="Y154" s="85"/>
      <c r="Z154" s="85"/>
    </row>
    <row r="155" spans="1:26" ht="15" customHeight="1">
      <c r="A155" s="85"/>
      <c r="B155" s="85"/>
      <c r="C155" s="85"/>
      <c r="D155" s="85"/>
      <c r="E155" s="85"/>
      <c r="F155" s="85"/>
      <c r="G155" s="85"/>
      <c r="H155" s="85"/>
      <c r="I155" s="85"/>
      <c r="J155" s="85"/>
      <c r="K155" s="85"/>
      <c r="L155" s="85"/>
      <c r="M155" s="85"/>
      <c r="N155" s="85"/>
      <c r="O155" s="85"/>
      <c r="P155" s="85"/>
      <c r="Q155" s="85"/>
      <c r="R155" s="85"/>
      <c r="S155" s="85"/>
      <c r="T155" s="85"/>
      <c r="U155" s="85"/>
      <c r="V155" s="85"/>
      <c r="W155" s="85"/>
      <c r="X155" s="85"/>
      <c r="Y155" s="85"/>
      <c r="Z155" s="85"/>
    </row>
    <row r="156" spans="1:26" ht="15" customHeight="1">
      <c r="A156" s="85"/>
      <c r="B156" s="85"/>
      <c r="C156" s="85"/>
      <c r="D156" s="85"/>
      <c r="E156" s="85"/>
      <c r="F156" s="85"/>
      <c r="G156" s="85"/>
      <c r="H156" s="85"/>
      <c r="I156" s="85"/>
      <c r="J156" s="85"/>
      <c r="K156" s="85"/>
      <c r="L156" s="85"/>
      <c r="M156" s="85"/>
      <c r="N156" s="85"/>
      <c r="O156" s="85"/>
      <c r="P156" s="85"/>
      <c r="Q156" s="85"/>
      <c r="R156" s="85"/>
      <c r="S156" s="85"/>
      <c r="T156" s="85"/>
      <c r="U156" s="85"/>
      <c r="V156" s="85"/>
      <c r="W156" s="85"/>
      <c r="X156" s="85"/>
      <c r="Y156" s="85"/>
      <c r="Z156" s="85"/>
    </row>
    <row r="157" spans="1:26" ht="15" customHeight="1">
      <c r="A157" s="85"/>
      <c r="B157" s="85"/>
      <c r="C157" s="85"/>
      <c r="D157" s="85"/>
      <c r="E157" s="85"/>
      <c r="F157" s="85"/>
      <c r="G157" s="85"/>
      <c r="H157" s="85"/>
      <c r="I157" s="85"/>
      <c r="J157" s="85"/>
      <c r="K157" s="85"/>
      <c r="L157" s="85"/>
      <c r="M157" s="85"/>
      <c r="N157" s="85"/>
      <c r="O157" s="85"/>
      <c r="P157" s="85"/>
      <c r="Q157" s="85"/>
      <c r="R157" s="85"/>
      <c r="S157" s="85"/>
      <c r="T157" s="85"/>
      <c r="U157" s="85"/>
      <c r="V157" s="85"/>
      <c r="W157" s="85"/>
      <c r="X157" s="85"/>
      <c r="Y157" s="85"/>
      <c r="Z157" s="85"/>
    </row>
    <row r="158" spans="1:26" ht="15" customHeight="1">
      <c r="A158" s="85"/>
      <c r="B158" s="85"/>
      <c r="C158" s="85"/>
      <c r="D158" s="85"/>
      <c r="E158" s="85"/>
      <c r="F158" s="85"/>
      <c r="G158" s="85"/>
      <c r="H158" s="85"/>
      <c r="I158" s="85"/>
      <c r="J158" s="85"/>
      <c r="K158" s="85"/>
      <c r="L158" s="85"/>
      <c r="M158" s="85"/>
      <c r="N158" s="85"/>
      <c r="O158" s="85"/>
      <c r="P158" s="85"/>
      <c r="Q158" s="85"/>
      <c r="R158" s="85"/>
      <c r="S158" s="85"/>
      <c r="T158" s="85"/>
      <c r="U158" s="85"/>
      <c r="V158" s="85"/>
      <c r="W158" s="85"/>
      <c r="X158" s="85"/>
      <c r="Y158" s="85"/>
      <c r="Z158" s="85"/>
    </row>
    <row r="159" spans="1:26" ht="15" customHeight="1">
      <c r="A159" s="85"/>
      <c r="B159" s="85"/>
      <c r="C159" s="85"/>
      <c r="D159" s="85"/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/>
      <c r="P159" s="85"/>
      <c r="Q159" s="85"/>
      <c r="R159" s="85"/>
      <c r="S159" s="85"/>
      <c r="T159" s="85"/>
      <c r="U159" s="85"/>
      <c r="V159" s="85"/>
      <c r="W159" s="85"/>
      <c r="X159" s="85"/>
      <c r="Y159" s="85"/>
      <c r="Z159" s="85"/>
    </row>
    <row r="160" spans="1:26" ht="15" customHeight="1">
      <c r="A160" s="85"/>
      <c r="B160" s="85"/>
      <c r="C160" s="85"/>
      <c r="D160" s="85"/>
      <c r="E160" s="85"/>
      <c r="F160" s="85"/>
      <c r="G160" s="85"/>
      <c r="H160" s="85"/>
      <c r="I160" s="85"/>
      <c r="J160" s="85"/>
      <c r="K160" s="85"/>
      <c r="L160" s="85"/>
      <c r="M160" s="85"/>
      <c r="N160" s="85"/>
      <c r="O160" s="85"/>
      <c r="P160" s="85"/>
      <c r="Q160" s="85"/>
      <c r="R160" s="85"/>
      <c r="S160" s="85"/>
      <c r="T160" s="85"/>
      <c r="U160" s="85"/>
      <c r="V160" s="85"/>
      <c r="W160" s="85"/>
      <c r="X160" s="85"/>
      <c r="Y160" s="85"/>
      <c r="Z160" s="85"/>
    </row>
    <row r="161" spans="1:26" ht="15" customHeight="1">
      <c r="A161" s="85"/>
      <c r="B161" s="85"/>
      <c r="C161" s="85"/>
      <c r="D161" s="85"/>
      <c r="E161" s="85"/>
      <c r="F161" s="85"/>
      <c r="G161" s="85"/>
      <c r="H161" s="85"/>
      <c r="I161" s="85"/>
      <c r="J161" s="85"/>
      <c r="K161" s="85"/>
      <c r="L161" s="85"/>
      <c r="M161" s="85"/>
      <c r="N161" s="85"/>
      <c r="O161" s="85"/>
      <c r="P161" s="85"/>
      <c r="Q161" s="85"/>
      <c r="R161" s="85"/>
      <c r="S161" s="85"/>
      <c r="T161" s="85"/>
      <c r="U161" s="85"/>
      <c r="V161" s="85"/>
      <c r="W161" s="85"/>
      <c r="X161" s="85"/>
      <c r="Y161" s="85"/>
      <c r="Z161" s="85"/>
    </row>
    <row r="162" spans="1:26" ht="15" customHeight="1">
      <c r="A162" s="85"/>
      <c r="B162" s="85"/>
      <c r="C162" s="85"/>
      <c r="D162" s="85"/>
      <c r="E162" s="85"/>
      <c r="F162" s="85"/>
      <c r="G162" s="85"/>
      <c r="H162" s="85"/>
      <c r="I162" s="85"/>
      <c r="J162" s="85"/>
      <c r="K162" s="85"/>
      <c r="L162" s="85"/>
      <c r="M162" s="85"/>
      <c r="N162" s="85"/>
      <c r="O162" s="85"/>
      <c r="P162" s="85"/>
      <c r="Q162" s="85"/>
      <c r="R162" s="85"/>
      <c r="S162" s="85"/>
      <c r="T162" s="85"/>
      <c r="U162" s="85"/>
      <c r="V162" s="85"/>
      <c r="W162" s="85"/>
      <c r="X162" s="85"/>
      <c r="Y162" s="85"/>
      <c r="Z162" s="85"/>
    </row>
    <row r="163" spans="1:26" ht="15" customHeight="1">
      <c r="A163" s="85"/>
      <c r="B163" s="85"/>
      <c r="C163" s="85"/>
      <c r="D163" s="85"/>
      <c r="E163" s="85"/>
      <c r="F163" s="85"/>
      <c r="G163" s="85"/>
      <c r="H163" s="85"/>
      <c r="I163" s="85"/>
      <c r="J163" s="85"/>
      <c r="K163" s="85"/>
      <c r="L163" s="85"/>
      <c r="M163" s="85"/>
      <c r="N163" s="85"/>
      <c r="O163" s="85"/>
      <c r="P163" s="85"/>
      <c r="Q163" s="85"/>
      <c r="R163" s="85"/>
      <c r="S163" s="85"/>
      <c r="T163" s="85"/>
      <c r="U163" s="85"/>
      <c r="V163" s="85"/>
      <c r="W163" s="85"/>
      <c r="X163" s="85"/>
      <c r="Y163" s="85"/>
      <c r="Z163" s="85"/>
    </row>
    <row r="164" spans="1:26" ht="15" customHeight="1">
      <c r="A164" s="85"/>
      <c r="B164" s="85"/>
      <c r="C164" s="85"/>
      <c r="D164" s="85"/>
      <c r="E164" s="85"/>
      <c r="F164" s="85"/>
      <c r="G164" s="85"/>
      <c r="H164" s="85"/>
      <c r="I164" s="85"/>
      <c r="J164" s="85"/>
      <c r="K164" s="85"/>
      <c r="L164" s="85"/>
      <c r="M164" s="85"/>
      <c r="N164" s="85"/>
      <c r="O164" s="85"/>
      <c r="P164" s="85"/>
      <c r="Q164" s="85"/>
      <c r="R164" s="85"/>
      <c r="S164" s="85"/>
      <c r="T164" s="85"/>
      <c r="U164" s="85"/>
      <c r="V164" s="85"/>
      <c r="W164" s="85"/>
      <c r="X164" s="85"/>
      <c r="Y164" s="85"/>
      <c r="Z164" s="85"/>
    </row>
    <row r="165" spans="1:26" ht="15" customHeight="1">
      <c r="A165" s="85"/>
      <c r="B165" s="85"/>
      <c r="C165" s="85"/>
      <c r="D165" s="85"/>
      <c r="E165" s="85"/>
      <c r="F165" s="85"/>
      <c r="G165" s="85"/>
      <c r="H165" s="85"/>
      <c r="I165" s="85"/>
      <c r="J165" s="85"/>
      <c r="K165" s="85"/>
      <c r="L165" s="85"/>
      <c r="M165" s="85"/>
      <c r="N165" s="85"/>
      <c r="O165" s="85"/>
      <c r="P165" s="85"/>
      <c r="Q165" s="85"/>
      <c r="R165" s="85"/>
      <c r="S165" s="85"/>
      <c r="T165" s="85"/>
      <c r="U165" s="85"/>
      <c r="V165" s="85"/>
      <c r="W165" s="85"/>
      <c r="X165" s="85"/>
      <c r="Y165" s="85"/>
      <c r="Z165" s="85"/>
    </row>
    <row r="166" spans="1:26" ht="15" customHeight="1">
      <c r="A166" s="85"/>
      <c r="B166" s="85"/>
      <c r="C166" s="85"/>
      <c r="D166" s="85"/>
      <c r="E166" s="85"/>
      <c r="F166" s="85"/>
      <c r="G166" s="85"/>
      <c r="H166" s="85"/>
      <c r="I166" s="85"/>
      <c r="J166" s="85"/>
      <c r="K166" s="85"/>
      <c r="L166" s="85"/>
      <c r="M166" s="85"/>
      <c r="N166" s="85"/>
      <c r="O166" s="85"/>
      <c r="P166" s="85"/>
      <c r="Q166" s="85"/>
      <c r="R166" s="85"/>
      <c r="S166" s="85"/>
      <c r="T166" s="85"/>
      <c r="U166" s="85"/>
      <c r="V166" s="85"/>
      <c r="W166" s="85"/>
      <c r="X166" s="85"/>
      <c r="Y166" s="85"/>
      <c r="Z166" s="85"/>
    </row>
    <row r="167" spans="1:26" ht="15" customHeight="1">
      <c r="A167" s="85"/>
      <c r="B167" s="85"/>
      <c r="C167" s="85"/>
      <c r="D167" s="85"/>
      <c r="E167" s="85"/>
      <c r="F167" s="85"/>
      <c r="G167" s="85"/>
      <c r="H167" s="85"/>
      <c r="I167" s="85"/>
      <c r="J167" s="85"/>
      <c r="K167" s="85"/>
      <c r="L167" s="85"/>
      <c r="M167" s="85"/>
      <c r="N167" s="85"/>
      <c r="O167" s="85"/>
      <c r="P167" s="85"/>
      <c r="Q167" s="85"/>
      <c r="R167" s="85"/>
      <c r="S167" s="85"/>
      <c r="T167" s="85"/>
      <c r="U167" s="85"/>
      <c r="V167" s="85"/>
      <c r="W167" s="85"/>
      <c r="X167" s="85"/>
      <c r="Y167" s="85"/>
      <c r="Z167" s="85"/>
    </row>
    <row r="168" spans="1:26" ht="15" customHeight="1">
      <c r="A168" s="85"/>
      <c r="B168" s="85"/>
      <c r="C168" s="85"/>
      <c r="D168" s="85"/>
      <c r="E168" s="85"/>
      <c r="F168" s="85"/>
      <c r="G168" s="85"/>
      <c r="H168" s="85"/>
      <c r="I168" s="85"/>
      <c r="J168" s="85"/>
      <c r="K168" s="85"/>
      <c r="L168" s="85"/>
      <c r="M168" s="85"/>
      <c r="N168" s="85"/>
      <c r="O168" s="85"/>
      <c r="P168" s="85"/>
      <c r="Q168" s="85"/>
      <c r="R168" s="85"/>
      <c r="S168" s="85"/>
      <c r="T168" s="85"/>
      <c r="U168" s="85"/>
      <c r="V168" s="85"/>
      <c r="W168" s="85"/>
      <c r="X168" s="85"/>
      <c r="Y168" s="85"/>
      <c r="Z168" s="85"/>
    </row>
    <row r="169" spans="1:26" ht="15" customHeight="1">
      <c r="A169" s="85"/>
      <c r="B169" s="85"/>
      <c r="C169" s="85"/>
      <c r="D169" s="85"/>
      <c r="E169" s="85"/>
      <c r="F169" s="85"/>
      <c r="G169" s="85"/>
      <c r="H169" s="85"/>
      <c r="I169" s="85"/>
      <c r="J169" s="85"/>
      <c r="K169" s="85"/>
      <c r="L169" s="85"/>
      <c r="M169" s="85"/>
      <c r="N169" s="85"/>
      <c r="O169" s="85"/>
      <c r="P169" s="85"/>
      <c r="Q169" s="85"/>
      <c r="R169" s="85"/>
      <c r="S169" s="85"/>
      <c r="T169" s="85"/>
      <c r="U169" s="85"/>
      <c r="V169" s="85"/>
      <c r="W169" s="85"/>
      <c r="X169" s="85"/>
      <c r="Y169" s="85"/>
      <c r="Z169" s="85"/>
    </row>
    <row r="170" spans="1:26" ht="15" customHeight="1">
      <c r="A170" s="85"/>
      <c r="B170" s="85"/>
      <c r="C170" s="85"/>
      <c r="D170" s="85"/>
      <c r="E170" s="85"/>
      <c r="F170" s="85"/>
      <c r="G170" s="85"/>
      <c r="H170" s="85"/>
      <c r="I170" s="85"/>
      <c r="J170" s="85"/>
      <c r="K170" s="85"/>
      <c r="L170" s="85"/>
      <c r="M170" s="85"/>
      <c r="N170" s="85"/>
      <c r="O170" s="85"/>
      <c r="P170" s="85"/>
      <c r="Q170" s="85"/>
      <c r="R170" s="85"/>
      <c r="S170" s="85"/>
      <c r="T170" s="85"/>
      <c r="U170" s="85"/>
      <c r="V170" s="85"/>
      <c r="W170" s="85"/>
      <c r="X170" s="85"/>
      <c r="Y170" s="85"/>
      <c r="Z170" s="85"/>
    </row>
    <row r="171" spans="1:26" ht="15" customHeight="1">
      <c r="A171" s="85"/>
      <c r="B171" s="85"/>
      <c r="C171" s="85"/>
      <c r="D171" s="85"/>
      <c r="E171" s="85"/>
      <c r="F171" s="85"/>
      <c r="G171" s="85"/>
      <c r="H171" s="85"/>
      <c r="I171" s="85"/>
      <c r="J171" s="85"/>
      <c r="K171" s="85"/>
      <c r="L171" s="85"/>
      <c r="M171" s="85"/>
      <c r="N171" s="85"/>
      <c r="O171" s="85"/>
      <c r="P171" s="85"/>
      <c r="Q171" s="85"/>
      <c r="R171" s="85"/>
      <c r="S171" s="85"/>
      <c r="T171" s="85"/>
      <c r="U171" s="85"/>
      <c r="V171" s="85"/>
      <c r="W171" s="85"/>
      <c r="X171" s="85"/>
      <c r="Y171" s="85"/>
      <c r="Z171" s="85"/>
    </row>
    <row r="172" spans="1:26" ht="15" customHeight="1">
      <c r="A172" s="85"/>
      <c r="B172" s="85"/>
      <c r="C172" s="85"/>
      <c r="D172" s="85"/>
      <c r="E172" s="85"/>
      <c r="F172" s="85"/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5"/>
      <c r="R172" s="85"/>
      <c r="S172" s="85"/>
      <c r="T172" s="85"/>
      <c r="U172" s="85"/>
      <c r="V172" s="85"/>
      <c r="W172" s="85"/>
      <c r="X172" s="85"/>
      <c r="Y172" s="85"/>
      <c r="Z172" s="85"/>
    </row>
    <row r="173" spans="1:26" ht="15" customHeight="1">
      <c r="A173" s="85"/>
      <c r="B173" s="85"/>
      <c r="C173" s="85"/>
      <c r="D173" s="85"/>
      <c r="E173" s="85"/>
      <c r="F173" s="85"/>
      <c r="G173" s="85"/>
      <c r="H173" s="85"/>
      <c r="I173" s="85"/>
      <c r="J173" s="85"/>
      <c r="K173" s="85"/>
      <c r="L173" s="85"/>
      <c r="M173" s="85"/>
      <c r="N173" s="85"/>
      <c r="O173" s="85"/>
      <c r="P173" s="85"/>
      <c r="Q173" s="85"/>
      <c r="R173" s="85"/>
      <c r="S173" s="85"/>
      <c r="T173" s="85"/>
      <c r="U173" s="85"/>
      <c r="V173" s="85"/>
      <c r="W173" s="85"/>
      <c r="X173" s="85"/>
      <c r="Y173" s="85"/>
      <c r="Z173" s="85"/>
    </row>
    <row r="174" spans="1:26" ht="15" customHeight="1">
      <c r="A174" s="85"/>
      <c r="B174" s="85"/>
      <c r="C174" s="85"/>
      <c r="D174" s="85"/>
      <c r="E174" s="85"/>
      <c r="F174" s="85"/>
      <c r="G174" s="85"/>
      <c r="H174" s="85"/>
      <c r="I174" s="85"/>
      <c r="J174" s="85"/>
      <c r="K174" s="85"/>
      <c r="L174" s="85"/>
      <c r="M174" s="85"/>
      <c r="N174" s="85"/>
      <c r="O174" s="85"/>
      <c r="P174" s="85"/>
      <c r="Q174" s="85"/>
      <c r="R174" s="85"/>
      <c r="S174" s="85"/>
      <c r="T174" s="85"/>
      <c r="U174" s="85"/>
      <c r="V174" s="85"/>
      <c r="W174" s="85"/>
      <c r="X174" s="85"/>
      <c r="Y174" s="85"/>
      <c r="Z174" s="85"/>
    </row>
    <row r="175" spans="1:26" ht="15" customHeight="1">
      <c r="A175" s="85"/>
      <c r="B175" s="85"/>
      <c r="C175" s="85"/>
      <c r="D175" s="85"/>
      <c r="E175" s="85"/>
      <c r="F175" s="85"/>
      <c r="G175" s="85"/>
      <c r="H175" s="85"/>
      <c r="I175" s="85"/>
      <c r="J175" s="85"/>
      <c r="K175" s="85"/>
      <c r="L175" s="85"/>
      <c r="M175" s="85"/>
      <c r="N175" s="85"/>
      <c r="O175" s="85"/>
      <c r="P175" s="85"/>
      <c r="Q175" s="85"/>
      <c r="R175" s="85"/>
      <c r="S175" s="85"/>
      <c r="T175" s="85"/>
      <c r="U175" s="85"/>
      <c r="V175" s="85"/>
      <c r="W175" s="85"/>
      <c r="X175" s="85"/>
      <c r="Y175" s="85"/>
      <c r="Z175" s="85"/>
    </row>
    <row r="176" spans="1:26" ht="15" customHeight="1">
      <c r="A176" s="85"/>
      <c r="B176" s="85"/>
      <c r="C176" s="85"/>
      <c r="D176" s="85"/>
      <c r="E176" s="85"/>
      <c r="F176" s="85"/>
      <c r="G176" s="85"/>
      <c r="H176" s="85"/>
      <c r="I176" s="85"/>
      <c r="J176" s="85"/>
      <c r="K176" s="85"/>
      <c r="L176" s="85"/>
      <c r="M176" s="85"/>
      <c r="N176" s="85"/>
      <c r="O176" s="85"/>
      <c r="P176" s="85"/>
      <c r="Q176" s="85"/>
      <c r="R176" s="85"/>
      <c r="S176" s="85"/>
      <c r="T176" s="85"/>
      <c r="U176" s="85"/>
      <c r="V176" s="85"/>
      <c r="W176" s="85"/>
      <c r="X176" s="85"/>
      <c r="Y176" s="85"/>
      <c r="Z176" s="85"/>
    </row>
    <row r="177" spans="1:26" ht="15" customHeight="1">
      <c r="A177" s="85"/>
      <c r="B177" s="85"/>
      <c r="C177" s="85"/>
      <c r="D177" s="85"/>
      <c r="E177" s="85"/>
      <c r="F177" s="85"/>
      <c r="G177" s="85"/>
      <c r="H177" s="85"/>
      <c r="I177" s="85"/>
      <c r="J177" s="85"/>
      <c r="K177" s="85"/>
      <c r="L177" s="85"/>
      <c r="M177" s="85"/>
      <c r="N177" s="85"/>
      <c r="O177" s="85"/>
      <c r="P177" s="85"/>
      <c r="Q177" s="85"/>
      <c r="R177" s="85"/>
      <c r="S177" s="85"/>
      <c r="T177" s="85"/>
      <c r="U177" s="85"/>
      <c r="V177" s="85"/>
      <c r="W177" s="85"/>
      <c r="X177" s="85"/>
      <c r="Y177" s="85"/>
      <c r="Z177" s="85"/>
    </row>
    <row r="178" spans="1:26" ht="15" customHeight="1">
      <c r="A178" s="85"/>
      <c r="B178" s="85"/>
      <c r="C178" s="85"/>
      <c r="D178" s="85"/>
      <c r="E178" s="85"/>
      <c r="F178" s="85"/>
      <c r="G178" s="85"/>
      <c r="H178" s="85"/>
      <c r="I178" s="85"/>
      <c r="J178" s="85"/>
      <c r="K178" s="85"/>
      <c r="L178" s="85"/>
      <c r="M178" s="85"/>
      <c r="N178" s="85"/>
      <c r="O178" s="85"/>
      <c r="P178" s="85"/>
      <c r="Q178" s="85"/>
      <c r="R178" s="85"/>
      <c r="S178" s="85"/>
      <c r="T178" s="85"/>
      <c r="U178" s="85"/>
      <c r="V178" s="85"/>
      <c r="W178" s="85"/>
      <c r="X178" s="85"/>
      <c r="Y178" s="85"/>
      <c r="Z178" s="85"/>
    </row>
    <row r="179" spans="1:26" ht="15" customHeight="1">
      <c r="A179" s="85"/>
      <c r="B179" s="85"/>
      <c r="C179" s="85"/>
      <c r="D179" s="85"/>
      <c r="E179" s="85"/>
      <c r="F179" s="85"/>
      <c r="G179" s="85"/>
      <c r="H179" s="85"/>
      <c r="I179" s="85"/>
      <c r="J179" s="85"/>
      <c r="K179" s="85"/>
      <c r="L179" s="85"/>
      <c r="M179" s="85"/>
      <c r="N179" s="85"/>
      <c r="O179" s="85"/>
      <c r="P179" s="85"/>
      <c r="Q179" s="85"/>
      <c r="R179" s="85"/>
      <c r="S179" s="85"/>
      <c r="T179" s="85"/>
      <c r="U179" s="85"/>
      <c r="V179" s="85"/>
      <c r="W179" s="85"/>
      <c r="X179" s="85"/>
      <c r="Y179" s="85"/>
      <c r="Z179" s="85"/>
    </row>
    <row r="180" spans="1:26" ht="15" customHeight="1">
      <c r="F180" s="85"/>
      <c r="G180" s="85"/>
      <c r="H180" s="85"/>
      <c r="I180" s="85"/>
      <c r="J180" s="85"/>
      <c r="K180" s="85"/>
      <c r="L180" s="85"/>
      <c r="M180" s="85"/>
      <c r="N180" s="85"/>
      <c r="O180" s="85"/>
      <c r="P180" s="85"/>
      <c r="Q180" s="85"/>
      <c r="R180" s="85"/>
      <c r="S180" s="85"/>
      <c r="T180" s="85"/>
      <c r="U180" s="85"/>
      <c r="V180" s="85"/>
      <c r="W180" s="85"/>
      <c r="X180" s="85"/>
      <c r="Y180" s="85"/>
      <c r="Z180" s="85"/>
    </row>
    <row r="181" spans="1:26" ht="15" customHeight="1">
      <c r="F181" s="85"/>
      <c r="G181" s="85"/>
      <c r="H181" s="85"/>
      <c r="I181" s="85"/>
      <c r="J181" s="85"/>
      <c r="K181" s="85"/>
      <c r="L181" s="85"/>
      <c r="M181" s="85"/>
      <c r="N181" s="85"/>
      <c r="O181" s="85"/>
      <c r="P181" s="85"/>
      <c r="Q181" s="85"/>
      <c r="R181" s="85"/>
      <c r="S181" s="85"/>
      <c r="T181" s="85"/>
      <c r="U181" s="85"/>
      <c r="V181" s="85"/>
      <c r="W181" s="85"/>
      <c r="X181" s="85"/>
      <c r="Y181" s="85"/>
      <c r="Z181" s="85"/>
    </row>
    <row r="182" spans="1:26" ht="15" customHeight="1">
      <c r="F182" s="85"/>
      <c r="G182" s="85"/>
      <c r="H182" s="85"/>
      <c r="I182" s="85"/>
      <c r="J182" s="85"/>
      <c r="K182" s="85"/>
      <c r="L182" s="85"/>
      <c r="M182" s="85"/>
      <c r="N182" s="85"/>
      <c r="O182" s="85"/>
      <c r="P182" s="85"/>
      <c r="Q182" s="85"/>
      <c r="R182" s="85"/>
      <c r="S182" s="85"/>
      <c r="T182" s="85"/>
      <c r="U182" s="85"/>
      <c r="V182" s="85"/>
      <c r="W182" s="85"/>
      <c r="X182" s="85"/>
      <c r="Y182" s="85"/>
      <c r="Z182" s="85"/>
    </row>
    <row r="183" spans="1:26" ht="15" customHeight="1">
      <c r="F183" s="85"/>
      <c r="G183" s="85"/>
      <c r="H183" s="85"/>
      <c r="I183" s="85"/>
      <c r="J183" s="85"/>
      <c r="K183" s="85"/>
      <c r="L183" s="85"/>
      <c r="M183" s="85"/>
      <c r="N183" s="85"/>
      <c r="O183" s="85"/>
      <c r="P183" s="85"/>
      <c r="Q183" s="85"/>
      <c r="R183" s="85"/>
      <c r="S183" s="85"/>
      <c r="T183" s="85"/>
      <c r="U183" s="85"/>
      <c r="V183" s="85"/>
      <c r="W183" s="85"/>
      <c r="X183" s="85"/>
      <c r="Y183" s="85"/>
      <c r="Z183" s="85"/>
    </row>
    <row r="184" spans="1:26" ht="15" customHeight="1">
      <c r="F184" s="85"/>
      <c r="G184" s="85"/>
      <c r="H184" s="85"/>
      <c r="I184" s="85"/>
      <c r="J184" s="85"/>
      <c r="K184" s="85"/>
      <c r="L184" s="85"/>
      <c r="M184" s="85"/>
      <c r="N184" s="85"/>
      <c r="O184" s="85"/>
      <c r="P184" s="85"/>
      <c r="Q184" s="85"/>
      <c r="R184" s="85"/>
      <c r="S184" s="85"/>
      <c r="T184" s="85"/>
      <c r="U184" s="85"/>
      <c r="V184" s="85"/>
      <c r="W184" s="85"/>
      <c r="X184" s="85"/>
      <c r="Y184" s="85"/>
      <c r="Z184" s="85"/>
    </row>
    <row r="185" spans="1:26" ht="15" customHeight="1">
      <c r="F185" s="85"/>
      <c r="G185" s="85"/>
      <c r="H185" s="85"/>
      <c r="I185" s="85"/>
      <c r="J185" s="85"/>
      <c r="K185" s="85"/>
      <c r="L185" s="85"/>
      <c r="M185" s="85"/>
      <c r="N185" s="85"/>
      <c r="O185" s="85"/>
      <c r="P185" s="85"/>
      <c r="Q185" s="85"/>
      <c r="R185" s="85"/>
      <c r="S185" s="85"/>
      <c r="T185" s="85"/>
      <c r="U185" s="85"/>
      <c r="V185" s="85"/>
      <c r="W185" s="85"/>
      <c r="X185" s="85"/>
      <c r="Y185" s="85"/>
      <c r="Z185" s="85"/>
    </row>
    <row r="186" spans="1:26" ht="15" customHeight="1">
      <c r="F186" s="85"/>
      <c r="G186" s="85"/>
      <c r="H186" s="85"/>
      <c r="I186" s="85"/>
      <c r="J186" s="85"/>
      <c r="K186" s="85"/>
      <c r="L186" s="85"/>
      <c r="M186" s="85"/>
      <c r="N186" s="85"/>
      <c r="O186" s="85"/>
      <c r="P186" s="85"/>
      <c r="Q186" s="85"/>
      <c r="R186" s="85"/>
      <c r="S186" s="85"/>
      <c r="T186" s="85"/>
      <c r="U186" s="85"/>
      <c r="V186" s="85"/>
      <c r="W186" s="85"/>
      <c r="X186" s="85"/>
      <c r="Y186" s="85"/>
      <c r="Z186" s="85"/>
    </row>
    <row r="187" spans="1:26" ht="15" customHeight="1">
      <c r="F187" s="85"/>
      <c r="G187" s="85"/>
      <c r="H187" s="85"/>
      <c r="I187" s="85"/>
      <c r="J187" s="85"/>
      <c r="K187" s="85"/>
      <c r="L187" s="85"/>
      <c r="M187" s="85"/>
      <c r="N187" s="85"/>
      <c r="O187" s="85"/>
      <c r="P187" s="85"/>
      <c r="Q187" s="85"/>
      <c r="R187" s="85"/>
      <c r="S187" s="85"/>
      <c r="T187" s="85"/>
      <c r="U187" s="85"/>
      <c r="V187" s="85"/>
      <c r="W187" s="85"/>
      <c r="X187" s="85"/>
      <c r="Y187" s="85"/>
      <c r="Z187" s="85"/>
    </row>
    <row r="188" spans="1:26" ht="15" customHeight="1">
      <c r="F188" s="85"/>
      <c r="G188" s="85"/>
      <c r="H188" s="85"/>
      <c r="I188" s="85"/>
      <c r="J188" s="85"/>
      <c r="K188" s="85"/>
      <c r="L188" s="85"/>
      <c r="M188" s="85"/>
      <c r="N188" s="85"/>
      <c r="O188" s="85"/>
      <c r="P188" s="85"/>
      <c r="Q188" s="85"/>
      <c r="R188" s="85"/>
      <c r="S188" s="85"/>
      <c r="T188" s="85"/>
      <c r="U188" s="85"/>
      <c r="V188" s="85"/>
      <c r="W188" s="85"/>
      <c r="X188" s="85"/>
      <c r="Y188" s="85"/>
      <c r="Z188" s="85"/>
    </row>
    <row r="189" spans="1:26" ht="15" customHeight="1">
      <c r="F189" s="85"/>
      <c r="G189" s="85"/>
      <c r="H189" s="85"/>
      <c r="I189" s="85"/>
      <c r="J189" s="85"/>
      <c r="K189" s="85"/>
      <c r="L189" s="85"/>
      <c r="M189" s="85"/>
      <c r="N189" s="85"/>
      <c r="O189" s="85"/>
      <c r="P189" s="85"/>
      <c r="Q189" s="85"/>
      <c r="R189" s="85"/>
      <c r="S189" s="85"/>
      <c r="T189" s="85"/>
      <c r="U189" s="85"/>
      <c r="V189" s="85"/>
      <c r="W189" s="85"/>
      <c r="X189" s="85"/>
      <c r="Y189" s="85"/>
      <c r="Z189" s="85"/>
    </row>
    <row r="190" spans="1:26" ht="15" customHeight="1">
      <c r="F190" s="85"/>
      <c r="G190" s="85"/>
      <c r="H190" s="85"/>
      <c r="I190" s="85"/>
      <c r="J190" s="85"/>
      <c r="K190" s="85"/>
      <c r="L190" s="85"/>
      <c r="M190" s="85"/>
      <c r="N190" s="85"/>
      <c r="O190" s="85"/>
      <c r="P190" s="85"/>
      <c r="Q190" s="85"/>
      <c r="R190" s="85"/>
      <c r="S190" s="85"/>
      <c r="T190" s="85"/>
      <c r="U190" s="85"/>
      <c r="V190" s="85"/>
      <c r="W190" s="85"/>
      <c r="X190" s="85"/>
      <c r="Y190" s="85"/>
      <c r="Z190" s="85"/>
    </row>
    <row r="191" spans="1:26" ht="15" customHeight="1">
      <c r="F191" s="85"/>
      <c r="G191" s="85"/>
      <c r="H191" s="85"/>
      <c r="I191" s="85"/>
      <c r="J191" s="85"/>
      <c r="K191" s="85"/>
      <c r="L191" s="85"/>
      <c r="M191" s="85"/>
      <c r="N191" s="85"/>
      <c r="O191" s="85"/>
      <c r="P191" s="85"/>
      <c r="Q191" s="85"/>
      <c r="R191" s="85"/>
      <c r="S191" s="85"/>
      <c r="T191" s="85"/>
      <c r="U191" s="85"/>
      <c r="V191" s="85"/>
      <c r="W191" s="85"/>
      <c r="X191" s="85"/>
      <c r="Y191" s="85"/>
      <c r="Z191" s="85"/>
    </row>
    <row r="192" spans="1:26" ht="15" customHeight="1">
      <c r="F192" s="85"/>
      <c r="G192" s="85"/>
      <c r="H192" s="85"/>
      <c r="I192" s="85"/>
      <c r="J192" s="85"/>
      <c r="K192" s="85"/>
      <c r="L192" s="85"/>
      <c r="M192" s="85"/>
      <c r="N192" s="85"/>
      <c r="O192" s="85"/>
      <c r="P192" s="85"/>
      <c r="Q192" s="85"/>
      <c r="R192" s="85"/>
      <c r="S192" s="85"/>
      <c r="T192" s="85"/>
      <c r="U192" s="85"/>
      <c r="V192" s="85"/>
      <c r="W192" s="85"/>
      <c r="X192" s="85"/>
      <c r="Y192" s="85"/>
      <c r="Z192" s="85"/>
    </row>
    <row r="193" spans="6:26" ht="15" customHeight="1">
      <c r="F193" s="85"/>
      <c r="G193" s="85"/>
      <c r="H193" s="85"/>
      <c r="I193" s="85"/>
      <c r="J193" s="85"/>
      <c r="K193" s="85"/>
      <c r="L193" s="85"/>
      <c r="M193" s="85"/>
      <c r="N193" s="85"/>
      <c r="O193" s="85"/>
      <c r="P193" s="85"/>
      <c r="Q193" s="85"/>
      <c r="R193" s="85"/>
      <c r="S193" s="85"/>
      <c r="T193" s="85"/>
      <c r="U193" s="85"/>
      <c r="V193" s="85"/>
      <c r="W193" s="85"/>
      <c r="X193" s="85"/>
      <c r="Y193" s="85"/>
      <c r="Z193" s="85"/>
    </row>
    <row r="194" spans="6:26" ht="15" customHeight="1">
      <c r="F194" s="85"/>
      <c r="G194" s="85"/>
      <c r="H194" s="85"/>
      <c r="I194" s="85"/>
      <c r="J194" s="85"/>
      <c r="K194" s="85"/>
      <c r="L194" s="85"/>
      <c r="M194" s="85"/>
      <c r="N194" s="85"/>
      <c r="O194" s="85"/>
      <c r="P194" s="85"/>
      <c r="Q194" s="85"/>
      <c r="R194" s="85"/>
      <c r="S194" s="85"/>
      <c r="T194" s="85"/>
      <c r="U194" s="85"/>
      <c r="V194" s="85"/>
      <c r="W194" s="85"/>
      <c r="X194" s="85"/>
      <c r="Y194" s="85"/>
      <c r="Z194" s="85"/>
    </row>
    <row r="195" spans="6:26" ht="15" customHeight="1">
      <c r="F195" s="85"/>
      <c r="G195" s="85"/>
      <c r="H195" s="85"/>
      <c r="I195" s="85"/>
      <c r="J195" s="85"/>
      <c r="K195" s="85"/>
      <c r="L195" s="85"/>
      <c r="M195" s="85"/>
      <c r="N195" s="85"/>
      <c r="O195" s="85"/>
      <c r="P195" s="85"/>
      <c r="Q195" s="85"/>
      <c r="R195" s="85"/>
      <c r="S195" s="85"/>
      <c r="T195" s="85"/>
      <c r="U195" s="85"/>
      <c r="V195" s="85"/>
      <c r="W195" s="85"/>
      <c r="X195" s="85"/>
      <c r="Y195" s="85"/>
      <c r="Z195" s="85"/>
    </row>
    <row r="196" spans="6:26" ht="15" customHeight="1">
      <c r="F196" s="85"/>
      <c r="G196" s="85"/>
      <c r="H196" s="85"/>
      <c r="I196" s="85"/>
      <c r="J196" s="85"/>
      <c r="K196" s="85"/>
      <c r="L196" s="85"/>
      <c r="M196" s="85"/>
      <c r="N196" s="85"/>
      <c r="O196" s="85"/>
      <c r="P196" s="85"/>
      <c r="Q196" s="85"/>
      <c r="R196" s="85"/>
      <c r="S196" s="85"/>
      <c r="T196" s="85"/>
      <c r="U196" s="85"/>
      <c r="V196" s="85"/>
      <c r="W196" s="85"/>
      <c r="X196" s="85"/>
      <c r="Y196" s="85"/>
      <c r="Z196" s="85"/>
    </row>
    <row r="197" spans="6:26" ht="15" customHeight="1">
      <c r="F197" s="85"/>
      <c r="G197" s="85"/>
      <c r="H197" s="85"/>
      <c r="I197" s="85"/>
      <c r="J197" s="85"/>
      <c r="K197" s="85"/>
      <c r="L197" s="85"/>
      <c r="M197" s="85"/>
      <c r="N197" s="85"/>
      <c r="O197" s="85"/>
      <c r="P197" s="85"/>
      <c r="Q197" s="85"/>
      <c r="R197" s="85"/>
      <c r="S197" s="85"/>
      <c r="T197" s="85"/>
      <c r="U197" s="85"/>
      <c r="V197" s="85"/>
      <c r="W197" s="85"/>
      <c r="X197" s="85"/>
      <c r="Y197" s="85"/>
      <c r="Z197" s="85"/>
    </row>
    <row r="198" spans="6:26" ht="15" customHeight="1">
      <c r="F198" s="85"/>
      <c r="G198" s="85"/>
      <c r="H198" s="85"/>
      <c r="I198" s="85"/>
      <c r="J198" s="85"/>
      <c r="K198" s="85"/>
      <c r="L198" s="85"/>
      <c r="M198" s="85"/>
      <c r="N198" s="85"/>
      <c r="O198" s="85"/>
      <c r="P198" s="85"/>
      <c r="Q198" s="85"/>
      <c r="R198" s="85"/>
      <c r="S198" s="85"/>
      <c r="T198" s="85"/>
      <c r="U198" s="85"/>
      <c r="V198" s="85"/>
      <c r="W198" s="85"/>
      <c r="X198" s="85"/>
      <c r="Y198" s="85"/>
      <c r="Z198" s="85"/>
    </row>
    <row r="199" spans="6:26" ht="15" customHeight="1">
      <c r="F199" s="85"/>
      <c r="G199" s="85"/>
      <c r="H199" s="85"/>
      <c r="I199" s="85"/>
      <c r="J199" s="85"/>
      <c r="K199" s="85"/>
      <c r="L199" s="85"/>
      <c r="M199" s="85"/>
      <c r="N199" s="85"/>
      <c r="O199" s="85"/>
      <c r="P199" s="85"/>
      <c r="Q199" s="85"/>
      <c r="R199" s="85"/>
      <c r="S199" s="85"/>
      <c r="T199" s="85"/>
      <c r="U199" s="85"/>
      <c r="V199" s="85"/>
      <c r="W199" s="85"/>
      <c r="X199" s="85"/>
      <c r="Y199" s="85"/>
      <c r="Z199" s="85"/>
    </row>
    <row r="200" spans="6:26" ht="15" customHeight="1">
      <c r="F200" s="85"/>
      <c r="G200" s="85"/>
      <c r="H200" s="85"/>
      <c r="I200" s="85"/>
      <c r="J200" s="85"/>
      <c r="K200" s="85"/>
      <c r="L200" s="85"/>
      <c r="M200" s="85"/>
      <c r="N200" s="85"/>
      <c r="O200" s="85"/>
      <c r="P200" s="85"/>
      <c r="Q200" s="85"/>
      <c r="R200" s="85"/>
      <c r="S200" s="85"/>
      <c r="T200" s="85"/>
      <c r="U200" s="85"/>
      <c r="V200" s="85"/>
      <c r="W200" s="85"/>
      <c r="X200" s="85"/>
      <c r="Y200" s="85"/>
      <c r="Z200" s="85"/>
    </row>
    <row r="201" spans="6:26" ht="15" customHeight="1">
      <c r="F201" s="85"/>
      <c r="G201" s="85"/>
      <c r="H201" s="85"/>
      <c r="I201" s="85"/>
      <c r="J201" s="85"/>
      <c r="K201" s="85"/>
      <c r="L201" s="85"/>
      <c r="M201" s="85"/>
      <c r="N201" s="85"/>
      <c r="O201" s="85"/>
      <c r="P201" s="85"/>
      <c r="Q201" s="85"/>
      <c r="R201" s="85"/>
      <c r="S201" s="85"/>
      <c r="T201" s="85"/>
      <c r="U201" s="85"/>
      <c r="V201" s="85"/>
      <c r="W201" s="85"/>
      <c r="X201" s="85"/>
      <c r="Y201" s="85"/>
      <c r="Z201" s="85"/>
    </row>
    <row r="202" spans="6:26" ht="15" customHeight="1">
      <c r="F202" s="85"/>
      <c r="G202" s="85"/>
      <c r="H202" s="85"/>
      <c r="I202" s="85"/>
      <c r="J202" s="85"/>
      <c r="K202" s="85"/>
      <c r="L202" s="85"/>
      <c r="M202" s="85"/>
      <c r="N202" s="85"/>
      <c r="O202" s="85"/>
      <c r="P202" s="85"/>
      <c r="Q202" s="85"/>
      <c r="R202" s="85"/>
      <c r="S202" s="85"/>
      <c r="T202" s="85"/>
      <c r="U202" s="85"/>
      <c r="V202" s="85"/>
      <c r="W202" s="85"/>
      <c r="X202" s="85"/>
      <c r="Y202" s="85"/>
      <c r="Z202" s="85"/>
    </row>
    <row r="203" spans="6:26" ht="15" customHeight="1">
      <c r="F203" s="85"/>
      <c r="G203" s="85"/>
      <c r="H203" s="85"/>
      <c r="I203" s="85"/>
      <c r="J203" s="85"/>
      <c r="K203" s="85"/>
      <c r="L203" s="85"/>
      <c r="M203" s="85"/>
      <c r="N203" s="85"/>
      <c r="O203" s="85"/>
      <c r="P203" s="85"/>
      <c r="Q203" s="85"/>
      <c r="R203" s="85"/>
      <c r="S203" s="85"/>
      <c r="T203" s="85"/>
      <c r="U203" s="85"/>
      <c r="V203" s="85"/>
      <c r="W203" s="85"/>
      <c r="X203" s="85"/>
      <c r="Y203" s="85"/>
      <c r="Z203" s="85"/>
    </row>
    <row r="204" spans="6:26" ht="15" customHeight="1">
      <c r="F204" s="85"/>
      <c r="G204" s="85"/>
      <c r="H204" s="85"/>
      <c r="I204" s="85"/>
      <c r="J204" s="85"/>
      <c r="K204" s="85"/>
      <c r="L204" s="85"/>
      <c r="M204" s="85"/>
      <c r="N204" s="85"/>
      <c r="O204" s="85"/>
      <c r="P204" s="85"/>
      <c r="Q204" s="85"/>
      <c r="R204" s="85"/>
      <c r="S204" s="85"/>
      <c r="T204" s="85"/>
      <c r="U204" s="85"/>
      <c r="V204" s="85"/>
      <c r="W204" s="85"/>
      <c r="X204" s="85"/>
      <c r="Y204" s="85"/>
      <c r="Z204" s="85"/>
    </row>
    <row r="205" spans="6:26" ht="15" customHeight="1">
      <c r="F205" s="85"/>
      <c r="G205" s="85"/>
      <c r="H205" s="85"/>
      <c r="I205" s="85"/>
      <c r="J205" s="85"/>
      <c r="K205" s="85"/>
      <c r="L205" s="85"/>
      <c r="M205" s="85"/>
      <c r="N205" s="85"/>
      <c r="O205" s="85"/>
      <c r="P205" s="85"/>
      <c r="Q205" s="85"/>
      <c r="R205" s="85"/>
      <c r="S205" s="85"/>
      <c r="T205" s="85"/>
      <c r="U205" s="85"/>
      <c r="V205" s="85"/>
      <c r="W205" s="85"/>
      <c r="X205" s="85"/>
      <c r="Y205" s="85"/>
      <c r="Z205" s="85"/>
    </row>
    <row r="206" spans="6:26" ht="15" customHeight="1">
      <c r="F206" s="85"/>
      <c r="G206" s="85"/>
      <c r="H206" s="85"/>
      <c r="I206" s="85"/>
      <c r="J206" s="85"/>
      <c r="K206" s="85"/>
      <c r="L206" s="85"/>
      <c r="M206" s="85"/>
      <c r="N206" s="85"/>
      <c r="O206" s="85"/>
      <c r="P206" s="85"/>
      <c r="Q206" s="85"/>
      <c r="R206" s="85"/>
      <c r="S206" s="85"/>
      <c r="T206" s="85"/>
      <c r="U206" s="85"/>
      <c r="V206" s="85"/>
      <c r="W206" s="85"/>
      <c r="X206" s="85"/>
      <c r="Y206" s="85"/>
      <c r="Z206" s="85"/>
    </row>
    <row r="207" spans="6:26" ht="15" customHeight="1">
      <c r="F207" s="85"/>
      <c r="G207" s="85"/>
      <c r="H207" s="85"/>
      <c r="I207" s="85"/>
      <c r="J207" s="85"/>
      <c r="K207" s="85"/>
      <c r="L207" s="85"/>
      <c r="M207" s="85"/>
      <c r="N207" s="85"/>
      <c r="O207" s="85"/>
      <c r="P207" s="85"/>
      <c r="Q207" s="85"/>
      <c r="R207" s="85"/>
      <c r="S207" s="85"/>
      <c r="T207" s="85"/>
      <c r="U207" s="85"/>
      <c r="V207" s="85"/>
      <c r="W207" s="85"/>
      <c r="X207" s="85"/>
      <c r="Y207" s="85"/>
      <c r="Z207" s="85"/>
    </row>
    <row r="208" spans="6:26" ht="15" customHeight="1">
      <c r="F208" s="85"/>
      <c r="G208" s="85"/>
      <c r="H208" s="85"/>
      <c r="I208" s="85"/>
      <c r="J208" s="85"/>
      <c r="K208" s="85"/>
      <c r="L208" s="85"/>
      <c r="M208" s="85"/>
      <c r="N208" s="85"/>
      <c r="O208" s="85"/>
      <c r="P208" s="85"/>
      <c r="Q208" s="85"/>
      <c r="R208" s="85"/>
      <c r="S208" s="85"/>
      <c r="T208" s="85"/>
      <c r="U208" s="85"/>
      <c r="V208" s="85"/>
      <c r="W208" s="85"/>
      <c r="X208" s="85"/>
      <c r="Y208" s="85"/>
      <c r="Z208" s="85"/>
    </row>
    <row r="209" spans="6:26" ht="15" customHeight="1">
      <c r="F209" s="85"/>
      <c r="G209" s="85"/>
      <c r="H209" s="85"/>
      <c r="I209" s="85"/>
      <c r="J209" s="85"/>
      <c r="K209" s="85"/>
      <c r="L209" s="85"/>
      <c r="M209" s="85"/>
      <c r="N209" s="85"/>
      <c r="O209" s="85"/>
      <c r="P209" s="85"/>
      <c r="Q209" s="85"/>
      <c r="R209" s="85"/>
      <c r="S209" s="85"/>
      <c r="T209" s="85"/>
      <c r="U209" s="85"/>
      <c r="V209" s="85"/>
      <c r="W209" s="85"/>
      <c r="X209" s="85"/>
      <c r="Y209" s="85"/>
      <c r="Z209" s="85"/>
    </row>
    <row r="210" spans="6:26" ht="15" customHeight="1">
      <c r="F210" s="85"/>
      <c r="G210" s="85"/>
      <c r="H210" s="85"/>
      <c r="I210" s="85"/>
      <c r="J210" s="85"/>
      <c r="K210" s="85"/>
      <c r="L210" s="85"/>
      <c r="M210" s="85"/>
      <c r="N210" s="85"/>
      <c r="O210" s="85"/>
      <c r="P210" s="85"/>
      <c r="Q210" s="85"/>
      <c r="R210" s="85"/>
      <c r="S210" s="85"/>
      <c r="T210" s="85"/>
      <c r="U210" s="85"/>
      <c r="V210" s="85"/>
      <c r="W210" s="85"/>
      <c r="X210" s="85"/>
      <c r="Y210" s="85"/>
      <c r="Z210" s="85"/>
    </row>
    <row r="211" spans="6:26" ht="15" customHeight="1">
      <c r="F211" s="85"/>
      <c r="G211" s="85"/>
      <c r="H211" s="85"/>
      <c r="I211" s="85"/>
      <c r="J211" s="85"/>
      <c r="K211" s="85"/>
      <c r="L211" s="85"/>
      <c r="M211" s="85"/>
      <c r="N211" s="85"/>
      <c r="O211" s="85"/>
      <c r="P211" s="85"/>
      <c r="Q211" s="85"/>
      <c r="R211" s="85"/>
      <c r="S211" s="85"/>
      <c r="T211" s="85"/>
      <c r="U211" s="85"/>
      <c r="V211" s="85"/>
      <c r="W211" s="85"/>
      <c r="X211" s="85"/>
      <c r="Y211" s="85"/>
      <c r="Z211" s="85"/>
    </row>
    <row r="212" spans="6:26" ht="15" customHeight="1">
      <c r="F212" s="85"/>
      <c r="G212" s="85"/>
      <c r="H212" s="85"/>
      <c r="I212" s="85"/>
      <c r="J212" s="85"/>
      <c r="K212" s="85"/>
      <c r="L212" s="85"/>
      <c r="M212" s="85"/>
      <c r="N212" s="85"/>
      <c r="O212" s="85"/>
      <c r="P212" s="85"/>
      <c r="Q212" s="85"/>
      <c r="R212" s="85"/>
      <c r="S212" s="85"/>
      <c r="T212" s="85"/>
      <c r="U212" s="85"/>
      <c r="V212" s="85"/>
      <c r="W212" s="85"/>
      <c r="X212" s="85"/>
      <c r="Y212" s="85"/>
      <c r="Z212" s="85"/>
    </row>
    <row r="213" spans="6:26" ht="15" customHeight="1">
      <c r="F213" s="85"/>
      <c r="G213" s="85"/>
      <c r="H213" s="85"/>
      <c r="I213" s="85"/>
      <c r="J213" s="85"/>
      <c r="K213" s="85"/>
      <c r="L213" s="85"/>
      <c r="M213" s="85"/>
      <c r="N213" s="85"/>
      <c r="O213" s="85"/>
      <c r="P213" s="85"/>
      <c r="Q213" s="85"/>
      <c r="R213" s="85"/>
      <c r="S213" s="85"/>
      <c r="T213" s="85"/>
      <c r="U213" s="85"/>
      <c r="V213" s="85"/>
      <c r="W213" s="85"/>
      <c r="X213" s="85"/>
      <c r="Y213" s="85"/>
      <c r="Z213" s="85"/>
    </row>
    <row r="214" spans="6:26" ht="15" customHeight="1">
      <c r="F214" s="85"/>
      <c r="G214" s="85"/>
      <c r="H214" s="85"/>
      <c r="I214" s="85"/>
      <c r="J214" s="85"/>
      <c r="K214" s="85"/>
      <c r="L214" s="85"/>
      <c r="M214" s="85"/>
      <c r="N214" s="85"/>
      <c r="O214" s="85"/>
      <c r="P214" s="85"/>
      <c r="Q214" s="85"/>
      <c r="R214" s="85"/>
      <c r="S214" s="85"/>
      <c r="T214" s="85"/>
      <c r="U214" s="85"/>
      <c r="V214" s="85"/>
      <c r="W214" s="85"/>
      <c r="X214" s="85"/>
      <c r="Y214" s="85"/>
      <c r="Z214" s="85"/>
    </row>
    <row r="215" spans="6:26" ht="15" customHeight="1">
      <c r="F215" s="85"/>
      <c r="G215" s="85"/>
      <c r="H215" s="85"/>
      <c r="I215" s="85"/>
      <c r="J215" s="85"/>
      <c r="K215" s="85"/>
      <c r="L215" s="85"/>
      <c r="M215" s="85"/>
      <c r="N215" s="85"/>
      <c r="O215" s="85"/>
      <c r="P215" s="85"/>
      <c r="Q215" s="85"/>
      <c r="R215" s="85"/>
      <c r="S215" s="85"/>
      <c r="T215" s="85"/>
      <c r="U215" s="85"/>
      <c r="V215" s="85"/>
      <c r="W215" s="85"/>
      <c r="X215" s="85"/>
      <c r="Y215" s="85"/>
      <c r="Z215" s="85"/>
    </row>
    <row r="216" spans="6:26" ht="15" customHeight="1">
      <c r="F216" s="85"/>
      <c r="G216" s="85"/>
      <c r="H216" s="85"/>
      <c r="I216" s="85"/>
      <c r="J216" s="85"/>
      <c r="K216" s="85"/>
      <c r="L216" s="85"/>
      <c r="M216" s="85"/>
      <c r="N216" s="85"/>
      <c r="O216" s="85"/>
      <c r="P216" s="85"/>
      <c r="Q216" s="85"/>
      <c r="R216" s="85"/>
      <c r="S216" s="85"/>
      <c r="T216" s="85"/>
      <c r="U216" s="85"/>
      <c r="V216" s="85"/>
      <c r="W216" s="85"/>
      <c r="X216" s="85"/>
      <c r="Y216" s="85"/>
      <c r="Z216" s="85"/>
    </row>
    <row r="217" spans="6:26" ht="15" customHeight="1">
      <c r="F217" s="85"/>
      <c r="G217" s="85"/>
      <c r="H217" s="85"/>
      <c r="I217" s="85"/>
      <c r="J217" s="85"/>
      <c r="K217" s="85"/>
      <c r="L217" s="85"/>
      <c r="M217" s="85"/>
      <c r="N217" s="85"/>
      <c r="O217" s="85"/>
      <c r="P217" s="85"/>
      <c r="Q217" s="85"/>
      <c r="R217" s="85"/>
      <c r="S217" s="85"/>
      <c r="T217" s="85"/>
      <c r="U217" s="85"/>
      <c r="V217" s="85"/>
      <c r="W217" s="85"/>
      <c r="X217" s="85"/>
      <c r="Y217" s="85"/>
      <c r="Z217" s="85"/>
    </row>
    <row r="218" spans="6:26" ht="15" customHeight="1">
      <c r="F218" s="85"/>
      <c r="G218" s="85"/>
      <c r="H218" s="85"/>
      <c r="I218" s="85"/>
      <c r="J218" s="85"/>
      <c r="K218" s="85"/>
      <c r="L218" s="85"/>
      <c r="M218" s="85"/>
      <c r="N218" s="85"/>
      <c r="O218" s="85"/>
      <c r="P218" s="85"/>
      <c r="Q218" s="85"/>
      <c r="R218" s="85"/>
      <c r="S218" s="85"/>
      <c r="T218" s="85"/>
      <c r="U218" s="85"/>
      <c r="V218" s="85"/>
      <c r="W218" s="85"/>
      <c r="X218" s="85"/>
      <c r="Y218" s="85"/>
      <c r="Z218" s="85"/>
    </row>
    <row r="219" spans="6:26" ht="15" customHeight="1">
      <c r="F219" s="85"/>
      <c r="G219" s="85"/>
      <c r="H219" s="85"/>
      <c r="I219" s="85"/>
      <c r="J219" s="85"/>
      <c r="K219" s="85"/>
      <c r="L219" s="85"/>
      <c r="M219" s="85"/>
      <c r="N219" s="85"/>
      <c r="O219" s="85"/>
      <c r="P219" s="85"/>
      <c r="Q219" s="85"/>
      <c r="R219" s="85"/>
      <c r="S219" s="85"/>
      <c r="T219" s="85"/>
      <c r="U219" s="85"/>
      <c r="V219" s="85"/>
      <c r="W219" s="85"/>
      <c r="X219" s="85"/>
      <c r="Y219" s="85"/>
      <c r="Z219" s="85"/>
    </row>
    <row r="220" spans="6:26" ht="15" customHeight="1">
      <c r="F220" s="85"/>
      <c r="G220" s="85"/>
      <c r="H220" s="85"/>
      <c r="I220" s="85"/>
      <c r="J220" s="85"/>
      <c r="K220" s="85"/>
      <c r="L220" s="85"/>
      <c r="M220" s="85"/>
      <c r="N220" s="85"/>
      <c r="O220" s="85"/>
      <c r="P220" s="85"/>
      <c r="Q220" s="85"/>
      <c r="R220" s="85"/>
      <c r="S220" s="85"/>
      <c r="T220" s="85"/>
      <c r="U220" s="85"/>
      <c r="V220" s="85"/>
      <c r="W220" s="85"/>
      <c r="X220" s="85"/>
      <c r="Y220" s="85"/>
      <c r="Z220" s="85"/>
    </row>
    <row r="221" spans="6:26" ht="15" customHeight="1">
      <c r="F221" s="85"/>
      <c r="G221" s="85"/>
      <c r="H221" s="85"/>
      <c r="I221" s="85"/>
      <c r="J221" s="85"/>
      <c r="K221" s="85"/>
      <c r="L221" s="85"/>
      <c r="M221" s="85"/>
      <c r="N221" s="85"/>
      <c r="O221" s="85"/>
      <c r="P221" s="85"/>
      <c r="Q221" s="85"/>
      <c r="R221" s="85"/>
      <c r="S221" s="85"/>
      <c r="T221" s="85"/>
      <c r="U221" s="85"/>
      <c r="V221" s="85"/>
      <c r="W221" s="85"/>
      <c r="X221" s="85"/>
      <c r="Y221" s="85"/>
      <c r="Z221" s="85"/>
    </row>
    <row r="222" spans="6:26" ht="15" customHeight="1">
      <c r="F222" s="85"/>
      <c r="G222" s="85"/>
      <c r="H222" s="85"/>
      <c r="I222" s="85"/>
      <c r="J222" s="85"/>
      <c r="K222" s="85"/>
      <c r="L222" s="85"/>
      <c r="M222" s="85"/>
      <c r="N222" s="85"/>
      <c r="O222" s="85"/>
      <c r="P222" s="85"/>
      <c r="Q222" s="85"/>
      <c r="R222" s="85"/>
      <c r="S222" s="85"/>
      <c r="T222" s="85"/>
      <c r="U222" s="85"/>
      <c r="V222" s="85"/>
      <c r="W222" s="85"/>
      <c r="X222" s="85"/>
      <c r="Y222" s="85"/>
      <c r="Z222" s="85"/>
    </row>
    <row r="223" spans="6:26" ht="15" customHeight="1">
      <c r="F223" s="85"/>
      <c r="G223" s="85"/>
      <c r="H223" s="85"/>
      <c r="I223" s="85"/>
      <c r="J223" s="85"/>
      <c r="K223" s="85"/>
      <c r="L223" s="85"/>
      <c r="M223" s="85"/>
      <c r="N223" s="85"/>
      <c r="O223" s="85"/>
      <c r="P223" s="85"/>
      <c r="Q223" s="85"/>
      <c r="R223" s="85"/>
      <c r="S223" s="85"/>
      <c r="T223" s="85"/>
      <c r="U223" s="85"/>
      <c r="V223" s="85"/>
      <c r="W223" s="85"/>
      <c r="X223" s="85"/>
      <c r="Y223" s="85"/>
      <c r="Z223" s="85"/>
    </row>
    <row r="224" spans="6:26" ht="15" customHeight="1">
      <c r="F224" s="85"/>
      <c r="G224" s="85"/>
      <c r="H224" s="85"/>
      <c r="I224" s="85"/>
      <c r="J224" s="85"/>
      <c r="K224" s="85"/>
      <c r="L224" s="85"/>
      <c r="M224" s="85"/>
      <c r="N224" s="85"/>
      <c r="O224" s="85"/>
      <c r="P224" s="85"/>
      <c r="Q224" s="85"/>
      <c r="R224" s="85"/>
      <c r="S224" s="85"/>
      <c r="T224" s="85"/>
      <c r="U224" s="85"/>
      <c r="V224" s="85"/>
      <c r="W224" s="85"/>
      <c r="X224" s="85"/>
      <c r="Y224" s="85"/>
      <c r="Z224" s="85"/>
    </row>
    <row r="225" spans="6:26" ht="15" customHeight="1">
      <c r="F225" s="85"/>
      <c r="G225" s="85"/>
      <c r="H225" s="85"/>
      <c r="I225" s="85"/>
      <c r="J225" s="85"/>
      <c r="K225" s="85"/>
      <c r="L225" s="85"/>
      <c r="M225" s="85"/>
      <c r="N225" s="85"/>
      <c r="O225" s="85"/>
      <c r="P225" s="85"/>
      <c r="Q225" s="85"/>
      <c r="R225" s="85"/>
      <c r="S225" s="85"/>
      <c r="T225" s="85"/>
      <c r="U225" s="85"/>
      <c r="V225" s="85"/>
      <c r="W225" s="85"/>
      <c r="X225" s="85"/>
      <c r="Y225" s="85"/>
      <c r="Z225" s="85"/>
    </row>
    <row r="226" spans="6:26" ht="15" customHeight="1">
      <c r="F226" s="85"/>
      <c r="G226" s="85"/>
      <c r="H226" s="85"/>
      <c r="I226" s="85"/>
      <c r="J226" s="85"/>
      <c r="K226" s="85"/>
      <c r="L226" s="85"/>
      <c r="M226" s="85"/>
      <c r="N226" s="85"/>
      <c r="O226" s="85"/>
      <c r="P226" s="85"/>
      <c r="Q226" s="85"/>
      <c r="R226" s="85"/>
      <c r="S226" s="85"/>
      <c r="T226" s="85"/>
      <c r="U226" s="85"/>
      <c r="V226" s="85"/>
      <c r="W226" s="85"/>
      <c r="X226" s="85"/>
      <c r="Y226" s="85"/>
      <c r="Z226" s="85"/>
    </row>
    <row r="227" spans="6:26" ht="15" customHeight="1">
      <c r="F227" s="85"/>
      <c r="G227" s="85"/>
      <c r="H227" s="85"/>
      <c r="I227" s="85"/>
      <c r="J227" s="85"/>
      <c r="K227" s="85"/>
      <c r="L227" s="85"/>
      <c r="M227" s="85"/>
      <c r="N227" s="85"/>
      <c r="O227" s="85"/>
      <c r="P227" s="85"/>
      <c r="Q227" s="85"/>
      <c r="R227" s="85"/>
      <c r="S227" s="85"/>
      <c r="T227" s="85"/>
      <c r="U227" s="85"/>
      <c r="V227" s="85"/>
      <c r="W227" s="85"/>
      <c r="X227" s="85"/>
      <c r="Y227" s="85"/>
      <c r="Z227" s="85"/>
    </row>
    <row r="228" spans="6:26" ht="15" customHeight="1">
      <c r="F228" s="85"/>
      <c r="G228" s="85"/>
      <c r="H228" s="85"/>
      <c r="I228" s="85"/>
      <c r="J228" s="85"/>
      <c r="K228" s="85"/>
      <c r="L228" s="85"/>
      <c r="M228" s="85"/>
      <c r="N228" s="85"/>
      <c r="O228" s="85"/>
      <c r="P228" s="85"/>
      <c r="Q228" s="85"/>
      <c r="R228" s="85"/>
      <c r="S228" s="85"/>
      <c r="T228" s="85"/>
      <c r="U228" s="85"/>
      <c r="V228" s="85"/>
      <c r="W228" s="85"/>
      <c r="X228" s="85"/>
      <c r="Y228" s="85"/>
      <c r="Z228" s="85"/>
    </row>
    <row r="229" spans="6:26" ht="15" customHeight="1">
      <c r="F229" s="85"/>
      <c r="G229" s="85"/>
      <c r="H229" s="85"/>
      <c r="I229" s="85"/>
      <c r="J229" s="85"/>
      <c r="K229" s="85"/>
      <c r="L229" s="85"/>
      <c r="M229" s="85"/>
      <c r="N229" s="85"/>
      <c r="O229" s="85"/>
      <c r="P229" s="85"/>
      <c r="Q229" s="85"/>
      <c r="R229" s="85"/>
      <c r="S229" s="85"/>
      <c r="T229" s="85"/>
      <c r="U229" s="85"/>
      <c r="V229" s="85"/>
      <c r="W229" s="85"/>
      <c r="X229" s="85"/>
      <c r="Y229" s="85"/>
      <c r="Z229" s="85"/>
    </row>
    <row r="230" spans="6:26" ht="15" customHeight="1">
      <c r="F230" s="85"/>
      <c r="G230" s="85"/>
      <c r="H230" s="85"/>
      <c r="I230" s="85"/>
      <c r="J230" s="85"/>
      <c r="K230" s="85"/>
      <c r="L230" s="85"/>
      <c r="M230" s="85"/>
      <c r="N230" s="85"/>
      <c r="O230" s="85"/>
      <c r="P230" s="85"/>
      <c r="Q230" s="85"/>
      <c r="R230" s="85"/>
      <c r="S230" s="85"/>
      <c r="T230" s="85"/>
      <c r="U230" s="85"/>
      <c r="V230" s="85"/>
      <c r="W230" s="85"/>
      <c r="X230" s="85"/>
      <c r="Y230" s="85"/>
      <c r="Z230" s="85"/>
    </row>
    <row r="231" spans="6:26" ht="15" customHeight="1">
      <c r="F231" s="85"/>
      <c r="G231" s="85"/>
      <c r="H231" s="85"/>
      <c r="I231" s="85"/>
      <c r="J231" s="85"/>
      <c r="K231" s="85"/>
      <c r="L231" s="85"/>
      <c r="M231" s="85"/>
      <c r="N231" s="85"/>
      <c r="O231" s="85"/>
      <c r="P231" s="85"/>
      <c r="Q231" s="85"/>
      <c r="R231" s="85"/>
      <c r="S231" s="85"/>
      <c r="T231" s="85"/>
      <c r="U231" s="85"/>
      <c r="V231" s="85"/>
      <c r="W231" s="85"/>
      <c r="X231" s="85"/>
      <c r="Y231" s="85"/>
      <c r="Z231" s="85"/>
    </row>
    <row r="232" spans="6:26" ht="15" customHeight="1">
      <c r="F232" s="85"/>
      <c r="G232" s="85"/>
      <c r="H232" s="85"/>
      <c r="I232" s="85"/>
      <c r="J232" s="85"/>
      <c r="K232" s="85"/>
      <c r="L232" s="85"/>
      <c r="M232" s="85"/>
      <c r="N232" s="85"/>
      <c r="O232" s="85"/>
      <c r="P232" s="85"/>
      <c r="Q232" s="85"/>
      <c r="R232" s="85"/>
      <c r="S232" s="85"/>
      <c r="T232" s="85"/>
      <c r="U232" s="85"/>
      <c r="V232" s="85"/>
      <c r="W232" s="85"/>
      <c r="X232" s="85"/>
      <c r="Y232" s="85"/>
      <c r="Z232" s="85"/>
    </row>
    <row r="233" spans="6:26" ht="15" customHeight="1">
      <c r="F233" s="85"/>
      <c r="G233" s="85"/>
      <c r="H233" s="85"/>
      <c r="I233" s="85"/>
      <c r="J233" s="85"/>
      <c r="K233" s="85"/>
      <c r="L233" s="85"/>
      <c r="M233" s="85"/>
      <c r="N233" s="85"/>
      <c r="O233" s="85"/>
      <c r="P233" s="85"/>
      <c r="Q233" s="85"/>
      <c r="R233" s="85"/>
      <c r="S233" s="85"/>
      <c r="T233" s="85"/>
      <c r="U233" s="85"/>
      <c r="V233" s="85"/>
      <c r="W233" s="85"/>
      <c r="X233" s="85"/>
      <c r="Y233" s="85"/>
      <c r="Z233" s="85"/>
    </row>
    <row r="234" spans="6:26" ht="15" customHeight="1">
      <c r="F234" s="85"/>
      <c r="G234" s="85"/>
      <c r="H234" s="85"/>
      <c r="I234" s="85"/>
      <c r="J234" s="85"/>
      <c r="K234" s="85"/>
      <c r="L234" s="85"/>
      <c r="M234" s="85"/>
      <c r="N234" s="85"/>
      <c r="O234" s="85"/>
      <c r="P234" s="85"/>
      <c r="Q234" s="85"/>
      <c r="R234" s="85"/>
      <c r="S234" s="85"/>
      <c r="T234" s="85"/>
      <c r="U234" s="85"/>
      <c r="V234" s="85"/>
      <c r="W234" s="85"/>
      <c r="X234" s="85"/>
      <c r="Y234" s="85"/>
      <c r="Z234" s="85"/>
    </row>
    <row r="235" spans="6:26" ht="15" customHeight="1">
      <c r="F235" s="85"/>
      <c r="G235" s="85"/>
      <c r="H235" s="85"/>
      <c r="I235" s="85"/>
      <c r="J235" s="85"/>
      <c r="K235" s="85"/>
      <c r="L235" s="85"/>
      <c r="M235" s="85"/>
      <c r="N235" s="85"/>
      <c r="O235" s="85"/>
      <c r="P235" s="85"/>
      <c r="Q235" s="85"/>
      <c r="R235" s="85"/>
      <c r="S235" s="85"/>
      <c r="T235" s="85"/>
      <c r="U235" s="85"/>
      <c r="V235" s="85"/>
      <c r="W235" s="85"/>
      <c r="X235" s="85"/>
      <c r="Y235" s="85"/>
      <c r="Z235" s="85"/>
    </row>
    <row r="236" spans="6:26" ht="15" customHeight="1">
      <c r="F236" s="85"/>
      <c r="G236" s="85"/>
      <c r="H236" s="85"/>
      <c r="I236" s="85"/>
      <c r="J236" s="85"/>
      <c r="K236" s="85"/>
      <c r="L236" s="85"/>
      <c r="M236" s="85"/>
      <c r="N236" s="85"/>
      <c r="O236" s="85"/>
      <c r="P236" s="85"/>
      <c r="Q236" s="85"/>
      <c r="R236" s="85"/>
      <c r="S236" s="85"/>
      <c r="T236" s="85"/>
      <c r="U236" s="85"/>
      <c r="V236" s="85"/>
      <c r="W236" s="85"/>
      <c r="X236" s="85"/>
      <c r="Y236" s="85"/>
      <c r="Z236" s="85"/>
    </row>
    <row r="237" spans="6:26" ht="15" customHeight="1">
      <c r="F237" s="85"/>
      <c r="G237" s="85"/>
      <c r="H237" s="85"/>
      <c r="I237" s="85"/>
      <c r="J237" s="85"/>
      <c r="K237" s="85"/>
      <c r="L237" s="85"/>
      <c r="M237" s="85"/>
      <c r="N237" s="85"/>
      <c r="O237" s="85"/>
      <c r="P237" s="85"/>
      <c r="Q237" s="85"/>
      <c r="R237" s="85"/>
      <c r="S237" s="85"/>
      <c r="T237" s="85"/>
      <c r="U237" s="85"/>
      <c r="V237" s="85"/>
      <c r="W237" s="85"/>
      <c r="X237" s="85"/>
      <c r="Y237" s="85"/>
      <c r="Z237" s="85"/>
    </row>
    <row r="238" spans="6:26" ht="15" customHeight="1">
      <c r="F238" s="85"/>
      <c r="G238" s="85"/>
      <c r="H238" s="85"/>
      <c r="I238" s="85"/>
      <c r="J238" s="85"/>
      <c r="K238" s="85"/>
      <c r="L238" s="85"/>
      <c r="M238" s="85"/>
      <c r="N238" s="85"/>
      <c r="O238" s="85"/>
      <c r="P238" s="85"/>
      <c r="Q238" s="85"/>
      <c r="R238" s="85"/>
      <c r="S238" s="85"/>
      <c r="T238" s="85"/>
      <c r="U238" s="85"/>
      <c r="V238" s="85"/>
      <c r="W238" s="85"/>
      <c r="X238" s="85"/>
      <c r="Y238" s="85"/>
      <c r="Z238" s="85"/>
    </row>
    <row r="239" spans="6:26" ht="15" customHeight="1">
      <c r="F239" s="85"/>
      <c r="G239" s="85"/>
      <c r="H239" s="85"/>
      <c r="I239" s="85"/>
      <c r="J239" s="85"/>
      <c r="K239" s="85"/>
      <c r="L239" s="85"/>
      <c r="M239" s="85"/>
      <c r="N239" s="85"/>
      <c r="O239" s="85"/>
      <c r="P239" s="85"/>
      <c r="Q239" s="85"/>
      <c r="R239" s="85"/>
      <c r="S239" s="85"/>
      <c r="T239" s="85"/>
      <c r="U239" s="85"/>
      <c r="V239" s="85"/>
      <c r="W239" s="85"/>
      <c r="X239" s="85"/>
      <c r="Y239" s="85"/>
      <c r="Z239" s="85"/>
    </row>
    <row r="240" spans="6:26" ht="15" customHeight="1">
      <c r="F240" s="85"/>
      <c r="G240" s="85"/>
      <c r="H240" s="85"/>
      <c r="I240" s="85"/>
      <c r="J240" s="85"/>
      <c r="K240" s="85"/>
      <c r="L240" s="85"/>
      <c r="M240" s="85"/>
      <c r="N240" s="85"/>
      <c r="O240" s="85"/>
      <c r="P240" s="85"/>
      <c r="Q240" s="85"/>
      <c r="R240" s="85"/>
      <c r="S240" s="85"/>
      <c r="T240" s="85"/>
      <c r="U240" s="85"/>
      <c r="V240" s="85"/>
      <c r="W240" s="85"/>
      <c r="X240" s="85"/>
      <c r="Y240" s="85"/>
      <c r="Z240" s="85"/>
    </row>
    <row r="241" spans="6:26" ht="15" customHeight="1">
      <c r="F241" s="85"/>
      <c r="G241" s="85"/>
      <c r="H241" s="85"/>
      <c r="I241" s="85"/>
      <c r="J241" s="85"/>
      <c r="K241" s="85"/>
      <c r="L241" s="85"/>
      <c r="M241" s="85"/>
      <c r="N241" s="85"/>
      <c r="O241" s="85"/>
      <c r="P241" s="85"/>
      <c r="Q241" s="85"/>
      <c r="R241" s="85"/>
      <c r="S241" s="85"/>
      <c r="T241" s="85"/>
      <c r="U241" s="85"/>
      <c r="V241" s="85"/>
      <c r="W241" s="85"/>
      <c r="X241" s="85"/>
      <c r="Y241" s="85"/>
      <c r="Z241" s="85"/>
    </row>
    <row r="242" spans="6:26" ht="15" customHeight="1">
      <c r="F242" s="85"/>
      <c r="G242" s="85"/>
      <c r="H242" s="85"/>
      <c r="I242" s="85"/>
      <c r="J242" s="85"/>
      <c r="K242" s="85"/>
      <c r="L242" s="85"/>
      <c r="M242" s="85"/>
      <c r="N242" s="85"/>
      <c r="O242" s="85"/>
      <c r="P242" s="85"/>
      <c r="Q242" s="85"/>
      <c r="R242" s="85"/>
      <c r="S242" s="85"/>
      <c r="T242" s="85"/>
      <c r="U242" s="85"/>
      <c r="V242" s="85"/>
      <c r="W242" s="85"/>
      <c r="X242" s="85"/>
      <c r="Y242" s="85"/>
      <c r="Z242" s="85"/>
    </row>
    <row r="243" spans="6:26" ht="15" customHeight="1">
      <c r="F243" s="85"/>
      <c r="G243" s="85"/>
      <c r="H243" s="85"/>
      <c r="I243" s="85"/>
      <c r="J243" s="85"/>
      <c r="K243" s="85"/>
      <c r="L243" s="85"/>
      <c r="M243" s="85"/>
      <c r="N243" s="85"/>
      <c r="O243" s="85"/>
      <c r="P243" s="85"/>
      <c r="Q243" s="85"/>
      <c r="R243" s="85"/>
      <c r="S243" s="85"/>
      <c r="T243" s="85"/>
      <c r="U243" s="85"/>
      <c r="V243" s="85"/>
      <c r="W243" s="85"/>
      <c r="X243" s="85"/>
      <c r="Y243" s="85"/>
      <c r="Z243" s="85"/>
    </row>
    <row r="244" spans="6:26" ht="15" customHeight="1">
      <c r="F244" s="85"/>
      <c r="G244" s="85"/>
      <c r="H244" s="85"/>
      <c r="I244" s="85"/>
      <c r="J244" s="85"/>
      <c r="K244" s="85"/>
      <c r="L244" s="85"/>
      <c r="M244" s="85"/>
      <c r="N244" s="85"/>
      <c r="O244" s="85"/>
      <c r="P244" s="85"/>
      <c r="Q244" s="85"/>
      <c r="R244" s="85"/>
      <c r="S244" s="85"/>
      <c r="T244" s="85"/>
      <c r="U244" s="85"/>
      <c r="V244" s="85"/>
      <c r="W244" s="85"/>
      <c r="X244" s="85"/>
      <c r="Y244" s="85"/>
      <c r="Z244" s="85"/>
    </row>
    <row r="245" spans="6:26" ht="15" customHeight="1">
      <c r="F245" s="85"/>
      <c r="G245" s="85"/>
      <c r="H245" s="85"/>
      <c r="I245" s="85"/>
      <c r="J245" s="85"/>
      <c r="K245" s="85"/>
      <c r="L245" s="85"/>
      <c r="M245" s="85"/>
      <c r="N245" s="85"/>
      <c r="O245" s="85"/>
      <c r="P245" s="85"/>
      <c r="Q245" s="85"/>
      <c r="R245" s="85"/>
      <c r="S245" s="85"/>
      <c r="T245" s="85"/>
      <c r="U245" s="85"/>
      <c r="V245" s="85"/>
      <c r="W245" s="85"/>
      <c r="X245" s="85"/>
      <c r="Y245" s="85"/>
      <c r="Z245" s="85"/>
    </row>
    <row r="246" spans="6:26" ht="15" customHeight="1">
      <c r="F246" s="85"/>
      <c r="G246" s="85"/>
      <c r="H246" s="85"/>
      <c r="I246" s="85"/>
      <c r="J246" s="85"/>
      <c r="K246" s="85"/>
      <c r="L246" s="85"/>
      <c r="M246" s="85"/>
      <c r="N246" s="85"/>
      <c r="O246" s="85"/>
      <c r="P246" s="85"/>
      <c r="Q246" s="85"/>
      <c r="R246" s="85"/>
      <c r="S246" s="85"/>
      <c r="T246" s="85"/>
      <c r="U246" s="85"/>
      <c r="V246" s="85"/>
      <c r="W246" s="85"/>
      <c r="X246" s="85"/>
      <c r="Y246" s="85"/>
      <c r="Z246" s="85"/>
    </row>
    <row r="247" spans="6:26" ht="15" customHeight="1">
      <c r="F247" s="85"/>
      <c r="G247" s="85"/>
      <c r="H247" s="85"/>
      <c r="I247" s="85"/>
      <c r="J247" s="85"/>
      <c r="K247" s="85"/>
      <c r="L247" s="85"/>
      <c r="M247" s="85"/>
      <c r="N247" s="85"/>
      <c r="O247" s="85"/>
      <c r="P247" s="85"/>
      <c r="Q247" s="85"/>
      <c r="R247" s="85"/>
      <c r="S247" s="85"/>
      <c r="T247" s="85"/>
      <c r="U247" s="85"/>
      <c r="V247" s="85"/>
      <c r="W247" s="85"/>
      <c r="X247" s="85"/>
      <c r="Y247" s="85"/>
      <c r="Z247" s="85"/>
    </row>
    <row r="248" spans="6:26" ht="15" customHeight="1">
      <c r="F248" s="85"/>
      <c r="G248" s="85"/>
      <c r="H248" s="85"/>
      <c r="I248" s="85"/>
      <c r="J248" s="85"/>
      <c r="K248" s="85"/>
      <c r="L248" s="85"/>
      <c r="M248" s="85"/>
      <c r="N248" s="85"/>
      <c r="O248" s="85"/>
      <c r="P248" s="85"/>
      <c r="Q248" s="85"/>
      <c r="R248" s="85"/>
      <c r="S248" s="85"/>
      <c r="T248" s="85"/>
      <c r="U248" s="85"/>
      <c r="V248" s="85"/>
      <c r="W248" s="85"/>
      <c r="X248" s="85"/>
      <c r="Y248" s="85"/>
      <c r="Z248" s="85"/>
    </row>
    <row r="249" spans="6:26" ht="15" customHeight="1">
      <c r="F249" s="85"/>
      <c r="G249" s="85"/>
      <c r="H249" s="85"/>
      <c r="I249" s="85"/>
      <c r="J249" s="85"/>
      <c r="K249" s="85"/>
      <c r="L249" s="85"/>
      <c r="M249" s="85"/>
      <c r="N249" s="85"/>
      <c r="O249" s="85"/>
      <c r="P249" s="85"/>
      <c r="Q249" s="85"/>
      <c r="R249" s="85"/>
      <c r="S249" s="85"/>
      <c r="T249" s="85"/>
      <c r="U249" s="85"/>
      <c r="V249" s="85"/>
      <c r="W249" s="85"/>
      <c r="X249" s="85"/>
      <c r="Y249" s="85"/>
      <c r="Z249" s="85"/>
    </row>
    <row r="250" spans="6:26" ht="15" customHeight="1">
      <c r="F250" s="85"/>
      <c r="G250" s="85"/>
      <c r="H250" s="85"/>
      <c r="I250" s="85"/>
      <c r="J250" s="85"/>
      <c r="K250" s="85"/>
      <c r="L250" s="85"/>
      <c r="M250" s="85"/>
      <c r="N250" s="85"/>
      <c r="O250" s="85"/>
      <c r="P250" s="85"/>
      <c r="Q250" s="85"/>
      <c r="R250" s="85"/>
      <c r="S250" s="85"/>
      <c r="T250" s="85"/>
      <c r="U250" s="85"/>
      <c r="V250" s="85"/>
      <c r="W250" s="85"/>
      <c r="X250" s="85"/>
      <c r="Y250" s="85"/>
      <c r="Z250" s="85"/>
    </row>
    <row r="251" spans="6:26" ht="15" customHeight="1">
      <c r="F251" s="85"/>
      <c r="G251" s="85"/>
      <c r="H251" s="85"/>
      <c r="I251" s="85"/>
      <c r="J251" s="85"/>
      <c r="K251" s="85"/>
      <c r="L251" s="85"/>
      <c r="M251" s="85"/>
      <c r="N251" s="85"/>
      <c r="O251" s="85"/>
      <c r="P251" s="85"/>
      <c r="Q251" s="85"/>
      <c r="R251" s="85"/>
      <c r="S251" s="85"/>
      <c r="T251" s="85"/>
      <c r="U251" s="85"/>
      <c r="V251" s="85"/>
      <c r="W251" s="85"/>
      <c r="X251" s="85"/>
      <c r="Y251" s="85"/>
      <c r="Z251" s="85"/>
    </row>
    <row r="252" spans="6:26" ht="15" customHeight="1">
      <c r="F252" s="85"/>
      <c r="G252" s="85"/>
      <c r="H252" s="85"/>
      <c r="I252" s="85"/>
      <c r="J252" s="85"/>
      <c r="K252" s="85"/>
      <c r="L252" s="85"/>
      <c r="M252" s="85"/>
      <c r="N252" s="85"/>
      <c r="O252" s="85"/>
      <c r="P252" s="85"/>
      <c r="Q252" s="85"/>
      <c r="R252" s="85"/>
      <c r="S252" s="85"/>
      <c r="T252" s="85"/>
      <c r="U252" s="85"/>
      <c r="V252" s="85"/>
      <c r="W252" s="85"/>
      <c r="X252" s="85"/>
      <c r="Y252" s="85"/>
      <c r="Z252" s="85"/>
    </row>
    <row r="253" spans="6:26" ht="15" customHeight="1">
      <c r="F253" s="85"/>
      <c r="G253" s="85"/>
      <c r="H253" s="85"/>
      <c r="I253" s="85"/>
      <c r="J253" s="85"/>
      <c r="K253" s="85"/>
      <c r="L253" s="85"/>
      <c r="M253" s="85"/>
      <c r="N253" s="85"/>
      <c r="O253" s="85"/>
      <c r="P253" s="85"/>
      <c r="Q253" s="85"/>
      <c r="R253" s="85"/>
      <c r="S253" s="85"/>
      <c r="T253" s="85"/>
      <c r="U253" s="85"/>
      <c r="V253" s="85"/>
      <c r="W253" s="85"/>
      <c r="X253" s="85"/>
      <c r="Y253" s="85"/>
      <c r="Z253" s="85"/>
    </row>
    <row r="254" spans="6:26" ht="15" customHeight="1">
      <c r="F254" s="85"/>
      <c r="G254" s="85"/>
      <c r="H254" s="85"/>
      <c r="I254" s="85"/>
      <c r="J254" s="85"/>
      <c r="K254" s="85"/>
      <c r="L254" s="85"/>
      <c r="M254" s="85"/>
      <c r="N254" s="85"/>
      <c r="O254" s="85"/>
      <c r="P254" s="85"/>
      <c r="Q254" s="85"/>
      <c r="R254" s="85"/>
      <c r="S254" s="85"/>
      <c r="T254" s="85"/>
      <c r="U254" s="85"/>
      <c r="V254" s="85"/>
      <c r="W254" s="85"/>
      <c r="X254" s="85"/>
      <c r="Y254" s="85"/>
      <c r="Z254" s="85"/>
    </row>
    <row r="255" spans="6:26" ht="15" customHeight="1">
      <c r="F255" s="85"/>
      <c r="G255" s="85"/>
      <c r="H255" s="85"/>
      <c r="I255" s="85"/>
      <c r="J255" s="85"/>
      <c r="K255" s="85"/>
      <c r="L255" s="85"/>
      <c r="M255" s="85"/>
      <c r="N255" s="85"/>
      <c r="O255" s="85"/>
      <c r="P255" s="85"/>
      <c r="Q255" s="85"/>
      <c r="R255" s="85"/>
      <c r="S255" s="85"/>
      <c r="T255" s="85"/>
      <c r="U255" s="85"/>
      <c r="V255" s="85"/>
      <c r="W255" s="85"/>
      <c r="X255" s="85"/>
      <c r="Y255" s="85"/>
      <c r="Z255" s="85"/>
    </row>
    <row r="256" spans="6:26" ht="15" customHeight="1">
      <c r="F256" s="85"/>
      <c r="G256" s="85"/>
      <c r="H256" s="85"/>
      <c r="I256" s="85"/>
      <c r="J256" s="85"/>
      <c r="K256" s="85"/>
      <c r="L256" s="85"/>
      <c r="M256" s="85"/>
      <c r="N256" s="85"/>
      <c r="O256" s="85"/>
      <c r="P256" s="85"/>
      <c r="Q256" s="85"/>
      <c r="R256" s="85"/>
      <c r="S256" s="85"/>
      <c r="T256" s="85"/>
      <c r="U256" s="85"/>
      <c r="V256" s="85"/>
      <c r="W256" s="85"/>
      <c r="X256" s="85"/>
      <c r="Y256" s="85"/>
      <c r="Z256" s="85"/>
    </row>
    <row r="257" spans="6:26" ht="15" customHeight="1">
      <c r="F257" s="85"/>
      <c r="G257" s="85"/>
      <c r="H257" s="85"/>
      <c r="I257" s="85"/>
      <c r="J257" s="85"/>
      <c r="K257" s="85"/>
      <c r="L257" s="85"/>
      <c r="M257" s="85"/>
      <c r="N257" s="85"/>
      <c r="O257" s="85"/>
      <c r="P257" s="85"/>
      <c r="Q257" s="85"/>
      <c r="R257" s="85"/>
      <c r="S257" s="85"/>
      <c r="T257" s="85"/>
      <c r="U257" s="85"/>
      <c r="V257" s="85"/>
      <c r="W257" s="85"/>
      <c r="X257" s="85"/>
      <c r="Y257" s="85"/>
      <c r="Z257" s="85"/>
    </row>
    <row r="258" spans="6:26" ht="15" customHeight="1">
      <c r="F258" s="85"/>
      <c r="G258" s="85"/>
      <c r="H258" s="85"/>
      <c r="I258" s="85"/>
      <c r="J258" s="85"/>
      <c r="K258" s="85"/>
      <c r="L258" s="85"/>
      <c r="M258" s="85"/>
      <c r="N258" s="85"/>
      <c r="O258" s="85"/>
      <c r="P258" s="85"/>
      <c r="Q258" s="85"/>
      <c r="R258" s="85"/>
      <c r="S258" s="85"/>
      <c r="T258" s="85"/>
      <c r="U258" s="85"/>
      <c r="V258" s="85"/>
      <c r="W258" s="85"/>
      <c r="X258" s="85"/>
      <c r="Y258" s="85"/>
      <c r="Z258" s="85"/>
    </row>
    <row r="259" spans="6:26" ht="15" customHeight="1">
      <c r="F259" s="85"/>
      <c r="G259" s="85"/>
      <c r="H259" s="85"/>
      <c r="I259" s="85"/>
      <c r="J259" s="85"/>
      <c r="K259" s="85"/>
      <c r="L259" s="85"/>
      <c r="M259" s="85"/>
      <c r="N259" s="85"/>
      <c r="O259" s="85"/>
      <c r="P259" s="85"/>
      <c r="Q259" s="85"/>
      <c r="R259" s="85"/>
      <c r="S259" s="85"/>
      <c r="T259" s="85"/>
      <c r="U259" s="85"/>
      <c r="V259" s="85"/>
      <c r="W259" s="85"/>
      <c r="X259" s="85"/>
      <c r="Y259" s="85"/>
      <c r="Z259" s="85"/>
    </row>
    <row r="260" spans="6:26" ht="15" customHeight="1">
      <c r="F260" s="85"/>
      <c r="G260" s="85"/>
      <c r="H260" s="85"/>
      <c r="I260" s="85"/>
      <c r="J260" s="85"/>
      <c r="K260" s="85"/>
      <c r="L260" s="85"/>
      <c r="M260" s="85"/>
      <c r="N260" s="85"/>
      <c r="O260" s="85"/>
      <c r="P260" s="85"/>
      <c r="Q260" s="85"/>
      <c r="R260" s="85"/>
      <c r="S260" s="85"/>
      <c r="T260" s="85"/>
      <c r="U260" s="85"/>
      <c r="V260" s="85"/>
      <c r="W260" s="85"/>
      <c r="X260" s="85"/>
      <c r="Y260" s="85"/>
      <c r="Z260" s="85"/>
    </row>
    <row r="261" spans="6:26" ht="15" customHeight="1">
      <c r="F261" s="85"/>
      <c r="G261" s="85"/>
      <c r="H261" s="85"/>
      <c r="I261" s="85"/>
      <c r="J261" s="85"/>
      <c r="K261" s="85"/>
      <c r="L261" s="85"/>
      <c r="M261" s="85"/>
      <c r="N261" s="85"/>
      <c r="O261" s="85"/>
      <c r="P261" s="85"/>
      <c r="Q261" s="85"/>
      <c r="R261" s="85"/>
      <c r="S261" s="85"/>
      <c r="T261" s="85"/>
      <c r="U261" s="85"/>
      <c r="V261" s="85"/>
      <c r="W261" s="85"/>
      <c r="X261" s="85"/>
      <c r="Y261" s="85"/>
      <c r="Z261" s="85"/>
    </row>
    <row r="262" spans="6:26" ht="15" customHeight="1">
      <c r="F262" s="85"/>
      <c r="G262" s="85"/>
      <c r="H262" s="85"/>
      <c r="I262" s="85"/>
      <c r="J262" s="85"/>
      <c r="K262" s="85"/>
      <c r="L262" s="85"/>
      <c r="M262" s="85"/>
      <c r="N262" s="85"/>
      <c r="O262" s="85"/>
      <c r="P262" s="85"/>
      <c r="Q262" s="85"/>
      <c r="R262" s="85"/>
      <c r="S262" s="85"/>
      <c r="T262" s="85"/>
      <c r="U262" s="85"/>
      <c r="V262" s="85"/>
      <c r="W262" s="85"/>
      <c r="X262" s="85"/>
      <c r="Y262" s="85"/>
      <c r="Z262" s="85"/>
    </row>
    <row r="263" spans="6:26" ht="15" customHeight="1">
      <c r="F263" s="85"/>
      <c r="G263" s="85"/>
      <c r="H263" s="85"/>
      <c r="I263" s="85"/>
      <c r="J263" s="85"/>
      <c r="K263" s="85"/>
      <c r="L263" s="85"/>
      <c r="M263" s="85"/>
      <c r="N263" s="85"/>
      <c r="O263" s="85"/>
      <c r="P263" s="85"/>
      <c r="Q263" s="85"/>
      <c r="R263" s="85"/>
      <c r="S263" s="85"/>
      <c r="T263" s="85"/>
      <c r="U263" s="85"/>
      <c r="V263" s="85"/>
      <c r="W263" s="85"/>
      <c r="X263" s="85"/>
      <c r="Y263" s="85"/>
      <c r="Z263" s="85"/>
    </row>
    <row r="264" spans="6:26" ht="15" customHeight="1">
      <c r="F264" s="85"/>
      <c r="G264" s="85"/>
      <c r="H264" s="85"/>
      <c r="I264" s="85"/>
      <c r="J264" s="85"/>
      <c r="K264" s="85"/>
      <c r="L264" s="85"/>
      <c r="M264" s="85"/>
      <c r="N264" s="85"/>
      <c r="O264" s="85"/>
      <c r="P264" s="85"/>
      <c r="Q264" s="85"/>
      <c r="R264" s="85"/>
      <c r="S264" s="85"/>
      <c r="T264" s="85"/>
      <c r="U264" s="85"/>
      <c r="V264" s="85"/>
      <c r="W264" s="85"/>
      <c r="X264" s="85"/>
      <c r="Y264" s="85"/>
      <c r="Z264" s="85"/>
    </row>
    <row r="265" spans="6:26" ht="15" customHeight="1">
      <c r="F265" s="85"/>
      <c r="G265" s="85"/>
      <c r="H265" s="85"/>
      <c r="I265" s="85"/>
      <c r="J265" s="85"/>
      <c r="K265" s="85"/>
      <c r="L265" s="85"/>
      <c r="M265" s="85"/>
      <c r="N265" s="85"/>
      <c r="O265" s="85"/>
      <c r="P265" s="85"/>
      <c r="Q265" s="85"/>
      <c r="R265" s="85"/>
      <c r="S265" s="85"/>
      <c r="T265" s="85"/>
      <c r="U265" s="85"/>
      <c r="V265" s="85"/>
      <c r="W265" s="85"/>
      <c r="X265" s="85"/>
      <c r="Y265" s="85"/>
      <c r="Z265" s="85"/>
    </row>
    <row r="266" spans="6:26" ht="15" customHeight="1">
      <c r="F266" s="85"/>
      <c r="G266" s="85"/>
      <c r="H266" s="85"/>
      <c r="I266" s="85"/>
      <c r="J266" s="85"/>
      <c r="K266" s="85"/>
      <c r="L266" s="85"/>
      <c r="M266" s="85"/>
      <c r="N266" s="85"/>
      <c r="O266" s="85"/>
      <c r="P266" s="85"/>
      <c r="Q266" s="85"/>
      <c r="R266" s="85"/>
      <c r="S266" s="85"/>
      <c r="T266" s="85"/>
      <c r="U266" s="85"/>
      <c r="V266" s="85"/>
      <c r="W266" s="85"/>
      <c r="X266" s="85"/>
      <c r="Y266" s="85"/>
      <c r="Z266" s="85"/>
    </row>
    <row r="267" spans="6:26" ht="15" customHeight="1">
      <c r="F267" s="85"/>
      <c r="G267" s="85"/>
      <c r="H267" s="85"/>
      <c r="I267" s="85"/>
      <c r="J267" s="85"/>
      <c r="K267" s="85"/>
      <c r="L267" s="85"/>
      <c r="M267" s="85"/>
      <c r="N267" s="85"/>
      <c r="O267" s="85"/>
      <c r="P267" s="85"/>
      <c r="Q267" s="85"/>
      <c r="R267" s="85"/>
      <c r="S267" s="85"/>
      <c r="T267" s="85"/>
      <c r="U267" s="85"/>
      <c r="V267" s="85"/>
      <c r="W267" s="85"/>
      <c r="X267" s="85"/>
      <c r="Y267" s="85"/>
      <c r="Z267" s="85"/>
    </row>
    <row r="268" spans="6:26" ht="15" customHeight="1">
      <c r="F268" s="85"/>
      <c r="G268" s="85"/>
      <c r="H268" s="85"/>
      <c r="I268" s="85"/>
      <c r="J268" s="85"/>
      <c r="K268" s="85"/>
      <c r="L268" s="85"/>
      <c r="M268" s="85"/>
      <c r="N268" s="85"/>
      <c r="O268" s="85"/>
      <c r="P268" s="85"/>
      <c r="Q268" s="85"/>
      <c r="R268" s="85"/>
      <c r="S268" s="85"/>
      <c r="T268" s="85"/>
      <c r="U268" s="85"/>
      <c r="V268" s="85"/>
      <c r="W268" s="85"/>
      <c r="X268" s="85"/>
      <c r="Y268" s="85"/>
      <c r="Z268" s="85"/>
    </row>
    <row r="269" spans="6:26" ht="15" customHeight="1">
      <c r="F269" s="85"/>
      <c r="G269" s="85"/>
      <c r="H269" s="85"/>
      <c r="I269" s="85"/>
      <c r="J269" s="85"/>
      <c r="K269" s="85"/>
      <c r="L269" s="85"/>
      <c r="M269" s="85"/>
      <c r="N269" s="85"/>
      <c r="O269" s="85"/>
      <c r="P269" s="85"/>
      <c r="Q269" s="85"/>
      <c r="R269" s="85"/>
      <c r="S269" s="85"/>
      <c r="T269" s="85"/>
      <c r="U269" s="85"/>
      <c r="V269" s="85"/>
      <c r="W269" s="85"/>
      <c r="X269" s="85"/>
      <c r="Y269" s="85"/>
      <c r="Z269" s="85"/>
    </row>
    <row r="270" spans="6:26" ht="15" customHeight="1">
      <c r="F270" s="85"/>
      <c r="G270" s="85"/>
      <c r="H270" s="85"/>
      <c r="I270" s="85"/>
      <c r="J270" s="85"/>
      <c r="K270" s="85"/>
      <c r="L270" s="85"/>
      <c r="M270" s="85"/>
      <c r="N270" s="85"/>
      <c r="O270" s="85"/>
      <c r="P270" s="85"/>
      <c r="Q270" s="85"/>
      <c r="R270" s="85"/>
      <c r="S270" s="85"/>
      <c r="T270" s="85"/>
      <c r="U270" s="85"/>
      <c r="V270" s="85"/>
      <c r="W270" s="85"/>
      <c r="X270" s="85"/>
      <c r="Y270" s="85"/>
      <c r="Z270" s="85"/>
    </row>
    <row r="271" spans="6:26" ht="15" customHeight="1">
      <c r="F271" s="85"/>
      <c r="G271" s="85"/>
      <c r="H271" s="85"/>
      <c r="I271" s="85"/>
      <c r="J271" s="85"/>
      <c r="K271" s="85"/>
      <c r="L271" s="85"/>
      <c r="M271" s="85"/>
      <c r="N271" s="85"/>
      <c r="O271" s="85"/>
      <c r="P271" s="85"/>
      <c r="Q271" s="85"/>
      <c r="R271" s="85"/>
      <c r="S271" s="85"/>
      <c r="T271" s="85"/>
      <c r="U271" s="85"/>
      <c r="V271" s="85"/>
      <c r="W271" s="85"/>
      <c r="X271" s="85"/>
      <c r="Y271" s="85"/>
      <c r="Z271" s="85"/>
    </row>
    <row r="272" spans="6:26" ht="15" customHeight="1">
      <c r="F272" s="85"/>
      <c r="G272" s="85"/>
      <c r="H272" s="85"/>
      <c r="I272" s="85"/>
      <c r="J272" s="85"/>
      <c r="K272" s="85"/>
      <c r="L272" s="85"/>
      <c r="M272" s="85"/>
      <c r="N272" s="85"/>
      <c r="O272" s="85"/>
      <c r="P272" s="85"/>
      <c r="Q272" s="85"/>
      <c r="R272" s="85"/>
      <c r="S272" s="85"/>
      <c r="T272" s="85"/>
      <c r="U272" s="85"/>
      <c r="V272" s="85"/>
      <c r="W272" s="85"/>
      <c r="X272" s="85"/>
      <c r="Y272" s="85"/>
      <c r="Z272" s="85"/>
    </row>
    <row r="273" spans="6:26" ht="15" customHeight="1">
      <c r="F273" s="85"/>
      <c r="G273" s="85"/>
      <c r="H273" s="85"/>
      <c r="I273" s="85"/>
      <c r="J273" s="85"/>
      <c r="K273" s="85"/>
      <c r="L273" s="85"/>
      <c r="M273" s="85"/>
      <c r="N273" s="85"/>
      <c r="O273" s="85"/>
      <c r="P273" s="85"/>
      <c r="Q273" s="85"/>
      <c r="R273" s="85"/>
      <c r="S273" s="85"/>
      <c r="T273" s="85"/>
      <c r="U273" s="85"/>
      <c r="V273" s="85"/>
      <c r="W273" s="85"/>
      <c r="X273" s="85"/>
      <c r="Y273" s="85"/>
      <c r="Z273" s="85"/>
    </row>
    <row r="274" spans="6:26" ht="15" customHeight="1">
      <c r="F274" s="85"/>
      <c r="G274" s="85"/>
      <c r="H274" s="85"/>
      <c r="I274" s="85"/>
      <c r="J274" s="85"/>
      <c r="K274" s="85"/>
      <c r="L274" s="85"/>
      <c r="M274" s="85"/>
      <c r="N274" s="85"/>
      <c r="O274" s="85"/>
      <c r="P274" s="85"/>
      <c r="Q274" s="85"/>
      <c r="R274" s="85"/>
      <c r="S274" s="85"/>
      <c r="T274" s="85"/>
      <c r="U274" s="85"/>
      <c r="V274" s="85"/>
      <c r="W274" s="85"/>
      <c r="X274" s="85"/>
      <c r="Y274" s="85"/>
      <c r="Z274" s="85"/>
    </row>
    <row r="275" spans="6:26" ht="15" customHeight="1">
      <c r="F275" s="85"/>
      <c r="G275" s="85"/>
      <c r="H275" s="85"/>
      <c r="I275" s="85"/>
      <c r="J275" s="85"/>
      <c r="K275" s="85"/>
      <c r="L275" s="85"/>
      <c r="M275" s="85"/>
      <c r="N275" s="85"/>
      <c r="O275" s="85"/>
      <c r="P275" s="85"/>
      <c r="Q275" s="85"/>
      <c r="R275" s="85"/>
      <c r="S275" s="85"/>
      <c r="T275" s="85"/>
      <c r="U275" s="85"/>
      <c r="V275" s="85"/>
      <c r="W275" s="85"/>
      <c r="X275" s="85"/>
      <c r="Y275" s="85"/>
      <c r="Z275" s="85"/>
    </row>
    <row r="276" spans="6:26" ht="15" customHeight="1">
      <c r="F276" s="85"/>
      <c r="G276" s="85"/>
      <c r="H276" s="85"/>
      <c r="I276" s="85"/>
      <c r="J276" s="85"/>
      <c r="K276" s="85"/>
      <c r="L276" s="85"/>
      <c r="M276" s="85"/>
      <c r="N276" s="85"/>
      <c r="O276" s="85"/>
      <c r="P276" s="85"/>
      <c r="Q276" s="85"/>
      <c r="R276" s="85"/>
      <c r="S276" s="85"/>
      <c r="T276" s="85"/>
      <c r="U276" s="85"/>
      <c r="V276" s="85"/>
      <c r="W276" s="85"/>
      <c r="X276" s="85"/>
      <c r="Y276" s="85"/>
      <c r="Z276" s="85"/>
    </row>
    <row r="277" spans="6:26" ht="15" customHeight="1">
      <c r="F277" s="85"/>
      <c r="G277" s="85"/>
      <c r="H277" s="85"/>
      <c r="I277" s="85"/>
      <c r="J277" s="85"/>
      <c r="K277" s="85"/>
      <c r="L277" s="85"/>
      <c r="M277" s="85"/>
      <c r="N277" s="85"/>
      <c r="O277" s="85"/>
      <c r="P277" s="85"/>
      <c r="Q277" s="85"/>
      <c r="R277" s="85"/>
      <c r="S277" s="85"/>
      <c r="T277" s="85"/>
      <c r="U277" s="85"/>
      <c r="V277" s="85"/>
      <c r="W277" s="85"/>
      <c r="X277" s="85"/>
      <c r="Y277" s="85"/>
      <c r="Z277" s="85"/>
    </row>
    <row r="278" spans="6:26" ht="15" customHeight="1">
      <c r="F278" s="85"/>
      <c r="G278" s="85"/>
      <c r="H278" s="85"/>
      <c r="I278" s="85"/>
      <c r="J278" s="85"/>
      <c r="K278" s="85"/>
      <c r="L278" s="85"/>
      <c r="M278" s="85"/>
      <c r="N278" s="85"/>
      <c r="O278" s="85"/>
      <c r="P278" s="85"/>
      <c r="Q278" s="85"/>
      <c r="R278" s="85"/>
      <c r="S278" s="85"/>
      <c r="T278" s="85"/>
      <c r="U278" s="85"/>
      <c r="V278" s="85"/>
      <c r="W278" s="85"/>
      <c r="X278" s="85"/>
      <c r="Y278" s="85"/>
      <c r="Z278" s="85"/>
    </row>
    <row r="279" spans="6:26" ht="15" customHeight="1">
      <c r="F279" s="85"/>
      <c r="G279" s="85"/>
      <c r="H279" s="85"/>
      <c r="I279" s="85"/>
      <c r="J279" s="85"/>
      <c r="K279" s="85"/>
      <c r="L279" s="85"/>
      <c r="M279" s="85"/>
      <c r="N279" s="85"/>
      <c r="O279" s="85"/>
      <c r="P279" s="85"/>
      <c r="Q279" s="85"/>
      <c r="R279" s="85"/>
      <c r="S279" s="85"/>
      <c r="T279" s="85"/>
      <c r="U279" s="85"/>
      <c r="V279" s="85"/>
      <c r="W279" s="85"/>
      <c r="X279" s="85"/>
      <c r="Y279" s="85"/>
      <c r="Z279" s="85"/>
    </row>
    <row r="280" spans="6:26" ht="15" customHeight="1">
      <c r="F280" s="85"/>
      <c r="G280" s="85"/>
      <c r="H280" s="85"/>
      <c r="I280" s="85"/>
      <c r="J280" s="85"/>
      <c r="K280" s="85"/>
      <c r="L280" s="85"/>
      <c r="M280" s="85"/>
      <c r="N280" s="85"/>
      <c r="O280" s="85"/>
      <c r="P280" s="85"/>
      <c r="Q280" s="85"/>
      <c r="R280" s="85"/>
      <c r="S280" s="85"/>
      <c r="T280" s="85"/>
      <c r="U280" s="85"/>
      <c r="V280" s="85"/>
      <c r="W280" s="85"/>
      <c r="X280" s="85"/>
      <c r="Y280" s="85"/>
      <c r="Z280" s="85"/>
    </row>
    <row r="281" spans="6:26" ht="15" customHeight="1">
      <c r="F281" s="85"/>
      <c r="G281" s="85"/>
      <c r="H281" s="85"/>
      <c r="I281" s="85"/>
      <c r="J281" s="85"/>
      <c r="K281" s="85"/>
      <c r="L281" s="85"/>
      <c r="M281" s="85"/>
      <c r="N281" s="85"/>
      <c r="O281" s="85"/>
      <c r="P281" s="85"/>
      <c r="Q281" s="85"/>
      <c r="R281" s="85"/>
      <c r="S281" s="85"/>
      <c r="T281" s="85"/>
      <c r="U281" s="85"/>
      <c r="V281" s="85"/>
      <c r="W281" s="85"/>
      <c r="X281" s="85"/>
      <c r="Y281" s="85"/>
      <c r="Z281" s="85"/>
    </row>
    <row r="282" spans="6:26" ht="15" customHeight="1">
      <c r="F282" s="85"/>
      <c r="G282" s="85"/>
      <c r="H282" s="85"/>
      <c r="I282" s="85"/>
      <c r="J282" s="85"/>
      <c r="K282" s="85"/>
      <c r="L282" s="85"/>
      <c r="M282" s="85"/>
      <c r="N282" s="85"/>
      <c r="O282" s="85"/>
      <c r="P282" s="85"/>
      <c r="Q282" s="85"/>
      <c r="R282" s="85"/>
      <c r="S282" s="85"/>
      <c r="T282" s="85"/>
      <c r="U282" s="85"/>
      <c r="V282" s="85"/>
      <c r="W282" s="85"/>
      <c r="X282" s="85"/>
      <c r="Y282" s="85"/>
      <c r="Z282" s="85"/>
    </row>
    <row r="283" spans="6:26" ht="15" customHeight="1">
      <c r="F283" s="85"/>
      <c r="G283" s="85"/>
      <c r="H283" s="85"/>
      <c r="I283" s="85"/>
      <c r="J283" s="85"/>
      <c r="K283" s="85"/>
      <c r="L283" s="85"/>
      <c r="M283" s="85"/>
      <c r="N283" s="85"/>
      <c r="O283" s="85"/>
      <c r="P283" s="85"/>
      <c r="Q283" s="85"/>
      <c r="R283" s="85"/>
      <c r="S283" s="85"/>
      <c r="T283" s="85"/>
      <c r="U283" s="85"/>
      <c r="V283" s="85"/>
      <c r="W283" s="85"/>
      <c r="X283" s="85"/>
      <c r="Y283" s="85"/>
      <c r="Z283" s="85"/>
    </row>
    <row r="284" spans="6:26" ht="15" customHeight="1">
      <c r="F284" s="85"/>
      <c r="G284" s="85"/>
      <c r="H284" s="85"/>
      <c r="I284" s="85"/>
      <c r="J284" s="85"/>
      <c r="K284" s="85"/>
      <c r="L284" s="85"/>
      <c r="M284" s="85"/>
      <c r="N284" s="85"/>
      <c r="O284" s="85"/>
      <c r="P284" s="85"/>
      <c r="Q284" s="85"/>
      <c r="R284" s="85"/>
      <c r="S284" s="85"/>
      <c r="T284" s="85"/>
      <c r="U284" s="85"/>
      <c r="V284" s="85"/>
      <c r="W284" s="85"/>
      <c r="X284" s="85"/>
      <c r="Y284" s="85"/>
      <c r="Z284" s="85"/>
    </row>
    <row r="285" spans="6:26" ht="15" customHeight="1">
      <c r="F285" s="85"/>
      <c r="G285" s="85"/>
      <c r="H285" s="85"/>
      <c r="I285" s="85"/>
      <c r="J285" s="85"/>
      <c r="K285" s="85"/>
      <c r="L285" s="85"/>
      <c r="M285" s="85"/>
      <c r="N285" s="85"/>
      <c r="O285" s="85"/>
      <c r="P285" s="85"/>
      <c r="Q285" s="85"/>
      <c r="R285" s="85"/>
      <c r="S285" s="85"/>
      <c r="T285" s="85"/>
      <c r="U285" s="85"/>
      <c r="V285" s="85"/>
      <c r="W285" s="85"/>
      <c r="X285" s="85"/>
      <c r="Y285" s="85"/>
      <c r="Z285" s="85"/>
    </row>
    <row r="286" spans="6:26" ht="15" customHeight="1">
      <c r="F286" s="85"/>
      <c r="G286" s="85"/>
      <c r="H286" s="85"/>
      <c r="I286" s="85"/>
      <c r="J286" s="85"/>
      <c r="K286" s="85"/>
      <c r="L286" s="85"/>
      <c r="M286" s="85"/>
      <c r="N286" s="85"/>
      <c r="O286" s="85"/>
      <c r="P286" s="85"/>
      <c r="Q286" s="85"/>
      <c r="R286" s="85"/>
      <c r="S286" s="85"/>
      <c r="T286" s="85"/>
      <c r="U286" s="85"/>
      <c r="V286" s="85"/>
      <c r="W286" s="85"/>
      <c r="X286" s="85"/>
      <c r="Y286" s="85"/>
      <c r="Z286" s="85"/>
    </row>
    <row r="287" spans="6:26" ht="15" customHeight="1">
      <c r="F287" s="85"/>
      <c r="G287" s="85"/>
      <c r="H287" s="85"/>
      <c r="I287" s="85"/>
      <c r="J287" s="85"/>
      <c r="K287" s="85"/>
      <c r="L287" s="85"/>
      <c r="M287" s="85"/>
      <c r="N287" s="85"/>
      <c r="O287" s="85"/>
      <c r="P287" s="85"/>
      <c r="Q287" s="85"/>
      <c r="R287" s="85"/>
      <c r="S287" s="85"/>
      <c r="T287" s="85"/>
      <c r="U287" s="85"/>
      <c r="V287" s="85"/>
      <c r="W287" s="85"/>
      <c r="X287" s="85"/>
      <c r="Y287" s="85"/>
      <c r="Z287" s="85"/>
    </row>
    <row r="288" spans="6:26" ht="15" customHeight="1">
      <c r="F288" s="85"/>
      <c r="G288" s="85"/>
      <c r="H288" s="85"/>
      <c r="I288" s="85"/>
      <c r="J288" s="85"/>
      <c r="K288" s="85"/>
      <c r="L288" s="85"/>
      <c r="M288" s="85"/>
      <c r="N288" s="85"/>
      <c r="O288" s="85"/>
      <c r="P288" s="85"/>
      <c r="Q288" s="85"/>
      <c r="R288" s="85"/>
      <c r="S288" s="85"/>
      <c r="T288" s="85"/>
      <c r="U288" s="85"/>
      <c r="V288" s="85"/>
      <c r="W288" s="85"/>
      <c r="X288" s="85"/>
      <c r="Y288" s="85"/>
      <c r="Z288" s="85"/>
    </row>
    <row r="289" spans="6:26" ht="15" customHeight="1">
      <c r="F289" s="85"/>
      <c r="G289" s="85"/>
      <c r="H289" s="85"/>
      <c r="I289" s="85"/>
      <c r="J289" s="85"/>
      <c r="K289" s="85"/>
      <c r="L289" s="85"/>
      <c r="M289" s="85"/>
      <c r="N289" s="85"/>
      <c r="O289" s="85"/>
      <c r="P289" s="85"/>
      <c r="Q289" s="85"/>
      <c r="R289" s="85"/>
      <c r="S289" s="85"/>
      <c r="T289" s="85"/>
      <c r="U289" s="85"/>
      <c r="V289" s="85"/>
      <c r="W289" s="85"/>
      <c r="X289" s="85"/>
      <c r="Y289" s="85"/>
      <c r="Z289" s="85"/>
    </row>
    <row r="290" spans="6:26" ht="15" customHeight="1">
      <c r="F290" s="85"/>
      <c r="G290" s="85"/>
      <c r="H290" s="85"/>
      <c r="I290" s="85"/>
      <c r="J290" s="85"/>
      <c r="K290" s="85"/>
      <c r="L290" s="85"/>
      <c r="M290" s="85"/>
      <c r="N290" s="85"/>
      <c r="O290" s="85"/>
      <c r="P290" s="85"/>
      <c r="Q290" s="85"/>
      <c r="R290" s="85"/>
      <c r="S290" s="85"/>
      <c r="T290" s="85"/>
      <c r="U290" s="85"/>
      <c r="V290" s="85"/>
      <c r="W290" s="85"/>
      <c r="X290" s="85"/>
      <c r="Y290" s="85"/>
      <c r="Z290" s="85"/>
    </row>
    <row r="291" spans="6:26" ht="15" customHeight="1">
      <c r="F291" s="85"/>
      <c r="G291" s="85"/>
      <c r="H291" s="85"/>
      <c r="I291" s="85"/>
      <c r="J291" s="85"/>
      <c r="K291" s="85"/>
      <c r="L291" s="85"/>
      <c r="M291" s="85"/>
      <c r="N291" s="85"/>
      <c r="O291" s="85"/>
      <c r="P291" s="85"/>
      <c r="Q291" s="85"/>
      <c r="R291" s="85"/>
      <c r="S291" s="85"/>
      <c r="T291" s="85"/>
      <c r="U291" s="85"/>
      <c r="V291" s="85"/>
      <c r="W291" s="85"/>
      <c r="X291" s="85"/>
      <c r="Y291" s="85"/>
      <c r="Z291" s="85"/>
    </row>
    <row r="292" spans="6:26" ht="15" customHeight="1">
      <c r="F292" s="85"/>
      <c r="G292" s="85"/>
      <c r="H292" s="85"/>
      <c r="I292" s="85"/>
      <c r="J292" s="85"/>
      <c r="K292" s="85"/>
      <c r="L292" s="85"/>
      <c r="M292" s="85"/>
      <c r="N292" s="85"/>
      <c r="O292" s="85"/>
      <c r="P292" s="85"/>
      <c r="Q292" s="85"/>
      <c r="R292" s="85"/>
      <c r="S292" s="85"/>
      <c r="T292" s="85"/>
      <c r="U292" s="85"/>
      <c r="V292" s="85"/>
      <c r="W292" s="85"/>
      <c r="X292" s="85"/>
      <c r="Y292" s="85"/>
      <c r="Z292" s="85"/>
    </row>
    <row r="293" spans="6:26" ht="15" customHeight="1">
      <c r="F293" s="85"/>
      <c r="G293" s="85"/>
      <c r="H293" s="85"/>
      <c r="I293" s="85"/>
      <c r="J293" s="85"/>
      <c r="K293" s="85"/>
      <c r="L293" s="85"/>
      <c r="M293" s="85"/>
      <c r="N293" s="85"/>
      <c r="O293" s="85"/>
      <c r="P293" s="85"/>
      <c r="Q293" s="85"/>
      <c r="R293" s="85"/>
      <c r="S293" s="85"/>
      <c r="T293" s="85"/>
      <c r="U293" s="85"/>
      <c r="V293" s="85"/>
      <c r="W293" s="85"/>
      <c r="X293" s="85"/>
      <c r="Y293" s="85"/>
      <c r="Z293" s="85"/>
    </row>
    <row r="294" spans="6:26" ht="15" customHeight="1">
      <c r="F294" s="85"/>
      <c r="G294" s="85"/>
      <c r="H294" s="85"/>
      <c r="I294" s="85"/>
      <c r="J294" s="85"/>
      <c r="K294" s="85"/>
      <c r="L294" s="85"/>
      <c r="M294" s="85"/>
      <c r="N294" s="85"/>
      <c r="O294" s="85"/>
      <c r="P294" s="85"/>
      <c r="Q294" s="85"/>
      <c r="R294" s="85"/>
      <c r="S294" s="85"/>
      <c r="T294" s="85"/>
      <c r="U294" s="85"/>
      <c r="V294" s="85"/>
      <c r="W294" s="85"/>
      <c r="X294" s="85"/>
      <c r="Y294" s="85"/>
      <c r="Z294" s="85"/>
    </row>
    <row r="295" spans="6:26" ht="15" customHeight="1">
      <c r="F295" s="85"/>
      <c r="G295" s="85"/>
      <c r="H295" s="85"/>
      <c r="I295" s="85"/>
      <c r="J295" s="85"/>
      <c r="K295" s="85"/>
      <c r="L295" s="85"/>
      <c r="M295" s="85"/>
      <c r="N295" s="85"/>
      <c r="O295" s="85"/>
      <c r="P295" s="85"/>
      <c r="Q295" s="85"/>
      <c r="R295" s="85"/>
      <c r="S295" s="85"/>
      <c r="T295" s="85"/>
      <c r="U295" s="85"/>
      <c r="V295" s="85"/>
      <c r="W295" s="85"/>
      <c r="X295" s="85"/>
      <c r="Y295" s="85"/>
      <c r="Z295" s="85"/>
    </row>
    <row r="296" spans="6:26" ht="15" customHeight="1">
      <c r="F296" s="85"/>
      <c r="G296" s="85"/>
      <c r="H296" s="85"/>
      <c r="I296" s="85"/>
      <c r="J296" s="85"/>
      <c r="K296" s="85"/>
      <c r="L296" s="85"/>
      <c r="M296" s="85"/>
      <c r="N296" s="85"/>
      <c r="O296" s="85"/>
      <c r="P296" s="85"/>
      <c r="Q296" s="85"/>
      <c r="R296" s="85"/>
      <c r="S296" s="85"/>
      <c r="T296" s="85"/>
      <c r="U296" s="85"/>
      <c r="V296" s="85"/>
      <c r="W296" s="85"/>
      <c r="X296" s="85"/>
      <c r="Y296" s="85"/>
      <c r="Z296" s="85"/>
    </row>
    <row r="297" spans="6:26" ht="15" customHeight="1">
      <c r="F297" s="85"/>
      <c r="G297" s="85"/>
      <c r="H297" s="85"/>
      <c r="I297" s="85"/>
      <c r="J297" s="85"/>
      <c r="K297" s="85"/>
      <c r="L297" s="85"/>
      <c r="M297" s="85"/>
      <c r="N297" s="85"/>
      <c r="O297" s="85"/>
      <c r="P297" s="85"/>
      <c r="Q297" s="85"/>
      <c r="R297" s="85"/>
      <c r="S297" s="85"/>
      <c r="T297" s="85"/>
      <c r="U297" s="85"/>
      <c r="V297" s="85"/>
      <c r="W297" s="85"/>
      <c r="X297" s="85"/>
      <c r="Y297" s="85"/>
      <c r="Z297" s="85"/>
    </row>
    <row r="298" spans="6:26" ht="15" customHeight="1">
      <c r="F298" s="85"/>
      <c r="G298" s="85"/>
      <c r="H298" s="85"/>
      <c r="I298" s="85"/>
      <c r="J298" s="85"/>
      <c r="K298" s="85"/>
      <c r="L298" s="85"/>
      <c r="M298" s="85"/>
      <c r="N298" s="85"/>
      <c r="O298" s="85"/>
      <c r="P298" s="85"/>
      <c r="Q298" s="85"/>
      <c r="R298" s="85"/>
      <c r="S298" s="85"/>
      <c r="T298" s="85"/>
      <c r="U298" s="85"/>
      <c r="V298" s="85"/>
      <c r="W298" s="85"/>
      <c r="X298" s="85"/>
      <c r="Y298" s="85"/>
      <c r="Z298" s="85"/>
    </row>
    <row r="299" spans="6:26" ht="15" customHeight="1">
      <c r="F299" s="85"/>
      <c r="G299" s="85"/>
      <c r="H299" s="85"/>
      <c r="I299" s="85"/>
      <c r="J299" s="85"/>
      <c r="K299" s="85"/>
      <c r="L299" s="85"/>
      <c r="M299" s="85"/>
      <c r="N299" s="85"/>
      <c r="O299" s="85"/>
      <c r="P299" s="85"/>
      <c r="Q299" s="85"/>
      <c r="R299" s="85"/>
      <c r="S299" s="85"/>
      <c r="T299" s="85"/>
      <c r="U299" s="85"/>
      <c r="V299" s="85"/>
      <c r="W299" s="85"/>
      <c r="X299" s="85"/>
      <c r="Y299" s="85"/>
      <c r="Z299" s="85"/>
    </row>
    <row r="300" spans="6:26" ht="15" customHeight="1">
      <c r="F300" s="85"/>
      <c r="G300" s="85"/>
      <c r="H300" s="85"/>
      <c r="I300" s="85"/>
      <c r="J300" s="85"/>
      <c r="K300" s="85"/>
      <c r="L300" s="85"/>
      <c r="M300" s="85"/>
      <c r="N300" s="85"/>
      <c r="O300" s="85"/>
      <c r="P300" s="85"/>
      <c r="Q300" s="85"/>
      <c r="R300" s="85"/>
      <c r="S300" s="85"/>
      <c r="T300" s="85"/>
      <c r="U300" s="85"/>
      <c r="V300" s="85"/>
      <c r="W300" s="85"/>
      <c r="X300" s="85"/>
      <c r="Y300" s="85"/>
      <c r="Z300" s="85"/>
    </row>
    <row r="301" spans="6:26" ht="15" customHeight="1">
      <c r="F301" s="85"/>
      <c r="G301" s="85"/>
      <c r="H301" s="85"/>
      <c r="I301" s="85"/>
      <c r="J301" s="85"/>
      <c r="K301" s="85"/>
      <c r="L301" s="85"/>
      <c r="M301" s="85"/>
      <c r="N301" s="85"/>
      <c r="O301" s="85"/>
      <c r="P301" s="85"/>
      <c r="Q301" s="85"/>
      <c r="R301" s="85"/>
      <c r="S301" s="85"/>
      <c r="T301" s="85"/>
      <c r="U301" s="85"/>
      <c r="V301" s="85"/>
      <c r="W301" s="85"/>
      <c r="X301" s="85"/>
      <c r="Y301" s="85"/>
      <c r="Z301" s="85"/>
    </row>
    <row r="302" spans="6:26" ht="15" customHeight="1">
      <c r="F302" s="85"/>
      <c r="G302" s="85"/>
      <c r="H302" s="85"/>
      <c r="I302" s="85"/>
      <c r="J302" s="85"/>
      <c r="K302" s="85"/>
      <c r="L302" s="85"/>
      <c r="M302" s="85"/>
      <c r="N302" s="85"/>
      <c r="O302" s="85"/>
      <c r="P302" s="85"/>
      <c r="Q302" s="85"/>
      <c r="R302" s="85"/>
      <c r="S302" s="85"/>
      <c r="T302" s="85"/>
      <c r="U302" s="85"/>
      <c r="V302" s="85"/>
      <c r="W302" s="85"/>
      <c r="X302" s="85"/>
      <c r="Y302" s="85"/>
      <c r="Z302" s="85"/>
    </row>
    <row r="303" spans="6:26" ht="15" customHeight="1">
      <c r="F303" s="85"/>
      <c r="G303" s="85"/>
      <c r="H303" s="85"/>
      <c r="I303" s="85"/>
      <c r="J303" s="85"/>
      <c r="K303" s="85"/>
      <c r="L303" s="85"/>
      <c r="M303" s="85"/>
      <c r="N303" s="85"/>
      <c r="O303" s="85"/>
      <c r="P303" s="85"/>
      <c r="Q303" s="85"/>
      <c r="R303" s="85"/>
      <c r="S303" s="85"/>
      <c r="T303" s="85"/>
      <c r="U303" s="85"/>
      <c r="V303" s="85"/>
      <c r="W303" s="85"/>
      <c r="X303" s="85"/>
      <c r="Y303" s="85"/>
      <c r="Z303" s="85"/>
    </row>
    <row r="304" spans="6:26" ht="15" customHeight="1">
      <c r="F304" s="85"/>
      <c r="G304" s="85"/>
      <c r="H304" s="85"/>
      <c r="I304" s="85"/>
      <c r="J304" s="85"/>
      <c r="K304" s="85"/>
      <c r="L304" s="85"/>
      <c r="M304" s="85"/>
      <c r="N304" s="85"/>
      <c r="O304" s="85"/>
      <c r="P304" s="85"/>
      <c r="Q304" s="85"/>
      <c r="R304" s="85"/>
      <c r="S304" s="85"/>
      <c r="T304" s="85"/>
      <c r="U304" s="85"/>
      <c r="V304" s="85"/>
      <c r="W304" s="85"/>
      <c r="X304" s="85"/>
      <c r="Y304" s="85"/>
      <c r="Z304" s="85"/>
    </row>
    <row r="305" spans="6:26" ht="15" customHeight="1">
      <c r="F305" s="85"/>
      <c r="G305" s="85"/>
      <c r="H305" s="85"/>
      <c r="I305" s="85"/>
      <c r="J305" s="85"/>
      <c r="K305" s="85"/>
      <c r="L305" s="85"/>
      <c r="M305" s="85"/>
      <c r="N305" s="85"/>
      <c r="O305" s="85"/>
      <c r="P305" s="85"/>
      <c r="Q305" s="85"/>
      <c r="R305" s="85"/>
      <c r="S305" s="85"/>
      <c r="T305" s="85"/>
      <c r="U305" s="85"/>
      <c r="V305" s="85"/>
      <c r="W305" s="85"/>
      <c r="X305" s="85"/>
      <c r="Y305" s="85"/>
      <c r="Z305" s="85"/>
    </row>
    <row r="306" spans="6:26" ht="15" customHeight="1">
      <c r="F306" s="85"/>
      <c r="G306" s="85"/>
      <c r="H306" s="85"/>
      <c r="I306" s="85"/>
      <c r="J306" s="85"/>
      <c r="K306" s="85"/>
      <c r="L306" s="85"/>
      <c r="M306" s="85"/>
      <c r="N306" s="85"/>
      <c r="O306" s="85"/>
      <c r="P306" s="85"/>
      <c r="Q306" s="85"/>
      <c r="R306" s="85"/>
      <c r="S306" s="85"/>
      <c r="T306" s="85"/>
      <c r="U306" s="85"/>
      <c r="V306" s="85"/>
      <c r="W306" s="85"/>
      <c r="X306" s="85"/>
      <c r="Y306" s="85"/>
      <c r="Z306" s="85"/>
    </row>
    <row r="307" spans="6:26" ht="15" customHeight="1">
      <c r="F307" s="85"/>
      <c r="G307" s="85"/>
      <c r="H307" s="85"/>
      <c r="I307" s="85"/>
      <c r="J307" s="85"/>
      <c r="K307" s="85"/>
      <c r="L307" s="85"/>
      <c r="M307" s="85"/>
      <c r="N307" s="85"/>
      <c r="O307" s="85"/>
      <c r="P307" s="85"/>
      <c r="Q307" s="85"/>
      <c r="R307" s="85"/>
      <c r="S307" s="85"/>
      <c r="T307" s="85"/>
      <c r="U307" s="85"/>
      <c r="V307" s="85"/>
      <c r="W307" s="85"/>
      <c r="X307" s="85"/>
      <c r="Y307" s="85"/>
      <c r="Z307" s="85"/>
    </row>
    <row r="308" spans="6:26" ht="15" customHeight="1">
      <c r="F308" s="85"/>
      <c r="G308" s="85"/>
      <c r="H308" s="85"/>
      <c r="I308" s="85"/>
      <c r="J308" s="85"/>
      <c r="K308" s="85"/>
      <c r="L308" s="85"/>
      <c r="M308" s="85"/>
      <c r="N308" s="85"/>
      <c r="O308" s="85"/>
      <c r="P308" s="85"/>
      <c r="Q308" s="85"/>
      <c r="R308" s="85"/>
      <c r="S308" s="85"/>
      <c r="T308" s="85"/>
      <c r="U308" s="85"/>
      <c r="V308" s="85"/>
      <c r="W308" s="85"/>
      <c r="X308" s="85"/>
      <c r="Y308" s="85"/>
      <c r="Z308" s="85"/>
    </row>
    <row r="309" spans="6:26" ht="15" customHeight="1">
      <c r="F309" s="85"/>
      <c r="G309" s="85"/>
      <c r="H309" s="85"/>
      <c r="I309" s="85"/>
      <c r="J309" s="85"/>
      <c r="K309" s="85"/>
      <c r="L309" s="85"/>
      <c r="M309" s="85"/>
      <c r="N309" s="85"/>
      <c r="O309" s="85"/>
      <c r="P309" s="85"/>
      <c r="Q309" s="85"/>
      <c r="R309" s="85"/>
      <c r="S309" s="85"/>
      <c r="T309" s="85"/>
      <c r="U309" s="85"/>
      <c r="V309" s="85"/>
      <c r="W309" s="85"/>
      <c r="X309" s="85"/>
      <c r="Y309" s="85"/>
      <c r="Z309" s="85"/>
    </row>
    <row r="310" spans="6:26" ht="15" customHeight="1">
      <c r="F310" s="85"/>
      <c r="G310" s="85"/>
      <c r="H310" s="85"/>
      <c r="I310" s="85"/>
      <c r="J310" s="85"/>
      <c r="K310" s="85"/>
      <c r="L310" s="85"/>
      <c r="M310" s="85"/>
      <c r="N310" s="85"/>
      <c r="O310" s="85"/>
      <c r="P310" s="85"/>
      <c r="Q310" s="85"/>
      <c r="R310" s="85"/>
      <c r="S310" s="85"/>
      <c r="T310" s="85"/>
      <c r="U310" s="85"/>
      <c r="V310" s="85"/>
      <c r="W310" s="85"/>
      <c r="X310" s="85"/>
      <c r="Y310" s="85"/>
      <c r="Z310" s="85"/>
    </row>
    <row r="311" spans="6:26" ht="15" customHeight="1">
      <c r="F311" s="85"/>
      <c r="G311" s="85"/>
      <c r="H311" s="85"/>
      <c r="I311" s="85"/>
      <c r="J311" s="85"/>
      <c r="K311" s="85"/>
      <c r="L311" s="85"/>
      <c r="M311" s="85"/>
      <c r="N311" s="85"/>
      <c r="O311" s="85"/>
      <c r="P311" s="85"/>
      <c r="Q311" s="85"/>
      <c r="R311" s="85"/>
      <c r="S311" s="85"/>
      <c r="T311" s="85"/>
      <c r="U311" s="85"/>
      <c r="V311" s="85"/>
      <c r="W311" s="85"/>
      <c r="X311" s="85"/>
      <c r="Y311" s="85"/>
      <c r="Z311" s="85"/>
    </row>
    <row r="312" spans="6:26" ht="15" customHeight="1">
      <c r="F312" s="85"/>
      <c r="G312" s="85"/>
      <c r="H312" s="85"/>
      <c r="I312" s="85"/>
      <c r="J312" s="85"/>
      <c r="K312" s="85"/>
      <c r="L312" s="85"/>
      <c r="M312" s="85"/>
      <c r="N312" s="85"/>
      <c r="O312" s="85"/>
      <c r="P312" s="85"/>
      <c r="Q312" s="85"/>
      <c r="R312" s="85"/>
      <c r="S312" s="85"/>
      <c r="T312" s="85"/>
      <c r="U312" s="85"/>
      <c r="V312" s="85"/>
      <c r="W312" s="85"/>
      <c r="X312" s="85"/>
      <c r="Y312" s="85"/>
      <c r="Z312" s="85"/>
    </row>
    <row r="313" spans="6:26" ht="15" customHeight="1">
      <c r="F313" s="85"/>
      <c r="G313" s="85"/>
      <c r="H313" s="85"/>
      <c r="I313" s="85"/>
      <c r="J313" s="85"/>
      <c r="K313" s="85"/>
      <c r="L313" s="85"/>
      <c r="M313" s="85"/>
      <c r="N313" s="85"/>
      <c r="O313" s="85"/>
      <c r="P313" s="85"/>
      <c r="Q313" s="85"/>
      <c r="R313" s="85"/>
      <c r="S313" s="85"/>
      <c r="T313" s="85"/>
      <c r="U313" s="85"/>
      <c r="V313" s="85"/>
      <c r="W313" s="85"/>
      <c r="X313" s="85"/>
      <c r="Y313" s="85"/>
      <c r="Z313" s="85"/>
    </row>
    <row r="314" spans="6:26" ht="15" customHeight="1">
      <c r="F314" s="85"/>
      <c r="G314" s="85"/>
      <c r="H314" s="85"/>
      <c r="I314" s="85"/>
      <c r="J314" s="85"/>
      <c r="K314" s="85"/>
      <c r="L314" s="85"/>
      <c r="M314" s="85"/>
      <c r="N314" s="85"/>
      <c r="O314" s="85"/>
      <c r="P314" s="85"/>
      <c r="Q314" s="85"/>
      <c r="R314" s="85"/>
      <c r="S314" s="85"/>
      <c r="T314" s="85"/>
      <c r="U314" s="85"/>
      <c r="V314" s="85"/>
      <c r="W314" s="85"/>
      <c r="X314" s="85"/>
      <c r="Y314" s="85"/>
      <c r="Z314" s="85"/>
    </row>
    <row r="315" spans="6:26" ht="15" customHeight="1">
      <c r="F315" s="85"/>
      <c r="G315" s="85"/>
      <c r="H315" s="85"/>
      <c r="I315" s="85"/>
      <c r="J315" s="85"/>
      <c r="K315" s="85"/>
      <c r="L315" s="85"/>
      <c r="M315" s="85"/>
      <c r="N315" s="85"/>
      <c r="O315" s="85"/>
      <c r="P315" s="85"/>
      <c r="Q315" s="85"/>
      <c r="R315" s="85"/>
      <c r="S315" s="85"/>
      <c r="T315" s="85"/>
      <c r="U315" s="85"/>
      <c r="V315" s="85"/>
      <c r="W315" s="85"/>
      <c r="X315" s="85"/>
      <c r="Y315" s="85"/>
      <c r="Z315" s="85"/>
    </row>
    <row r="316" spans="6:26" ht="15" customHeight="1">
      <c r="F316" s="85"/>
      <c r="G316" s="85"/>
      <c r="H316" s="85"/>
      <c r="I316" s="85"/>
      <c r="J316" s="85"/>
      <c r="K316" s="85"/>
      <c r="L316" s="85"/>
      <c r="M316" s="85"/>
      <c r="N316" s="85"/>
      <c r="O316" s="85"/>
      <c r="P316" s="85"/>
      <c r="Q316" s="85"/>
      <c r="R316" s="85"/>
      <c r="S316" s="85"/>
      <c r="T316" s="85"/>
      <c r="U316" s="85"/>
      <c r="V316" s="85"/>
      <c r="W316" s="85"/>
      <c r="X316" s="85"/>
      <c r="Y316" s="85"/>
      <c r="Z316" s="85"/>
    </row>
  </sheetData>
  <mergeCells count="5">
    <mergeCell ref="A1:D5"/>
    <mergeCell ref="A7:D7"/>
    <mergeCell ref="A8:D8"/>
    <mergeCell ref="A13:D13"/>
    <mergeCell ref="A58:D58"/>
  </mergeCells>
  <phoneticPr fontId="0" type="noConversion"/>
  <pageMargins left="0.71" right="0.31" top="0.52" bottom="0.5" header="0.5" footer="0.5"/>
  <pageSetup paperSize="9" scale="88" orientation="portrait" r:id="rId1"/>
  <headerFooter alignWithMargins="0">
    <oddFooter>&amp;R1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 codeName="Sheet27"/>
  <dimension ref="B2:K54"/>
  <sheetViews>
    <sheetView topLeftCell="C1" workbookViewId="0">
      <selection activeCell="G7" sqref="G7:G41"/>
    </sheetView>
  </sheetViews>
  <sheetFormatPr defaultRowHeight="12.75"/>
  <cols>
    <col min="1" max="1" width="1.5703125" style="13" customWidth="1"/>
    <col min="2" max="4" width="5.7109375" style="13" bestFit="1" customWidth="1"/>
    <col min="5" max="5" width="10.85546875" style="24" customWidth="1"/>
    <col min="6" max="6" width="43.7109375" style="13" customWidth="1"/>
    <col min="7" max="8" width="15.7109375" style="13" customWidth="1"/>
    <col min="9" max="9" width="8.7109375" style="140" customWidth="1"/>
    <col min="10" max="16384" width="9.140625" style="13"/>
  </cols>
  <sheetData>
    <row r="2" spans="2:11" ht="15" customHeight="1">
      <c r="B2" s="448" t="s">
        <v>173</v>
      </c>
      <c r="C2" s="448"/>
      <c r="D2" s="448"/>
      <c r="E2" s="448"/>
      <c r="F2" s="448"/>
      <c r="G2" s="448"/>
      <c r="H2" s="448"/>
      <c r="I2" s="146"/>
    </row>
    <row r="3" spans="2:11" s="1" customFormat="1" ht="16.5" thickBot="1">
      <c r="E3" s="2"/>
      <c r="F3" s="449"/>
      <c r="G3" s="449"/>
      <c r="H3" s="181"/>
      <c r="I3" s="182"/>
    </row>
    <row r="4" spans="2:11" s="1" customFormat="1" ht="76.5" customHeight="1">
      <c r="B4" s="3" t="s">
        <v>79</v>
      </c>
      <c r="C4" s="4" t="s">
        <v>80</v>
      </c>
      <c r="D4" s="5" t="s">
        <v>112</v>
      </c>
      <c r="E4" s="6" t="s">
        <v>81</v>
      </c>
      <c r="F4" s="7" t="s">
        <v>82</v>
      </c>
      <c r="G4" s="316" t="s">
        <v>557</v>
      </c>
      <c r="H4" s="316" t="s">
        <v>683</v>
      </c>
      <c r="I4" s="149" t="s">
        <v>497</v>
      </c>
    </row>
    <row r="5" spans="2:11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34">
        <v>6</v>
      </c>
      <c r="H5" s="9">
        <v>7</v>
      </c>
      <c r="I5" s="150">
        <v>8</v>
      </c>
    </row>
    <row r="6" spans="2:11" s="2" customFormat="1" ht="12.95" customHeight="1">
      <c r="B6" s="10" t="s">
        <v>147</v>
      </c>
      <c r="C6" s="11" t="s">
        <v>149</v>
      </c>
      <c r="D6" s="11" t="s">
        <v>121</v>
      </c>
      <c r="E6" s="9"/>
      <c r="F6" s="9"/>
      <c r="G6" s="34"/>
      <c r="H6" s="9"/>
      <c r="I6" s="151"/>
    </row>
    <row r="7" spans="2:11" s="1" customFormat="1" ht="12.95" customHeight="1">
      <c r="B7" s="17"/>
      <c r="C7" s="12"/>
      <c r="D7" s="12"/>
      <c r="E7" s="9">
        <v>611000</v>
      </c>
      <c r="F7" s="12" t="s">
        <v>167</v>
      </c>
      <c r="G7" s="20">
        <f>SUM(G8:G11)</f>
        <v>1991780</v>
      </c>
      <c r="H7" s="392">
        <f>SUM(H8:H11)</f>
        <v>2144800</v>
      </c>
      <c r="I7" s="152">
        <f t="shared" ref="I7:I42" si="0">IF(G7=0,"",H7/G7*100)</f>
        <v>107.68257538483167</v>
      </c>
    </row>
    <row r="8" spans="2:11" ht="12.95" customHeight="1">
      <c r="B8" s="14"/>
      <c r="C8" s="15"/>
      <c r="D8" s="15"/>
      <c r="E8" s="16">
        <v>611100</v>
      </c>
      <c r="F8" s="26" t="s">
        <v>210</v>
      </c>
      <c r="G8" s="82">
        <f>1587400+4000</f>
        <v>1591400</v>
      </c>
      <c r="H8" s="391">
        <f>1659400+6000+83400-2200</f>
        <v>1746600</v>
      </c>
      <c r="I8" s="153">
        <f t="shared" si="0"/>
        <v>109.75241925348749</v>
      </c>
    </row>
    <row r="9" spans="2:11" ht="12.95" customHeight="1">
      <c r="B9" s="14"/>
      <c r="C9" s="15"/>
      <c r="D9" s="15"/>
      <c r="E9" s="16">
        <v>611200</v>
      </c>
      <c r="F9" s="15" t="s">
        <v>211</v>
      </c>
      <c r="G9" s="82">
        <f>351200+2500+240*107</f>
        <v>379380</v>
      </c>
      <c r="H9" s="391">
        <f>380000+5000+13200</f>
        <v>398200</v>
      </c>
      <c r="I9" s="153">
        <f t="shared" si="0"/>
        <v>104.960725394064</v>
      </c>
      <c r="K9" s="90"/>
    </row>
    <row r="10" spans="2:11" ht="12.95" customHeight="1">
      <c r="B10" s="14"/>
      <c r="C10" s="15"/>
      <c r="D10" s="15"/>
      <c r="E10" s="16">
        <v>611200</v>
      </c>
      <c r="F10" s="363" t="s">
        <v>699</v>
      </c>
      <c r="G10" s="82">
        <v>21000</v>
      </c>
      <c r="H10" s="391">
        <v>0</v>
      </c>
      <c r="I10" s="153">
        <f t="shared" si="0"/>
        <v>0</v>
      </c>
      <c r="K10" s="89"/>
    </row>
    <row r="11" spans="2:11" ht="12.95" customHeight="1">
      <c r="B11" s="14"/>
      <c r="C11" s="15"/>
      <c r="D11" s="15"/>
      <c r="E11" s="16"/>
      <c r="F11" s="26"/>
      <c r="G11" s="82"/>
      <c r="H11" s="391"/>
      <c r="I11" s="153" t="str">
        <f t="shared" si="0"/>
        <v/>
      </c>
    </row>
    <row r="12" spans="2:11" ht="12.95" customHeight="1">
      <c r="B12" s="14"/>
      <c r="C12" s="15"/>
      <c r="D12" s="15"/>
      <c r="E12" s="16"/>
      <c r="F12" s="15"/>
      <c r="G12" s="108"/>
      <c r="H12" s="392"/>
      <c r="I12" s="153" t="str">
        <f t="shared" si="0"/>
        <v/>
      </c>
    </row>
    <row r="13" spans="2:11" s="1" customFormat="1" ht="12.95" customHeight="1">
      <c r="B13" s="17"/>
      <c r="C13" s="12"/>
      <c r="D13" s="12"/>
      <c r="E13" s="9">
        <v>612000</v>
      </c>
      <c r="F13" s="12" t="s">
        <v>166</v>
      </c>
      <c r="G13" s="108">
        <f>G14</f>
        <v>171500</v>
      </c>
      <c r="H13" s="392">
        <f>H14</f>
        <v>187190</v>
      </c>
      <c r="I13" s="152">
        <f t="shared" si="0"/>
        <v>109.14868804664724</v>
      </c>
    </row>
    <row r="14" spans="2:11" ht="12.95" customHeight="1">
      <c r="B14" s="14"/>
      <c r="C14" s="15"/>
      <c r="D14" s="15"/>
      <c r="E14" s="16">
        <v>612100</v>
      </c>
      <c r="F14" s="18" t="s">
        <v>85</v>
      </c>
      <c r="G14" s="82">
        <v>171500</v>
      </c>
      <c r="H14" s="391">
        <f>178500+8900-210</f>
        <v>187190</v>
      </c>
      <c r="I14" s="153">
        <f t="shared" si="0"/>
        <v>109.14868804664724</v>
      </c>
    </row>
    <row r="15" spans="2:11" ht="12.95" customHeight="1">
      <c r="B15" s="14"/>
      <c r="C15" s="15"/>
      <c r="D15" s="15"/>
      <c r="E15" s="16"/>
      <c r="F15" s="15"/>
      <c r="G15" s="82"/>
      <c r="H15" s="82"/>
      <c r="I15" s="153" t="str">
        <f t="shared" si="0"/>
        <v/>
      </c>
    </row>
    <row r="16" spans="2:11" ht="12.95" customHeight="1">
      <c r="B16" s="14"/>
      <c r="C16" s="15"/>
      <c r="D16" s="15"/>
      <c r="E16" s="16"/>
      <c r="F16" s="15"/>
      <c r="G16" s="49"/>
      <c r="H16" s="49"/>
      <c r="I16" s="153" t="str">
        <f t="shared" si="0"/>
        <v/>
      </c>
    </row>
    <row r="17" spans="2:9" s="1" customFormat="1" ht="12.95" customHeight="1">
      <c r="B17" s="17"/>
      <c r="C17" s="12"/>
      <c r="D17" s="12"/>
      <c r="E17" s="9">
        <v>613000</v>
      </c>
      <c r="F17" s="12" t="s">
        <v>168</v>
      </c>
      <c r="G17" s="49">
        <f>SUM(G18:G27)</f>
        <v>232200</v>
      </c>
      <c r="H17" s="49">
        <f>SUM(H18:H27)</f>
        <v>215000</v>
      </c>
      <c r="I17" s="152">
        <f t="shared" si="0"/>
        <v>92.592592592592595</v>
      </c>
    </row>
    <row r="18" spans="2:9" ht="12.95" customHeight="1">
      <c r="B18" s="14"/>
      <c r="C18" s="15"/>
      <c r="D18" s="15"/>
      <c r="E18" s="16">
        <v>613100</v>
      </c>
      <c r="F18" s="15" t="s">
        <v>86</v>
      </c>
      <c r="G18" s="82">
        <v>14000</v>
      </c>
      <c r="H18" s="43">
        <v>12000</v>
      </c>
      <c r="I18" s="153">
        <f t="shared" si="0"/>
        <v>85.714285714285708</v>
      </c>
    </row>
    <row r="19" spans="2:9" ht="12.95" customHeight="1">
      <c r="B19" s="14"/>
      <c r="C19" s="15"/>
      <c r="D19" s="15"/>
      <c r="E19" s="16">
        <v>613200</v>
      </c>
      <c r="F19" s="15" t="s">
        <v>87</v>
      </c>
      <c r="G19" s="43">
        <v>73000</v>
      </c>
      <c r="H19" s="43">
        <f>73000+4000</f>
        <v>77000</v>
      </c>
      <c r="I19" s="153">
        <f t="shared" si="0"/>
        <v>105.47945205479452</v>
      </c>
    </row>
    <row r="20" spans="2:9" ht="12.95" customHeight="1">
      <c r="B20" s="14"/>
      <c r="C20" s="15"/>
      <c r="D20" s="15"/>
      <c r="E20" s="16">
        <v>613300</v>
      </c>
      <c r="F20" s="26" t="s">
        <v>212</v>
      </c>
      <c r="G20" s="43">
        <v>9500</v>
      </c>
      <c r="H20" s="43">
        <v>11000</v>
      </c>
      <c r="I20" s="153">
        <f t="shared" si="0"/>
        <v>115.78947368421053</v>
      </c>
    </row>
    <row r="21" spans="2:9" ht="12.95" customHeight="1">
      <c r="B21" s="14"/>
      <c r="C21" s="15"/>
      <c r="D21" s="15"/>
      <c r="E21" s="16">
        <v>613400</v>
      </c>
      <c r="F21" s="15" t="s">
        <v>169</v>
      </c>
      <c r="G21" s="82">
        <v>20000</v>
      </c>
      <c r="H21" s="82">
        <v>20000</v>
      </c>
      <c r="I21" s="153">
        <f t="shared" si="0"/>
        <v>100</v>
      </c>
    </row>
    <row r="22" spans="2:9" ht="12.95" customHeight="1">
      <c r="B22" s="14"/>
      <c r="C22" s="15"/>
      <c r="D22" s="15"/>
      <c r="E22" s="16">
        <v>613500</v>
      </c>
      <c r="F22" s="15" t="s">
        <v>88</v>
      </c>
      <c r="G22" s="82">
        <v>1200</v>
      </c>
      <c r="H22" s="82">
        <v>1500</v>
      </c>
      <c r="I22" s="153">
        <f t="shared" si="0"/>
        <v>125</v>
      </c>
    </row>
    <row r="23" spans="2:9" ht="12.95" customHeight="1">
      <c r="B23" s="14"/>
      <c r="C23" s="15"/>
      <c r="D23" s="15"/>
      <c r="E23" s="16">
        <v>613600</v>
      </c>
      <c r="F23" s="26" t="s">
        <v>213</v>
      </c>
      <c r="G23" s="82">
        <v>0</v>
      </c>
      <c r="H23" s="82">
        <v>0</v>
      </c>
      <c r="I23" s="153" t="str">
        <f t="shared" si="0"/>
        <v/>
      </c>
    </row>
    <row r="24" spans="2:9" ht="12.95" customHeight="1">
      <c r="B24" s="14"/>
      <c r="C24" s="15"/>
      <c r="D24" s="15"/>
      <c r="E24" s="16">
        <v>613700</v>
      </c>
      <c r="F24" s="15" t="s">
        <v>89</v>
      </c>
      <c r="G24" s="82">
        <v>18000</v>
      </c>
      <c r="H24" s="82">
        <f>20000+1500</f>
        <v>21500</v>
      </c>
      <c r="I24" s="153">
        <f t="shared" si="0"/>
        <v>119.44444444444444</v>
      </c>
    </row>
    <row r="25" spans="2:9" ht="12.95" customHeight="1">
      <c r="B25" s="14"/>
      <c r="C25" s="15"/>
      <c r="D25" s="15"/>
      <c r="E25" s="16">
        <v>613800</v>
      </c>
      <c r="F25" s="15" t="s">
        <v>170</v>
      </c>
      <c r="G25" s="82">
        <v>0</v>
      </c>
      <c r="H25" s="82">
        <v>0</v>
      </c>
      <c r="I25" s="153" t="str">
        <f t="shared" si="0"/>
        <v/>
      </c>
    </row>
    <row r="26" spans="2:9" ht="12.95" customHeight="1">
      <c r="B26" s="14"/>
      <c r="C26" s="15"/>
      <c r="D26" s="15"/>
      <c r="E26" s="16">
        <v>613900</v>
      </c>
      <c r="F26" s="15" t="s">
        <v>171</v>
      </c>
      <c r="G26" s="82">
        <v>72000</v>
      </c>
      <c r="H26" s="82">
        <v>72000</v>
      </c>
      <c r="I26" s="153">
        <f t="shared" si="0"/>
        <v>100</v>
      </c>
    </row>
    <row r="27" spans="2:9" ht="12.95" customHeight="1">
      <c r="B27" s="14"/>
      <c r="C27" s="15"/>
      <c r="D27" s="15"/>
      <c r="E27" s="16">
        <v>613900</v>
      </c>
      <c r="F27" s="363" t="s">
        <v>701</v>
      </c>
      <c r="G27" s="166">
        <v>24500</v>
      </c>
      <c r="H27" s="169">
        <v>0</v>
      </c>
      <c r="I27" s="153">
        <f t="shared" si="0"/>
        <v>0</v>
      </c>
    </row>
    <row r="28" spans="2:9" s="1" customFormat="1" ht="12.95" customHeight="1">
      <c r="B28" s="17"/>
      <c r="C28" s="12"/>
      <c r="D28" s="12"/>
      <c r="E28" s="9"/>
      <c r="F28" s="12"/>
      <c r="G28" s="82"/>
      <c r="H28" s="82"/>
      <c r="I28" s="153" t="str">
        <f t="shared" si="0"/>
        <v/>
      </c>
    </row>
    <row r="29" spans="2:9" ht="12.95" customHeight="1">
      <c r="B29" s="14"/>
      <c r="C29" s="15"/>
      <c r="D29" s="30"/>
      <c r="E29" s="16"/>
      <c r="F29" s="29"/>
      <c r="G29" s="82"/>
      <c r="H29" s="82"/>
      <c r="I29" s="153" t="str">
        <f t="shared" si="0"/>
        <v/>
      </c>
    </row>
    <row r="30" spans="2:9" ht="12.95" customHeight="1">
      <c r="B30" s="14"/>
      <c r="C30" s="15"/>
      <c r="D30" s="15"/>
      <c r="E30" s="60"/>
      <c r="F30" s="29"/>
      <c r="G30" s="82"/>
      <c r="H30" s="82"/>
      <c r="I30" s="153" t="str">
        <f t="shared" si="0"/>
        <v/>
      </c>
    </row>
    <row r="31" spans="2:9" ht="12.95" customHeight="1">
      <c r="B31" s="14"/>
      <c r="C31" s="15"/>
      <c r="D31" s="15"/>
      <c r="E31" s="16"/>
      <c r="F31" s="15"/>
      <c r="G31" s="82"/>
      <c r="H31" s="82"/>
      <c r="I31" s="153" t="str">
        <f t="shared" si="0"/>
        <v/>
      </c>
    </row>
    <row r="32" spans="2:9" ht="12.95" customHeight="1">
      <c r="B32" s="14"/>
      <c r="C32" s="15"/>
      <c r="D32" s="15"/>
      <c r="E32" s="16"/>
      <c r="F32" s="15"/>
      <c r="G32" s="82"/>
      <c r="H32" s="82"/>
      <c r="I32" s="153" t="str">
        <f t="shared" si="0"/>
        <v/>
      </c>
    </row>
    <row r="33" spans="2:10" ht="12.95" customHeight="1">
      <c r="B33" s="14"/>
      <c r="C33" s="15"/>
      <c r="D33" s="15"/>
      <c r="E33" s="9"/>
      <c r="F33" s="12"/>
      <c r="G33" s="82"/>
      <c r="H33" s="82"/>
      <c r="I33" s="153" t="str">
        <f t="shared" si="0"/>
        <v/>
      </c>
    </row>
    <row r="34" spans="2:10" ht="12.95" customHeight="1">
      <c r="B34" s="14"/>
      <c r="C34" s="15"/>
      <c r="D34" s="15"/>
      <c r="E34" s="16"/>
      <c r="F34" s="26"/>
      <c r="G34" s="82"/>
      <c r="H34" s="82"/>
      <c r="I34" s="153" t="str">
        <f t="shared" si="0"/>
        <v/>
      </c>
    </row>
    <row r="35" spans="2:10" ht="12.95" customHeight="1">
      <c r="B35" s="14"/>
      <c r="C35" s="15"/>
      <c r="D35" s="15"/>
      <c r="E35" s="16"/>
      <c r="F35" s="15"/>
      <c r="G35" s="108"/>
      <c r="H35" s="108"/>
      <c r="I35" s="153" t="str">
        <f t="shared" si="0"/>
        <v/>
      </c>
    </row>
    <row r="36" spans="2:10" s="1" customFormat="1" ht="12.95" customHeight="1">
      <c r="B36" s="17"/>
      <c r="C36" s="12"/>
      <c r="D36" s="12"/>
      <c r="E36" s="9">
        <v>821000</v>
      </c>
      <c r="F36" s="12" t="s">
        <v>92</v>
      </c>
      <c r="G36" s="108">
        <f>SUM(G37:G39)</f>
        <v>105850</v>
      </c>
      <c r="H36" s="108">
        <f>SUM(H37:H39)</f>
        <v>7000</v>
      </c>
      <c r="I36" s="152">
        <f t="shared" si="0"/>
        <v>6.6131317902692484</v>
      </c>
    </row>
    <row r="37" spans="2:10" ht="12.95" customHeight="1">
      <c r="B37" s="14"/>
      <c r="C37" s="15"/>
      <c r="D37" s="15"/>
      <c r="E37" s="16">
        <v>821200</v>
      </c>
      <c r="F37" s="15" t="s">
        <v>93</v>
      </c>
      <c r="G37" s="82">
        <v>95850</v>
      </c>
      <c r="H37" s="82">
        <v>0</v>
      </c>
      <c r="I37" s="153">
        <f t="shared" si="0"/>
        <v>0</v>
      </c>
      <c r="J37" s="81"/>
    </row>
    <row r="38" spans="2:10" ht="12.95" customHeight="1">
      <c r="B38" s="14"/>
      <c r="C38" s="15"/>
      <c r="D38" s="15"/>
      <c r="E38" s="16">
        <v>821300</v>
      </c>
      <c r="F38" s="15" t="s">
        <v>94</v>
      </c>
      <c r="G38" s="82">
        <v>10000</v>
      </c>
      <c r="H38" s="82">
        <v>7000</v>
      </c>
      <c r="I38" s="153">
        <f t="shared" si="0"/>
        <v>70</v>
      </c>
    </row>
    <row r="39" spans="2:10" ht="12.95" customHeight="1">
      <c r="B39" s="14"/>
      <c r="C39" s="15"/>
      <c r="D39" s="15"/>
      <c r="E39" s="16"/>
      <c r="F39" s="26"/>
      <c r="G39" s="82"/>
      <c r="H39" s="82"/>
      <c r="I39" s="153" t="str">
        <f t="shared" si="0"/>
        <v/>
      </c>
    </row>
    <row r="40" spans="2:10" ht="12.95" customHeight="1">
      <c r="B40" s="14"/>
      <c r="C40" s="15"/>
      <c r="D40" s="15"/>
      <c r="E40" s="16"/>
      <c r="F40" s="15"/>
      <c r="G40" s="108"/>
      <c r="H40" s="108"/>
      <c r="I40" s="153" t="str">
        <f t="shared" si="0"/>
        <v/>
      </c>
    </row>
    <row r="41" spans="2:10" s="1" customFormat="1" ht="12.95" customHeight="1">
      <c r="B41" s="17"/>
      <c r="C41" s="12"/>
      <c r="D41" s="12"/>
      <c r="E41" s="9"/>
      <c r="F41" s="12" t="s">
        <v>95</v>
      </c>
      <c r="G41" s="25" t="s">
        <v>732</v>
      </c>
      <c r="H41" s="25" t="s">
        <v>719</v>
      </c>
      <c r="I41" s="153"/>
    </row>
    <row r="42" spans="2:10" s="1" customFormat="1" ht="12.95" customHeight="1">
      <c r="B42" s="17"/>
      <c r="C42" s="12"/>
      <c r="D42" s="12"/>
      <c r="E42" s="9"/>
      <c r="F42" s="12" t="s">
        <v>115</v>
      </c>
      <c r="G42" s="20">
        <f>G7+G13+G17+G36</f>
        <v>2501330</v>
      </c>
      <c r="H42" s="20">
        <f>H7+H13+H17+H36</f>
        <v>2553990</v>
      </c>
      <c r="I42" s="152">
        <f t="shared" si="0"/>
        <v>102.10527999104477</v>
      </c>
    </row>
    <row r="43" spans="2:10" s="1" customFormat="1" ht="12.95" customHeight="1">
      <c r="B43" s="17"/>
      <c r="C43" s="12"/>
      <c r="D43" s="12"/>
      <c r="E43" s="9"/>
      <c r="F43" s="12" t="s">
        <v>96</v>
      </c>
      <c r="G43" s="20"/>
      <c r="H43" s="20"/>
      <c r="I43" s="155"/>
    </row>
    <row r="44" spans="2:10" s="1" customFormat="1" ht="12.95" customHeight="1">
      <c r="B44" s="17"/>
      <c r="C44" s="12"/>
      <c r="D44" s="12"/>
      <c r="E44" s="9"/>
      <c r="F44" s="12" t="s">
        <v>97</v>
      </c>
      <c r="G44" s="20"/>
      <c r="H44" s="43"/>
      <c r="I44" s="154"/>
    </row>
    <row r="45" spans="2:10" ht="12.95" customHeight="1" thickBot="1">
      <c r="B45" s="21"/>
      <c r="C45" s="22"/>
      <c r="D45" s="22"/>
      <c r="E45" s="23"/>
      <c r="F45" s="22"/>
      <c r="G45" s="48"/>
      <c r="H45" s="22"/>
      <c r="I45" s="156"/>
    </row>
    <row r="48" spans="2:10">
      <c r="B48" s="81"/>
    </row>
    <row r="49" spans="2:2">
      <c r="B49" s="81"/>
    </row>
    <row r="50" spans="2:2">
      <c r="B50" s="81"/>
    </row>
    <row r="51" spans="2:2">
      <c r="B51" s="81"/>
    </row>
    <row r="52" spans="2:2">
      <c r="B52" s="81"/>
    </row>
    <row r="53" spans="2:2">
      <c r="B53" s="81"/>
    </row>
    <row r="54" spans="2:2">
      <c r="B54" s="81"/>
    </row>
  </sheetData>
  <mergeCells count="2">
    <mergeCell ref="B2:H2"/>
    <mergeCell ref="F3:G3"/>
  </mergeCells>
  <phoneticPr fontId="2" type="noConversion"/>
  <pageMargins left="0.19685039370078741" right="0.19685039370078741" top="0.59055118110236227" bottom="0.59055118110236227" header="0.51181102362204722" footer="0.51181102362204722"/>
  <pageSetup paperSize="9" scale="88" firstPageNumber="10" orientation="portrait" useFirstPageNumber="1" horizontalDpi="180" verticalDpi="180" r:id="rId1"/>
  <headerFooter alignWithMargins="0">
    <oddFooter>&amp;R32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 codeName="Sheet28"/>
  <dimension ref="B2:K57"/>
  <sheetViews>
    <sheetView topLeftCell="B7" workbookViewId="0">
      <selection activeCell="G7" sqref="G7:G41"/>
    </sheetView>
  </sheetViews>
  <sheetFormatPr defaultRowHeight="12.75"/>
  <cols>
    <col min="1" max="1" width="1.5703125" style="13" customWidth="1"/>
    <col min="2" max="4" width="5.7109375" style="13" bestFit="1" customWidth="1"/>
    <col min="5" max="5" width="11.140625" style="24" customWidth="1"/>
    <col min="6" max="6" width="43.7109375" style="13" customWidth="1"/>
    <col min="7" max="7" width="15.7109375" style="13" customWidth="1"/>
    <col min="8" max="8" width="15.7109375" style="90" customWidth="1"/>
    <col min="9" max="9" width="8.7109375" style="140" customWidth="1"/>
    <col min="10" max="16384" width="9.140625" style="13"/>
  </cols>
  <sheetData>
    <row r="2" spans="2:11" ht="15" customHeight="1">
      <c r="B2" s="448" t="s">
        <v>174</v>
      </c>
      <c r="C2" s="448"/>
      <c r="D2" s="448"/>
      <c r="E2" s="448"/>
      <c r="F2" s="448"/>
      <c r="G2" s="448"/>
    </row>
    <row r="3" spans="2:11" s="1" customFormat="1" ht="16.5" thickBot="1">
      <c r="E3" s="2"/>
      <c r="F3" s="449"/>
      <c r="G3" s="449"/>
      <c r="H3" s="181"/>
      <c r="I3" s="182"/>
    </row>
    <row r="4" spans="2:11" s="1" customFormat="1" ht="76.5" customHeight="1">
      <c r="B4" s="3" t="s">
        <v>79</v>
      </c>
      <c r="C4" s="4" t="s">
        <v>80</v>
      </c>
      <c r="D4" s="5" t="s">
        <v>112</v>
      </c>
      <c r="E4" s="6" t="s">
        <v>81</v>
      </c>
      <c r="F4" s="7" t="s">
        <v>82</v>
      </c>
      <c r="G4" s="316" t="s">
        <v>557</v>
      </c>
      <c r="H4" s="316" t="s">
        <v>683</v>
      </c>
      <c r="I4" s="149" t="s">
        <v>497</v>
      </c>
    </row>
    <row r="5" spans="2:11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34">
        <v>6</v>
      </c>
      <c r="H5" s="9">
        <v>7</v>
      </c>
      <c r="I5" s="150">
        <v>8</v>
      </c>
    </row>
    <row r="6" spans="2:11" s="2" customFormat="1" ht="12.95" customHeight="1">
      <c r="B6" s="10" t="s">
        <v>147</v>
      </c>
      <c r="C6" s="11" t="s">
        <v>149</v>
      </c>
      <c r="D6" s="11" t="s">
        <v>128</v>
      </c>
      <c r="E6" s="9"/>
      <c r="F6" s="9"/>
      <c r="G6" s="34"/>
      <c r="H6" s="165"/>
      <c r="I6" s="151"/>
    </row>
    <row r="7" spans="2:11" s="1" customFormat="1" ht="12.95" customHeight="1">
      <c r="B7" s="17"/>
      <c r="C7" s="12"/>
      <c r="D7" s="12"/>
      <c r="E7" s="9">
        <v>611000</v>
      </c>
      <c r="F7" s="12" t="s">
        <v>167</v>
      </c>
      <c r="G7" s="20">
        <f>SUM(G8:G11)</f>
        <v>569980</v>
      </c>
      <c r="H7" s="392">
        <f>SUM(H8:H11)</f>
        <v>581300</v>
      </c>
      <c r="I7" s="152">
        <f t="shared" ref="I7:I42" si="0">IF(G7=0,"",H7/G7*100)</f>
        <v>101.98603459770518</v>
      </c>
    </row>
    <row r="8" spans="2:11" ht="12.95" customHeight="1">
      <c r="B8" s="14"/>
      <c r="C8" s="15"/>
      <c r="D8" s="15"/>
      <c r="E8" s="16">
        <v>611100</v>
      </c>
      <c r="F8" s="26" t="s">
        <v>210</v>
      </c>
      <c r="G8" s="44">
        <f>453200</f>
        <v>453200</v>
      </c>
      <c r="H8" s="394">
        <f>453200+22600</f>
        <v>475800</v>
      </c>
      <c r="I8" s="153">
        <f t="shared" si="0"/>
        <v>104.98676081200354</v>
      </c>
    </row>
    <row r="9" spans="2:11" ht="12.95" customHeight="1">
      <c r="B9" s="14"/>
      <c r="C9" s="15"/>
      <c r="D9" s="15"/>
      <c r="E9" s="16">
        <v>611200</v>
      </c>
      <c r="F9" s="15" t="s">
        <v>211</v>
      </c>
      <c r="G9" s="44">
        <f>103600+32*240</f>
        <v>111280</v>
      </c>
      <c r="H9" s="394">
        <f>102500+3000</f>
        <v>105500</v>
      </c>
      <c r="I9" s="153">
        <f t="shared" si="0"/>
        <v>94.805895039539905</v>
      </c>
    </row>
    <row r="10" spans="2:11" ht="12.95" customHeight="1">
      <c r="B10" s="14"/>
      <c r="C10" s="15"/>
      <c r="D10" s="15"/>
      <c r="E10" s="16">
        <v>611200</v>
      </c>
      <c r="F10" s="363" t="s">
        <v>699</v>
      </c>
      <c r="G10" s="82">
        <v>5500</v>
      </c>
      <c r="H10" s="391">
        <v>0</v>
      </c>
      <c r="I10" s="153">
        <f t="shared" si="0"/>
        <v>0</v>
      </c>
      <c r="K10" s="89"/>
    </row>
    <row r="11" spans="2:11" ht="12.95" customHeight="1">
      <c r="B11" s="14"/>
      <c r="C11" s="15"/>
      <c r="D11" s="15"/>
      <c r="E11" s="16"/>
      <c r="F11" s="26"/>
      <c r="G11" s="44"/>
      <c r="H11" s="394"/>
      <c r="I11" s="153" t="str">
        <f t="shared" si="0"/>
        <v/>
      </c>
    </row>
    <row r="12" spans="2:11" ht="12.95" customHeight="1">
      <c r="B12" s="14"/>
      <c r="C12" s="15"/>
      <c r="D12" s="15"/>
      <c r="E12" s="16"/>
      <c r="F12" s="15"/>
      <c r="G12" s="20"/>
      <c r="H12" s="392"/>
      <c r="I12" s="153" t="str">
        <f t="shared" si="0"/>
        <v/>
      </c>
    </row>
    <row r="13" spans="2:11" s="1" customFormat="1" ht="12.95" customHeight="1">
      <c r="B13" s="17"/>
      <c r="C13" s="12"/>
      <c r="D13" s="12"/>
      <c r="E13" s="9">
        <v>612000</v>
      </c>
      <c r="F13" s="12" t="s">
        <v>166</v>
      </c>
      <c r="G13" s="20">
        <f>G14</f>
        <v>48900</v>
      </c>
      <c r="H13" s="392">
        <f>H14</f>
        <v>51300</v>
      </c>
      <c r="I13" s="152">
        <f t="shared" si="0"/>
        <v>104.9079754601227</v>
      </c>
    </row>
    <row r="14" spans="2:11" ht="12.95" customHeight="1">
      <c r="B14" s="14"/>
      <c r="C14" s="15"/>
      <c r="D14" s="15"/>
      <c r="E14" s="16">
        <v>612100</v>
      </c>
      <c r="F14" s="18" t="s">
        <v>85</v>
      </c>
      <c r="G14" s="44">
        <v>48900</v>
      </c>
      <c r="H14" s="394">
        <f>48900+2400</f>
        <v>51300</v>
      </c>
      <c r="I14" s="153">
        <f t="shared" si="0"/>
        <v>104.9079754601227</v>
      </c>
    </row>
    <row r="15" spans="2:11" ht="12.95" customHeight="1">
      <c r="B15" s="14"/>
      <c r="C15" s="15"/>
      <c r="D15" s="15"/>
      <c r="E15" s="16"/>
      <c r="F15" s="15"/>
      <c r="G15" s="44"/>
      <c r="H15" s="44"/>
      <c r="I15" s="153" t="str">
        <f t="shared" si="0"/>
        <v/>
      </c>
    </row>
    <row r="16" spans="2:11" ht="12.95" customHeight="1">
      <c r="B16" s="14"/>
      <c r="C16" s="15"/>
      <c r="D16" s="15"/>
      <c r="E16" s="16"/>
      <c r="F16" s="15"/>
      <c r="G16" s="20"/>
      <c r="H16" s="20"/>
      <c r="I16" s="153" t="str">
        <f t="shared" si="0"/>
        <v/>
      </c>
    </row>
    <row r="17" spans="2:9" s="1" customFormat="1" ht="12.95" customHeight="1">
      <c r="B17" s="17"/>
      <c r="C17" s="12"/>
      <c r="D17" s="12"/>
      <c r="E17" s="9">
        <v>613000</v>
      </c>
      <c r="F17" s="12" t="s">
        <v>168</v>
      </c>
      <c r="G17" s="49">
        <f>SUM(G18:G27)</f>
        <v>58200</v>
      </c>
      <c r="H17" s="49">
        <f>SUM(H18:H27)</f>
        <v>51100</v>
      </c>
      <c r="I17" s="152">
        <f t="shared" si="0"/>
        <v>87.800687285223361</v>
      </c>
    </row>
    <row r="18" spans="2:9" ht="12.95" customHeight="1">
      <c r="B18" s="14"/>
      <c r="C18" s="15"/>
      <c r="D18" s="15"/>
      <c r="E18" s="16">
        <v>613100</v>
      </c>
      <c r="F18" s="15" t="s">
        <v>86</v>
      </c>
      <c r="G18" s="44">
        <v>3500</v>
      </c>
      <c r="H18" s="44">
        <v>3500</v>
      </c>
      <c r="I18" s="153">
        <f t="shared" si="0"/>
        <v>100</v>
      </c>
    </row>
    <row r="19" spans="2:9" ht="12.95" customHeight="1">
      <c r="B19" s="14"/>
      <c r="C19" s="15"/>
      <c r="D19" s="15"/>
      <c r="E19" s="16">
        <v>613200</v>
      </c>
      <c r="F19" s="15" t="s">
        <v>87</v>
      </c>
      <c r="G19" s="44">
        <v>20500</v>
      </c>
      <c r="H19" s="44">
        <v>20500</v>
      </c>
      <c r="I19" s="153">
        <f t="shared" si="0"/>
        <v>100</v>
      </c>
    </row>
    <row r="20" spans="2:9" ht="12.95" customHeight="1">
      <c r="B20" s="14"/>
      <c r="C20" s="15"/>
      <c r="D20" s="15"/>
      <c r="E20" s="16">
        <v>613300</v>
      </c>
      <c r="F20" s="26" t="s">
        <v>212</v>
      </c>
      <c r="G20" s="44">
        <v>3300</v>
      </c>
      <c r="H20" s="44">
        <v>3300</v>
      </c>
      <c r="I20" s="153">
        <f t="shared" si="0"/>
        <v>100</v>
      </c>
    </row>
    <row r="21" spans="2:9" ht="12.95" customHeight="1">
      <c r="B21" s="14"/>
      <c r="C21" s="15"/>
      <c r="D21" s="15"/>
      <c r="E21" s="16">
        <v>613400</v>
      </c>
      <c r="F21" s="15" t="s">
        <v>169</v>
      </c>
      <c r="G21" s="44">
        <v>8500</v>
      </c>
      <c r="H21" s="44">
        <v>8000</v>
      </c>
      <c r="I21" s="153">
        <f t="shared" si="0"/>
        <v>94.117647058823522</v>
      </c>
    </row>
    <row r="22" spans="2:9" ht="12.95" customHeight="1">
      <c r="B22" s="14"/>
      <c r="C22" s="15"/>
      <c r="D22" s="15"/>
      <c r="E22" s="16">
        <v>613500</v>
      </c>
      <c r="F22" s="15" t="s">
        <v>88</v>
      </c>
      <c r="G22" s="44">
        <v>300</v>
      </c>
      <c r="H22" s="44">
        <v>300</v>
      </c>
      <c r="I22" s="153">
        <f t="shared" si="0"/>
        <v>100</v>
      </c>
    </row>
    <row r="23" spans="2:9" ht="12.95" customHeight="1">
      <c r="B23" s="14"/>
      <c r="C23" s="15"/>
      <c r="D23" s="15"/>
      <c r="E23" s="16">
        <v>613600</v>
      </c>
      <c r="F23" s="26" t="s">
        <v>213</v>
      </c>
      <c r="G23" s="44">
        <v>0</v>
      </c>
      <c r="H23" s="44">
        <v>0</v>
      </c>
      <c r="I23" s="153" t="str">
        <f t="shared" si="0"/>
        <v/>
      </c>
    </row>
    <row r="24" spans="2:9" ht="12.95" customHeight="1">
      <c r="B24" s="14"/>
      <c r="C24" s="15"/>
      <c r="D24" s="15"/>
      <c r="E24" s="16">
        <v>613700</v>
      </c>
      <c r="F24" s="15" t="s">
        <v>89</v>
      </c>
      <c r="G24" s="117">
        <v>8500</v>
      </c>
      <c r="H24" s="117">
        <v>8500</v>
      </c>
      <c r="I24" s="153">
        <f t="shared" si="0"/>
        <v>100</v>
      </c>
    </row>
    <row r="25" spans="2:9" ht="12.95" customHeight="1">
      <c r="B25" s="14"/>
      <c r="C25" s="15"/>
      <c r="D25" s="15"/>
      <c r="E25" s="16">
        <v>613800</v>
      </c>
      <c r="F25" s="15" t="s">
        <v>170</v>
      </c>
      <c r="G25" s="117">
        <v>0</v>
      </c>
      <c r="H25" s="117">
        <v>0</v>
      </c>
      <c r="I25" s="153" t="str">
        <f t="shared" si="0"/>
        <v/>
      </c>
    </row>
    <row r="26" spans="2:9" ht="12.95" customHeight="1">
      <c r="B26" s="14"/>
      <c r="C26" s="15"/>
      <c r="D26" s="15"/>
      <c r="E26" s="16">
        <v>613900</v>
      </c>
      <c r="F26" s="15" t="s">
        <v>171</v>
      </c>
      <c r="G26" s="117">
        <v>7000</v>
      </c>
      <c r="H26" s="117">
        <v>7000</v>
      </c>
      <c r="I26" s="153">
        <f t="shared" si="0"/>
        <v>100</v>
      </c>
    </row>
    <row r="27" spans="2:9" ht="12.95" customHeight="1">
      <c r="B27" s="14"/>
      <c r="C27" s="15"/>
      <c r="D27" s="15"/>
      <c r="E27" s="16">
        <v>613900</v>
      </c>
      <c r="F27" s="363" t="s">
        <v>701</v>
      </c>
      <c r="G27" s="166">
        <v>6600</v>
      </c>
      <c r="H27" s="169">
        <v>0</v>
      </c>
      <c r="I27" s="153">
        <f t="shared" si="0"/>
        <v>0</v>
      </c>
    </row>
    <row r="28" spans="2:9" s="1" customFormat="1" ht="12.95" customHeight="1">
      <c r="B28" s="17"/>
      <c r="C28" s="12"/>
      <c r="D28" s="12"/>
      <c r="E28" s="9"/>
      <c r="F28" s="12"/>
      <c r="G28" s="117"/>
      <c r="H28" s="117"/>
      <c r="I28" s="153" t="str">
        <f t="shared" si="0"/>
        <v/>
      </c>
    </row>
    <row r="29" spans="2:9" ht="12.95" customHeight="1">
      <c r="B29" s="14"/>
      <c r="C29" s="15"/>
      <c r="D29" s="30"/>
      <c r="E29" s="16"/>
      <c r="F29" s="29"/>
      <c r="G29" s="117"/>
      <c r="H29" s="117"/>
      <c r="I29" s="153" t="str">
        <f t="shared" si="0"/>
        <v/>
      </c>
    </row>
    <row r="30" spans="2:9" ht="12.95" customHeight="1">
      <c r="B30" s="14"/>
      <c r="C30" s="15"/>
      <c r="D30" s="15"/>
      <c r="E30" s="60"/>
      <c r="F30" s="29"/>
      <c r="G30" s="117"/>
      <c r="H30" s="117"/>
      <c r="I30" s="153" t="str">
        <f t="shared" si="0"/>
        <v/>
      </c>
    </row>
    <row r="31" spans="2:9" ht="12.95" customHeight="1">
      <c r="B31" s="14"/>
      <c r="C31" s="15"/>
      <c r="D31" s="15"/>
      <c r="E31" s="16"/>
      <c r="F31" s="15"/>
      <c r="G31" s="117"/>
      <c r="H31" s="117"/>
      <c r="I31" s="153" t="str">
        <f t="shared" si="0"/>
        <v/>
      </c>
    </row>
    <row r="32" spans="2:9" ht="12.95" customHeight="1">
      <c r="B32" s="14"/>
      <c r="C32" s="15"/>
      <c r="D32" s="15"/>
      <c r="E32" s="16"/>
      <c r="F32" s="15"/>
      <c r="G32" s="117"/>
      <c r="H32" s="117"/>
      <c r="I32" s="153" t="str">
        <f t="shared" si="0"/>
        <v/>
      </c>
    </row>
    <row r="33" spans="2:9" ht="12.95" customHeight="1">
      <c r="B33" s="14"/>
      <c r="C33" s="15"/>
      <c r="D33" s="15"/>
      <c r="E33" s="9"/>
      <c r="F33" s="12"/>
      <c r="G33" s="117"/>
      <c r="H33" s="117"/>
      <c r="I33" s="153" t="str">
        <f t="shared" si="0"/>
        <v/>
      </c>
    </row>
    <row r="34" spans="2:9" ht="12.95" customHeight="1">
      <c r="B34" s="14"/>
      <c r="C34" s="15"/>
      <c r="D34" s="15"/>
      <c r="E34" s="16"/>
      <c r="F34" s="26"/>
      <c r="G34" s="117"/>
      <c r="H34" s="117"/>
      <c r="I34" s="153" t="str">
        <f t="shared" si="0"/>
        <v/>
      </c>
    </row>
    <row r="35" spans="2:9" ht="12.95" customHeight="1">
      <c r="B35" s="14"/>
      <c r="C35" s="15"/>
      <c r="D35" s="15"/>
      <c r="E35" s="16"/>
      <c r="F35" s="15"/>
      <c r="G35" s="108"/>
      <c r="H35" s="108"/>
      <c r="I35" s="153" t="str">
        <f t="shared" si="0"/>
        <v/>
      </c>
    </row>
    <row r="36" spans="2:9" s="1" customFormat="1" ht="12.95" customHeight="1">
      <c r="B36" s="17"/>
      <c r="C36" s="12"/>
      <c r="D36" s="12"/>
      <c r="E36" s="9">
        <v>821000</v>
      </c>
      <c r="F36" s="12" t="s">
        <v>92</v>
      </c>
      <c r="G36" s="108">
        <f>SUM(G37:G39)</f>
        <v>1000</v>
      </c>
      <c r="H36" s="108">
        <f>SUM(H37:H39)</f>
        <v>2000</v>
      </c>
      <c r="I36" s="152">
        <f t="shared" si="0"/>
        <v>200</v>
      </c>
    </row>
    <row r="37" spans="2:9" ht="12.95" customHeight="1">
      <c r="B37" s="14"/>
      <c r="C37" s="15"/>
      <c r="D37" s="15"/>
      <c r="E37" s="16">
        <v>821200</v>
      </c>
      <c r="F37" s="15" t="s">
        <v>93</v>
      </c>
      <c r="G37" s="117">
        <v>0</v>
      </c>
      <c r="H37" s="117">
        <v>0</v>
      </c>
      <c r="I37" s="153" t="str">
        <f t="shared" si="0"/>
        <v/>
      </c>
    </row>
    <row r="38" spans="2:9" ht="12.95" customHeight="1">
      <c r="B38" s="14"/>
      <c r="C38" s="15"/>
      <c r="D38" s="15"/>
      <c r="E38" s="16">
        <v>821300</v>
      </c>
      <c r="F38" s="15" t="s">
        <v>94</v>
      </c>
      <c r="G38" s="117">
        <v>1000</v>
      </c>
      <c r="H38" s="117">
        <v>2000</v>
      </c>
      <c r="I38" s="153">
        <f t="shared" si="0"/>
        <v>200</v>
      </c>
    </row>
    <row r="39" spans="2:9" ht="12.95" customHeight="1">
      <c r="B39" s="14"/>
      <c r="C39" s="15"/>
      <c r="D39" s="15"/>
      <c r="E39" s="16"/>
      <c r="F39" s="26"/>
      <c r="G39" s="117"/>
      <c r="H39" s="117"/>
      <c r="I39" s="153" t="str">
        <f t="shared" si="0"/>
        <v/>
      </c>
    </row>
    <row r="40" spans="2:9" ht="12.95" customHeight="1">
      <c r="B40" s="14"/>
      <c r="C40" s="15"/>
      <c r="D40" s="15"/>
      <c r="E40" s="16"/>
      <c r="F40" s="15"/>
      <c r="G40" s="44"/>
      <c r="H40" s="44"/>
      <c r="I40" s="153" t="str">
        <f t="shared" si="0"/>
        <v/>
      </c>
    </row>
    <row r="41" spans="2:9" s="1" customFormat="1" ht="12.95" customHeight="1">
      <c r="B41" s="17"/>
      <c r="C41" s="12"/>
      <c r="D41" s="12"/>
      <c r="E41" s="9"/>
      <c r="F41" s="12" t="s">
        <v>95</v>
      </c>
      <c r="G41" s="25" t="s">
        <v>733</v>
      </c>
      <c r="H41" s="25" t="s">
        <v>713</v>
      </c>
      <c r="I41" s="153"/>
    </row>
    <row r="42" spans="2:9" s="1" customFormat="1" ht="12.95" customHeight="1">
      <c r="B42" s="17"/>
      <c r="C42" s="12"/>
      <c r="D42" s="12"/>
      <c r="E42" s="9"/>
      <c r="F42" s="12" t="s">
        <v>115</v>
      </c>
      <c r="G42" s="20">
        <f>G7+G13+G17+G36</f>
        <v>678080</v>
      </c>
      <c r="H42" s="20">
        <f>H7+H13+H17+H36</f>
        <v>685700</v>
      </c>
      <c r="I42" s="152">
        <f t="shared" si="0"/>
        <v>101.12376120811703</v>
      </c>
    </row>
    <row r="43" spans="2:9" s="1" customFormat="1" ht="12.95" customHeight="1">
      <c r="B43" s="17"/>
      <c r="C43" s="12"/>
      <c r="D43" s="12"/>
      <c r="E43" s="9"/>
      <c r="F43" s="12" t="s">
        <v>96</v>
      </c>
      <c r="G43" s="20"/>
      <c r="H43" s="20"/>
      <c r="I43" s="155"/>
    </row>
    <row r="44" spans="2:9" s="1" customFormat="1" ht="12.95" customHeight="1">
      <c r="B44" s="17"/>
      <c r="C44" s="12"/>
      <c r="D44" s="12"/>
      <c r="E44" s="9"/>
      <c r="F44" s="12" t="s">
        <v>97</v>
      </c>
      <c r="G44" s="20"/>
      <c r="H44" s="43"/>
      <c r="I44" s="154"/>
    </row>
    <row r="45" spans="2:9" ht="12.95" customHeight="1" thickBot="1">
      <c r="B45" s="21"/>
      <c r="C45" s="22"/>
      <c r="D45" s="22"/>
      <c r="E45" s="23"/>
      <c r="F45" s="22"/>
      <c r="G45" s="48"/>
      <c r="H45" s="45"/>
      <c r="I45" s="156"/>
    </row>
    <row r="47" spans="2:9">
      <c r="B47" s="81"/>
    </row>
    <row r="48" spans="2:9">
      <c r="B48" s="81"/>
    </row>
    <row r="49" spans="2:2">
      <c r="B49" s="81"/>
    </row>
    <row r="50" spans="2:2">
      <c r="B50" s="81"/>
    </row>
    <row r="51" spans="2:2">
      <c r="B51" s="81"/>
    </row>
    <row r="52" spans="2:2">
      <c r="B52" s="81"/>
    </row>
    <row r="53" spans="2:2">
      <c r="B53" s="81"/>
    </row>
    <row r="54" spans="2:2">
      <c r="B54" s="81"/>
    </row>
    <row r="55" spans="2:2">
      <c r="B55" s="81"/>
    </row>
    <row r="56" spans="2:2">
      <c r="B56" s="81"/>
    </row>
    <row r="57" spans="2:2">
      <c r="B57" s="81"/>
    </row>
  </sheetData>
  <mergeCells count="2">
    <mergeCell ref="B2:G2"/>
    <mergeCell ref="F3:G3"/>
  </mergeCells>
  <phoneticPr fontId="2" type="noConversion"/>
  <pageMargins left="0.19685039370078741" right="0.19685039370078741" top="0.59055118110236227" bottom="0.59055118110236227" header="0.51181102362204722" footer="0.51181102362204722"/>
  <pageSetup paperSize="9" scale="88" firstPageNumber="10" orientation="portrait" useFirstPageNumber="1" horizontalDpi="180" verticalDpi="180" r:id="rId1"/>
  <headerFooter alignWithMargins="0">
    <oddFooter>&amp;R33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 codeName="Sheet29"/>
  <dimension ref="B2:K52"/>
  <sheetViews>
    <sheetView topLeftCell="C4" workbookViewId="0">
      <selection activeCell="G7" sqref="G7:G41"/>
    </sheetView>
  </sheetViews>
  <sheetFormatPr defaultRowHeight="12.75"/>
  <cols>
    <col min="1" max="1" width="1.5703125" style="13" customWidth="1"/>
    <col min="2" max="4" width="5.7109375" style="13" bestFit="1" customWidth="1"/>
    <col min="5" max="5" width="11" style="24" customWidth="1"/>
    <col min="6" max="6" width="43.7109375" style="13" customWidth="1"/>
    <col min="7" max="7" width="15.7109375" style="13" customWidth="1"/>
    <col min="8" max="8" width="15.7109375" style="90" customWidth="1"/>
    <col min="9" max="9" width="8.7109375" style="140" customWidth="1"/>
    <col min="10" max="16384" width="9.140625" style="13"/>
  </cols>
  <sheetData>
    <row r="2" spans="2:11" ht="15" customHeight="1">
      <c r="B2" s="448" t="s">
        <v>175</v>
      </c>
      <c r="C2" s="448"/>
      <c r="D2" s="448"/>
      <c r="E2" s="448"/>
      <c r="F2" s="448"/>
      <c r="G2" s="448"/>
    </row>
    <row r="3" spans="2:11" s="1" customFormat="1" ht="16.5" thickBot="1">
      <c r="E3" s="2"/>
      <c r="F3" s="449"/>
      <c r="G3" s="449"/>
      <c r="H3" s="181"/>
      <c r="I3" s="182"/>
    </row>
    <row r="4" spans="2:11" s="1" customFormat="1" ht="76.5" customHeight="1">
      <c r="B4" s="3" t="s">
        <v>79</v>
      </c>
      <c r="C4" s="4" t="s">
        <v>80</v>
      </c>
      <c r="D4" s="5" t="s">
        <v>112</v>
      </c>
      <c r="E4" s="6" t="s">
        <v>81</v>
      </c>
      <c r="F4" s="7" t="s">
        <v>82</v>
      </c>
      <c r="G4" s="316" t="s">
        <v>557</v>
      </c>
      <c r="H4" s="316" t="s">
        <v>683</v>
      </c>
      <c r="I4" s="149" t="s">
        <v>497</v>
      </c>
    </row>
    <row r="5" spans="2:11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34">
        <v>6</v>
      </c>
      <c r="H5" s="9">
        <v>7</v>
      </c>
      <c r="I5" s="150">
        <v>8</v>
      </c>
    </row>
    <row r="6" spans="2:11" s="2" customFormat="1" ht="12.95" customHeight="1">
      <c r="B6" s="10" t="s">
        <v>147</v>
      </c>
      <c r="C6" s="11" t="s">
        <v>149</v>
      </c>
      <c r="D6" s="11" t="s">
        <v>129</v>
      </c>
      <c r="E6" s="9"/>
      <c r="F6" s="9"/>
      <c r="G6" s="34"/>
      <c r="H6" s="165"/>
      <c r="I6" s="151"/>
    </row>
    <row r="7" spans="2:11" s="1" customFormat="1" ht="12.95" customHeight="1">
      <c r="B7" s="17"/>
      <c r="C7" s="12"/>
      <c r="D7" s="12"/>
      <c r="E7" s="9">
        <v>611000</v>
      </c>
      <c r="F7" s="12" t="s">
        <v>167</v>
      </c>
      <c r="G7" s="108">
        <f>SUM(G8:G11)</f>
        <v>753510</v>
      </c>
      <c r="H7" s="392">
        <f>SUM(H8:H11)</f>
        <v>819400</v>
      </c>
      <c r="I7" s="152">
        <f t="shared" ref="I7:I42" si="0">IF(G7=0,"",H7/G7*100)</f>
        <v>108.74440949688791</v>
      </c>
    </row>
    <row r="8" spans="2:11" ht="12.95" customHeight="1">
      <c r="B8" s="14"/>
      <c r="C8" s="15"/>
      <c r="D8" s="15"/>
      <c r="E8" s="16">
        <v>611100</v>
      </c>
      <c r="F8" s="26" t="s">
        <v>210</v>
      </c>
      <c r="G8" s="117">
        <v>602500</v>
      </c>
      <c r="H8" s="394">
        <f>634500+5800+31700</f>
        <v>672000</v>
      </c>
      <c r="I8" s="153">
        <f t="shared" si="0"/>
        <v>111.53526970954357</v>
      </c>
    </row>
    <row r="9" spans="2:11" ht="12.95" customHeight="1">
      <c r="B9" s="14"/>
      <c r="C9" s="15"/>
      <c r="D9" s="15"/>
      <c r="E9" s="16">
        <v>611200</v>
      </c>
      <c r="F9" s="15" t="s">
        <v>211</v>
      </c>
      <c r="G9" s="117">
        <f>133200+2000+44*240</f>
        <v>145760</v>
      </c>
      <c r="H9" s="394">
        <f>140700+5000+1700</f>
        <v>147400</v>
      </c>
      <c r="I9" s="153">
        <f t="shared" si="0"/>
        <v>101.1251372118551</v>
      </c>
    </row>
    <row r="10" spans="2:11" ht="12.95" customHeight="1">
      <c r="B10" s="14"/>
      <c r="C10" s="15"/>
      <c r="D10" s="15"/>
      <c r="E10" s="16">
        <v>611200</v>
      </c>
      <c r="F10" s="363" t="s">
        <v>699</v>
      </c>
      <c r="G10" s="82">
        <v>5250</v>
      </c>
      <c r="H10" s="391">
        <v>0</v>
      </c>
      <c r="I10" s="153">
        <f t="shared" si="0"/>
        <v>0</v>
      </c>
      <c r="K10" s="89"/>
    </row>
    <row r="11" spans="2:11" ht="12.95" customHeight="1">
      <c r="B11" s="14"/>
      <c r="C11" s="15"/>
      <c r="D11" s="15"/>
      <c r="E11" s="16"/>
      <c r="F11" s="26"/>
      <c r="G11" s="117"/>
      <c r="H11" s="394"/>
      <c r="I11" s="153" t="str">
        <f t="shared" si="0"/>
        <v/>
      </c>
    </row>
    <row r="12" spans="2:11" ht="12.95" customHeight="1">
      <c r="B12" s="14"/>
      <c r="C12" s="15"/>
      <c r="D12" s="15"/>
      <c r="E12" s="16"/>
      <c r="F12" s="15"/>
      <c r="G12" s="108"/>
      <c r="H12" s="392"/>
      <c r="I12" s="153" t="str">
        <f t="shared" si="0"/>
        <v/>
      </c>
    </row>
    <row r="13" spans="2:11" s="1" customFormat="1" ht="12.95" customHeight="1">
      <c r="B13" s="17"/>
      <c r="C13" s="12"/>
      <c r="D13" s="12"/>
      <c r="E13" s="9">
        <v>612000</v>
      </c>
      <c r="F13" s="12" t="s">
        <v>166</v>
      </c>
      <c r="G13" s="108">
        <f>G14</f>
        <v>65300</v>
      </c>
      <c r="H13" s="392">
        <f>H14</f>
        <v>71600</v>
      </c>
      <c r="I13" s="152">
        <f t="shared" si="0"/>
        <v>109.64777947932618</v>
      </c>
    </row>
    <row r="14" spans="2:11" ht="12.95" customHeight="1">
      <c r="B14" s="14"/>
      <c r="C14" s="15"/>
      <c r="D14" s="15"/>
      <c r="E14" s="16">
        <v>612100</v>
      </c>
      <c r="F14" s="18" t="s">
        <v>85</v>
      </c>
      <c r="G14" s="117">
        <v>65300</v>
      </c>
      <c r="H14" s="394">
        <f>68200+3400</f>
        <v>71600</v>
      </c>
      <c r="I14" s="153">
        <f t="shared" si="0"/>
        <v>109.64777947932618</v>
      </c>
    </row>
    <row r="15" spans="2:11" ht="12.95" customHeight="1">
      <c r="B15" s="14"/>
      <c r="C15" s="15"/>
      <c r="D15" s="15"/>
      <c r="E15" s="16"/>
      <c r="F15" s="15"/>
      <c r="G15" s="44"/>
      <c r="H15" s="44"/>
      <c r="I15" s="153" t="str">
        <f t="shared" si="0"/>
        <v/>
      </c>
    </row>
    <row r="16" spans="2:11" ht="12.95" customHeight="1">
      <c r="B16" s="14"/>
      <c r="C16" s="15"/>
      <c r="D16" s="15"/>
      <c r="E16" s="16"/>
      <c r="F16" s="15"/>
      <c r="G16" s="20"/>
      <c r="H16" s="20"/>
      <c r="I16" s="153" t="str">
        <f t="shared" si="0"/>
        <v/>
      </c>
    </row>
    <row r="17" spans="2:9" s="1" customFormat="1" ht="12.95" customHeight="1">
      <c r="B17" s="17"/>
      <c r="C17" s="12"/>
      <c r="D17" s="12"/>
      <c r="E17" s="9">
        <v>613000</v>
      </c>
      <c r="F17" s="12" t="s">
        <v>168</v>
      </c>
      <c r="G17" s="49">
        <f>SUM(G18:G27)</f>
        <v>69400</v>
      </c>
      <c r="H17" s="49">
        <f>SUM(H18:H27)</f>
        <v>61050</v>
      </c>
      <c r="I17" s="152">
        <f t="shared" si="0"/>
        <v>87.968299711815561</v>
      </c>
    </row>
    <row r="18" spans="2:9" ht="12.95" customHeight="1">
      <c r="B18" s="14"/>
      <c r="C18" s="15"/>
      <c r="D18" s="15"/>
      <c r="E18" s="16">
        <v>613100</v>
      </c>
      <c r="F18" s="15" t="s">
        <v>86</v>
      </c>
      <c r="G18" s="44">
        <v>3500</v>
      </c>
      <c r="H18" s="44">
        <v>3500</v>
      </c>
      <c r="I18" s="153">
        <f t="shared" si="0"/>
        <v>100</v>
      </c>
    </row>
    <row r="19" spans="2:9" ht="12.95" customHeight="1">
      <c r="B19" s="14"/>
      <c r="C19" s="15"/>
      <c r="D19" s="15"/>
      <c r="E19" s="16">
        <v>613200</v>
      </c>
      <c r="F19" s="15" t="s">
        <v>87</v>
      </c>
      <c r="G19" s="44">
        <v>32000</v>
      </c>
      <c r="H19" s="44">
        <v>30000</v>
      </c>
      <c r="I19" s="153">
        <f t="shared" si="0"/>
        <v>93.75</v>
      </c>
    </row>
    <row r="20" spans="2:9" ht="12.95" customHeight="1">
      <c r="B20" s="14"/>
      <c r="C20" s="15"/>
      <c r="D20" s="15"/>
      <c r="E20" s="16">
        <v>613300</v>
      </c>
      <c r="F20" s="26" t="s">
        <v>212</v>
      </c>
      <c r="G20" s="117">
        <v>3050</v>
      </c>
      <c r="H20" s="117">
        <v>3050</v>
      </c>
      <c r="I20" s="153">
        <f t="shared" si="0"/>
        <v>100</v>
      </c>
    </row>
    <row r="21" spans="2:9" ht="12.95" customHeight="1">
      <c r="B21" s="14"/>
      <c r="C21" s="15"/>
      <c r="D21" s="15"/>
      <c r="E21" s="16">
        <v>613400</v>
      </c>
      <c r="F21" s="15" t="s">
        <v>169</v>
      </c>
      <c r="G21" s="117">
        <v>8500</v>
      </c>
      <c r="H21" s="117">
        <v>8500</v>
      </c>
      <c r="I21" s="153">
        <f t="shared" si="0"/>
        <v>100</v>
      </c>
    </row>
    <row r="22" spans="2:9" ht="12.95" customHeight="1">
      <c r="B22" s="14"/>
      <c r="C22" s="15"/>
      <c r="D22" s="15"/>
      <c r="E22" s="16">
        <v>613500</v>
      </c>
      <c r="F22" s="15" t="s">
        <v>88</v>
      </c>
      <c r="G22" s="117">
        <v>0</v>
      </c>
      <c r="H22" s="117">
        <v>0</v>
      </c>
      <c r="I22" s="153" t="str">
        <f t="shared" si="0"/>
        <v/>
      </c>
    </row>
    <row r="23" spans="2:9" ht="12.95" customHeight="1">
      <c r="B23" s="14"/>
      <c r="C23" s="15"/>
      <c r="D23" s="15"/>
      <c r="E23" s="16">
        <v>613600</v>
      </c>
      <c r="F23" s="26" t="s">
        <v>213</v>
      </c>
      <c r="G23" s="117">
        <v>0</v>
      </c>
      <c r="H23" s="117">
        <v>0</v>
      </c>
      <c r="I23" s="153" t="str">
        <f t="shared" si="0"/>
        <v/>
      </c>
    </row>
    <row r="24" spans="2:9" ht="12.95" customHeight="1">
      <c r="B24" s="14"/>
      <c r="C24" s="15"/>
      <c r="D24" s="15"/>
      <c r="E24" s="16">
        <v>613700</v>
      </c>
      <c r="F24" s="15" t="s">
        <v>89</v>
      </c>
      <c r="G24" s="117">
        <v>6500</v>
      </c>
      <c r="H24" s="117">
        <v>7000</v>
      </c>
      <c r="I24" s="153">
        <f t="shared" si="0"/>
        <v>107.69230769230769</v>
      </c>
    </row>
    <row r="25" spans="2:9" ht="12.95" customHeight="1">
      <c r="B25" s="14"/>
      <c r="C25" s="15"/>
      <c r="D25" s="15"/>
      <c r="E25" s="16">
        <v>613800</v>
      </c>
      <c r="F25" s="15" t="s">
        <v>170</v>
      </c>
      <c r="G25" s="117">
        <v>0</v>
      </c>
      <c r="H25" s="117">
        <v>0</v>
      </c>
      <c r="I25" s="153" t="str">
        <f t="shared" si="0"/>
        <v/>
      </c>
    </row>
    <row r="26" spans="2:9" ht="12.95" customHeight="1">
      <c r="B26" s="14"/>
      <c r="C26" s="15"/>
      <c r="D26" s="15"/>
      <c r="E26" s="16">
        <v>613900</v>
      </c>
      <c r="F26" s="15" t="s">
        <v>171</v>
      </c>
      <c r="G26" s="117">
        <v>9000</v>
      </c>
      <c r="H26" s="117">
        <v>9000</v>
      </c>
      <c r="I26" s="153">
        <f t="shared" si="0"/>
        <v>100</v>
      </c>
    </row>
    <row r="27" spans="2:9" ht="12.95" customHeight="1">
      <c r="B27" s="14"/>
      <c r="C27" s="15"/>
      <c r="D27" s="15"/>
      <c r="E27" s="16">
        <v>613900</v>
      </c>
      <c r="F27" s="363" t="s">
        <v>701</v>
      </c>
      <c r="G27" s="117">
        <v>6850</v>
      </c>
      <c r="H27" s="117">
        <v>0</v>
      </c>
      <c r="I27" s="153">
        <f t="shared" si="0"/>
        <v>0</v>
      </c>
    </row>
    <row r="28" spans="2:9" s="1" customFormat="1" ht="12.95" customHeight="1">
      <c r="B28" s="17"/>
      <c r="C28" s="12"/>
      <c r="D28" s="12"/>
      <c r="E28" s="9"/>
      <c r="F28" s="12"/>
      <c r="G28" s="117"/>
      <c r="H28" s="117"/>
      <c r="I28" s="153" t="str">
        <f t="shared" si="0"/>
        <v/>
      </c>
    </row>
    <row r="29" spans="2:9" ht="12.95" customHeight="1">
      <c r="B29" s="14"/>
      <c r="C29" s="15"/>
      <c r="D29" s="30"/>
      <c r="E29" s="16"/>
      <c r="F29" s="29"/>
      <c r="G29" s="117"/>
      <c r="H29" s="117"/>
      <c r="I29" s="153" t="str">
        <f t="shared" si="0"/>
        <v/>
      </c>
    </row>
    <row r="30" spans="2:9" ht="12.95" customHeight="1">
      <c r="B30" s="14"/>
      <c r="C30" s="15"/>
      <c r="D30" s="15"/>
      <c r="E30" s="60"/>
      <c r="F30" s="29"/>
      <c r="G30" s="117"/>
      <c r="H30" s="117"/>
      <c r="I30" s="153" t="str">
        <f t="shared" si="0"/>
        <v/>
      </c>
    </row>
    <row r="31" spans="2:9" ht="12.95" customHeight="1">
      <c r="B31" s="14"/>
      <c r="C31" s="15"/>
      <c r="D31" s="15"/>
      <c r="E31" s="16"/>
      <c r="F31" s="15"/>
      <c r="G31" s="117"/>
      <c r="H31" s="117"/>
      <c r="I31" s="153" t="str">
        <f t="shared" si="0"/>
        <v/>
      </c>
    </row>
    <row r="32" spans="2:9" ht="12.95" customHeight="1">
      <c r="B32" s="14"/>
      <c r="C32" s="15"/>
      <c r="D32" s="15"/>
      <c r="E32" s="16"/>
      <c r="F32" s="15"/>
      <c r="G32" s="117"/>
      <c r="H32" s="117"/>
      <c r="I32" s="153" t="str">
        <f t="shared" si="0"/>
        <v/>
      </c>
    </row>
    <row r="33" spans="2:9" ht="12.95" customHeight="1">
      <c r="B33" s="14"/>
      <c r="C33" s="15"/>
      <c r="D33" s="15"/>
      <c r="E33" s="9"/>
      <c r="F33" s="12"/>
      <c r="G33" s="117"/>
      <c r="H33" s="117"/>
      <c r="I33" s="153" t="str">
        <f t="shared" si="0"/>
        <v/>
      </c>
    </row>
    <row r="34" spans="2:9" ht="12.95" customHeight="1">
      <c r="B34" s="14"/>
      <c r="C34" s="15"/>
      <c r="D34" s="15"/>
      <c r="E34" s="16"/>
      <c r="F34" s="26"/>
      <c r="G34" s="117"/>
      <c r="H34" s="117"/>
      <c r="I34" s="153" t="str">
        <f t="shared" si="0"/>
        <v/>
      </c>
    </row>
    <row r="35" spans="2:9" ht="12.95" customHeight="1">
      <c r="B35" s="14"/>
      <c r="C35" s="15"/>
      <c r="D35" s="15"/>
      <c r="E35" s="16"/>
      <c r="F35" s="15"/>
      <c r="G35" s="108"/>
      <c r="H35" s="108"/>
      <c r="I35" s="153" t="str">
        <f t="shared" si="0"/>
        <v/>
      </c>
    </row>
    <row r="36" spans="2:9" s="1" customFormat="1" ht="12.95" customHeight="1">
      <c r="B36" s="17"/>
      <c r="C36" s="12"/>
      <c r="D36" s="12"/>
      <c r="E36" s="9">
        <v>821000</v>
      </c>
      <c r="F36" s="12" t="s">
        <v>92</v>
      </c>
      <c r="G36" s="108">
        <f>SUM(G37:G39)</f>
        <v>0</v>
      </c>
      <c r="H36" s="108">
        <f>SUM(H37:H39)</f>
        <v>11000</v>
      </c>
      <c r="I36" s="152" t="str">
        <f t="shared" si="0"/>
        <v/>
      </c>
    </row>
    <row r="37" spans="2:9" ht="12.95" customHeight="1">
      <c r="B37" s="14"/>
      <c r="C37" s="15"/>
      <c r="D37" s="15"/>
      <c r="E37" s="16">
        <v>821200</v>
      </c>
      <c r="F37" s="15" t="s">
        <v>93</v>
      </c>
      <c r="G37" s="117">
        <v>0</v>
      </c>
      <c r="H37" s="117">
        <v>10000</v>
      </c>
      <c r="I37" s="153" t="str">
        <f t="shared" si="0"/>
        <v/>
      </c>
    </row>
    <row r="38" spans="2:9" ht="12.95" customHeight="1">
      <c r="B38" s="14"/>
      <c r="C38" s="15"/>
      <c r="D38" s="15"/>
      <c r="E38" s="16">
        <v>821300</v>
      </c>
      <c r="F38" s="15" t="s">
        <v>94</v>
      </c>
      <c r="G38" s="117">
        <v>0</v>
      </c>
      <c r="H38" s="117">
        <v>1000</v>
      </c>
      <c r="I38" s="153" t="str">
        <f t="shared" si="0"/>
        <v/>
      </c>
    </row>
    <row r="39" spans="2:9" ht="12.95" customHeight="1">
      <c r="B39" s="14"/>
      <c r="C39" s="15"/>
      <c r="D39" s="15"/>
      <c r="E39" s="16"/>
      <c r="F39" s="26"/>
      <c r="G39" s="117"/>
      <c r="H39" s="117"/>
      <c r="I39" s="153" t="str">
        <f t="shared" si="0"/>
        <v/>
      </c>
    </row>
    <row r="40" spans="2:9" ht="12.95" customHeight="1">
      <c r="B40" s="14"/>
      <c r="C40" s="15"/>
      <c r="D40" s="15"/>
      <c r="E40" s="16"/>
      <c r="F40" s="15"/>
      <c r="G40" s="44"/>
      <c r="H40" s="44"/>
      <c r="I40" s="153" t="str">
        <f t="shared" si="0"/>
        <v/>
      </c>
    </row>
    <row r="41" spans="2:9" s="1" customFormat="1" ht="12.95" customHeight="1">
      <c r="B41" s="17"/>
      <c r="C41" s="12"/>
      <c r="D41" s="12"/>
      <c r="E41" s="9"/>
      <c r="F41" s="12" t="s">
        <v>95</v>
      </c>
      <c r="G41" s="25" t="s">
        <v>734</v>
      </c>
      <c r="H41" s="25" t="s">
        <v>720</v>
      </c>
      <c r="I41" s="153"/>
    </row>
    <row r="42" spans="2:9" s="1" customFormat="1" ht="12.95" customHeight="1">
      <c r="B42" s="17"/>
      <c r="C42" s="12"/>
      <c r="D42" s="12"/>
      <c r="E42" s="9"/>
      <c r="F42" s="12" t="s">
        <v>115</v>
      </c>
      <c r="G42" s="20">
        <f>G7+G13+G17+G36</f>
        <v>888210</v>
      </c>
      <c r="H42" s="20">
        <f>H7+H13+H17+H36</f>
        <v>963050</v>
      </c>
      <c r="I42" s="152">
        <f t="shared" si="0"/>
        <v>108.42593530809155</v>
      </c>
    </row>
    <row r="43" spans="2:9" s="1" customFormat="1" ht="12.95" customHeight="1">
      <c r="B43" s="17"/>
      <c r="C43" s="12"/>
      <c r="D43" s="12"/>
      <c r="E43" s="9"/>
      <c r="F43" s="12" t="s">
        <v>96</v>
      </c>
      <c r="G43" s="20"/>
      <c r="H43" s="20"/>
      <c r="I43" s="143"/>
    </row>
    <row r="44" spans="2:9" s="1" customFormat="1" ht="12.95" customHeight="1">
      <c r="B44" s="17"/>
      <c r="C44" s="12"/>
      <c r="D44" s="12"/>
      <c r="E44" s="9"/>
      <c r="F44" s="12" t="s">
        <v>97</v>
      </c>
      <c r="G44" s="20"/>
      <c r="H44" s="43"/>
      <c r="I44" s="142"/>
    </row>
    <row r="45" spans="2:9" ht="12.95" customHeight="1" thickBot="1">
      <c r="B45" s="21"/>
      <c r="C45" s="22"/>
      <c r="D45" s="22"/>
      <c r="E45" s="23"/>
      <c r="F45" s="22"/>
      <c r="G45" s="48"/>
      <c r="H45" s="45"/>
      <c r="I45" s="156"/>
    </row>
    <row r="48" spans="2:9">
      <c r="B48" s="81"/>
    </row>
    <row r="49" spans="2:2">
      <c r="B49" s="81"/>
    </row>
    <row r="50" spans="2:2">
      <c r="B50" s="81"/>
    </row>
    <row r="51" spans="2:2">
      <c r="B51" s="81"/>
    </row>
    <row r="52" spans="2:2">
      <c r="B52" s="81"/>
    </row>
  </sheetData>
  <mergeCells count="2">
    <mergeCell ref="B2:G2"/>
    <mergeCell ref="F3:G3"/>
  </mergeCells>
  <phoneticPr fontId="2" type="noConversion"/>
  <pageMargins left="0.19685039370078741" right="0.19685039370078741" top="0.59055118110236227" bottom="0.59055118110236227" header="0.51181102362204722" footer="0.51181102362204722"/>
  <pageSetup paperSize="9" scale="88" firstPageNumber="10" orientation="portrait" useFirstPageNumber="1" horizontalDpi="180" verticalDpi="180" r:id="rId1"/>
  <headerFooter alignWithMargins="0">
    <oddFooter>&amp;R34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 codeName="Sheet30"/>
  <dimension ref="B2:K53"/>
  <sheetViews>
    <sheetView topLeftCell="C7" workbookViewId="0">
      <selection activeCell="G7" sqref="G7:G41"/>
    </sheetView>
  </sheetViews>
  <sheetFormatPr defaultRowHeight="12.75"/>
  <cols>
    <col min="1" max="1" width="1.5703125" style="13" customWidth="1"/>
    <col min="2" max="4" width="5.7109375" style="13" bestFit="1" customWidth="1"/>
    <col min="5" max="5" width="11.140625" style="24" customWidth="1"/>
    <col min="6" max="6" width="43.7109375" style="13" customWidth="1"/>
    <col min="7" max="7" width="15.7109375" style="13" customWidth="1"/>
    <col min="8" max="8" width="15.7109375" style="90" customWidth="1"/>
    <col min="9" max="9" width="8.7109375" style="140" customWidth="1"/>
    <col min="10" max="16384" width="9.140625" style="13"/>
  </cols>
  <sheetData>
    <row r="2" spans="2:11" ht="15" customHeight="1">
      <c r="B2" s="450" t="s">
        <v>176</v>
      </c>
      <c r="C2" s="450"/>
      <c r="D2" s="450"/>
      <c r="E2" s="450"/>
      <c r="F2" s="450"/>
      <c r="G2" s="450"/>
    </row>
    <row r="3" spans="2:11" s="1" customFormat="1" ht="16.5" thickBot="1">
      <c r="E3" s="2"/>
      <c r="F3" s="449"/>
      <c r="G3" s="449"/>
      <c r="H3" s="181"/>
      <c r="I3" s="182"/>
    </row>
    <row r="4" spans="2:11" s="1" customFormat="1" ht="76.5" customHeight="1">
      <c r="B4" s="3" t="s">
        <v>79</v>
      </c>
      <c r="C4" s="4" t="s">
        <v>80</v>
      </c>
      <c r="D4" s="5" t="s">
        <v>112</v>
      </c>
      <c r="E4" s="6" t="s">
        <v>81</v>
      </c>
      <c r="F4" s="7" t="s">
        <v>82</v>
      </c>
      <c r="G4" s="316" t="s">
        <v>557</v>
      </c>
      <c r="H4" s="316" t="s">
        <v>683</v>
      </c>
      <c r="I4" s="149" t="s">
        <v>497</v>
      </c>
    </row>
    <row r="5" spans="2:11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34">
        <v>6</v>
      </c>
      <c r="H5" s="9">
        <v>7</v>
      </c>
      <c r="I5" s="150">
        <v>8</v>
      </c>
    </row>
    <row r="6" spans="2:11" s="2" customFormat="1" ht="12.95" customHeight="1">
      <c r="B6" s="10" t="s">
        <v>147</v>
      </c>
      <c r="C6" s="11" t="s">
        <v>149</v>
      </c>
      <c r="D6" s="11" t="s">
        <v>150</v>
      </c>
      <c r="E6" s="9"/>
      <c r="F6" s="9"/>
      <c r="G6" s="34"/>
      <c r="H6" s="165"/>
      <c r="I6" s="151"/>
    </row>
    <row r="7" spans="2:11" s="1" customFormat="1" ht="12.95" customHeight="1">
      <c r="B7" s="17"/>
      <c r="C7" s="12"/>
      <c r="D7" s="12"/>
      <c r="E7" s="9">
        <v>611000</v>
      </c>
      <c r="F7" s="12" t="s">
        <v>167</v>
      </c>
      <c r="G7" s="20">
        <f>SUM(G8:G11)</f>
        <v>806840</v>
      </c>
      <c r="H7" s="392">
        <f>SUM(H8:H11)</f>
        <v>886720</v>
      </c>
      <c r="I7" s="152">
        <f t="shared" ref="I7:I42" si="0">IF(G7=0,"",H7/G7*100)</f>
        <v>109.90035199048138</v>
      </c>
    </row>
    <row r="8" spans="2:11" ht="12.95" customHeight="1">
      <c r="B8" s="14"/>
      <c r="C8" s="15"/>
      <c r="D8" s="15"/>
      <c r="E8" s="16">
        <v>611100</v>
      </c>
      <c r="F8" s="26" t="s">
        <v>210</v>
      </c>
      <c r="G8" s="117">
        <f>638900</f>
        <v>638900</v>
      </c>
      <c r="H8" s="394">
        <f>670200+10720+33800</f>
        <v>714720</v>
      </c>
      <c r="I8" s="153">
        <f t="shared" si="0"/>
        <v>111.86727187353263</v>
      </c>
      <c r="J8" s="81"/>
      <c r="K8" s="90"/>
    </row>
    <row r="9" spans="2:11" ht="12.95" customHeight="1">
      <c r="B9" s="14"/>
      <c r="C9" s="15"/>
      <c r="D9" s="15"/>
      <c r="E9" s="16">
        <v>611200</v>
      </c>
      <c r="F9" s="15" t="s">
        <v>211</v>
      </c>
      <c r="G9" s="117">
        <f>143700+3700+46*240</f>
        <v>158440</v>
      </c>
      <c r="H9" s="394">
        <f>157700+10500+3800</f>
        <v>172000</v>
      </c>
      <c r="I9" s="153">
        <f t="shared" si="0"/>
        <v>108.55844483716233</v>
      </c>
    </row>
    <row r="10" spans="2:11" ht="12.95" customHeight="1">
      <c r="B10" s="14"/>
      <c r="C10" s="15"/>
      <c r="D10" s="15"/>
      <c r="E10" s="16">
        <v>611200</v>
      </c>
      <c r="F10" s="363" t="s">
        <v>699</v>
      </c>
      <c r="G10" s="82">
        <v>9500</v>
      </c>
      <c r="H10" s="391">
        <v>0</v>
      </c>
      <c r="I10" s="153">
        <f t="shared" si="0"/>
        <v>0</v>
      </c>
      <c r="K10" s="89"/>
    </row>
    <row r="11" spans="2:11" ht="12.95" customHeight="1">
      <c r="B11" s="14"/>
      <c r="C11" s="15"/>
      <c r="D11" s="15"/>
      <c r="E11" s="16"/>
      <c r="F11" s="26"/>
      <c r="G11" s="44"/>
      <c r="H11" s="394"/>
      <c r="I11" s="153" t="str">
        <f t="shared" si="0"/>
        <v/>
      </c>
    </row>
    <row r="12" spans="2:11" ht="12.95" customHeight="1">
      <c r="B12" s="14"/>
      <c r="C12" s="15"/>
      <c r="D12" s="15"/>
      <c r="E12" s="16"/>
      <c r="F12" s="15"/>
      <c r="G12" s="20"/>
      <c r="H12" s="392"/>
      <c r="I12" s="153" t="str">
        <f t="shared" si="0"/>
        <v/>
      </c>
    </row>
    <row r="13" spans="2:11" s="1" customFormat="1" ht="12.95" customHeight="1">
      <c r="B13" s="17"/>
      <c r="C13" s="12"/>
      <c r="D13" s="12"/>
      <c r="E13" s="9">
        <v>612000</v>
      </c>
      <c r="F13" s="12" t="s">
        <v>166</v>
      </c>
      <c r="G13" s="20">
        <f>G14</f>
        <v>68000</v>
      </c>
      <c r="H13" s="392">
        <f>H14</f>
        <v>75000</v>
      </c>
      <c r="I13" s="152">
        <f t="shared" si="0"/>
        <v>110.29411764705883</v>
      </c>
    </row>
    <row r="14" spans="2:11" ht="12.95" customHeight="1">
      <c r="B14" s="14"/>
      <c r="C14" s="15"/>
      <c r="D14" s="15"/>
      <c r="E14" s="16">
        <v>612100</v>
      </c>
      <c r="F14" s="18" t="s">
        <v>85</v>
      </c>
      <c r="G14" s="117">
        <v>68000</v>
      </c>
      <c r="H14" s="394">
        <f>71400+3600</f>
        <v>75000</v>
      </c>
      <c r="I14" s="153">
        <f t="shared" si="0"/>
        <v>110.29411764705883</v>
      </c>
    </row>
    <row r="15" spans="2:11" ht="12.95" customHeight="1">
      <c r="B15" s="14"/>
      <c r="C15" s="15"/>
      <c r="D15" s="15"/>
      <c r="E15" s="16"/>
      <c r="F15" s="15"/>
      <c r="G15" s="44"/>
      <c r="H15" s="44"/>
      <c r="I15" s="153" t="str">
        <f t="shared" si="0"/>
        <v/>
      </c>
    </row>
    <row r="16" spans="2:11" ht="12.95" customHeight="1">
      <c r="B16" s="14"/>
      <c r="C16" s="15"/>
      <c r="D16" s="15"/>
      <c r="E16" s="16"/>
      <c r="F16" s="15"/>
      <c r="G16" s="20"/>
      <c r="H16" s="20"/>
      <c r="I16" s="153" t="str">
        <f t="shared" si="0"/>
        <v/>
      </c>
    </row>
    <row r="17" spans="2:9" s="1" customFormat="1" ht="12.95" customHeight="1">
      <c r="B17" s="17"/>
      <c r="C17" s="12"/>
      <c r="D17" s="12"/>
      <c r="E17" s="9">
        <v>613000</v>
      </c>
      <c r="F17" s="12" t="s">
        <v>168</v>
      </c>
      <c r="G17" s="49">
        <f>SUM(G18:G27)</f>
        <v>106700</v>
      </c>
      <c r="H17" s="49">
        <f>SUM(H18:H27)</f>
        <v>92100</v>
      </c>
      <c r="I17" s="152">
        <f t="shared" si="0"/>
        <v>86.316776007497651</v>
      </c>
    </row>
    <row r="18" spans="2:9" ht="12.95" customHeight="1">
      <c r="B18" s="14"/>
      <c r="C18" s="15"/>
      <c r="D18" s="15"/>
      <c r="E18" s="16">
        <v>613100</v>
      </c>
      <c r="F18" s="15" t="s">
        <v>86</v>
      </c>
      <c r="G18" s="44">
        <v>4000</v>
      </c>
      <c r="H18" s="44">
        <v>4000</v>
      </c>
      <c r="I18" s="153">
        <f t="shared" si="0"/>
        <v>100</v>
      </c>
    </row>
    <row r="19" spans="2:9" ht="12.95" customHeight="1">
      <c r="B19" s="14"/>
      <c r="C19" s="15"/>
      <c r="D19" s="15"/>
      <c r="E19" s="16">
        <v>613200</v>
      </c>
      <c r="F19" s="15" t="s">
        <v>87</v>
      </c>
      <c r="G19" s="44">
        <v>55000</v>
      </c>
      <c r="H19" s="44">
        <v>55000</v>
      </c>
      <c r="I19" s="153">
        <f t="shared" si="0"/>
        <v>100</v>
      </c>
    </row>
    <row r="20" spans="2:9" ht="12.95" customHeight="1">
      <c r="B20" s="14"/>
      <c r="C20" s="15"/>
      <c r="D20" s="15"/>
      <c r="E20" s="16">
        <v>613300</v>
      </c>
      <c r="F20" s="26" t="s">
        <v>212</v>
      </c>
      <c r="G20" s="44">
        <v>5500</v>
      </c>
      <c r="H20" s="44">
        <v>4500</v>
      </c>
      <c r="I20" s="153">
        <f t="shared" si="0"/>
        <v>81.818181818181827</v>
      </c>
    </row>
    <row r="21" spans="2:9" ht="12.95" customHeight="1">
      <c r="B21" s="14"/>
      <c r="C21" s="15"/>
      <c r="D21" s="15"/>
      <c r="E21" s="16">
        <v>613400</v>
      </c>
      <c r="F21" s="15" t="s">
        <v>169</v>
      </c>
      <c r="G21" s="44">
        <v>9500</v>
      </c>
      <c r="H21" s="44">
        <v>8500</v>
      </c>
      <c r="I21" s="153">
        <f t="shared" si="0"/>
        <v>89.473684210526315</v>
      </c>
    </row>
    <row r="22" spans="2:9" ht="12.95" customHeight="1">
      <c r="B22" s="14"/>
      <c r="C22" s="15"/>
      <c r="D22" s="15"/>
      <c r="E22" s="16">
        <v>613500</v>
      </c>
      <c r="F22" s="15" t="s">
        <v>88</v>
      </c>
      <c r="G22" s="117">
        <v>1500</v>
      </c>
      <c r="H22" s="117">
        <v>1000</v>
      </c>
      <c r="I22" s="153">
        <f t="shared" si="0"/>
        <v>66.666666666666657</v>
      </c>
    </row>
    <row r="23" spans="2:9" ht="12.95" customHeight="1">
      <c r="B23" s="14"/>
      <c r="C23" s="15"/>
      <c r="D23" s="15"/>
      <c r="E23" s="16">
        <v>613600</v>
      </c>
      <c r="F23" s="26" t="s">
        <v>213</v>
      </c>
      <c r="G23" s="117">
        <v>0</v>
      </c>
      <c r="H23" s="117">
        <v>0</v>
      </c>
      <c r="I23" s="153" t="str">
        <f t="shared" si="0"/>
        <v/>
      </c>
    </row>
    <row r="24" spans="2:9" ht="12.95" customHeight="1">
      <c r="B24" s="14"/>
      <c r="C24" s="15"/>
      <c r="D24" s="15"/>
      <c r="E24" s="16">
        <v>613700</v>
      </c>
      <c r="F24" s="15" t="s">
        <v>89</v>
      </c>
      <c r="G24" s="117">
        <v>7200</v>
      </c>
      <c r="H24" s="117">
        <v>8000</v>
      </c>
      <c r="I24" s="153">
        <f t="shared" si="0"/>
        <v>111.11111111111111</v>
      </c>
    </row>
    <row r="25" spans="2:9" ht="12.95" customHeight="1">
      <c r="B25" s="14"/>
      <c r="C25" s="15"/>
      <c r="D25" s="15"/>
      <c r="E25" s="16">
        <v>613800</v>
      </c>
      <c r="F25" s="15" t="s">
        <v>170</v>
      </c>
      <c r="G25" s="117">
        <v>1600</v>
      </c>
      <c r="H25" s="117">
        <v>2100</v>
      </c>
      <c r="I25" s="153">
        <f t="shared" si="0"/>
        <v>131.25</v>
      </c>
    </row>
    <row r="26" spans="2:9" ht="12.95" customHeight="1">
      <c r="B26" s="14"/>
      <c r="C26" s="15"/>
      <c r="D26" s="15"/>
      <c r="E26" s="16">
        <v>613900</v>
      </c>
      <c r="F26" s="15" t="s">
        <v>171</v>
      </c>
      <c r="G26" s="117">
        <v>12000</v>
      </c>
      <c r="H26" s="117">
        <v>9000</v>
      </c>
      <c r="I26" s="153">
        <f t="shared" si="0"/>
        <v>75</v>
      </c>
    </row>
    <row r="27" spans="2:9" ht="12.95" customHeight="1">
      <c r="B27" s="14"/>
      <c r="C27" s="15"/>
      <c r="D27" s="15"/>
      <c r="E27" s="16">
        <v>613900</v>
      </c>
      <c r="F27" s="363" t="s">
        <v>701</v>
      </c>
      <c r="G27" s="166">
        <v>10400</v>
      </c>
      <c r="H27" s="169">
        <v>0</v>
      </c>
      <c r="I27" s="153">
        <f t="shared" si="0"/>
        <v>0</v>
      </c>
    </row>
    <row r="28" spans="2:9" s="1" customFormat="1" ht="12.95" customHeight="1">
      <c r="B28" s="17"/>
      <c r="C28" s="12"/>
      <c r="D28" s="12"/>
      <c r="E28" s="9"/>
      <c r="F28" s="12"/>
      <c r="G28" s="117"/>
      <c r="H28" s="117"/>
      <c r="I28" s="153" t="str">
        <f t="shared" si="0"/>
        <v/>
      </c>
    </row>
    <row r="29" spans="2:9" ht="12.95" customHeight="1">
      <c r="B29" s="14"/>
      <c r="C29" s="15"/>
      <c r="D29" s="30"/>
      <c r="E29" s="16"/>
      <c r="F29" s="29"/>
      <c r="G29" s="117"/>
      <c r="H29" s="117"/>
      <c r="I29" s="153" t="str">
        <f t="shared" si="0"/>
        <v/>
      </c>
    </row>
    <row r="30" spans="2:9" ht="12.95" customHeight="1">
      <c r="B30" s="14"/>
      <c r="C30" s="15"/>
      <c r="D30" s="15"/>
      <c r="E30" s="60"/>
      <c r="F30" s="29"/>
      <c r="G30" s="117"/>
      <c r="H30" s="117"/>
      <c r="I30" s="153" t="str">
        <f t="shared" si="0"/>
        <v/>
      </c>
    </row>
    <row r="31" spans="2:9" ht="12.95" customHeight="1">
      <c r="B31" s="14"/>
      <c r="C31" s="15"/>
      <c r="D31" s="15"/>
      <c r="E31" s="16"/>
      <c r="F31" s="15"/>
      <c r="G31" s="44"/>
      <c r="H31" s="44"/>
      <c r="I31" s="153" t="str">
        <f t="shared" si="0"/>
        <v/>
      </c>
    </row>
    <row r="32" spans="2:9" ht="12.95" customHeight="1">
      <c r="B32" s="14"/>
      <c r="C32" s="15"/>
      <c r="D32" s="15"/>
      <c r="E32" s="16"/>
      <c r="F32" s="15"/>
      <c r="G32" s="44"/>
      <c r="H32" s="44"/>
      <c r="I32" s="153" t="str">
        <f t="shared" si="0"/>
        <v/>
      </c>
    </row>
    <row r="33" spans="2:9" ht="12.95" customHeight="1">
      <c r="B33" s="14"/>
      <c r="C33" s="15"/>
      <c r="D33" s="15"/>
      <c r="E33" s="9"/>
      <c r="F33" s="12"/>
      <c r="G33" s="44"/>
      <c r="H33" s="44"/>
      <c r="I33" s="153" t="str">
        <f t="shared" si="0"/>
        <v/>
      </c>
    </row>
    <row r="34" spans="2:9" ht="12.95" customHeight="1">
      <c r="B34" s="14"/>
      <c r="C34" s="15"/>
      <c r="D34" s="15"/>
      <c r="E34" s="16"/>
      <c r="F34" s="26"/>
      <c r="G34" s="44"/>
      <c r="H34" s="44"/>
      <c r="I34" s="153" t="str">
        <f t="shared" si="0"/>
        <v/>
      </c>
    </row>
    <row r="35" spans="2:9" ht="12.95" customHeight="1">
      <c r="B35" s="14"/>
      <c r="C35" s="15"/>
      <c r="D35" s="15"/>
      <c r="E35" s="16"/>
      <c r="F35" s="15"/>
      <c r="G35" s="20"/>
      <c r="H35" s="20"/>
      <c r="I35" s="153" t="str">
        <f t="shared" si="0"/>
        <v/>
      </c>
    </row>
    <row r="36" spans="2:9" s="1" customFormat="1" ht="12.95" customHeight="1">
      <c r="B36" s="17"/>
      <c r="C36" s="12"/>
      <c r="D36" s="12"/>
      <c r="E36" s="9">
        <v>821000</v>
      </c>
      <c r="F36" s="12" t="s">
        <v>92</v>
      </c>
      <c r="G36" s="108">
        <f>SUM(G37:G39)</f>
        <v>45000</v>
      </c>
      <c r="H36" s="108">
        <f>SUM(H37:H39)</f>
        <v>12000</v>
      </c>
      <c r="I36" s="152">
        <f t="shared" si="0"/>
        <v>26.666666666666668</v>
      </c>
    </row>
    <row r="37" spans="2:9" ht="12.95" customHeight="1">
      <c r="B37" s="14"/>
      <c r="C37" s="15"/>
      <c r="D37" s="15"/>
      <c r="E37" s="16">
        <v>821200</v>
      </c>
      <c r="F37" s="15" t="s">
        <v>93</v>
      </c>
      <c r="G37" s="117">
        <v>41500</v>
      </c>
      <c r="H37" s="117">
        <v>10000</v>
      </c>
      <c r="I37" s="153">
        <f t="shared" si="0"/>
        <v>24.096385542168676</v>
      </c>
    </row>
    <row r="38" spans="2:9" ht="12.95" customHeight="1">
      <c r="B38" s="14"/>
      <c r="C38" s="15"/>
      <c r="D38" s="15"/>
      <c r="E38" s="16">
        <v>821300</v>
      </c>
      <c r="F38" s="15" t="s">
        <v>94</v>
      </c>
      <c r="G38" s="117">
        <v>3500</v>
      </c>
      <c r="H38" s="117">
        <v>2000</v>
      </c>
      <c r="I38" s="153">
        <f t="shared" si="0"/>
        <v>57.142857142857139</v>
      </c>
    </row>
    <row r="39" spans="2:9" ht="12.95" customHeight="1">
      <c r="B39" s="14"/>
      <c r="C39" s="15"/>
      <c r="D39" s="15"/>
      <c r="E39" s="16"/>
      <c r="F39" s="26"/>
      <c r="G39" s="44"/>
      <c r="H39" s="44"/>
      <c r="I39" s="153" t="str">
        <f t="shared" si="0"/>
        <v/>
      </c>
    </row>
    <row r="40" spans="2:9" ht="12.95" customHeight="1">
      <c r="B40" s="14"/>
      <c r="C40" s="15"/>
      <c r="D40" s="15"/>
      <c r="E40" s="16"/>
      <c r="F40" s="15"/>
      <c r="G40" s="44"/>
      <c r="H40" s="44"/>
      <c r="I40" s="153" t="str">
        <f t="shared" si="0"/>
        <v/>
      </c>
    </row>
    <row r="41" spans="2:9" s="1" customFormat="1" ht="12.95" customHeight="1">
      <c r="B41" s="17"/>
      <c r="C41" s="12"/>
      <c r="D41" s="12"/>
      <c r="E41" s="9"/>
      <c r="F41" s="12" t="s">
        <v>95</v>
      </c>
      <c r="G41" s="134" t="s">
        <v>711</v>
      </c>
      <c r="H41" s="134" t="s">
        <v>711</v>
      </c>
      <c r="I41" s="153"/>
    </row>
    <row r="42" spans="2:9" s="1" customFormat="1" ht="12.95" customHeight="1">
      <c r="B42" s="17"/>
      <c r="C42" s="12"/>
      <c r="D42" s="12"/>
      <c r="E42" s="9"/>
      <c r="F42" s="12" t="s">
        <v>115</v>
      </c>
      <c r="G42" s="20">
        <f>G7+G13+G17+G36</f>
        <v>1026540</v>
      </c>
      <c r="H42" s="20">
        <f>H7+H13+H17+H36</f>
        <v>1065820</v>
      </c>
      <c r="I42" s="152">
        <f t="shared" si="0"/>
        <v>103.82644611997584</v>
      </c>
    </row>
    <row r="43" spans="2:9" s="1" customFormat="1" ht="12.95" customHeight="1">
      <c r="B43" s="17"/>
      <c r="C43" s="12"/>
      <c r="D43" s="12"/>
      <c r="E43" s="9"/>
      <c r="F43" s="12" t="s">
        <v>96</v>
      </c>
      <c r="G43" s="20"/>
      <c r="H43" s="20"/>
      <c r="I43" s="155"/>
    </row>
    <row r="44" spans="2:9" s="1" customFormat="1" ht="12.95" customHeight="1">
      <c r="B44" s="17"/>
      <c r="C44" s="12"/>
      <c r="D44" s="12"/>
      <c r="E44" s="9"/>
      <c r="F44" s="12" t="s">
        <v>97</v>
      </c>
      <c r="G44" s="20"/>
      <c r="H44" s="43"/>
      <c r="I44" s="154"/>
    </row>
    <row r="45" spans="2:9" ht="12.95" customHeight="1" thickBot="1">
      <c r="B45" s="21"/>
      <c r="C45" s="22"/>
      <c r="D45" s="22"/>
      <c r="E45" s="23"/>
      <c r="F45" s="22"/>
      <c r="G45" s="48"/>
      <c r="H45" s="45"/>
      <c r="I45" s="156"/>
    </row>
    <row r="47" spans="2:9">
      <c r="B47" s="81"/>
    </row>
    <row r="48" spans="2:9">
      <c r="B48" s="81"/>
    </row>
    <row r="49" spans="2:2">
      <c r="B49" s="81"/>
    </row>
    <row r="50" spans="2:2">
      <c r="B50" s="81"/>
    </row>
    <row r="51" spans="2:2">
      <c r="B51" s="81"/>
    </row>
    <row r="52" spans="2:2">
      <c r="B52" s="81"/>
    </row>
    <row r="53" spans="2:2">
      <c r="B53" s="81"/>
    </row>
  </sheetData>
  <mergeCells count="2">
    <mergeCell ref="B2:G2"/>
    <mergeCell ref="F3:G3"/>
  </mergeCells>
  <phoneticPr fontId="2" type="noConversion"/>
  <pageMargins left="0.19685039370078741" right="0.19685039370078741" top="0.59055118110236227" bottom="0.59055118110236227" header="0.51181102362204722" footer="0.51181102362204722"/>
  <pageSetup paperSize="9" scale="88" firstPageNumber="10" orientation="portrait" useFirstPageNumber="1" horizontalDpi="180" verticalDpi="180" r:id="rId1"/>
  <headerFooter alignWithMargins="0">
    <oddFooter>&amp;R35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 codeName="Sheet31"/>
  <dimension ref="B2:K54"/>
  <sheetViews>
    <sheetView topLeftCell="C7" workbookViewId="0">
      <selection activeCell="G7" sqref="G7:G41"/>
    </sheetView>
  </sheetViews>
  <sheetFormatPr defaultRowHeight="12.75"/>
  <cols>
    <col min="1" max="1" width="1.5703125" style="13" customWidth="1"/>
    <col min="2" max="4" width="5.7109375" style="13" bestFit="1" customWidth="1"/>
    <col min="5" max="5" width="10.7109375" style="24" customWidth="1"/>
    <col min="6" max="6" width="43.7109375" style="13" customWidth="1"/>
    <col min="7" max="7" width="15.7109375" style="13" customWidth="1"/>
    <col min="8" max="8" width="15.7109375" style="90" customWidth="1"/>
    <col min="9" max="9" width="8.7109375" style="140" customWidth="1"/>
    <col min="10" max="16384" width="9.140625" style="13"/>
  </cols>
  <sheetData>
    <row r="2" spans="2:11" ht="15" customHeight="1">
      <c r="B2" s="448" t="s">
        <v>177</v>
      </c>
      <c r="C2" s="448"/>
      <c r="D2" s="448"/>
      <c r="E2" s="448"/>
      <c r="F2" s="448"/>
      <c r="G2" s="448"/>
    </row>
    <row r="3" spans="2:11" s="1" customFormat="1" ht="16.5" thickBot="1">
      <c r="E3" s="2"/>
      <c r="F3" s="449"/>
      <c r="G3" s="449"/>
      <c r="H3" s="181"/>
      <c r="I3" s="182"/>
    </row>
    <row r="4" spans="2:11" s="1" customFormat="1" ht="76.5" customHeight="1">
      <c r="B4" s="3" t="s">
        <v>79</v>
      </c>
      <c r="C4" s="4" t="s">
        <v>80</v>
      </c>
      <c r="D4" s="5" t="s">
        <v>112</v>
      </c>
      <c r="E4" s="6" t="s">
        <v>81</v>
      </c>
      <c r="F4" s="7" t="s">
        <v>82</v>
      </c>
      <c r="G4" s="316" t="s">
        <v>557</v>
      </c>
      <c r="H4" s="316" t="s">
        <v>683</v>
      </c>
      <c r="I4" s="149" t="s">
        <v>497</v>
      </c>
    </row>
    <row r="5" spans="2:11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34">
        <v>6</v>
      </c>
      <c r="H5" s="9">
        <v>7</v>
      </c>
      <c r="I5" s="150">
        <v>8</v>
      </c>
    </row>
    <row r="6" spans="2:11" s="2" customFormat="1" ht="12.95" customHeight="1">
      <c r="B6" s="10" t="s">
        <v>147</v>
      </c>
      <c r="C6" s="11" t="s">
        <v>149</v>
      </c>
      <c r="D6" s="11" t="s">
        <v>151</v>
      </c>
      <c r="E6" s="9"/>
      <c r="F6" s="9"/>
      <c r="G6" s="34"/>
      <c r="H6" s="165"/>
      <c r="I6" s="151"/>
    </row>
    <row r="7" spans="2:11" s="1" customFormat="1" ht="12.95" customHeight="1">
      <c r="B7" s="17"/>
      <c r="C7" s="12"/>
      <c r="D7" s="12"/>
      <c r="E7" s="9">
        <v>611000</v>
      </c>
      <c r="F7" s="12" t="s">
        <v>167</v>
      </c>
      <c r="G7" s="108">
        <f>SUM(G8:G11)</f>
        <v>380700</v>
      </c>
      <c r="H7" s="392">
        <f>SUM(H8:H11)</f>
        <v>419600</v>
      </c>
      <c r="I7" s="152">
        <f t="shared" ref="I7:I42" si="0">IF(G7=0,"",H7/G7*100)</f>
        <v>110.21801943787759</v>
      </c>
    </row>
    <row r="8" spans="2:11" ht="12.95" customHeight="1">
      <c r="B8" s="14"/>
      <c r="C8" s="15"/>
      <c r="D8" s="15"/>
      <c r="E8" s="16">
        <v>611100</v>
      </c>
      <c r="F8" s="26" t="s">
        <v>210</v>
      </c>
      <c r="G8" s="117">
        <v>300200</v>
      </c>
      <c r="H8" s="394">
        <f>324700+16200-8000</f>
        <v>332900</v>
      </c>
      <c r="I8" s="153">
        <f t="shared" si="0"/>
        <v>110.8927381745503</v>
      </c>
    </row>
    <row r="9" spans="2:11" ht="12.95" customHeight="1">
      <c r="B9" s="14"/>
      <c r="C9" s="15"/>
      <c r="D9" s="15"/>
      <c r="E9" s="16">
        <v>611200</v>
      </c>
      <c r="F9" s="15" t="s">
        <v>211</v>
      </c>
      <c r="G9" s="117">
        <f>73800+240*21</f>
        <v>78840</v>
      </c>
      <c r="H9" s="394">
        <f>83700+3000</f>
        <v>86700</v>
      </c>
      <c r="I9" s="153">
        <f t="shared" si="0"/>
        <v>109.96955859969559</v>
      </c>
    </row>
    <row r="10" spans="2:11" ht="12.95" customHeight="1">
      <c r="B10" s="14"/>
      <c r="C10" s="15"/>
      <c r="D10" s="15"/>
      <c r="E10" s="16">
        <v>611200</v>
      </c>
      <c r="F10" s="363" t="s">
        <v>699</v>
      </c>
      <c r="G10" s="82">
        <v>1660</v>
      </c>
      <c r="H10" s="391">
        <v>0</v>
      </c>
      <c r="I10" s="153">
        <f t="shared" si="0"/>
        <v>0</v>
      </c>
      <c r="K10" s="89"/>
    </row>
    <row r="11" spans="2:11" ht="12.95" customHeight="1">
      <c r="B11" s="14"/>
      <c r="C11" s="15"/>
      <c r="D11" s="15"/>
      <c r="E11" s="16"/>
      <c r="F11" s="26"/>
      <c r="G11" s="117"/>
      <c r="H11" s="394"/>
      <c r="I11" s="153" t="str">
        <f t="shared" si="0"/>
        <v/>
      </c>
    </row>
    <row r="12" spans="2:11" ht="12.95" customHeight="1">
      <c r="B12" s="14"/>
      <c r="C12" s="15"/>
      <c r="D12" s="15"/>
      <c r="E12" s="16"/>
      <c r="F12" s="15"/>
      <c r="G12" s="108"/>
      <c r="H12" s="392"/>
      <c r="I12" s="153" t="str">
        <f t="shared" si="0"/>
        <v/>
      </c>
    </row>
    <row r="13" spans="2:11" s="1" customFormat="1" ht="12.95" customHeight="1">
      <c r="B13" s="17"/>
      <c r="C13" s="12"/>
      <c r="D13" s="12"/>
      <c r="E13" s="9">
        <v>612000</v>
      </c>
      <c r="F13" s="12" t="s">
        <v>166</v>
      </c>
      <c r="G13" s="108">
        <f>G14</f>
        <v>32800</v>
      </c>
      <c r="H13" s="392">
        <f>H14</f>
        <v>35600</v>
      </c>
      <c r="I13" s="152">
        <f t="shared" si="0"/>
        <v>108.53658536585367</v>
      </c>
    </row>
    <row r="14" spans="2:11" ht="12.95" customHeight="1">
      <c r="B14" s="14"/>
      <c r="C14" s="15"/>
      <c r="D14" s="15"/>
      <c r="E14" s="16">
        <v>612100</v>
      </c>
      <c r="F14" s="18" t="s">
        <v>85</v>
      </c>
      <c r="G14" s="117">
        <v>32800</v>
      </c>
      <c r="H14" s="394">
        <f>34900+1700-1000</f>
        <v>35600</v>
      </c>
      <c r="I14" s="153">
        <f t="shared" si="0"/>
        <v>108.53658536585367</v>
      </c>
    </row>
    <row r="15" spans="2:11" ht="12.95" customHeight="1">
      <c r="B15" s="14"/>
      <c r="C15" s="15"/>
      <c r="D15" s="15"/>
      <c r="E15" s="16"/>
      <c r="F15" s="15"/>
      <c r="G15" s="117"/>
      <c r="H15" s="44"/>
      <c r="I15" s="153" t="str">
        <f t="shared" si="0"/>
        <v/>
      </c>
    </row>
    <row r="16" spans="2:11" ht="12.95" customHeight="1">
      <c r="B16" s="14"/>
      <c r="C16" s="15"/>
      <c r="D16" s="15"/>
      <c r="E16" s="16"/>
      <c r="F16" s="15"/>
      <c r="G16" s="20"/>
      <c r="H16" s="20"/>
      <c r="I16" s="153" t="str">
        <f t="shared" si="0"/>
        <v/>
      </c>
    </row>
    <row r="17" spans="2:9" s="1" customFormat="1" ht="12.95" customHeight="1">
      <c r="B17" s="17"/>
      <c r="C17" s="12"/>
      <c r="D17" s="12"/>
      <c r="E17" s="9">
        <v>613000</v>
      </c>
      <c r="F17" s="12" t="s">
        <v>168</v>
      </c>
      <c r="G17" s="49">
        <f>SUM(G18:G27)</f>
        <v>51660</v>
      </c>
      <c r="H17" s="49">
        <f>SUM(H18:H27)</f>
        <v>48800</v>
      </c>
      <c r="I17" s="152">
        <f t="shared" si="0"/>
        <v>94.463801780874959</v>
      </c>
    </row>
    <row r="18" spans="2:9" ht="12.95" customHeight="1">
      <c r="B18" s="14"/>
      <c r="C18" s="15"/>
      <c r="D18" s="15"/>
      <c r="E18" s="16">
        <v>613100</v>
      </c>
      <c r="F18" s="15" t="s">
        <v>86</v>
      </c>
      <c r="G18" s="44">
        <v>4000</v>
      </c>
      <c r="H18" s="44">
        <v>4000</v>
      </c>
      <c r="I18" s="153">
        <f t="shared" si="0"/>
        <v>100</v>
      </c>
    </row>
    <row r="19" spans="2:9" ht="12.95" customHeight="1">
      <c r="B19" s="14"/>
      <c r="C19" s="15"/>
      <c r="D19" s="15"/>
      <c r="E19" s="16">
        <v>613200</v>
      </c>
      <c r="F19" s="15" t="s">
        <v>87</v>
      </c>
      <c r="G19" s="44">
        <v>18000</v>
      </c>
      <c r="H19" s="44">
        <v>18000</v>
      </c>
      <c r="I19" s="153">
        <f t="shared" si="0"/>
        <v>100</v>
      </c>
    </row>
    <row r="20" spans="2:9" ht="12.95" customHeight="1">
      <c r="B20" s="14"/>
      <c r="C20" s="15"/>
      <c r="D20" s="15"/>
      <c r="E20" s="16">
        <v>613300</v>
      </c>
      <c r="F20" s="26" t="s">
        <v>212</v>
      </c>
      <c r="G20" s="44">
        <v>2800</v>
      </c>
      <c r="H20" s="44">
        <v>2800</v>
      </c>
      <c r="I20" s="153">
        <f t="shared" si="0"/>
        <v>100</v>
      </c>
    </row>
    <row r="21" spans="2:9" ht="12.95" customHeight="1">
      <c r="B21" s="14"/>
      <c r="C21" s="15"/>
      <c r="D21" s="15"/>
      <c r="E21" s="16">
        <v>613400</v>
      </c>
      <c r="F21" s="15" t="s">
        <v>169</v>
      </c>
      <c r="G21" s="44">
        <v>9000</v>
      </c>
      <c r="H21" s="44">
        <v>9000</v>
      </c>
      <c r="I21" s="153">
        <f t="shared" si="0"/>
        <v>100</v>
      </c>
    </row>
    <row r="22" spans="2:9" ht="12.95" customHeight="1">
      <c r="B22" s="14"/>
      <c r="C22" s="15"/>
      <c r="D22" s="15"/>
      <c r="E22" s="16">
        <v>613500</v>
      </c>
      <c r="F22" s="15" t="s">
        <v>88</v>
      </c>
      <c r="G22" s="44">
        <v>500</v>
      </c>
      <c r="H22" s="44">
        <v>500</v>
      </c>
      <c r="I22" s="153">
        <f t="shared" si="0"/>
        <v>100</v>
      </c>
    </row>
    <row r="23" spans="2:9" ht="12.95" customHeight="1">
      <c r="B23" s="14"/>
      <c r="C23" s="15"/>
      <c r="D23" s="15"/>
      <c r="E23" s="16">
        <v>613600</v>
      </c>
      <c r="F23" s="26" t="s">
        <v>213</v>
      </c>
      <c r="G23" s="44">
        <v>0</v>
      </c>
      <c r="H23" s="44">
        <v>0</v>
      </c>
      <c r="I23" s="153" t="str">
        <f t="shared" si="0"/>
        <v/>
      </c>
    </row>
    <row r="24" spans="2:9" ht="12.95" customHeight="1">
      <c r="B24" s="14"/>
      <c r="C24" s="15"/>
      <c r="D24" s="15"/>
      <c r="E24" s="16">
        <v>613700</v>
      </c>
      <c r="F24" s="15" t="s">
        <v>89</v>
      </c>
      <c r="G24" s="44">
        <v>6000</v>
      </c>
      <c r="H24" s="44">
        <v>6000</v>
      </c>
      <c r="I24" s="153">
        <f t="shared" si="0"/>
        <v>100</v>
      </c>
    </row>
    <row r="25" spans="2:9" ht="12.95" customHeight="1">
      <c r="B25" s="14"/>
      <c r="C25" s="15"/>
      <c r="D25" s="15"/>
      <c r="E25" s="16">
        <v>613800</v>
      </c>
      <c r="F25" s="15" t="s">
        <v>170</v>
      </c>
      <c r="G25" s="117">
        <v>0</v>
      </c>
      <c r="H25" s="117">
        <v>0</v>
      </c>
      <c r="I25" s="153" t="str">
        <f t="shared" si="0"/>
        <v/>
      </c>
    </row>
    <row r="26" spans="2:9" ht="12.95" customHeight="1">
      <c r="B26" s="14"/>
      <c r="C26" s="15"/>
      <c r="D26" s="15"/>
      <c r="E26" s="16">
        <v>613900</v>
      </c>
      <c r="F26" s="15" t="s">
        <v>171</v>
      </c>
      <c r="G26" s="117">
        <v>9000</v>
      </c>
      <c r="H26" s="117">
        <v>8500</v>
      </c>
      <c r="I26" s="153">
        <f t="shared" si="0"/>
        <v>94.444444444444443</v>
      </c>
    </row>
    <row r="27" spans="2:9" ht="12.95" customHeight="1">
      <c r="B27" s="14"/>
      <c r="C27" s="15"/>
      <c r="D27" s="15"/>
      <c r="E27" s="16">
        <v>613900</v>
      </c>
      <c r="F27" s="363" t="s">
        <v>701</v>
      </c>
      <c r="G27" s="117">
        <v>2360</v>
      </c>
      <c r="H27" s="117">
        <v>0</v>
      </c>
      <c r="I27" s="153">
        <f t="shared" si="0"/>
        <v>0</v>
      </c>
    </row>
    <row r="28" spans="2:9" s="1" customFormat="1" ht="12.95" customHeight="1">
      <c r="B28" s="17"/>
      <c r="C28" s="12"/>
      <c r="D28" s="12"/>
      <c r="E28" s="9"/>
      <c r="F28" s="12"/>
      <c r="G28" s="117"/>
      <c r="H28" s="117"/>
      <c r="I28" s="153" t="str">
        <f t="shared" si="0"/>
        <v/>
      </c>
    </row>
    <row r="29" spans="2:9" ht="12.95" customHeight="1">
      <c r="B29" s="14"/>
      <c r="C29" s="15"/>
      <c r="D29" s="30"/>
      <c r="E29" s="16"/>
      <c r="F29" s="29"/>
      <c r="G29" s="117"/>
      <c r="H29" s="117"/>
      <c r="I29" s="153" t="str">
        <f t="shared" si="0"/>
        <v/>
      </c>
    </row>
    <row r="30" spans="2:9" ht="12.95" customHeight="1">
      <c r="B30" s="14"/>
      <c r="C30" s="15"/>
      <c r="D30" s="15"/>
      <c r="E30" s="60"/>
      <c r="F30" s="29"/>
      <c r="G30" s="117"/>
      <c r="H30" s="117"/>
      <c r="I30" s="153" t="str">
        <f t="shared" si="0"/>
        <v/>
      </c>
    </row>
    <row r="31" spans="2:9" ht="12.95" customHeight="1">
      <c r="B31" s="14"/>
      <c r="C31" s="15"/>
      <c r="D31" s="15"/>
      <c r="E31" s="16"/>
      <c r="F31" s="15"/>
      <c r="G31" s="117"/>
      <c r="H31" s="117"/>
      <c r="I31" s="153" t="str">
        <f t="shared" si="0"/>
        <v/>
      </c>
    </row>
    <row r="32" spans="2:9" ht="12.95" customHeight="1">
      <c r="B32" s="14"/>
      <c r="C32" s="15"/>
      <c r="D32" s="15"/>
      <c r="E32" s="16"/>
      <c r="F32" s="15"/>
      <c r="G32" s="117"/>
      <c r="H32" s="117"/>
      <c r="I32" s="153" t="str">
        <f t="shared" si="0"/>
        <v/>
      </c>
    </row>
    <row r="33" spans="2:9" ht="12.95" customHeight="1">
      <c r="B33" s="14"/>
      <c r="C33" s="15"/>
      <c r="D33" s="15"/>
      <c r="E33" s="9"/>
      <c r="F33" s="12"/>
      <c r="G33" s="117"/>
      <c r="H33" s="117"/>
      <c r="I33" s="153" t="str">
        <f t="shared" si="0"/>
        <v/>
      </c>
    </row>
    <row r="34" spans="2:9" ht="12.95" customHeight="1">
      <c r="B34" s="14"/>
      <c r="C34" s="15"/>
      <c r="D34" s="15"/>
      <c r="E34" s="16"/>
      <c r="F34" s="26"/>
      <c r="G34" s="117"/>
      <c r="H34" s="117"/>
      <c r="I34" s="153" t="str">
        <f t="shared" si="0"/>
        <v/>
      </c>
    </row>
    <row r="35" spans="2:9" ht="12.95" customHeight="1">
      <c r="B35" s="14"/>
      <c r="C35" s="15"/>
      <c r="D35" s="15"/>
      <c r="E35" s="16"/>
      <c r="F35" s="15"/>
      <c r="G35" s="108"/>
      <c r="H35" s="108"/>
      <c r="I35" s="153" t="str">
        <f t="shared" si="0"/>
        <v/>
      </c>
    </row>
    <row r="36" spans="2:9" s="1" customFormat="1" ht="12.95" customHeight="1">
      <c r="B36" s="17"/>
      <c r="C36" s="12"/>
      <c r="D36" s="12"/>
      <c r="E36" s="9">
        <v>821000</v>
      </c>
      <c r="F36" s="12" t="s">
        <v>92</v>
      </c>
      <c r="G36" s="108">
        <f>SUM(G37:G39)</f>
        <v>15000</v>
      </c>
      <c r="H36" s="108">
        <f>SUM(H37:H39)</f>
        <v>2000</v>
      </c>
      <c r="I36" s="152">
        <f t="shared" si="0"/>
        <v>13.333333333333334</v>
      </c>
    </row>
    <row r="37" spans="2:9" ht="12.95" customHeight="1">
      <c r="B37" s="14"/>
      <c r="C37" s="15"/>
      <c r="D37" s="15"/>
      <c r="E37" s="16">
        <v>821200</v>
      </c>
      <c r="F37" s="15" t="s">
        <v>93</v>
      </c>
      <c r="G37" s="117">
        <v>5980</v>
      </c>
      <c r="H37" s="117">
        <v>0</v>
      </c>
      <c r="I37" s="153">
        <f t="shared" si="0"/>
        <v>0</v>
      </c>
    </row>
    <row r="38" spans="2:9" ht="12.95" customHeight="1">
      <c r="B38" s="14"/>
      <c r="C38" s="15"/>
      <c r="D38" s="15"/>
      <c r="E38" s="16">
        <v>821300</v>
      </c>
      <c r="F38" s="15" t="s">
        <v>94</v>
      </c>
      <c r="G38" s="117">
        <f>4020+5000</f>
        <v>9020</v>
      </c>
      <c r="H38" s="117">
        <v>2000</v>
      </c>
      <c r="I38" s="153">
        <f t="shared" si="0"/>
        <v>22.172949002217297</v>
      </c>
    </row>
    <row r="39" spans="2:9" ht="12.95" customHeight="1">
      <c r="B39" s="14"/>
      <c r="C39" s="15"/>
      <c r="D39" s="15"/>
      <c r="E39" s="16"/>
      <c r="F39" s="26"/>
      <c r="G39" s="117"/>
      <c r="H39" s="117"/>
      <c r="I39" s="153" t="str">
        <f t="shared" si="0"/>
        <v/>
      </c>
    </row>
    <row r="40" spans="2:9" ht="12.95" customHeight="1">
      <c r="B40" s="14"/>
      <c r="C40" s="15"/>
      <c r="D40" s="15"/>
      <c r="E40" s="16"/>
      <c r="F40" s="15"/>
      <c r="G40" s="44"/>
      <c r="H40" s="44"/>
      <c r="I40" s="153" t="str">
        <f t="shared" si="0"/>
        <v/>
      </c>
    </row>
    <row r="41" spans="2:9" s="1" customFormat="1" ht="12.95" customHeight="1">
      <c r="B41" s="17"/>
      <c r="C41" s="12"/>
      <c r="D41" s="12"/>
      <c r="E41" s="9"/>
      <c r="F41" s="12" t="s">
        <v>95</v>
      </c>
      <c r="G41" s="25" t="s">
        <v>712</v>
      </c>
      <c r="H41" s="25" t="s">
        <v>712</v>
      </c>
      <c r="I41" s="153"/>
    </row>
    <row r="42" spans="2:9" s="1" customFormat="1" ht="12.95" customHeight="1">
      <c r="B42" s="17"/>
      <c r="C42" s="12"/>
      <c r="D42" s="12"/>
      <c r="E42" s="9"/>
      <c r="F42" s="12" t="s">
        <v>115</v>
      </c>
      <c r="G42" s="20">
        <f>G7+G13+G17+G36</f>
        <v>480160</v>
      </c>
      <c r="H42" s="20">
        <f>H7+H13+H17+H36</f>
        <v>506000</v>
      </c>
      <c r="I42" s="152">
        <f t="shared" si="0"/>
        <v>105.38153948683772</v>
      </c>
    </row>
    <row r="43" spans="2:9" s="1" customFormat="1" ht="12.95" customHeight="1">
      <c r="B43" s="17"/>
      <c r="C43" s="12"/>
      <c r="D43" s="12"/>
      <c r="E43" s="9"/>
      <c r="F43" s="12" t="s">
        <v>96</v>
      </c>
      <c r="G43" s="20"/>
      <c r="H43" s="20"/>
      <c r="I43" s="155"/>
    </row>
    <row r="44" spans="2:9" s="1" customFormat="1" ht="12.95" customHeight="1">
      <c r="B44" s="17"/>
      <c r="C44" s="12"/>
      <c r="D44" s="12"/>
      <c r="E44" s="9"/>
      <c r="F44" s="12" t="s">
        <v>97</v>
      </c>
      <c r="G44" s="20"/>
      <c r="H44" s="43"/>
      <c r="I44" s="154"/>
    </row>
    <row r="45" spans="2:9" ht="12.95" customHeight="1" thickBot="1">
      <c r="B45" s="21"/>
      <c r="C45" s="22"/>
      <c r="D45" s="22"/>
      <c r="E45" s="23"/>
      <c r="F45" s="22"/>
      <c r="G45" s="48"/>
      <c r="H45" s="45"/>
      <c r="I45" s="156"/>
    </row>
    <row r="48" spans="2:9">
      <c r="B48" s="81"/>
    </row>
    <row r="49" spans="2:2">
      <c r="B49" s="81"/>
    </row>
    <row r="50" spans="2:2">
      <c r="B50" s="81"/>
    </row>
    <row r="51" spans="2:2">
      <c r="B51" s="81"/>
    </row>
    <row r="52" spans="2:2">
      <c r="B52" s="81"/>
    </row>
    <row r="53" spans="2:2">
      <c r="B53" s="81"/>
    </row>
    <row r="54" spans="2:2">
      <c r="B54" s="81"/>
    </row>
  </sheetData>
  <mergeCells count="2">
    <mergeCell ref="B2:G2"/>
    <mergeCell ref="F3:G3"/>
  </mergeCells>
  <phoneticPr fontId="2" type="noConversion"/>
  <pageMargins left="0.19685039370078741" right="0.19685039370078741" top="0.59055118110236227" bottom="0.59055118110236227" header="0.51181102362204722" footer="0.51181102362204722"/>
  <pageSetup paperSize="9" scale="88" firstPageNumber="10" orientation="portrait" useFirstPageNumber="1" horizontalDpi="180" verticalDpi="180" r:id="rId1"/>
  <headerFooter alignWithMargins="0">
    <oddFooter>&amp;R36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>
  <sheetPr codeName="Sheet32"/>
  <dimension ref="B2:K53"/>
  <sheetViews>
    <sheetView topLeftCell="C10" workbookViewId="0">
      <selection activeCell="G7" sqref="G7:G41"/>
    </sheetView>
  </sheetViews>
  <sheetFormatPr defaultRowHeight="12.75"/>
  <cols>
    <col min="1" max="1" width="1.5703125" style="13" customWidth="1"/>
    <col min="2" max="4" width="5.7109375" style="13" bestFit="1" customWidth="1"/>
    <col min="5" max="5" width="11.140625" style="24" customWidth="1"/>
    <col min="6" max="6" width="43.7109375" style="13" customWidth="1"/>
    <col min="7" max="7" width="15.7109375" style="13" customWidth="1"/>
    <col min="8" max="8" width="15.7109375" style="90" customWidth="1"/>
    <col min="9" max="9" width="8.7109375" style="140" customWidth="1"/>
    <col min="10" max="16384" width="9.140625" style="13"/>
  </cols>
  <sheetData>
    <row r="2" spans="2:11" ht="15" customHeight="1">
      <c r="B2" s="448" t="s">
        <v>178</v>
      </c>
      <c r="C2" s="448"/>
      <c r="D2" s="448"/>
      <c r="E2" s="448"/>
      <c r="F2" s="448"/>
      <c r="G2" s="448"/>
    </row>
    <row r="3" spans="2:11" s="1" customFormat="1" ht="16.5" thickBot="1">
      <c r="E3" s="2"/>
      <c r="F3" s="449"/>
      <c r="G3" s="449"/>
      <c r="H3" s="181"/>
      <c r="I3" s="182"/>
    </row>
    <row r="4" spans="2:11" s="1" customFormat="1" ht="76.5" customHeight="1">
      <c r="B4" s="3" t="s">
        <v>79</v>
      </c>
      <c r="C4" s="4" t="s">
        <v>80</v>
      </c>
      <c r="D4" s="5" t="s">
        <v>112</v>
      </c>
      <c r="E4" s="6" t="s">
        <v>81</v>
      </c>
      <c r="F4" s="7" t="s">
        <v>82</v>
      </c>
      <c r="G4" s="316" t="s">
        <v>557</v>
      </c>
      <c r="H4" s="316" t="s">
        <v>683</v>
      </c>
      <c r="I4" s="149" t="s">
        <v>497</v>
      </c>
    </row>
    <row r="5" spans="2:11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34">
        <v>6</v>
      </c>
      <c r="H5" s="9">
        <v>7</v>
      </c>
      <c r="I5" s="150">
        <v>8</v>
      </c>
    </row>
    <row r="6" spans="2:11" s="2" customFormat="1" ht="12.95" customHeight="1">
      <c r="B6" s="10" t="s">
        <v>147</v>
      </c>
      <c r="C6" s="11" t="s">
        <v>149</v>
      </c>
      <c r="D6" s="11" t="s">
        <v>152</v>
      </c>
      <c r="E6" s="9"/>
      <c r="F6" s="9"/>
      <c r="G6" s="34"/>
      <c r="H6" s="165"/>
      <c r="I6" s="151"/>
    </row>
    <row r="7" spans="2:11" s="1" customFormat="1" ht="12.95" customHeight="1">
      <c r="B7" s="17"/>
      <c r="C7" s="12"/>
      <c r="D7" s="12"/>
      <c r="E7" s="9">
        <v>611000</v>
      </c>
      <c r="F7" s="12" t="s">
        <v>167</v>
      </c>
      <c r="G7" s="20">
        <f>SUM(G8:G11)</f>
        <v>599280</v>
      </c>
      <c r="H7" s="392">
        <f>SUM(H8:H11)</f>
        <v>597200</v>
      </c>
      <c r="I7" s="152">
        <f t="shared" ref="I7:I44" si="0">IF(G7=0,"",H7/G7*100)</f>
        <v>99.652916833533581</v>
      </c>
    </row>
    <row r="8" spans="2:11" ht="12.95" customHeight="1">
      <c r="B8" s="14"/>
      <c r="C8" s="15"/>
      <c r="D8" s="15"/>
      <c r="E8" s="16">
        <v>611100</v>
      </c>
      <c r="F8" s="26" t="s">
        <v>210</v>
      </c>
      <c r="G8" s="44">
        <f>473700</f>
        <v>473700</v>
      </c>
      <c r="H8" s="394">
        <f>461700+22800</f>
        <v>484500</v>
      </c>
      <c r="I8" s="153">
        <f t="shared" si="0"/>
        <v>102.27992400253325</v>
      </c>
    </row>
    <row r="9" spans="2:11" ht="12.95" customHeight="1">
      <c r="B9" s="14"/>
      <c r="C9" s="15"/>
      <c r="D9" s="15"/>
      <c r="E9" s="16">
        <v>611200</v>
      </c>
      <c r="F9" s="15" t="s">
        <v>211</v>
      </c>
      <c r="G9" s="44">
        <f>115100+32*240</f>
        <v>122780</v>
      </c>
      <c r="H9" s="394">
        <f>111200+1500</f>
        <v>112700</v>
      </c>
      <c r="I9" s="153">
        <f t="shared" si="0"/>
        <v>91.79019384264538</v>
      </c>
    </row>
    <row r="10" spans="2:11" ht="12.95" customHeight="1">
      <c r="B10" s="14"/>
      <c r="C10" s="15"/>
      <c r="D10" s="15"/>
      <c r="E10" s="16">
        <v>611200</v>
      </c>
      <c r="F10" s="363" t="s">
        <v>699</v>
      </c>
      <c r="G10" s="82">
        <v>2800</v>
      </c>
      <c r="H10" s="391">
        <v>0</v>
      </c>
      <c r="I10" s="153">
        <f t="shared" si="0"/>
        <v>0</v>
      </c>
      <c r="K10" s="89"/>
    </row>
    <row r="11" spans="2:11" ht="12.95" customHeight="1">
      <c r="B11" s="14"/>
      <c r="C11" s="15"/>
      <c r="D11" s="15"/>
      <c r="E11" s="16"/>
      <c r="F11" s="26"/>
      <c r="G11" s="44"/>
      <c r="H11" s="394"/>
      <c r="I11" s="153" t="str">
        <f t="shared" si="0"/>
        <v/>
      </c>
    </row>
    <row r="12" spans="2:11" ht="12.95" customHeight="1">
      <c r="B12" s="14"/>
      <c r="C12" s="15"/>
      <c r="D12" s="15"/>
      <c r="E12" s="16"/>
      <c r="F12" s="15"/>
      <c r="G12" s="20"/>
      <c r="H12" s="392"/>
      <c r="I12" s="153" t="str">
        <f t="shared" si="0"/>
        <v/>
      </c>
    </row>
    <row r="13" spans="2:11" s="1" customFormat="1" ht="12.95" customHeight="1">
      <c r="B13" s="17"/>
      <c r="C13" s="12"/>
      <c r="D13" s="12"/>
      <c r="E13" s="9">
        <v>612000</v>
      </c>
      <c r="F13" s="12" t="s">
        <v>166</v>
      </c>
      <c r="G13" s="20">
        <f>G14</f>
        <v>51600</v>
      </c>
      <c r="H13" s="392">
        <f>H14</f>
        <v>53100</v>
      </c>
      <c r="I13" s="152">
        <f t="shared" si="0"/>
        <v>102.90697674418605</v>
      </c>
    </row>
    <row r="14" spans="2:11" ht="12.95" customHeight="1">
      <c r="B14" s="14"/>
      <c r="C14" s="15"/>
      <c r="D14" s="15"/>
      <c r="E14" s="16">
        <v>612100</v>
      </c>
      <c r="F14" s="18" t="s">
        <v>85</v>
      </c>
      <c r="G14" s="44">
        <v>51600</v>
      </c>
      <c r="H14" s="394">
        <f>50700+2400</f>
        <v>53100</v>
      </c>
      <c r="I14" s="153">
        <f t="shared" si="0"/>
        <v>102.90697674418605</v>
      </c>
    </row>
    <row r="15" spans="2:11" ht="12.95" customHeight="1">
      <c r="B15" s="14"/>
      <c r="C15" s="15"/>
      <c r="D15" s="15"/>
      <c r="E15" s="16"/>
      <c r="F15" s="15"/>
      <c r="G15" s="44"/>
      <c r="H15" s="44"/>
      <c r="I15" s="153" t="str">
        <f t="shared" si="0"/>
        <v/>
      </c>
    </row>
    <row r="16" spans="2:11" ht="12.95" customHeight="1">
      <c r="B16" s="14"/>
      <c r="C16" s="15"/>
      <c r="D16" s="15"/>
      <c r="E16" s="16"/>
      <c r="F16" s="15"/>
      <c r="G16" s="20"/>
      <c r="H16" s="20"/>
      <c r="I16" s="153" t="str">
        <f t="shared" si="0"/>
        <v/>
      </c>
    </row>
    <row r="17" spans="2:9" s="1" customFormat="1" ht="12.95" customHeight="1">
      <c r="B17" s="17"/>
      <c r="C17" s="12"/>
      <c r="D17" s="12"/>
      <c r="E17" s="9">
        <v>613000</v>
      </c>
      <c r="F17" s="12" t="s">
        <v>168</v>
      </c>
      <c r="G17" s="49">
        <f>SUM(G18:G27)</f>
        <v>66200</v>
      </c>
      <c r="H17" s="49">
        <f>SUM(H18:H27)</f>
        <v>62400</v>
      </c>
      <c r="I17" s="152">
        <f t="shared" si="0"/>
        <v>94.259818731117832</v>
      </c>
    </row>
    <row r="18" spans="2:9" ht="12.95" customHeight="1">
      <c r="B18" s="14"/>
      <c r="C18" s="15"/>
      <c r="D18" s="15"/>
      <c r="E18" s="16">
        <v>613100</v>
      </c>
      <c r="F18" s="15" t="s">
        <v>86</v>
      </c>
      <c r="G18" s="44">
        <v>3500</v>
      </c>
      <c r="H18" s="44">
        <v>3500</v>
      </c>
      <c r="I18" s="153">
        <f t="shared" si="0"/>
        <v>100</v>
      </c>
    </row>
    <row r="19" spans="2:9" ht="12.95" customHeight="1">
      <c r="B19" s="14"/>
      <c r="C19" s="15"/>
      <c r="D19" s="15"/>
      <c r="E19" s="16">
        <v>613200</v>
      </c>
      <c r="F19" s="15" t="s">
        <v>87</v>
      </c>
      <c r="G19" s="44">
        <v>30500</v>
      </c>
      <c r="H19" s="44">
        <v>30500</v>
      </c>
      <c r="I19" s="153">
        <f t="shared" si="0"/>
        <v>100</v>
      </c>
    </row>
    <row r="20" spans="2:9" ht="12.95" customHeight="1">
      <c r="B20" s="14"/>
      <c r="C20" s="15"/>
      <c r="D20" s="15"/>
      <c r="E20" s="16">
        <v>613300</v>
      </c>
      <c r="F20" s="26" t="s">
        <v>212</v>
      </c>
      <c r="G20" s="44">
        <v>3400</v>
      </c>
      <c r="H20" s="44">
        <v>3400</v>
      </c>
      <c r="I20" s="153">
        <f t="shared" si="0"/>
        <v>100</v>
      </c>
    </row>
    <row r="21" spans="2:9" ht="12.95" customHeight="1">
      <c r="B21" s="14"/>
      <c r="C21" s="15"/>
      <c r="D21" s="15"/>
      <c r="E21" s="16">
        <v>613400</v>
      </c>
      <c r="F21" s="15" t="s">
        <v>169</v>
      </c>
      <c r="G21" s="117">
        <v>8000</v>
      </c>
      <c r="H21" s="117">
        <v>8000</v>
      </c>
      <c r="I21" s="153">
        <f t="shared" si="0"/>
        <v>100</v>
      </c>
    </row>
    <row r="22" spans="2:9" ht="12.95" customHeight="1">
      <c r="B22" s="14"/>
      <c r="C22" s="15"/>
      <c r="D22" s="15"/>
      <c r="E22" s="16">
        <v>613500</v>
      </c>
      <c r="F22" s="15" t="s">
        <v>88</v>
      </c>
      <c r="G22" s="117">
        <v>1000</v>
      </c>
      <c r="H22" s="117">
        <v>1000</v>
      </c>
      <c r="I22" s="153">
        <f t="shared" si="0"/>
        <v>100</v>
      </c>
    </row>
    <row r="23" spans="2:9" ht="12.95" customHeight="1">
      <c r="B23" s="14"/>
      <c r="C23" s="15"/>
      <c r="D23" s="15"/>
      <c r="E23" s="16">
        <v>613600</v>
      </c>
      <c r="F23" s="26" t="s">
        <v>213</v>
      </c>
      <c r="G23" s="117">
        <v>0</v>
      </c>
      <c r="H23" s="117">
        <v>0</v>
      </c>
      <c r="I23" s="153" t="str">
        <f t="shared" si="0"/>
        <v/>
      </c>
    </row>
    <row r="24" spans="2:9" ht="12.95" customHeight="1">
      <c r="B24" s="14"/>
      <c r="C24" s="15"/>
      <c r="D24" s="15"/>
      <c r="E24" s="16">
        <v>613700</v>
      </c>
      <c r="F24" s="15" t="s">
        <v>89</v>
      </c>
      <c r="G24" s="117">
        <v>8000</v>
      </c>
      <c r="H24" s="117">
        <v>8000</v>
      </c>
      <c r="I24" s="153">
        <f t="shared" si="0"/>
        <v>100</v>
      </c>
    </row>
    <row r="25" spans="2:9" ht="12.95" customHeight="1">
      <c r="B25" s="14"/>
      <c r="C25" s="15"/>
      <c r="D25" s="15"/>
      <c r="E25" s="16">
        <v>613800</v>
      </c>
      <c r="F25" s="15" t="s">
        <v>170</v>
      </c>
      <c r="G25" s="117">
        <v>0</v>
      </c>
      <c r="H25" s="117">
        <v>0</v>
      </c>
      <c r="I25" s="153" t="str">
        <f t="shared" si="0"/>
        <v/>
      </c>
    </row>
    <row r="26" spans="2:9" ht="12.95" customHeight="1">
      <c r="B26" s="14"/>
      <c r="C26" s="15"/>
      <c r="D26" s="15"/>
      <c r="E26" s="16">
        <v>613900</v>
      </c>
      <c r="F26" s="15" t="s">
        <v>171</v>
      </c>
      <c r="G26" s="117">
        <v>8000</v>
      </c>
      <c r="H26" s="117">
        <v>8000</v>
      </c>
      <c r="I26" s="153">
        <f t="shared" si="0"/>
        <v>100</v>
      </c>
    </row>
    <row r="27" spans="2:9" ht="12.95" customHeight="1">
      <c r="B27" s="14"/>
      <c r="C27" s="15"/>
      <c r="D27" s="15"/>
      <c r="E27" s="16">
        <v>613900</v>
      </c>
      <c r="F27" s="363" t="s">
        <v>701</v>
      </c>
      <c r="G27" s="117">
        <v>3800</v>
      </c>
      <c r="H27" s="117">
        <v>0</v>
      </c>
      <c r="I27" s="153">
        <f t="shared" si="0"/>
        <v>0</v>
      </c>
    </row>
    <row r="28" spans="2:9" s="1" customFormat="1" ht="12.95" customHeight="1">
      <c r="B28" s="17"/>
      <c r="C28" s="12"/>
      <c r="D28" s="12"/>
      <c r="E28" s="9"/>
      <c r="F28" s="12"/>
      <c r="G28" s="117"/>
      <c r="H28" s="117"/>
      <c r="I28" s="153" t="str">
        <f t="shared" si="0"/>
        <v/>
      </c>
    </row>
    <row r="29" spans="2:9" ht="12.95" customHeight="1">
      <c r="B29" s="14"/>
      <c r="C29" s="15"/>
      <c r="D29" s="30"/>
      <c r="E29" s="16"/>
      <c r="F29" s="29"/>
      <c r="G29" s="117"/>
      <c r="H29" s="117"/>
      <c r="I29" s="153" t="str">
        <f t="shared" si="0"/>
        <v/>
      </c>
    </row>
    <row r="30" spans="2:9" ht="12.95" customHeight="1">
      <c r="B30" s="14"/>
      <c r="C30" s="15"/>
      <c r="D30" s="15"/>
      <c r="E30" s="60"/>
      <c r="F30" s="29"/>
      <c r="G30" s="117"/>
      <c r="H30" s="117"/>
      <c r="I30" s="153" t="str">
        <f t="shared" si="0"/>
        <v/>
      </c>
    </row>
    <row r="31" spans="2:9" ht="12.95" customHeight="1">
      <c r="B31" s="14"/>
      <c r="C31" s="15"/>
      <c r="D31" s="15"/>
      <c r="E31" s="16"/>
      <c r="F31" s="15"/>
      <c r="G31" s="117"/>
      <c r="H31" s="117"/>
      <c r="I31" s="153" t="str">
        <f t="shared" si="0"/>
        <v/>
      </c>
    </row>
    <row r="32" spans="2:9" ht="12.95" customHeight="1">
      <c r="B32" s="14"/>
      <c r="C32" s="15"/>
      <c r="D32" s="15"/>
      <c r="E32" s="16"/>
      <c r="F32" s="15"/>
      <c r="G32" s="117"/>
      <c r="H32" s="117"/>
      <c r="I32" s="153" t="str">
        <f t="shared" si="0"/>
        <v/>
      </c>
    </row>
    <row r="33" spans="2:9" ht="12.95" customHeight="1">
      <c r="B33" s="14"/>
      <c r="C33" s="15"/>
      <c r="D33" s="15"/>
      <c r="E33" s="9"/>
      <c r="F33" s="12"/>
      <c r="G33" s="117"/>
      <c r="H33" s="117"/>
      <c r="I33" s="153" t="str">
        <f t="shared" si="0"/>
        <v/>
      </c>
    </row>
    <row r="34" spans="2:9" ht="12.95" customHeight="1">
      <c r="B34" s="14"/>
      <c r="C34" s="15"/>
      <c r="D34" s="15"/>
      <c r="E34" s="16"/>
      <c r="F34" s="26"/>
      <c r="G34" s="117"/>
      <c r="H34" s="117"/>
      <c r="I34" s="153" t="str">
        <f t="shared" si="0"/>
        <v/>
      </c>
    </row>
    <row r="35" spans="2:9" ht="12.95" customHeight="1">
      <c r="B35" s="14"/>
      <c r="C35" s="15"/>
      <c r="D35" s="15"/>
      <c r="E35" s="16"/>
      <c r="F35" s="15"/>
      <c r="G35" s="108"/>
      <c r="H35" s="108"/>
      <c r="I35" s="153" t="str">
        <f t="shared" si="0"/>
        <v/>
      </c>
    </row>
    <row r="36" spans="2:9" s="1" customFormat="1" ht="12.95" customHeight="1">
      <c r="B36" s="17"/>
      <c r="C36" s="12"/>
      <c r="D36" s="12"/>
      <c r="E36" s="9">
        <v>821000</v>
      </c>
      <c r="F36" s="12" t="s">
        <v>92</v>
      </c>
      <c r="G36" s="108">
        <f>SUM(G37:G39)</f>
        <v>16500</v>
      </c>
      <c r="H36" s="108">
        <f>SUM(H37:H39)</f>
        <v>2000</v>
      </c>
      <c r="I36" s="152">
        <f t="shared" si="0"/>
        <v>12.121212121212121</v>
      </c>
    </row>
    <row r="37" spans="2:9" ht="12.95" customHeight="1">
      <c r="B37" s="14"/>
      <c r="C37" s="15"/>
      <c r="D37" s="15"/>
      <c r="E37" s="16">
        <v>821200</v>
      </c>
      <c r="F37" s="15" t="s">
        <v>93</v>
      </c>
      <c r="G37" s="117">
        <v>3500</v>
      </c>
      <c r="H37" s="117">
        <v>0</v>
      </c>
      <c r="I37" s="153">
        <f t="shared" si="0"/>
        <v>0</v>
      </c>
    </row>
    <row r="38" spans="2:9" ht="12.95" customHeight="1">
      <c r="B38" s="14"/>
      <c r="C38" s="15"/>
      <c r="D38" s="15"/>
      <c r="E38" s="16">
        <v>821300</v>
      </c>
      <c r="F38" s="15" t="s">
        <v>94</v>
      </c>
      <c r="G38" s="117">
        <v>13000</v>
      </c>
      <c r="H38" s="117">
        <v>2000</v>
      </c>
      <c r="I38" s="153">
        <f t="shared" si="0"/>
        <v>15.384615384615385</v>
      </c>
    </row>
    <row r="39" spans="2:9" ht="12.95" customHeight="1">
      <c r="B39" s="14"/>
      <c r="C39" s="15"/>
      <c r="D39" s="15"/>
      <c r="E39" s="16"/>
      <c r="F39" s="26"/>
      <c r="G39" s="117"/>
      <c r="H39" s="117"/>
      <c r="I39" s="153" t="str">
        <f t="shared" si="0"/>
        <v/>
      </c>
    </row>
    <row r="40" spans="2:9" ht="12.95" customHeight="1">
      <c r="B40" s="14"/>
      <c r="C40" s="15"/>
      <c r="D40" s="15"/>
      <c r="E40" s="16"/>
      <c r="F40" s="15"/>
      <c r="G40" s="44"/>
      <c r="H40" s="44"/>
      <c r="I40" s="153" t="str">
        <f t="shared" si="0"/>
        <v/>
      </c>
    </row>
    <row r="41" spans="2:9" s="1" customFormat="1" ht="12.95" customHeight="1">
      <c r="B41" s="17"/>
      <c r="C41" s="12"/>
      <c r="D41" s="12"/>
      <c r="E41" s="9"/>
      <c r="F41" s="12" t="s">
        <v>95</v>
      </c>
      <c r="G41" s="25" t="s">
        <v>713</v>
      </c>
      <c r="H41" s="25" t="s">
        <v>713</v>
      </c>
      <c r="I41" s="153"/>
    </row>
    <row r="42" spans="2:9" s="1" customFormat="1" ht="12.95" customHeight="1">
      <c r="B42" s="17"/>
      <c r="C42" s="12"/>
      <c r="D42" s="12"/>
      <c r="E42" s="9"/>
      <c r="F42" s="12" t="s">
        <v>115</v>
      </c>
      <c r="G42" s="20">
        <f>G7+G13+G17+G36</f>
        <v>733580</v>
      </c>
      <c r="H42" s="20">
        <f>H7+H13+H17+H36</f>
        <v>714700</v>
      </c>
      <c r="I42" s="152">
        <f t="shared" si="0"/>
        <v>97.426320237738224</v>
      </c>
    </row>
    <row r="43" spans="2:9" s="1" customFormat="1" ht="12.95" customHeight="1">
      <c r="B43" s="17"/>
      <c r="C43" s="12"/>
      <c r="D43" s="12"/>
      <c r="E43" s="9"/>
      <c r="F43" s="12" t="s">
        <v>96</v>
      </c>
      <c r="G43" s="20">
        <f>G42+'29'!G42+'28'!G42+'27'!G42+'26'!G42+'25'!G42+'24'!G42</f>
        <v>7519760</v>
      </c>
      <c r="H43" s="20">
        <f>H42+'29'!H42+'28'!H42+'27'!H42+'26'!H42+'25'!H42+'24'!H42</f>
        <v>7722160</v>
      </c>
      <c r="I43" s="152">
        <f t="shared" si="0"/>
        <v>102.69157526304031</v>
      </c>
    </row>
    <row r="44" spans="2:9" s="1" customFormat="1" ht="12.95" customHeight="1">
      <c r="B44" s="17"/>
      <c r="C44" s="12"/>
      <c r="D44" s="12"/>
      <c r="E44" s="9"/>
      <c r="F44" s="12" t="s">
        <v>97</v>
      </c>
      <c r="G44" s="20">
        <f>G43+'23'!G43+'20'!G55</f>
        <v>12741240</v>
      </c>
      <c r="H44" s="20">
        <f>H43+'23'!H43+'20'!H55</f>
        <v>13110810</v>
      </c>
      <c r="I44" s="152">
        <f t="shared" si="0"/>
        <v>102.90058110513576</v>
      </c>
    </row>
    <row r="45" spans="2:9" ht="12.95" customHeight="1" thickBot="1">
      <c r="B45" s="21"/>
      <c r="C45" s="22"/>
      <c r="D45" s="22"/>
      <c r="E45" s="23"/>
      <c r="F45" s="22"/>
      <c r="G45" s="48"/>
      <c r="H45" s="45"/>
      <c r="I45" s="156"/>
    </row>
    <row r="47" spans="2:9">
      <c r="B47" s="81"/>
    </row>
    <row r="48" spans="2:9">
      <c r="B48" s="81"/>
    </row>
    <row r="49" spans="2:2">
      <c r="B49" s="81"/>
    </row>
    <row r="50" spans="2:2">
      <c r="B50" s="81"/>
    </row>
    <row r="51" spans="2:2">
      <c r="B51" s="81"/>
    </row>
    <row r="52" spans="2:2">
      <c r="B52" s="81"/>
    </row>
    <row r="53" spans="2:2">
      <c r="B53" s="81"/>
    </row>
  </sheetData>
  <mergeCells count="2">
    <mergeCell ref="B2:G2"/>
    <mergeCell ref="F3:G3"/>
  </mergeCells>
  <phoneticPr fontId="2" type="noConversion"/>
  <pageMargins left="0.19685039370078741" right="0.19685039370078741" top="0.59055118110236227" bottom="0.59055118110236227" header="0.51181102362204722" footer="0.51181102362204722"/>
  <pageSetup paperSize="9" scale="88" firstPageNumber="10" orientation="portrait" useFirstPageNumber="1" horizontalDpi="180" verticalDpi="180" r:id="rId1"/>
  <headerFooter alignWithMargins="0">
    <oddFooter>&amp;R37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>
  <sheetPr codeName="Sheet36"/>
  <dimension ref="B2:K43"/>
  <sheetViews>
    <sheetView topLeftCell="C7" workbookViewId="0">
      <selection activeCell="G7" sqref="G7:G38"/>
    </sheetView>
  </sheetViews>
  <sheetFormatPr defaultRowHeight="12.75"/>
  <cols>
    <col min="1" max="1" width="1.5703125" style="13" customWidth="1"/>
    <col min="2" max="4" width="5.7109375" style="13" bestFit="1" customWidth="1"/>
    <col min="5" max="5" width="10.7109375" style="24" customWidth="1"/>
    <col min="6" max="6" width="43.7109375" style="13" customWidth="1"/>
    <col min="7" max="7" width="15.7109375" style="13" customWidth="1"/>
    <col min="8" max="8" width="15.7109375" style="90" customWidth="1"/>
    <col min="9" max="9" width="8.7109375" style="140" customWidth="1"/>
    <col min="10" max="16384" width="9.140625" style="13"/>
  </cols>
  <sheetData>
    <row r="2" spans="2:11" ht="15" customHeight="1">
      <c r="B2" s="450" t="s">
        <v>183</v>
      </c>
      <c r="C2" s="450"/>
      <c r="D2" s="450"/>
      <c r="E2" s="450"/>
      <c r="F2" s="450"/>
      <c r="G2" s="450"/>
    </row>
    <row r="3" spans="2:11" s="1" customFormat="1" ht="16.5" thickBot="1">
      <c r="E3" s="2"/>
      <c r="F3" s="449"/>
      <c r="G3" s="449"/>
      <c r="H3" s="181"/>
      <c r="I3" s="182"/>
    </row>
    <row r="4" spans="2:11" s="1" customFormat="1" ht="76.5" customHeight="1">
      <c r="B4" s="3" t="s">
        <v>79</v>
      </c>
      <c r="C4" s="4" t="s">
        <v>80</v>
      </c>
      <c r="D4" s="5" t="s">
        <v>112</v>
      </c>
      <c r="E4" s="6" t="s">
        <v>81</v>
      </c>
      <c r="F4" s="7" t="s">
        <v>82</v>
      </c>
      <c r="G4" s="316" t="s">
        <v>557</v>
      </c>
      <c r="H4" s="316" t="s">
        <v>683</v>
      </c>
      <c r="I4" s="149" t="s">
        <v>497</v>
      </c>
    </row>
    <row r="5" spans="2:11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34">
        <v>6</v>
      </c>
      <c r="H5" s="9">
        <v>7</v>
      </c>
      <c r="I5" s="150">
        <v>8</v>
      </c>
    </row>
    <row r="6" spans="2:11" s="2" customFormat="1" ht="12.95" customHeight="1">
      <c r="B6" s="10" t="s">
        <v>153</v>
      </c>
      <c r="C6" s="11" t="s">
        <v>83</v>
      </c>
      <c r="D6" s="11" t="s">
        <v>84</v>
      </c>
      <c r="E6" s="9"/>
      <c r="F6" s="9"/>
      <c r="G6" s="34"/>
      <c r="H6" s="165"/>
      <c r="I6" s="151"/>
    </row>
    <row r="7" spans="2:11" s="1" customFormat="1" ht="12.95" customHeight="1">
      <c r="B7" s="17"/>
      <c r="C7" s="12"/>
      <c r="D7" s="12"/>
      <c r="E7" s="9">
        <v>611000</v>
      </c>
      <c r="F7" s="12" t="s">
        <v>167</v>
      </c>
      <c r="G7" s="20">
        <f>SUM(G8:G11)</f>
        <v>201600</v>
      </c>
      <c r="H7" s="392">
        <f>SUM(H8:H11)</f>
        <v>226200</v>
      </c>
      <c r="I7" s="152">
        <f t="shared" ref="I7:I41" si="0">IF(G7=0,"",H7/G7*100)</f>
        <v>112.20238095238095</v>
      </c>
    </row>
    <row r="8" spans="2:11" ht="12.95" customHeight="1">
      <c r="B8" s="14"/>
      <c r="C8" s="15"/>
      <c r="D8" s="15"/>
      <c r="E8" s="16">
        <v>611100</v>
      </c>
      <c r="F8" s="26" t="s">
        <v>210</v>
      </c>
      <c r="G8" s="117">
        <f>151800+500</f>
        <v>152300</v>
      </c>
      <c r="H8" s="394">
        <f>150100+21200+7440+1060</f>
        <v>179800</v>
      </c>
      <c r="I8" s="153">
        <f t="shared" si="0"/>
        <v>118.0564674983585</v>
      </c>
    </row>
    <row r="9" spans="2:11" ht="12.95" customHeight="1">
      <c r="B9" s="14"/>
      <c r="C9" s="15"/>
      <c r="D9" s="15"/>
      <c r="E9" s="16">
        <v>611200</v>
      </c>
      <c r="F9" s="15" t="s">
        <v>211</v>
      </c>
      <c r="G9" s="117">
        <f>39300+500+10*240</f>
        <v>42200</v>
      </c>
      <c r="H9" s="394">
        <f>36100+10300</f>
        <v>46400</v>
      </c>
      <c r="I9" s="153">
        <f t="shared" si="0"/>
        <v>109.95260663507109</v>
      </c>
    </row>
    <row r="10" spans="2:11" ht="12.95" customHeight="1">
      <c r="B10" s="14"/>
      <c r="C10" s="15"/>
      <c r="D10" s="15"/>
      <c r="E10" s="16">
        <v>611200</v>
      </c>
      <c r="F10" s="363" t="s">
        <v>699</v>
      </c>
      <c r="G10" s="82">
        <v>7100</v>
      </c>
      <c r="H10" s="391">
        <v>0</v>
      </c>
      <c r="I10" s="153">
        <f t="shared" si="0"/>
        <v>0</v>
      </c>
      <c r="K10" s="89"/>
    </row>
    <row r="11" spans="2:11" ht="12.95" customHeight="1">
      <c r="B11" s="14"/>
      <c r="C11" s="15"/>
      <c r="D11" s="15"/>
      <c r="E11" s="16"/>
      <c r="F11" s="26"/>
      <c r="G11" s="117"/>
      <c r="H11" s="394"/>
      <c r="I11" s="153" t="str">
        <f t="shared" si="0"/>
        <v/>
      </c>
    </row>
    <row r="12" spans="2:11" ht="12.95" customHeight="1">
      <c r="B12" s="14"/>
      <c r="C12" s="15"/>
      <c r="D12" s="15"/>
      <c r="E12" s="16"/>
      <c r="F12" s="15"/>
      <c r="G12" s="108"/>
      <c r="H12" s="392"/>
      <c r="I12" s="153" t="str">
        <f t="shared" si="0"/>
        <v/>
      </c>
    </row>
    <row r="13" spans="2:11" s="1" customFormat="1" ht="12.95" customHeight="1">
      <c r="B13" s="17"/>
      <c r="C13" s="12"/>
      <c r="D13" s="12"/>
      <c r="E13" s="9">
        <v>612000</v>
      </c>
      <c r="F13" s="12" t="s">
        <v>166</v>
      </c>
      <c r="G13" s="108">
        <f>G14</f>
        <v>17000</v>
      </c>
      <c r="H13" s="392">
        <f>H14</f>
        <v>20520</v>
      </c>
      <c r="I13" s="152">
        <f t="shared" si="0"/>
        <v>120.70588235294117</v>
      </c>
    </row>
    <row r="14" spans="2:11" ht="12.95" customHeight="1">
      <c r="B14" s="14"/>
      <c r="C14" s="15"/>
      <c r="D14" s="15"/>
      <c r="E14" s="16">
        <v>612100</v>
      </c>
      <c r="F14" s="18" t="s">
        <v>85</v>
      </c>
      <c r="G14" s="117">
        <f>16900+100</f>
        <v>17000</v>
      </c>
      <c r="H14" s="394">
        <f>17200+2400+800+120</f>
        <v>20520</v>
      </c>
      <c r="I14" s="153">
        <f t="shared" si="0"/>
        <v>120.70588235294117</v>
      </c>
    </row>
    <row r="15" spans="2:11" ht="12.95" customHeight="1">
      <c r="B15" s="14"/>
      <c r="C15" s="15"/>
      <c r="D15" s="15"/>
      <c r="E15" s="16"/>
      <c r="F15" s="15"/>
      <c r="G15" s="117"/>
      <c r="H15" s="117"/>
      <c r="I15" s="153" t="str">
        <f t="shared" si="0"/>
        <v/>
      </c>
    </row>
    <row r="16" spans="2:11" ht="12.95" customHeight="1">
      <c r="B16" s="14"/>
      <c r="C16" s="15"/>
      <c r="D16" s="15"/>
      <c r="E16" s="16"/>
      <c r="F16" s="15"/>
      <c r="G16" s="108"/>
      <c r="H16" s="108"/>
      <c r="I16" s="153" t="str">
        <f t="shared" si="0"/>
        <v/>
      </c>
    </row>
    <row r="17" spans="2:10" s="1" customFormat="1" ht="12.95" customHeight="1">
      <c r="B17" s="17"/>
      <c r="C17" s="12"/>
      <c r="D17" s="12"/>
      <c r="E17" s="9">
        <v>613000</v>
      </c>
      <c r="F17" s="12" t="s">
        <v>168</v>
      </c>
      <c r="G17" s="108">
        <f>SUM(G18:G27)</f>
        <v>41400</v>
      </c>
      <c r="H17" s="108">
        <f>SUM(H18:H27)</f>
        <v>39800</v>
      </c>
      <c r="I17" s="152">
        <f t="shared" si="0"/>
        <v>96.135265700483103</v>
      </c>
    </row>
    <row r="18" spans="2:10" ht="12.95" customHeight="1">
      <c r="B18" s="14"/>
      <c r="C18" s="15"/>
      <c r="D18" s="15"/>
      <c r="E18" s="16">
        <v>613100</v>
      </c>
      <c r="F18" s="15" t="s">
        <v>86</v>
      </c>
      <c r="G18" s="117">
        <v>3500</v>
      </c>
      <c r="H18" s="117">
        <v>3500</v>
      </c>
      <c r="I18" s="153">
        <f t="shared" si="0"/>
        <v>100</v>
      </c>
    </row>
    <row r="19" spans="2:10" ht="12.95" customHeight="1">
      <c r="B19" s="14"/>
      <c r="C19" s="15"/>
      <c r="D19" s="15"/>
      <c r="E19" s="16">
        <v>613200</v>
      </c>
      <c r="F19" s="15" t="s">
        <v>87</v>
      </c>
      <c r="G19" s="117">
        <v>0</v>
      </c>
      <c r="H19" s="117">
        <v>0</v>
      </c>
      <c r="I19" s="153" t="str">
        <f t="shared" si="0"/>
        <v/>
      </c>
    </row>
    <row r="20" spans="2:10" ht="12.95" customHeight="1">
      <c r="B20" s="14"/>
      <c r="C20" s="15"/>
      <c r="D20" s="15"/>
      <c r="E20" s="16">
        <v>613300</v>
      </c>
      <c r="F20" s="26" t="s">
        <v>212</v>
      </c>
      <c r="G20" s="117">
        <v>3300</v>
      </c>
      <c r="H20" s="117">
        <v>3300</v>
      </c>
      <c r="I20" s="153">
        <f t="shared" si="0"/>
        <v>100</v>
      </c>
    </row>
    <row r="21" spans="2:10" ht="12.95" customHeight="1">
      <c r="B21" s="14"/>
      <c r="C21" s="15"/>
      <c r="D21" s="15"/>
      <c r="E21" s="16">
        <v>613400</v>
      </c>
      <c r="F21" s="15" t="s">
        <v>169</v>
      </c>
      <c r="G21" s="117">
        <v>2500</v>
      </c>
      <c r="H21" s="117">
        <v>2500</v>
      </c>
      <c r="I21" s="153">
        <f t="shared" si="0"/>
        <v>100</v>
      </c>
    </row>
    <row r="22" spans="2:10" ht="12.95" customHeight="1">
      <c r="B22" s="14"/>
      <c r="C22" s="15"/>
      <c r="D22" s="15"/>
      <c r="E22" s="16">
        <v>613500</v>
      </c>
      <c r="F22" s="15" t="s">
        <v>88</v>
      </c>
      <c r="G22" s="117">
        <v>0</v>
      </c>
      <c r="H22" s="117">
        <v>0</v>
      </c>
      <c r="I22" s="153" t="str">
        <f t="shared" si="0"/>
        <v/>
      </c>
    </row>
    <row r="23" spans="2:10" ht="12.95" customHeight="1">
      <c r="B23" s="14"/>
      <c r="C23" s="15"/>
      <c r="D23" s="15"/>
      <c r="E23" s="16">
        <v>613600</v>
      </c>
      <c r="F23" s="26" t="s">
        <v>213</v>
      </c>
      <c r="G23" s="117">
        <v>0</v>
      </c>
      <c r="H23" s="117">
        <v>0</v>
      </c>
      <c r="I23" s="153" t="str">
        <f t="shared" si="0"/>
        <v/>
      </c>
    </row>
    <row r="24" spans="2:10" ht="12.95" customHeight="1">
      <c r="B24" s="14"/>
      <c r="C24" s="15"/>
      <c r="D24" s="15"/>
      <c r="E24" s="16">
        <v>613700</v>
      </c>
      <c r="F24" s="15" t="s">
        <v>89</v>
      </c>
      <c r="G24" s="117">
        <v>1500</v>
      </c>
      <c r="H24" s="117">
        <v>6500</v>
      </c>
      <c r="I24" s="153">
        <f t="shared" si="0"/>
        <v>433.33333333333331</v>
      </c>
    </row>
    <row r="25" spans="2:10" ht="12.95" customHeight="1">
      <c r="B25" s="14"/>
      <c r="C25" s="15"/>
      <c r="D25" s="15"/>
      <c r="E25" s="16">
        <v>613800</v>
      </c>
      <c r="F25" s="15" t="s">
        <v>170</v>
      </c>
      <c r="G25" s="117">
        <v>0</v>
      </c>
      <c r="H25" s="117">
        <v>0</v>
      </c>
      <c r="I25" s="153" t="str">
        <f t="shared" si="0"/>
        <v/>
      </c>
    </row>
    <row r="26" spans="2:10" ht="12.95" customHeight="1">
      <c r="B26" s="14"/>
      <c r="C26" s="15"/>
      <c r="D26" s="15"/>
      <c r="E26" s="16">
        <v>613900</v>
      </c>
      <c r="F26" s="15" t="s">
        <v>171</v>
      </c>
      <c r="G26" s="117">
        <v>24000</v>
      </c>
      <c r="H26" s="117">
        <v>24000</v>
      </c>
      <c r="I26" s="153">
        <f t="shared" si="0"/>
        <v>100</v>
      </c>
      <c r="J26" s="107"/>
    </row>
    <row r="27" spans="2:10" ht="12.95" customHeight="1">
      <c r="B27" s="14"/>
      <c r="C27" s="15"/>
      <c r="D27" s="15"/>
      <c r="E27" s="16">
        <v>613900</v>
      </c>
      <c r="F27" s="363" t="s">
        <v>701</v>
      </c>
      <c r="G27" s="117">
        <v>6600</v>
      </c>
      <c r="H27" s="117"/>
      <c r="I27" s="153">
        <f t="shared" si="0"/>
        <v>0</v>
      </c>
    </row>
    <row r="28" spans="2:10" ht="12.95" customHeight="1">
      <c r="B28" s="14"/>
      <c r="C28" s="15"/>
      <c r="D28" s="15"/>
      <c r="E28" s="16"/>
      <c r="F28" s="15"/>
      <c r="G28" s="108"/>
      <c r="H28" s="108"/>
      <c r="I28" s="153" t="str">
        <f t="shared" si="0"/>
        <v/>
      </c>
    </row>
    <row r="29" spans="2:10" s="1" customFormat="1" ht="12.95" customHeight="1">
      <c r="B29" s="17"/>
      <c r="C29" s="12"/>
      <c r="D29" s="12"/>
      <c r="E29" s="9">
        <v>614000</v>
      </c>
      <c r="F29" s="12" t="s">
        <v>214</v>
      </c>
      <c r="G29" s="108">
        <f>G30</f>
        <v>900000</v>
      </c>
      <c r="H29" s="108">
        <f>H30</f>
        <v>1000000</v>
      </c>
      <c r="I29" s="152">
        <f t="shared" si="0"/>
        <v>111.11111111111111</v>
      </c>
    </row>
    <row r="30" spans="2:10" ht="12.95" customHeight="1">
      <c r="B30" s="14"/>
      <c r="C30" s="15"/>
      <c r="D30" s="15"/>
      <c r="E30" s="16">
        <v>614200</v>
      </c>
      <c r="F30" s="29" t="s">
        <v>117</v>
      </c>
      <c r="G30" s="117">
        <v>900000</v>
      </c>
      <c r="H30" s="117">
        <v>1000000</v>
      </c>
      <c r="I30" s="153">
        <f t="shared" si="0"/>
        <v>111.11111111111111</v>
      </c>
    </row>
    <row r="31" spans="2:10" ht="12.95" customHeight="1">
      <c r="B31" s="14"/>
      <c r="C31" s="15"/>
      <c r="D31" s="15"/>
      <c r="E31" s="16"/>
      <c r="F31" s="26"/>
      <c r="G31" s="117"/>
      <c r="H31" s="117"/>
      <c r="I31" s="153" t="str">
        <f t="shared" si="0"/>
        <v/>
      </c>
    </row>
    <row r="32" spans="2:10" ht="12.95" customHeight="1">
      <c r="B32" s="14"/>
      <c r="C32" s="15"/>
      <c r="D32" s="15"/>
      <c r="E32" s="16"/>
      <c r="F32" s="15"/>
      <c r="G32" s="117"/>
      <c r="H32" s="117"/>
      <c r="I32" s="153" t="str">
        <f t="shared" si="0"/>
        <v/>
      </c>
    </row>
    <row r="33" spans="2:9" s="1" customFormat="1" ht="12.95" customHeight="1">
      <c r="B33" s="17"/>
      <c r="C33" s="12"/>
      <c r="D33" s="12"/>
      <c r="E33" s="9">
        <v>821000</v>
      </c>
      <c r="F33" s="12" t="s">
        <v>92</v>
      </c>
      <c r="G33" s="108">
        <f>SUM(G34:G36)</f>
        <v>2000</v>
      </c>
      <c r="H33" s="108">
        <f>SUM(H34:H36)</f>
        <v>1000</v>
      </c>
      <c r="I33" s="152">
        <f t="shared" si="0"/>
        <v>50</v>
      </c>
    </row>
    <row r="34" spans="2:9" ht="12.95" customHeight="1">
      <c r="B34" s="14"/>
      <c r="C34" s="15"/>
      <c r="D34" s="15"/>
      <c r="E34" s="16">
        <v>821200</v>
      </c>
      <c r="F34" s="15" t="s">
        <v>93</v>
      </c>
      <c r="G34" s="117">
        <v>0</v>
      </c>
      <c r="H34" s="117">
        <v>0</v>
      </c>
      <c r="I34" s="153" t="str">
        <f t="shared" si="0"/>
        <v/>
      </c>
    </row>
    <row r="35" spans="2:9" ht="12.95" customHeight="1">
      <c r="B35" s="14"/>
      <c r="C35" s="15"/>
      <c r="D35" s="15"/>
      <c r="E35" s="16">
        <v>821300</v>
      </c>
      <c r="F35" s="15" t="s">
        <v>94</v>
      </c>
      <c r="G35" s="117">
        <v>2000</v>
      </c>
      <c r="H35" s="117">
        <v>1000</v>
      </c>
      <c r="I35" s="153">
        <f t="shared" si="0"/>
        <v>50</v>
      </c>
    </row>
    <row r="36" spans="2:9" ht="12.95" customHeight="1">
      <c r="B36" s="14"/>
      <c r="C36" s="15"/>
      <c r="D36" s="15"/>
      <c r="E36" s="16"/>
      <c r="F36" s="26"/>
      <c r="G36" s="117"/>
      <c r="H36" s="117"/>
      <c r="I36" s="153" t="str">
        <f t="shared" si="0"/>
        <v/>
      </c>
    </row>
    <row r="37" spans="2:9" ht="12.95" customHeight="1">
      <c r="B37" s="14"/>
      <c r="C37" s="15"/>
      <c r="D37" s="15"/>
      <c r="E37" s="16"/>
      <c r="F37" s="15"/>
      <c r="G37" s="117"/>
      <c r="H37" s="117"/>
      <c r="I37" s="153" t="str">
        <f t="shared" si="0"/>
        <v/>
      </c>
    </row>
    <row r="38" spans="2:9" s="1" customFormat="1" ht="12.95" customHeight="1">
      <c r="B38" s="17"/>
      <c r="C38" s="12"/>
      <c r="D38" s="12"/>
      <c r="E38" s="9"/>
      <c r="F38" s="12" t="s">
        <v>95</v>
      </c>
      <c r="G38" s="20">
        <v>9</v>
      </c>
      <c r="H38" s="20">
        <v>11</v>
      </c>
      <c r="I38" s="153"/>
    </row>
    <row r="39" spans="2:9" s="1" customFormat="1" ht="12.95" customHeight="1">
      <c r="B39" s="17"/>
      <c r="C39" s="12"/>
      <c r="D39" s="12"/>
      <c r="E39" s="9"/>
      <c r="F39" s="12" t="s">
        <v>115</v>
      </c>
      <c r="G39" s="20">
        <f>G7+G13+G17+G29+G33</f>
        <v>1162000</v>
      </c>
      <c r="H39" s="20">
        <f>H7+H13+H17+H29+H33</f>
        <v>1287520</v>
      </c>
      <c r="I39" s="152">
        <f t="shared" si="0"/>
        <v>110.80206540447503</v>
      </c>
    </row>
    <row r="40" spans="2:9" s="1" customFormat="1" ht="12.95" customHeight="1">
      <c r="B40" s="17"/>
      <c r="C40" s="12"/>
      <c r="D40" s="12"/>
      <c r="E40" s="9"/>
      <c r="F40" s="12" t="s">
        <v>96</v>
      </c>
      <c r="G40" s="20">
        <f>G39</f>
        <v>1162000</v>
      </c>
      <c r="H40" s="20">
        <f>H39</f>
        <v>1287520</v>
      </c>
      <c r="I40" s="152">
        <f t="shared" si="0"/>
        <v>110.80206540447503</v>
      </c>
    </row>
    <row r="41" spans="2:9" s="1" customFormat="1" ht="12.95" customHeight="1">
      <c r="B41" s="17"/>
      <c r="C41" s="12"/>
      <c r="D41" s="12"/>
      <c r="E41" s="9"/>
      <c r="F41" s="12" t="s">
        <v>97</v>
      </c>
      <c r="G41" s="20">
        <f>G40</f>
        <v>1162000</v>
      </c>
      <c r="H41" s="20">
        <f>H40</f>
        <v>1287520</v>
      </c>
      <c r="I41" s="152">
        <f t="shared" si="0"/>
        <v>110.80206540447503</v>
      </c>
    </row>
    <row r="42" spans="2:9" ht="12.95" customHeight="1" thickBot="1">
      <c r="B42" s="21"/>
      <c r="C42" s="22"/>
      <c r="D42" s="22"/>
      <c r="E42" s="23"/>
      <c r="F42" s="22"/>
      <c r="G42" s="48"/>
      <c r="H42" s="45"/>
      <c r="I42" s="156"/>
    </row>
    <row r="43" spans="2:9">
      <c r="H43" s="94"/>
    </row>
  </sheetData>
  <mergeCells count="2">
    <mergeCell ref="B2:G2"/>
    <mergeCell ref="F3:G3"/>
  </mergeCells>
  <phoneticPr fontId="2" type="noConversion"/>
  <pageMargins left="0.19685039370078741" right="0.19685039370078741" top="0.59055118110236227" bottom="0.59055118110236227" header="0.51181102362204722" footer="0.51181102362204722"/>
  <pageSetup paperSize="9" scale="88" firstPageNumber="10" orientation="portrait" useFirstPageNumber="1" horizontalDpi="180" verticalDpi="180" r:id="rId1"/>
  <headerFooter alignWithMargins="0">
    <oddFooter>&amp;R38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>
  <sheetPr codeName="Sheet37"/>
  <dimension ref="B2:K49"/>
  <sheetViews>
    <sheetView workbookViewId="0">
      <selection activeCell="G7" sqref="G7:G40"/>
    </sheetView>
  </sheetViews>
  <sheetFormatPr defaultRowHeight="12.75"/>
  <cols>
    <col min="1" max="1" width="1.5703125" style="13" customWidth="1"/>
    <col min="2" max="4" width="5.7109375" style="13" bestFit="1" customWidth="1"/>
    <col min="5" max="5" width="11.42578125" style="24" customWidth="1"/>
    <col min="6" max="6" width="43.7109375" style="13" customWidth="1"/>
    <col min="7" max="8" width="15.7109375" style="13" customWidth="1"/>
    <col min="9" max="9" width="8.7109375" style="140" customWidth="1"/>
    <col min="10" max="16384" width="9.140625" style="13"/>
  </cols>
  <sheetData>
    <row r="2" spans="2:11" s="112" customFormat="1" ht="15" customHeight="1">
      <c r="B2" s="450" t="s">
        <v>155</v>
      </c>
      <c r="C2" s="450"/>
      <c r="D2" s="450"/>
      <c r="E2" s="450"/>
      <c r="F2" s="450"/>
      <c r="G2" s="450"/>
      <c r="H2" s="450"/>
      <c r="I2" s="147"/>
    </row>
    <row r="3" spans="2:11" s="1" customFormat="1" ht="16.5" thickBot="1">
      <c r="E3" s="2"/>
      <c r="F3" s="449"/>
      <c r="G3" s="449"/>
      <c r="H3" s="181"/>
      <c r="I3" s="182"/>
    </row>
    <row r="4" spans="2:11" s="1" customFormat="1" ht="76.5" customHeight="1">
      <c r="B4" s="3" t="s">
        <v>79</v>
      </c>
      <c r="C4" s="4" t="s">
        <v>80</v>
      </c>
      <c r="D4" s="5" t="s">
        <v>112</v>
      </c>
      <c r="E4" s="6" t="s">
        <v>81</v>
      </c>
      <c r="F4" s="7" t="s">
        <v>82</v>
      </c>
      <c r="G4" s="316" t="s">
        <v>557</v>
      </c>
      <c r="H4" s="316" t="s">
        <v>683</v>
      </c>
      <c r="I4" s="149" t="s">
        <v>497</v>
      </c>
    </row>
    <row r="5" spans="2:11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34">
        <v>6</v>
      </c>
      <c r="H5" s="9">
        <v>7</v>
      </c>
      <c r="I5" s="150">
        <v>8</v>
      </c>
    </row>
    <row r="6" spans="2:11" s="2" customFormat="1" ht="12.95" customHeight="1">
      <c r="B6" s="10" t="s">
        <v>154</v>
      </c>
      <c r="C6" s="11" t="s">
        <v>83</v>
      </c>
      <c r="D6" s="11" t="s">
        <v>84</v>
      </c>
      <c r="E6" s="9"/>
      <c r="F6" s="9"/>
      <c r="G6" s="34"/>
      <c r="H6" s="9"/>
      <c r="I6" s="151"/>
    </row>
    <row r="7" spans="2:11" s="1" customFormat="1" ht="12.95" customHeight="1">
      <c r="B7" s="17"/>
      <c r="C7" s="12"/>
      <c r="D7" s="12"/>
      <c r="E7" s="9">
        <v>611000</v>
      </c>
      <c r="F7" s="12" t="s">
        <v>167</v>
      </c>
      <c r="G7" s="20">
        <f>SUM(G8:G10)</f>
        <v>98760</v>
      </c>
      <c r="H7" s="392">
        <f>SUM(H8:H10)</f>
        <v>98070</v>
      </c>
      <c r="I7" s="152">
        <f t="shared" ref="I7:I43" si="0">IF(G7=0,"",H7/G7*100)</f>
        <v>99.301336573511549</v>
      </c>
    </row>
    <row r="8" spans="2:11" ht="12.95" customHeight="1">
      <c r="B8" s="14"/>
      <c r="C8" s="15"/>
      <c r="D8" s="15"/>
      <c r="E8" s="16">
        <v>611100</v>
      </c>
      <c r="F8" s="26" t="s">
        <v>210</v>
      </c>
      <c r="G8" s="82">
        <v>76100</v>
      </c>
      <c r="H8" s="391">
        <f>76100+3770</f>
        <v>79870</v>
      </c>
      <c r="I8" s="153">
        <f t="shared" si="0"/>
        <v>104.95400788436268</v>
      </c>
    </row>
    <row r="9" spans="2:11" ht="12.95" customHeight="1">
      <c r="B9" s="14"/>
      <c r="C9" s="15"/>
      <c r="D9" s="15"/>
      <c r="E9" s="16">
        <v>611200</v>
      </c>
      <c r="F9" s="15" t="s">
        <v>211</v>
      </c>
      <c r="G9" s="82">
        <f>19500+4*240</f>
        <v>20460</v>
      </c>
      <c r="H9" s="391">
        <f>18200</f>
        <v>18200</v>
      </c>
      <c r="I9" s="153">
        <f t="shared" si="0"/>
        <v>88.954056695992179</v>
      </c>
    </row>
    <row r="10" spans="2:11" ht="12.95" customHeight="1">
      <c r="B10" s="14"/>
      <c r="C10" s="15"/>
      <c r="D10" s="15"/>
      <c r="E10" s="16">
        <v>611200</v>
      </c>
      <c r="F10" s="363" t="s">
        <v>699</v>
      </c>
      <c r="G10" s="82">
        <v>2200</v>
      </c>
      <c r="H10" s="391">
        <v>0</v>
      </c>
      <c r="I10" s="153">
        <f t="shared" si="0"/>
        <v>0</v>
      </c>
      <c r="K10" s="89"/>
    </row>
    <row r="11" spans="2:11" ht="12.95" customHeight="1">
      <c r="B11" s="14"/>
      <c r="C11" s="15"/>
      <c r="D11" s="15"/>
      <c r="E11" s="16"/>
      <c r="F11" s="15"/>
      <c r="G11" s="43"/>
      <c r="H11" s="391"/>
      <c r="I11" s="153" t="str">
        <f t="shared" si="0"/>
        <v/>
      </c>
    </row>
    <row r="12" spans="2:11" ht="12.95" customHeight="1">
      <c r="B12" s="17"/>
      <c r="C12" s="12"/>
      <c r="D12" s="12"/>
      <c r="E12" s="9">
        <v>612000</v>
      </c>
      <c r="F12" s="12" t="s">
        <v>166</v>
      </c>
      <c r="G12" s="20">
        <f>G13</f>
        <v>8700</v>
      </c>
      <c r="H12" s="392">
        <f>H13</f>
        <v>8800</v>
      </c>
      <c r="I12" s="152">
        <f t="shared" si="0"/>
        <v>101.14942528735634</v>
      </c>
    </row>
    <row r="13" spans="2:11" s="1" customFormat="1" ht="12.95" customHeight="1">
      <c r="B13" s="14"/>
      <c r="C13" s="15"/>
      <c r="D13" s="15"/>
      <c r="E13" s="16">
        <v>612100</v>
      </c>
      <c r="F13" s="18" t="s">
        <v>85</v>
      </c>
      <c r="G13" s="82">
        <v>8700</v>
      </c>
      <c r="H13" s="391">
        <f>8400+400</f>
        <v>8800</v>
      </c>
      <c r="I13" s="153">
        <f t="shared" si="0"/>
        <v>101.14942528735634</v>
      </c>
    </row>
    <row r="14" spans="2:11" ht="12.95" customHeight="1">
      <c r="B14" s="14"/>
      <c r="C14" s="15"/>
      <c r="D14" s="15"/>
      <c r="E14" s="16"/>
      <c r="F14" s="15"/>
      <c r="G14" s="43"/>
      <c r="H14" s="43"/>
      <c r="I14" s="153" t="str">
        <f t="shared" si="0"/>
        <v/>
      </c>
    </row>
    <row r="15" spans="2:11" ht="12.95" customHeight="1">
      <c r="B15" s="14"/>
      <c r="C15" s="15"/>
      <c r="D15" s="15"/>
      <c r="E15" s="16"/>
      <c r="F15" s="15"/>
      <c r="G15" s="43"/>
      <c r="H15" s="43"/>
      <c r="I15" s="153" t="str">
        <f t="shared" si="0"/>
        <v/>
      </c>
    </row>
    <row r="16" spans="2:11" ht="12.95" customHeight="1">
      <c r="B16" s="17"/>
      <c r="C16" s="12"/>
      <c r="D16" s="12"/>
      <c r="E16" s="9">
        <v>613000</v>
      </c>
      <c r="F16" s="12" t="s">
        <v>168</v>
      </c>
      <c r="G16" s="49">
        <f>SUM(G17:G26)</f>
        <v>32600</v>
      </c>
      <c r="H16" s="49">
        <f>SUM(H17:H26)</f>
        <v>28800</v>
      </c>
      <c r="I16" s="152">
        <f t="shared" si="0"/>
        <v>88.343558282208591</v>
      </c>
    </row>
    <row r="17" spans="2:9" s="1" customFormat="1" ht="12.95" customHeight="1">
      <c r="B17" s="14"/>
      <c r="C17" s="15"/>
      <c r="D17" s="15"/>
      <c r="E17" s="16">
        <v>613100</v>
      </c>
      <c r="F17" s="15" t="s">
        <v>86</v>
      </c>
      <c r="G17" s="82">
        <v>400</v>
      </c>
      <c r="H17" s="82">
        <v>400</v>
      </c>
      <c r="I17" s="153">
        <f t="shared" si="0"/>
        <v>100</v>
      </c>
    </row>
    <row r="18" spans="2:9" ht="12.95" customHeight="1">
      <c r="B18" s="14"/>
      <c r="C18" s="15"/>
      <c r="D18" s="15"/>
      <c r="E18" s="16">
        <v>613200</v>
      </c>
      <c r="F18" s="15" t="s">
        <v>87</v>
      </c>
      <c r="G18" s="82">
        <v>5500</v>
      </c>
      <c r="H18" s="82">
        <v>5500</v>
      </c>
      <c r="I18" s="153">
        <f t="shared" si="0"/>
        <v>100</v>
      </c>
    </row>
    <row r="19" spans="2:9" ht="12.95" customHeight="1">
      <c r="B19" s="14"/>
      <c r="C19" s="15"/>
      <c r="D19" s="15"/>
      <c r="E19" s="16">
        <v>613300</v>
      </c>
      <c r="F19" s="26" t="s">
        <v>212</v>
      </c>
      <c r="G19" s="82">
        <v>3600</v>
      </c>
      <c r="H19" s="82">
        <v>3600</v>
      </c>
      <c r="I19" s="153">
        <f t="shared" si="0"/>
        <v>100</v>
      </c>
    </row>
    <row r="20" spans="2:9" ht="12.95" customHeight="1">
      <c r="B20" s="14"/>
      <c r="C20" s="15"/>
      <c r="D20" s="15"/>
      <c r="E20" s="16">
        <v>613400</v>
      </c>
      <c r="F20" s="15" t="s">
        <v>169</v>
      </c>
      <c r="G20" s="82">
        <v>1900</v>
      </c>
      <c r="H20" s="82">
        <v>1500</v>
      </c>
      <c r="I20" s="153">
        <f t="shared" si="0"/>
        <v>78.94736842105263</v>
      </c>
    </row>
    <row r="21" spans="2:9" ht="12.95" customHeight="1">
      <c r="B21" s="14"/>
      <c r="C21" s="15"/>
      <c r="D21" s="15"/>
      <c r="E21" s="16">
        <v>613500</v>
      </c>
      <c r="F21" s="15" t="s">
        <v>88</v>
      </c>
      <c r="G21" s="82">
        <v>0</v>
      </c>
      <c r="H21" s="82">
        <v>0</v>
      </c>
      <c r="I21" s="153" t="str">
        <f t="shared" si="0"/>
        <v/>
      </c>
    </row>
    <row r="22" spans="2:9" ht="12.95" customHeight="1">
      <c r="B22" s="14"/>
      <c r="C22" s="15"/>
      <c r="D22" s="15"/>
      <c r="E22" s="16">
        <v>613600</v>
      </c>
      <c r="F22" s="26" t="s">
        <v>213</v>
      </c>
      <c r="G22" s="82">
        <v>0</v>
      </c>
      <c r="H22" s="82">
        <v>0</v>
      </c>
      <c r="I22" s="153" t="str">
        <f t="shared" si="0"/>
        <v/>
      </c>
    </row>
    <row r="23" spans="2:9" ht="12.95" customHeight="1">
      <c r="B23" s="14"/>
      <c r="C23" s="15"/>
      <c r="D23" s="15"/>
      <c r="E23" s="16">
        <v>613700</v>
      </c>
      <c r="F23" s="15" t="s">
        <v>89</v>
      </c>
      <c r="G23" s="82">
        <v>500</v>
      </c>
      <c r="H23" s="82">
        <v>500</v>
      </c>
      <c r="I23" s="153">
        <f t="shared" si="0"/>
        <v>100</v>
      </c>
    </row>
    <row r="24" spans="2:9" ht="12.95" customHeight="1">
      <c r="B24" s="14"/>
      <c r="C24" s="15"/>
      <c r="D24" s="15"/>
      <c r="E24" s="16">
        <v>613800</v>
      </c>
      <c r="F24" s="15" t="s">
        <v>170</v>
      </c>
      <c r="G24" s="82">
        <v>0</v>
      </c>
      <c r="H24" s="82">
        <v>0</v>
      </c>
      <c r="I24" s="153" t="str">
        <f t="shared" si="0"/>
        <v/>
      </c>
    </row>
    <row r="25" spans="2:9" ht="12.95" customHeight="1">
      <c r="B25" s="14"/>
      <c r="C25" s="15"/>
      <c r="D25" s="15"/>
      <c r="E25" s="16">
        <v>613900</v>
      </c>
      <c r="F25" s="15" t="s">
        <v>171</v>
      </c>
      <c r="G25" s="82">
        <v>17300</v>
      </c>
      <c r="H25" s="82">
        <v>17300</v>
      </c>
      <c r="I25" s="153">
        <f t="shared" si="0"/>
        <v>100</v>
      </c>
    </row>
    <row r="26" spans="2:9" ht="12.95" customHeight="1">
      <c r="B26" s="14"/>
      <c r="C26" s="15"/>
      <c r="D26" s="15"/>
      <c r="E26" s="16">
        <v>613900</v>
      </c>
      <c r="F26" s="363" t="s">
        <v>701</v>
      </c>
      <c r="G26" s="82">
        <v>3400</v>
      </c>
      <c r="H26" s="82">
        <v>0</v>
      </c>
      <c r="I26" s="153">
        <f t="shared" si="0"/>
        <v>0</v>
      </c>
    </row>
    <row r="27" spans="2:9" ht="12.95" customHeight="1">
      <c r="B27" s="17"/>
      <c r="C27" s="12"/>
      <c r="D27" s="12"/>
      <c r="E27" s="9"/>
      <c r="F27" s="12"/>
      <c r="G27" s="108"/>
      <c r="H27" s="108"/>
      <c r="I27" s="153" t="str">
        <f t="shared" si="0"/>
        <v/>
      </c>
    </row>
    <row r="28" spans="2:9" s="1" customFormat="1" ht="12.95" customHeight="1">
      <c r="B28" s="14"/>
      <c r="C28" s="15"/>
      <c r="D28" s="30"/>
      <c r="E28" s="16"/>
      <c r="F28" s="29"/>
      <c r="G28" s="82"/>
      <c r="H28" s="82"/>
      <c r="I28" s="153" t="str">
        <f t="shared" si="0"/>
        <v/>
      </c>
    </row>
    <row r="29" spans="2:9" ht="12.95" customHeight="1">
      <c r="B29" s="14"/>
      <c r="C29" s="15"/>
      <c r="D29" s="15"/>
      <c r="E29" s="60"/>
      <c r="F29" s="29"/>
      <c r="G29" s="82"/>
      <c r="H29" s="82"/>
      <c r="I29" s="153" t="str">
        <f t="shared" si="0"/>
        <v/>
      </c>
    </row>
    <row r="30" spans="2:9" ht="12.95" customHeight="1">
      <c r="B30" s="14"/>
      <c r="C30" s="15"/>
      <c r="D30" s="15"/>
      <c r="E30" s="16"/>
      <c r="F30" s="15"/>
      <c r="G30" s="82"/>
      <c r="H30" s="82"/>
      <c r="I30" s="153" t="str">
        <f t="shared" si="0"/>
        <v/>
      </c>
    </row>
    <row r="31" spans="2:9" ht="12.95" customHeight="1">
      <c r="B31" s="14"/>
      <c r="C31" s="15"/>
      <c r="D31" s="15"/>
      <c r="E31" s="16"/>
      <c r="F31" s="15"/>
      <c r="G31" s="82"/>
      <c r="H31" s="82"/>
      <c r="I31" s="153" t="str">
        <f t="shared" si="0"/>
        <v/>
      </c>
    </row>
    <row r="32" spans="2:9" ht="12.95" customHeight="1">
      <c r="B32" s="14"/>
      <c r="C32" s="15"/>
      <c r="D32" s="15"/>
      <c r="E32" s="9"/>
      <c r="F32" s="12"/>
      <c r="G32" s="82"/>
      <c r="H32" s="82"/>
      <c r="I32" s="153" t="str">
        <f t="shared" si="0"/>
        <v/>
      </c>
    </row>
    <row r="33" spans="2:9" ht="12.95" customHeight="1">
      <c r="B33" s="14"/>
      <c r="C33" s="15"/>
      <c r="D33" s="15"/>
      <c r="E33" s="16"/>
      <c r="F33" s="26"/>
      <c r="G33" s="82"/>
      <c r="H33" s="82"/>
      <c r="I33" s="153" t="str">
        <f t="shared" si="0"/>
        <v/>
      </c>
    </row>
    <row r="34" spans="2:9" ht="12.95" customHeight="1">
      <c r="B34" s="14"/>
      <c r="C34" s="15"/>
      <c r="D34" s="15"/>
      <c r="E34" s="16"/>
      <c r="F34" s="15"/>
      <c r="G34" s="82"/>
      <c r="H34" s="82"/>
      <c r="I34" s="153" t="str">
        <f t="shared" si="0"/>
        <v/>
      </c>
    </row>
    <row r="35" spans="2:9" ht="12.95" customHeight="1">
      <c r="B35" s="17"/>
      <c r="C35" s="12"/>
      <c r="D35" s="12"/>
      <c r="E35" s="9">
        <v>821000</v>
      </c>
      <c r="F35" s="12" t="s">
        <v>92</v>
      </c>
      <c r="G35" s="108">
        <f>SUM(G36:G37)</f>
        <v>0</v>
      </c>
      <c r="H35" s="108">
        <f>SUM(H36:H37)</f>
        <v>4000</v>
      </c>
      <c r="I35" s="152" t="str">
        <f t="shared" si="0"/>
        <v/>
      </c>
    </row>
    <row r="36" spans="2:9" s="1" customFormat="1" ht="12.95" customHeight="1">
      <c r="B36" s="14"/>
      <c r="C36" s="15"/>
      <c r="D36" s="15"/>
      <c r="E36" s="16">
        <v>821200</v>
      </c>
      <c r="F36" s="15" t="s">
        <v>93</v>
      </c>
      <c r="G36" s="82">
        <v>0</v>
      </c>
      <c r="H36" s="82">
        <v>4000</v>
      </c>
      <c r="I36" s="153" t="str">
        <f t="shared" si="0"/>
        <v/>
      </c>
    </row>
    <row r="37" spans="2:9" ht="12.95" customHeight="1">
      <c r="B37" s="14"/>
      <c r="C37" s="15"/>
      <c r="D37" s="15"/>
      <c r="E37" s="16">
        <v>821300</v>
      </c>
      <c r="F37" s="15" t="s">
        <v>94</v>
      </c>
      <c r="G37" s="82">
        <v>0</v>
      </c>
      <c r="H37" s="82">
        <v>0</v>
      </c>
      <c r="I37" s="153" t="str">
        <f t="shared" si="0"/>
        <v/>
      </c>
    </row>
    <row r="38" spans="2:9" ht="12.95" customHeight="1">
      <c r="B38" s="14"/>
      <c r="C38" s="15"/>
      <c r="D38" s="15"/>
      <c r="E38" s="16"/>
      <c r="F38" s="26"/>
      <c r="G38" s="82"/>
      <c r="H38" s="82"/>
      <c r="I38" s="153" t="str">
        <f t="shared" si="0"/>
        <v/>
      </c>
    </row>
    <row r="39" spans="2:9" ht="12.95" customHeight="1">
      <c r="B39" s="14"/>
      <c r="C39" s="15"/>
      <c r="D39" s="15"/>
      <c r="E39" s="16"/>
      <c r="F39" s="15"/>
      <c r="G39" s="82"/>
      <c r="H39" s="82"/>
      <c r="I39" s="153" t="str">
        <f t="shared" si="0"/>
        <v/>
      </c>
    </row>
    <row r="40" spans="2:9" ht="12.95" customHeight="1">
      <c r="B40" s="17"/>
      <c r="C40" s="12"/>
      <c r="D40" s="12"/>
      <c r="E40" s="9"/>
      <c r="F40" s="12" t="s">
        <v>95</v>
      </c>
      <c r="G40" s="108">
        <v>4</v>
      </c>
      <c r="H40" s="108">
        <v>4</v>
      </c>
      <c r="I40" s="153"/>
    </row>
    <row r="41" spans="2:9" s="1" customFormat="1" ht="12.95" customHeight="1">
      <c r="B41" s="17"/>
      <c r="C41" s="12"/>
      <c r="D41" s="12"/>
      <c r="E41" s="9"/>
      <c r="F41" s="12" t="s">
        <v>115</v>
      </c>
      <c r="G41" s="20">
        <f>G7+G12+G16+G35</f>
        <v>140060</v>
      </c>
      <c r="H41" s="20">
        <f>H7+H12+H16+H35</f>
        <v>139670</v>
      </c>
      <c r="I41" s="152">
        <f t="shared" si="0"/>
        <v>99.721547908039412</v>
      </c>
    </row>
    <row r="42" spans="2:9" s="1" customFormat="1" ht="12.95" customHeight="1">
      <c r="B42" s="17"/>
      <c r="C42" s="12"/>
      <c r="D42" s="12"/>
      <c r="E42" s="9"/>
      <c r="F42" s="12" t="s">
        <v>96</v>
      </c>
      <c r="G42" s="20">
        <f>G41</f>
        <v>140060</v>
      </c>
      <c r="H42" s="20">
        <f>H41</f>
        <v>139670</v>
      </c>
      <c r="I42" s="152">
        <f t="shared" si="0"/>
        <v>99.721547908039412</v>
      </c>
    </row>
    <row r="43" spans="2:9" s="1" customFormat="1" ht="12.95" customHeight="1">
      <c r="B43" s="17"/>
      <c r="C43" s="12"/>
      <c r="D43" s="12"/>
      <c r="E43" s="9"/>
      <c r="F43" s="12" t="s">
        <v>97</v>
      </c>
      <c r="G43" s="20">
        <f>G42</f>
        <v>140060</v>
      </c>
      <c r="H43" s="20">
        <f>H42</f>
        <v>139670</v>
      </c>
      <c r="I43" s="152">
        <f t="shared" si="0"/>
        <v>99.721547908039412</v>
      </c>
    </row>
    <row r="44" spans="2:9" s="1" customFormat="1" ht="12.95" customHeight="1" thickBot="1">
      <c r="B44" s="21"/>
      <c r="C44" s="22"/>
      <c r="D44" s="22"/>
      <c r="E44" s="23"/>
      <c r="F44" s="22"/>
      <c r="G44" s="48"/>
      <c r="H44" s="45"/>
      <c r="I44" s="156"/>
    </row>
    <row r="45" spans="2:9" ht="12.95" customHeight="1"/>
    <row r="46" spans="2:9">
      <c r="B46" s="81"/>
    </row>
    <row r="47" spans="2:9">
      <c r="B47" s="81"/>
    </row>
    <row r="48" spans="2:9">
      <c r="B48" s="81"/>
    </row>
    <row r="49" spans="2:2">
      <c r="B49" s="81"/>
    </row>
  </sheetData>
  <mergeCells count="2">
    <mergeCell ref="B2:H2"/>
    <mergeCell ref="F3:G3"/>
  </mergeCells>
  <phoneticPr fontId="2" type="noConversion"/>
  <pageMargins left="0.19685039370078741" right="0.19685039370078741" top="0.59055118110236227" bottom="0.59055118110236227" header="0.51181102362204722" footer="0.51181102362204722"/>
  <pageSetup paperSize="9" scale="88" firstPageNumber="10" orientation="portrait" useFirstPageNumber="1" horizontalDpi="180" verticalDpi="180" r:id="rId1"/>
  <headerFooter alignWithMargins="0">
    <oddFooter>&amp;R39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>
  <sheetPr codeName="Sheet38"/>
  <dimension ref="B2:K54"/>
  <sheetViews>
    <sheetView workbookViewId="0">
      <selection activeCell="G7" sqref="G7:G39"/>
    </sheetView>
  </sheetViews>
  <sheetFormatPr defaultRowHeight="12.75"/>
  <cols>
    <col min="1" max="1" width="1.5703125" style="13" customWidth="1"/>
    <col min="2" max="4" width="5.7109375" style="13" bestFit="1" customWidth="1"/>
    <col min="5" max="5" width="10.85546875" style="24" customWidth="1"/>
    <col min="6" max="6" width="43.7109375" style="13" customWidth="1"/>
    <col min="7" max="8" width="15.7109375" style="13" customWidth="1"/>
    <col min="9" max="9" width="8.7109375" style="140" customWidth="1"/>
    <col min="10" max="16384" width="9.140625" style="13"/>
  </cols>
  <sheetData>
    <row r="2" spans="2:11" s="112" customFormat="1" ht="15" customHeight="1">
      <c r="B2" s="450" t="s">
        <v>156</v>
      </c>
      <c r="C2" s="450"/>
      <c r="D2" s="450"/>
      <c r="E2" s="450"/>
      <c r="F2" s="450"/>
      <c r="G2" s="450"/>
      <c r="H2" s="450"/>
      <c r="I2" s="147"/>
    </row>
    <row r="3" spans="2:11" s="1" customFormat="1" ht="16.5" thickBot="1">
      <c r="E3" s="2"/>
      <c r="F3" s="449"/>
      <c r="G3" s="449"/>
      <c r="H3" s="181"/>
      <c r="I3" s="182"/>
    </row>
    <row r="4" spans="2:11" s="1" customFormat="1" ht="76.5" customHeight="1">
      <c r="B4" s="3" t="s">
        <v>79</v>
      </c>
      <c r="C4" s="4" t="s">
        <v>80</v>
      </c>
      <c r="D4" s="5" t="s">
        <v>112</v>
      </c>
      <c r="E4" s="6" t="s">
        <v>81</v>
      </c>
      <c r="F4" s="7" t="s">
        <v>82</v>
      </c>
      <c r="G4" s="316" t="s">
        <v>557</v>
      </c>
      <c r="H4" s="316" t="s">
        <v>683</v>
      </c>
      <c r="I4" s="149" t="s">
        <v>497</v>
      </c>
    </row>
    <row r="5" spans="2:11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34">
        <v>6</v>
      </c>
      <c r="H5" s="9">
        <v>7</v>
      </c>
      <c r="I5" s="150">
        <v>8</v>
      </c>
    </row>
    <row r="6" spans="2:11" s="2" customFormat="1" ht="12.95" customHeight="1">
      <c r="B6" s="10" t="s">
        <v>157</v>
      </c>
      <c r="C6" s="11" t="s">
        <v>83</v>
      </c>
      <c r="D6" s="11" t="s">
        <v>84</v>
      </c>
      <c r="E6" s="9"/>
      <c r="F6" s="9"/>
      <c r="G6" s="34"/>
      <c r="H6" s="9"/>
      <c r="I6" s="151"/>
    </row>
    <row r="7" spans="2:11" s="1" customFormat="1" ht="12.95" customHeight="1">
      <c r="B7" s="17"/>
      <c r="C7" s="12"/>
      <c r="D7" s="12"/>
      <c r="E7" s="9">
        <v>611000</v>
      </c>
      <c r="F7" s="12" t="s">
        <v>167</v>
      </c>
      <c r="G7" s="20">
        <f>SUM(G8:G11)</f>
        <v>190000</v>
      </c>
      <c r="H7" s="392">
        <f>SUM(H8:H11)</f>
        <v>201890</v>
      </c>
      <c r="I7" s="152">
        <f t="shared" ref="I7:I42" si="0">IF(G7=0,"",H7/G7*100)</f>
        <v>106.2578947368421</v>
      </c>
    </row>
    <row r="8" spans="2:11" ht="12.95" customHeight="1">
      <c r="B8" s="14"/>
      <c r="C8" s="15"/>
      <c r="D8" s="15"/>
      <c r="E8" s="16">
        <v>611100</v>
      </c>
      <c r="F8" s="26" t="s">
        <v>210</v>
      </c>
      <c r="G8" s="82">
        <f>142100</f>
        <v>142100</v>
      </c>
      <c r="H8" s="391">
        <f>142100+11300+7070+570</f>
        <v>161040</v>
      </c>
      <c r="I8" s="153">
        <f t="shared" si="0"/>
        <v>113.3286418015482</v>
      </c>
    </row>
    <row r="9" spans="2:11" ht="12.95" customHeight="1">
      <c r="B9" s="14"/>
      <c r="C9" s="15"/>
      <c r="D9" s="15"/>
      <c r="E9" s="16">
        <v>611200</v>
      </c>
      <c r="F9" s="15" t="s">
        <v>211</v>
      </c>
      <c r="G9" s="82">
        <f>39200+10*240</f>
        <v>41600</v>
      </c>
      <c r="H9" s="391">
        <f>37400+3450</f>
        <v>40850</v>
      </c>
      <c r="I9" s="153">
        <f t="shared" si="0"/>
        <v>98.197115384615387</v>
      </c>
    </row>
    <row r="10" spans="2:11" ht="12.95" customHeight="1">
      <c r="B10" s="14"/>
      <c r="C10" s="15"/>
      <c r="D10" s="15"/>
      <c r="E10" s="16">
        <v>611200</v>
      </c>
      <c r="F10" s="363" t="s">
        <v>699</v>
      </c>
      <c r="G10" s="82">
        <v>6300</v>
      </c>
      <c r="H10" s="391">
        <v>0</v>
      </c>
      <c r="I10" s="153">
        <f t="shared" si="0"/>
        <v>0</v>
      </c>
      <c r="K10" s="89"/>
    </row>
    <row r="11" spans="2:11" ht="12.95" customHeight="1">
      <c r="B11" s="14"/>
      <c r="C11" s="15"/>
      <c r="D11" s="15"/>
      <c r="E11" s="16"/>
      <c r="F11" s="26"/>
      <c r="G11" s="43"/>
      <c r="H11" s="391"/>
      <c r="I11" s="153" t="str">
        <f t="shared" si="0"/>
        <v/>
      </c>
    </row>
    <row r="12" spans="2:11" ht="12.95" customHeight="1">
      <c r="B12" s="14"/>
      <c r="C12" s="15"/>
      <c r="D12" s="15"/>
      <c r="E12" s="16"/>
      <c r="F12" s="15"/>
      <c r="G12" s="20"/>
      <c r="H12" s="392"/>
      <c r="I12" s="153" t="str">
        <f t="shared" si="0"/>
        <v/>
      </c>
    </row>
    <row r="13" spans="2:11" s="1" customFormat="1" ht="12.95" customHeight="1">
      <c r="B13" s="17"/>
      <c r="C13" s="12"/>
      <c r="D13" s="12"/>
      <c r="E13" s="9">
        <v>612000</v>
      </c>
      <c r="F13" s="12" t="s">
        <v>166</v>
      </c>
      <c r="G13" s="20">
        <f>G14</f>
        <v>15800</v>
      </c>
      <c r="H13" s="392">
        <f>H14</f>
        <v>17890</v>
      </c>
      <c r="I13" s="152">
        <f t="shared" si="0"/>
        <v>113.22784810126582</v>
      </c>
    </row>
    <row r="14" spans="2:11" ht="12.95" customHeight="1">
      <c r="B14" s="14"/>
      <c r="C14" s="15"/>
      <c r="D14" s="15"/>
      <c r="E14" s="16">
        <v>612100</v>
      </c>
      <c r="F14" s="18" t="s">
        <v>85</v>
      </c>
      <c r="G14" s="43">
        <v>15800</v>
      </c>
      <c r="H14" s="391">
        <f>15800+1260+760+70</f>
        <v>17890</v>
      </c>
      <c r="I14" s="153">
        <f t="shared" si="0"/>
        <v>113.22784810126582</v>
      </c>
    </row>
    <row r="15" spans="2:11" ht="12.95" customHeight="1">
      <c r="B15" s="14"/>
      <c r="C15" s="15"/>
      <c r="D15" s="15"/>
      <c r="E15" s="16"/>
      <c r="F15" s="15"/>
      <c r="G15" s="43"/>
      <c r="H15" s="43"/>
      <c r="I15" s="153" t="str">
        <f t="shared" si="0"/>
        <v/>
      </c>
    </row>
    <row r="16" spans="2:11" ht="12.95" customHeight="1">
      <c r="B16" s="14"/>
      <c r="C16" s="15"/>
      <c r="D16" s="15"/>
      <c r="E16" s="16"/>
      <c r="F16" s="15"/>
      <c r="G16" s="49"/>
      <c r="H16" s="49"/>
      <c r="I16" s="153" t="str">
        <f t="shared" si="0"/>
        <v/>
      </c>
    </row>
    <row r="17" spans="2:10" s="1" customFormat="1" ht="12.95" customHeight="1">
      <c r="B17" s="17"/>
      <c r="C17" s="12"/>
      <c r="D17" s="12"/>
      <c r="E17" s="9">
        <v>613000</v>
      </c>
      <c r="F17" s="12" t="s">
        <v>168</v>
      </c>
      <c r="G17" s="49">
        <f>SUM(G18:G27)</f>
        <v>89000</v>
      </c>
      <c r="H17" s="49">
        <f>SUM(H18:H27)</f>
        <v>53100</v>
      </c>
      <c r="I17" s="152">
        <f t="shared" si="0"/>
        <v>59.662921348314605</v>
      </c>
    </row>
    <row r="18" spans="2:10" ht="12.95" customHeight="1">
      <c r="B18" s="14"/>
      <c r="C18" s="15"/>
      <c r="D18" s="15"/>
      <c r="E18" s="16">
        <v>613100</v>
      </c>
      <c r="F18" s="15" t="s">
        <v>86</v>
      </c>
      <c r="G18" s="43">
        <v>1400</v>
      </c>
      <c r="H18" s="43">
        <v>1500</v>
      </c>
      <c r="I18" s="153">
        <f t="shared" si="0"/>
        <v>107.14285714285714</v>
      </c>
    </row>
    <row r="19" spans="2:10" ht="12.95" customHeight="1">
      <c r="B19" s="14"/>
      <c r="C19" s="15"/>
      <c r="D19" s="15"/>
      <c r="E19" s="16">
        <v>613200</v>
      </c>
      <c r="F19" s="15" t="s">
        <v>87</v>
      </c>
      <c r="G19" s="43">
        <v>8000</v>
      </c>
      <c r="H19" s="43">
        <v>8000</v>
      </c>
      <c r="I19" s="153">
        <f t="shared" si="0"/>
        <v>100</v>
      </c>
    </row>
    <row r="20" spans="2:10" ht="12.95" customHeight="1">
      <c r="B20" s="14"/>
      <c r="C20" s="15"/>
      <c r="D20" s="15"/>
      <c r="E20" s="16">
        <v>613300</v>
      </c>
      <c r="F20" s="26" t="s">
        <v>212</v>
      </c>
      <c r="G20" s="82">
        <v>3400</v>
      </c>
      <c r="H20" s="82">
        <v>3500</v>
      </c>
      <c r="I20" s="153">
        <f t="shared" si="0"/>
        <v>102.94117647058823</v>
      </c>
    </row>
    <row r="21" spans="2:10" ht="12.95" customHeight="1">
      <c r="B21" s="14"/>
      <c r="C21" s="15"/>
      <c r="D21" s="15"/>
      <c r="E21" s="16">
        <v>613400</v>
      </c>
      <c r="F21" s="15" t="s">
        <v>169</v>
      </c>
      <c r="G21" s="82">
        <v>1800</v>
      </c>
      <c r="H21" s="82">
        <v>1200</v>
      </c>
      <c r="I21" s="153">
        <f t="shared" si="0"/>
        <v>66.666666666666657</v>
      </c>
    </row>
    <row r="22" spans="2:10" ht="12.95" customHeight="1">
      <c r="B22" s="14"/>
      <c r="C22" s="15"/>
      <c r="D22" s="15"/>
      <c r="E22" s="16">
        <v>613500</v>
      </c>
      <c r="F22" s="15" t="s">
        <v>88</v>
      </c>
      <c r="G22" s="82">
        <v>900</v>
      </c>
      <c r="H22" s="82">
        <v>1000</v>
      </c>
      <c r="I22" s="153">
        <f t="shared" si="0"/>
        <v>111.11111111111111</v>
      </c>
    </row>
    <row r="23" spans="2:10" ht="12.95" customHeight="1">
      <c r="B23" s="14"/>
      <c r="C23" s="15"/>
      <c r="D23" s="15"/>
      <c r="E23" s="16">
        <v>613600</v>
      </c>
      <c r="F23" s="26" t="s">
        <v>213</v>
      </c>
      <c r="G23" s="82">
        <v>0</v>
      </c>
      <c r="H23" s="82">
        <v>0</v>
      </c>
      <c r="I23" s="153" t="str">
        <f t="shared" si="0"/>
        <v/>
      </c>
    </row>
    <row r="24" spans="2:10" ht="12.95" customHeight="1">
      <c r="B24" s="14"/>
      <c r="C24" s="15"/>
      <c r="D24" s="15"/>
      <c r="E24" s="16">
        <v>613700</v>
      </c>
      <c r="F24" s="15" t="s">
        <v>89</v>
      </c>
      <c r="G24" s="82">
        <v>2500</v>
      </c>
      <c r="H24" s="82">
        <v>2500</v>
      </c>
      <c r="I24" s="153">
        <f t="shared" si="0"/>
        <v>100</v>
      </c>
    </row>
    <row r="25" spans="2:10" ht="12.95" customHeight="1">
      <c r="B25" s="14"/>
      <c r="C25" s="15"/>
      <c r="D25" s="15"/>
      <c r="E25" s="16">
        <v>613800</v>
      </c>
      <c r="F25" s="15" t="s">
        <v>170</v>
      </c>
      <c r="G25" s="82">
        <v>400</v>
      </c>
      <c r="H25" s="82">
        <v>400</v>
      </c>
      <c r="I25" s="153">
        <f t="shared" si="0"/>
        <v>100</v>
      </c>
    </row>
    <row r="26" spans="2:10" ht="12.95" customHeight="1">
      <c r="B26" s="14"/>
      <c r="C26" s="15"/>
      <c r="D26" s="15"/>
      <c r="E26" s="16">
        <v>613900</v>
      </c>
      <c r="F26" s="15" t="s">
        <v>171</v>
      </c>
      <c r="G26" s="82">
        <f>44300+20000</f>
        <v>64300</v>
      </c>
      <c r="H26" s="82">
        <v>35000</v>
      </c>
      <c r="I26" s="153">
        <f t="shared" si="0"/>
        <v>54.432348367029547</v>
      </c>
      <c r="J26" s="81"/>
    </row>
    <row r="27" spans="2:10" ht="12.95" customHeight="1">
      <c r="B27" s="14"/>
      <c r="C27" s="15"/>
      <c r="D27" s="15"/>
      <c r="E27" s="16">
        <v>613900</v>
      </c>
      <c r="F27" s="363" t="s">
        <v>701</v>
      </c>
      <c r="G27" s="82">
        <v>6300</v>
      </c>
      <c r="H27" s="82">
        <v>0</v>
      </c>
      <c r="I27" s="153">
        <f t="shared" si="0"/>
        <v>0</v>
      </c>
    </row>
    <row r="28" spans="2:10" ht="12.95" customHeight="1">
      <c r="B28" s="14"/>
      <c r="C28" s="15"/>
      <c r="D28" s="15"/>
      <c r="E28" s="16"/>
      <c r="F28" s="15"/>
      <c r="G28" s="108"/>
      <c r="H28" s="108"/>
      <c r="I28" s="153" t="str">
        <f t="shared" si="0"/>
        <v/>
      </c>
    </row>
    <row r="29" spans="2:10" s="1" customFormat="1" ht="12.95" customHeight="1">
      <c r="B29" s="17"/>
      <c r="C29" s="12"/>
      <c r="D29" s="12"/>
      <c r="E29" s="9">
        <v>614000</v>
      </c>
      <c r="F29" s="12" t="s">
        <v>214</v>
      </c>
      <c r="G29" s="108">
        <f>G30</f>
        <v>40000</v>
      </c>
      <c r="H29" s="108">
        <f>H30</f>
        <v>30000</v>
      </c>
      <c r="I29" s="152">
        <f t="shared" si="0"/>
        <v>75</v>
      </c>
    </row>
    <row r="30" spans="2:10" ht="12.95" customHeight="1">
      <c r="B30" s="14"/>
      <c r="C30" s="15"/>
      <c r="D30" s="15"/>
      <c r="E30" s="16">
        <v>614200</v>
      </c>
      <c r="F30" s="26" t="s">
        <v>118</v>
      </c>
      <c r="G30" s="82">
        <f>40000</f>
        <v>40000</v>
      </c>
      <c r="H30" s="82">
        <v>30000</v>
      </c>
      <c r="I30" s="153">
        <f t="shared" si="0"/>
        <v>75</v>
      </c>
    </row>
    <row r="31" spans="2:10" ht="12.95" customHeight="1">
      <c r="B31" s="14"/>
      <c r="C31" s="15"/>
      <c r="D31" s="15"/>
      <c r="E31" s="9"/>
      <c r="F31" s="12"/>
      <c r="G31" s="82"/>
      <c r="H31" s="82"/>
      <c r="I31" s="153" t="str">
        <f t="shared" si="0"/>
        <v/>
      </c>
    </row>
    <row r="32" spans="2:10" ht="12.95" customHeight="1">
      <c r="B32" s="14"/>
      <c r="C32" s="15"/>
      <c r="D32" s="15"/>
      <c r="E32" s="16"/>
      <c r="F32" s="26"/>
      <c r="G32" s="82"/>
      <c r="H32" s="82"/>
      <c r="I32" s="153" t="str">
        <f t="shared" si="0"/>
        <v/>
      </c>
    </row>
    <row r="33" spans="2:9" ht="12.95" customHeight="1">
      <c r="B33" s="14"/>
      <c r="C33" s="15"/>
      <c r="D33" s="15"/>
      <c r="E33" s="16"/>
      <c r="F33" s="15"/>
      <c r="G33" s="82"/>
      <c r="H33" s="82"/>
      <c r="I33" s="153" t="str">
        <f t="shared" si="0"/>
        <v/>
      </c>
    </row>
    <row r="34" spans="2:9" ht="12.95" customHeight="1">
      <c r="B34" s="17"/>
      <c r="C34" s="12"/>
      <c r="D34" s="12"/>
      <c r="E34" s="9">
        <v>821000</v>
      </c>
      <c r="F34" s="12" t="s">
        <v>92</v>
      </c>
      <c r="G34" s="108">
        <f>SUM(G35:G37)</f>
        <v>3000</v>
      </c>
      <c r="H34" s="108">
        <f>SUM(H35:H37)</f>
        <v>2000</v>
      </c>
      <c r="I34" s="152">
        <f t="shared" si="0"/>
        <v>66.666666666666657</v>
      </c>
    </row>
    <row r="35" spans="2:9" ht="12.95" customHeight="1">
      <c r="B35" s="14"/>
      <c r="C35" s="15"/>
      <c r="D35" s="15"/>
      <c r="E35" s="16">
        <v>821200</v>
      </c>
      <c r="F35" s="15" t="s">
        <v>93</v>
      </c>
      <c r="G35" s="117">
        <v>0</v>
      </c>
      <c r="H35" s="117">
        <v>0</v>
      </c>
      <c r="I35" s="153" t="str">
        <f t="shared" si="0"/>
        <v/>
      </c>
    </row>
    <row r="36" spans="2:9" s="1" customFormat="1" ht="12.95" customHeight="1">
      <c r="B36" s="14"/>
      <c r="C36" s="15"/>
      <c r="D36" s="15"/>
      <c r="E36" s="16">
        <v>821300</v>
      </c>
      <c r="F36" s="15" t="s">
        <v>94</v>
      </c>
      <c r="G36" s="82">
        <v>3000</v>
      </c>
      <c r="H36" s="82">
        <v>2000</v>
      </c>
      <c r="I36" s="153">
        <f t="shared" si="0"/>
        <v>66.666666666666657</v>
      </c>
    </row>
    <row r="37" spans="2:9" ht="12.95" customHeight="1">
      <c r="B37" s="14"/>
      <c r="C37" s="15"/>
      <c r="D37" s="15"/>
      <c r="E37" s="16"/>
      <c r="F37" s="26"/>
      <c r="G37" s="82"/>
      <c r="H37" s="82"/>
      <c r="I37" s="153" t="str">
        <f t="shared" si="0"/>
        <v/>
      </c>
    </row>
    <row r="38" spans="2:9" ht="12.95" customHeight="1">
      <c r="B38" s="14"/>
      <c r="C38" s="15"/>
      <c r="D38" s="15"/>
      <c r="E38" s="16"/>
      <c r="F38" s="15"/>
      <c r="G38" s="43"/>
      <c r="H38" s="43"/>
      <c r="I38" s="153" t="str">
        <f t="shared" si="0"/>
        <v/>
      </c>
    </row>
    <row r="39" spans="2:9" ht="12.95" customHeight="1">
      <c r="B39" s="17"/>
      <c r="C39" s="12"/>
      <c r="D39" s="12"/>
      <c r="E39" s="9"/>
      <c r="F39" s="12" t="s">
        <v>95</v>
      </c>
      <c r="G39" s="20">
        <v>10</v>
      </c>
      <c r="H39" s="20">
        <v>11</v>
      </c>
      <c r="I39" s="153"/>
    </row>
    <row r="40" spans="2:9" ht="12.95" customHeight="1">
      <c r="B40" s="17"/>
      <c r="C40" s="12"/>
      <c r="D40" s="12"/>
      <c r="E40" s="9"/>
      <c r="F40" s="12" t="s">
        <v>115</v>
      </c>
      <c r="G40" s="20">
        <f>G7+G13+G17+G29+G34</f>
        <v>337800</v>
      </c>
      <c r="H40" s="20">
        <f>H7+H13+H17+H29+H34</f>
        <v>304880</v>
      </c>
      <c r="I40" s="152">
        <f t="shared" si="0"/>
        <v>90.254588513913561</v>
      </c>
    </row>
    <row r="41" spans="2:9" s="1" customFormat="1" ht="12.95" customHeight="1">
      <c r="B41" s="17"/>
      <c r="C41" s="12"/>
      <c r="D41" s="12"/>
      <c r="E41" s="9"/>
      <c r="F41" s="12" t="s">
        <v>96</v>
      </c>
      <c r="G41" s="20">
        <f>G40</f>
        <v>337800</v>
      </c>
      <c r="H41" s="20">
        <f>H40</f>
        <v>304880</v>
      </c>
      <c r="I41" s="152">
        <f t="shared" si="0"/>
        <v>90.254588513913561</v>
      </c>
    </row>
    <row r="42" spans="2:9" s="1" customFormat="1" ht="12.95" customHeight="1">
      <c r="B42" s="17"/>
      <c r="C42" s="12"/>
      <c r="D42" s="12"/>
      <c r="E42" s="9"/>
      <c r="F42" s="12" t="s">
        <v>97</v>
      </c>
      <c r="G42" s="20">
        <f>G41</f>
        <v>337800</v>
      </c>
      <c r="H42" s="20">
        <f>H41</f>
        <v>304880</v>
      </c>
      <c r="I42" s="152">
        <f t="shared" si="0"/>
        <v>90.254588513913561</v>
      </c>
    </row>
    <row r="43" spans="2:9" s="1" customFormat="1" ht="12.95" customHeight="1" thickBot="1">
      <c r="B43" s="21"/>
      <c r="C43" s="22"/>
      <c r="D43" s="22"/>
      <c r="E43" s="23"/>
      <c r="F43" s="22"/>
      <c r="G43" s="48"/>
      <c r="H43" s="172"/>
      <c r="I43" s="171"/>
    </row>
    <row r="44" spans="2:9" s="1" customFormat="1" ht="12.95" customHeight="1">
      <c r="B44" s="13"/>
      <c r="C44" s="13"/>
      <c r="D44" s="13"/>
      <c r="E44" s="24"/>
      <c r="F44" s="13"/>
      <c r="G44" s="79"/>
      <c r="H44" s="88"/>
      <c r="I44" s="148"/>
    </row>
    <row r="45" spans="2:9" ht="12.95" customHeight="1">
      <c r="B45" s="81"/>
      <c r="G45" s="79"/>
    </row>
    <row r="46" spans="2:9">
      <c r="B46" s="81"/>
    </row>
    <row r="47" spans="2:9">
      <c r="B47" s="81"/>
    </row>
    <row r="48" spans="2:9">
      <c r="B48" s="81"/>
    </row>
    <row r="49" spans="2:2">
      <c r="B49" s="81"/>
    </row>
    <row r="50" spans="2:2">
      <c r="B50" s="81"/>
    </row>
    <row r="51" spans="2:2">
      <c r="B51" s="81"/>
    </row>
    <row r="52" spans="2:2">
      <c r="B52" s="81"/>
    </row>
    <row r="53" spans="2:2">
      <c r="B53" s="81"/>
    </row>
    <row r="54" spans="2:2">
      <c r="B54" s="81"/>
    </row>
  </sheetData>
  <mergeCells count="2">
    <mergeCell ref="B2:H2"/>
    <mergeCell ref="F3:G3"/>
  </mergeCells>
  <phoneticPr fontId="2" type="noConversion"/>
  <pageMargins left="0.19685039370078741" right="0.19685039370078741" top="0.59055118110236227" bottom="0.59055118110236227" header="0.51181102362204722" footer="0.51181102362204722"/>
  <pageSetup paperSize="9" scale="88" firstPageNumber="10" orientation="portrait" useFirstPageNumber="1" horizontalDpi="180" verticalDpi="180" r:id="rId1"/>
  <headerFooter alignWithMargins="0">
    <oddFooter>&amp;R40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>
  <sheetPr codeName="Sheet39"/>
  <dimension ref="B2:K52"/>
  <sheetViews>
    <sheetView topLeftCell="A10" workbookViewId="0">
      <selection activeCell="G7" sqref="G7:G41"/>
    </sheetView>
  </sheetViews>
  <sheetFormatPr defaultRowHeight="12.75"/>
  <cols>
    <col min="1" max="1" width="1.5703125" style="13" customWidth="1"/>
    <col min="2" max="4" width="5.7109375" style="13" bestFit="1" customWidth="1"/>
    <col min="5" max="5" width="11" style="24" customWidth="1"/>
    <col min="6" max="6" width="43.7109375" style="13" customWidth="1"/>
    <col min="7" max="7" width="15.7109375" style="13" customWidth="1"/>
    <col min="8" max="8" width="15.7109375" style="90" customWidth="1"/>
    <col min="9" max="9" width="8.7109375" style="140" customWidth="1"/>
    <col min="10" max="16384" width="9.140625" style="13"/>
  </cols>
  <sheetData>
    <row r="2" spans="2:11" s="112" customFormat="1" ht="15" customHeight="1">
      <c r="B2" s="450" t="s">
        <v>158</v>
      </c>
      <c r="C2" s="450"/>
      <c r="D2" s="450"/>
      <c r="E2" s="450"/>
      <c r="F2" s="450"/>
      <c r="G2" s="450"/>
      <c r="H2" s="288"/>
      <c r="I2" s="289"/>
    </row>
    <row r="3" spans="2:11" s="1" customFormat="1" ht="16.5" thickBot="1">
      <c r="E3" s="2"/>
      <c r="F3" s="449"/>
      <c r="G3" s="449"/>
      <c r="H3" s="181"/>
      <c r="I3" s="182"/>
    </row>
    <row r="4" spans="2:11" s="1" customFormat="1" ht="76.5" customHeight="1">
      <c r="B4" s="3" t="s">
        <v>79</v>
      </c>
      <c r="C4" s="4" t="s">
        <v>80</v>
      </c>
      <c r="D4" s="5" t="s">
        <v>112</v>
      </c>
      <c r="E4" s="6" t="s">
        <v>81</v>
      </c>
      <c r="F4" s="7" t="s">
        <v>82</v>
      </c>
      <c r="G4" s="316" t="s">
        <v>557</v>
      </c>
      <c r="H4" s="316" t="s">
        <v>683</v>
      </c>
      <c r="I4" s="149" t="s">
        <v>497</v>
      </c>
    </row>
    <row r="5" spans="2:11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34">
        <v>6</v>
      </c>
      <c r="H5" s="9">
        <v>7</v>
      </c>
      <c r="I5" s="150">
        <v>8</v>
      </c>
    </row>
    <row r="6" spans="2:11" s="2" customFormat="1" ht="12.95" customHeight="1">
      <c r="B6" s="10" t="s">
        <v>159</v>
      </c>
      <c r="C6" s="11" t="s">
        <v>83</v>
      </c>
      <c r="D6" s="11" t="s">
        <v>84</v>
      </c>
      <c r="E6" s="9"/>
      <c r="F6" s="9"/>
      <c r="G6" s="34"/>
      <c r="H6" s="165"/>
      <c r="I6" s="151"/>
    </row>
    <row r="7" spans="2:11" s="1" customFormat="1" ht="12.95" customHeight="1">
      <c r="B7" s="17"/>
      <c r="C7" s="12"/>
      <c r="D7" s="12"/>
      <c r="E7" s="9">
        <v>611000</v>
      </c>
      <c r="F7" s="12" t="s">
        <v>167</v>
      </c>
      <c r="G7" s="20">
        <f>SUM(G8:G11)</f>
        <v>479350</v>
      </c>
      <c r="H7" s="392">
        <f>SUM(H8:H11)</f>
        <v>509050</v>
      </c>
      <c r="I7" s="152">
        <f t="shared" ref="I7:I44" si="0">IF(G7=0,"",H7/G7*100)</f>
        <v>106.19589026807135</v>
      </c>
    </row>
    <row r="8" spans="2:11" ht="12.95" customHeight="1">
      <c r="B8" s="14"/>
      <c r="C8" s="15"/>
      <c r="D8" s="15"/>
      <c r="E8" s="16">
        <v>611100</v>
      </c>
      <c r="F8" s="26" t="s">
        <v>210</v>
      </c>
      <c r="G8" s="44">
        <f>391200+2600</f>
        <v>393800</v>
      </c>
      <c r="H8" s="394">
        <f>421700+7450</f>
        <v>429150</v>
      </c>
      <c r="I8" s="153">
        <f t="shared" si="0"/>
        <v>108.97663788725241</v>
      </c>
    </row>
    <row r="9" spans="2:11" ht="12.95" customHeight="1">
      <c r="B9" s="14"/>
      <c r="C9" s="15"/>
      <c r="D9" s="15"/>
      <c r="E9" s="16">
        <v>611200</v>
      </c>
      <c r="F9" s="15" t="s">
        <v>211</v>
      </c>
      <c r="G9" s="44">
        <f>69900+2500+800+16*240</f>
        <v>77040</v>
      </c>
      <c r="H9" s="394">
        <f>74000+5900</f>
        <v>79900</v>
      </c>
      <c r="I9" s="153">
        <f t="shared" si="0"/>
        <v>103.71235721703012</v>
      </c>
    </row>
    <row r="10" spans="2:11" ht="12.95" customHeight="1">
      <c r="B10" s="14"/>
      <c r="C10" s="15"/>
      <c r="D10" s="15"/>
      <c r="E10" s="16">
        <v>611200</v>
      </c>
      <c r="F10" s="363" t="s">
        <v>699</v>
      </c>
      <c r="G10" s="82">
        <v>8510</v>
      </c>
      <c r="H10" s="391">
        <v>0</v>
      </c>
      <c r="I10" s="153">
        <f t="shared" si="0"/>
        <v>0</v>
      </c>
      <c r="K10" s="89"/>
    </row>
    <row r="11" spans="2:11" ht="12.95" customHeight="1">
      <c r="B11" s="14"/>
      <c r="C11" s="15"/>
      <c r="D11" s="15"/>
      <c r="E11" s="16"/>
      <c r="F11" s="26"/>
      <c r="G11" s="44"/>
      <c r="H11" s="394"/>
      <c r="I11" s="153" t="str">
        <f t="shared" si="0"/>
        <v/>
      </c>
    </row>
    <row r="12" spans="2:11" ht="12.95" customHeight="1">
      <c r="B12" s="14"/>
      <c r="C12" s="15"/>
      <c r="D12" s="15"/>
      <c r="E12" s="16"/>
      <c r="F12" s="15"/>
      <c r="G12" s="20"/>
      <c r="H12" s="392"/>
      <c r="I12" s="153" t="str">
        <f t="shared" si="0"/>
        <v/>
      </c>
    </row>
    <row r="13" spans="2:11" s="1" customFormat="1" ht="12.95" customHeight="1">
      <c r="B13" s="17"/>
      <c r="C13" s="12"/>
      <c r="D13" s="12"/>
      <c r="E13" s="9">
        <v>612000</v>
      </c>
      <c r="F13" s="12" t="s">
        <v>166</v>
      </c>
      <c r="G13" s="20">
        <f>G14</f>
        <v>42200</v>
      </c>
      <c r="H13" s="392">
        <f>H14</f>
        <v>46620</v>
      </c>
      <c r="I13" s="152">
        <f t="shared" si="0"/>
        <v>110.47393364928911</v>
      </c>
    </row>
    <row r="14" spans="2:11" ht="12.95" customHeight="1">
      <c r="B14" s="14"/>
      <c r="C14" s="15"/>
      <c r="D14" s="15"/>
      <c r="E14" s="16">
        <v>612100</v>
      </c>
      <c r="F14" s="18" t="s">
        <v>85</v>
      </c>
      <c r="G14" s="44">
        <f>41900+300</f>
        <v>42200</v>
      </c>
      <c r="H14" s="394">
        <f>45800+820</f>
        <v>46620</v>
      </c>
      <c r="I14" s="153">
        <f t="shared" si="0"/>
        <v>110.47393364928911</v>
      </c>
    </row>
    <row r="15" spans="2:11" ht="12.95" customHeight="1">
      <c r="B15" s="14"/>
      <c r="C15" s="15"/>
      <c r="D15" s="15"/>
      <c r="E15" s="16"/>
      <c r="F15" s="15"/>
      <c r="G15" s="44"/>
      <c r="H15" s="44"/>
      <c r="I15" s="153" t="str">
        <f t="shared" si="0"/>
        <v/>
      </c>
    </row>
    <row r="16" spans="2:11" ht="12.95" customHeight="1">
      <c r="B16" s="14"/>
      <c r="C16" s="15"/>
      <c r="D16" s="15"/>
      <c r="E16" s="16"/>
      <c r="F16" s="15"/>
      <c r="G16" s="20"/>
      <c r="H16" s="20"/>
      <c r="I16" s="153" t="str">
        <f t="shared" si="0"/>
        <v/>
      </c>
    </row>
    <row r="17" spans="2:10" s="1" customFormat="1" ht="12.95" customHeight="1">
      <c r="B17" s="17"/>
      <c r="C17" s="12"/>
      <c r="D17" s="12"/>
      <c r="E17" s="9">
        <v>613000</v>
      </c>
      <c r="F17" s="12" t="s">
        <v>168</v>
      </c>
      <c r="G17" s="49">
        <f>SUM(G18:G27)</f>
        <v>122710</v>
      </c>
      <c r="H17" s="49">
        <f>SUM(H18:H27)</f>
        <v>124000</v>
      </c>
      <c r="I17" s="152">
        <f t="shared" si="0"/>
        <v>101.05125906609078</v>
      </c>
    </row>
    <row r="18" spans="2:10" ht="12.95" customHeight="1">
      <c r="B18" s="14"/>
      <c r="C18" s="15"/>
      <c r="D18" s="15"/>
      <c r="E18" s="16">
        <v>613100</v>
      </c>
      <c r="F18" s="15" t="s">
        <v>86</v>
      </c>
      <c r="G18" s="44">
        <v>4000</v>
      </c>
      <c r="H18" s="44">
        <v>4000</v>
      </c>
      <c r="I18" s="153">
        <f t="shared" si="0"/>
        <v>100</v>
      </c>
    </row>
    <row r="19" spans="2:10" ht="12.95" customHeight="1">
      <c r="B19" s="14"/>
      <c r="C19" s="15"/>
      <c r="D19" s="15"/>
      <c r="E19" s="16">
        <v>613200</v>
      </c>
      <c r="F19" s="15" t="s">
        <v>87</v>
      </c>
      <c r="G19" s="44">
        <v>26000</v>
      </c>
      <c r="H19" s="44">
        <v>31000</v>
      </c>
      <c r="I19" s="153">
        <f t="shared" si="0"/>
        <v>119.23076923076923</v>
      </c>
    </row>
    <row r="20" spans="2:10" ht="12.95" customHeight="1">
      <c r="B20" s="14"/>
      <c r="C20" s="15"/>
      <c r="D20" s="15"/>
      <c r="E20" s="16">
        <v>613300</v>
      </c>
      <c r="F20" s="26" t="s">
        <v>212</v>
      </c>
      <c r="G20" s="44">
        <v>17000</v>
      </c>
      <c r="H20" s="44">
        <v>17000</v>
      </c>
      <c r="I20" s="153">
        <f t="shared" si="0"/>
        <v>100</v>
      </c>
    </row>
    <row r="21" spans="2:10" ht="12.95" customHeight="1">
      <c r="B21" s="14"/>
      <c r="C21" s="15"/>
      <c r="D21" s="15"/>
      <c r="E21" s="16">
        <v>613400</v>
      </c>
      <c r="F21" s="15" t="s">
        <v>169</v>
      </c>
      <c r="G21" s="44">
        <v>6500</v>
      </c>
      <c r="H21" s="44">
        <v>6500</v>
      </c>
      <c r="I21" s="153">
        <f t="shared" si="0"/>
        <v>100</v>
      </c>
    </row>
    <row r="22" spans="2:10" ht="12.95" customHeight="1">
      <c r="B22" s="14"/>
      <c r="C22" s="15"/>
      <c r="D22" s="15"/>
      <c r="E22" s="16">
        <v>613500</v>
      </c>
      <c r="F22" s="15" t="s">
        <v>88</v>
      </c>
      <c r="G22" s="117">
        <v>4600</v>
      </c>
      <c r="H22" s="117">
        <v>4600</v>
      </c>
      <c r="I22" s="153">
        <f t="shared" si="0"/>
        <v>100</v>
      </c>
      <c r="J22" s="81"/>
    </row>
    <row r="23" spans="2:10" ht="12.95" customHeight="1">
      <c r="B23" s="14"/>
      <c r="C23" s="15"/>
      <c r="D23" s="15"/>
      <c r="E23" s="16">
        <v>613600</v>
      </c>
      <c r="F23" s="26" t="s">
        <v>213</v>
      </c>
      <c r="G23" s="44">
        <v>0</v>
      </c>
      <c r="H23" s="44">
        <v>0</v>
      </c>
      <c r="I23" s="153" t="str">
        <f t="shared" si="0"/>
        <v/>
      </c>
    </row>
    <row r="24" spans="2:10" ht="12.95" customHeight="1">
      <c r="B24" s="14"/>
      <c r="C24" s="15"/>
      <c r="D24" s="15"/>
      <c r="E24" s="16">
        <v>613700</v>
      </c>
      <c r="F24" s="15" t="s">
        <v>89</v>
      </c>
      <c r="G24" s="117">
        <v>5000</v>
      </c>
      <c r="H24" s="117">
        <v>5000</v>
      </c>
      <c r="I24" s="153">
        <f t="shared" si="0"/>
        <v>100</v>
      </c>
    </row>
    <row r="25" spans="2:10" ht="12.95" customHeight="1">
      <c r="B25" s="14"/>
      <c r="C25" s="15"/>
      <c r="D25" s="15"/>
      <c r="E25" s="16">
        <v>613800</v>
      </c>
      <c r="F25" s="15" t="s">
        <v>170</v>
      </c>
      <c r="G25" s="117">
        <v>1900</v>
      </c>
      <c r="H25" s="117">
        <v>900</v>
      </c>
      <c r="I25" s="153">
        <f t="shared" si="0"/>
        <v>47.368421052631575</v>
      </c>
    </row>
    <row r="26" spans="2:10" ht="12.95" customHeight="1">
      <c r="B26" s="14"/>
      <c r="C26" s="15"/>
      <c r="D26" s="15"/>
      <c r="E26" s="16">
        <v>613900</v>
      </c>
      <c r="F26" s="15" t="s">
        <v>171</v>
      </c>
      <c r="G26" s="117">
        <v>50000</v>
      </c>
      <c r="H26" s="117">
        <v>55000</v>
      </c>
      <c r="I26" s="153">
        <f t="shared" si="0"/>
        <v>110.00000000000001</v>
      </c>
    </row>
    <row r="27" spans="2:10" ht="12.95" customHeight="1">
      <c r="B27" s="14"/>
      <c r="C27" s="15"/>
      <c r="D27" s="15"/>
      <c r="E27" s="16">
        <v>613900</v>
      </c>
      <c r="F27" s="363" t="s">
        <v>701</v>
      </c>
      <c r="G27" s="117">
        <v>7710</v>
      </c>
      <c r="H27" s="117">
        <v>0</v>
      </c>
      <c r="I27" s="153">
        <f t="shared" si="0"/>
        <v>0</v>
      </c>
    </row>
    <row r="28" spans="2:10" s="1" customFormat="1" ht="12.95" customHeight="1">
      <c r="B28" s="17"/>
      <c r="C28" s="12"/>
      <c r="D28" s="12"/>
      <c r="E28" s="9"/>
      <c r="F28" s="12"/>
      <c r="G28" s="117"/>
      <c r="H28" s="117"/>
      <c r="I28" s="153" t="str">
        <f t="shared" si="0"/>
        <v/>
      </c>
    </row>
    <row r="29" spans="2:10" ht="12.95" customHeight="1">
      <c r="B29" s="14"/>
      <c r="C29" s="15"/>
      <c r="D29" s="30"/>
      <c r="E29" s="16"/>
      <c r="F29" s="29"/>
      <c r="G29" s="117"/>
      <c r="H29" s="117"/>
      <c r="I29" s="153" t="str">
        <f t="shared" si="0"/>
        <v/>
      </c>
    </row>
    <row r="30" spans="2:10" ht="12.95" customHeight="1">
      <c r="B30" s="14"/>
      <c r="C30" s="15"/>
      <c r="D30" s="15"/>
      <c r="E30" s="60"/>
      <c r="F30" s="29"/>
      <c r="G30" s="117"/>
      <c r="H30" s="117"/>
      <c r="I30" s="153" t="str">
        <f t="shared" si="0"/>
        <v/>
      </c>
    </row>
    <row r="31" spans="2:10" ht="12.95" customHeight="1">
      <c r="B31" s="14"/>
      <c r="C31" s="15"/>
      <c r="D31" s="15"/>
      <c r="E31" s="16"/>
      <c r="F31" s="15"/>
      <c r="G31" s="117"/>
      <c r="H31" s="117"/>
      <c r="I31" s="153" t="str">
        <f t="shared" si="0"/>
        <v/>
      </c>
    </row>
    <row r="32" spans="2:10" ht="12.95" customHeight="1">
      <c r="B32" s="14"/>
      <c r="C32" s="15"/>
      <c r="D32" s="15"/>
      <c r="E32" s="16"/>
      <c r="F32" s="15"/>
      <c r="G32" s="117"/>
      <c r="H32" s="117"/>
      <c r="I32" s="153" t="str">
        <f t="shared" si="0"/>
        <v/>
      </c>
    </row>
    <row r="33" spans="2:9" ht="12.95" customHeight="1">
      <c r="B33" s="14"/>
      <c r="C33" s="15"/>
      <c r="D33" s="15"/>
      <c r="E33" s="9"/>
      <c r="F33" s="12"/>
      <c r="G33" s="117"/>
      <c r="H33" s="117"/>
      <c r="I33" s="153" t="str">
        <f t="shared" si="0"/>
        <v/>
      </c>
    </row>
    <row r="34" spans="2:9" ht="12.95" customHeight="1">
      <c r="B34" s="14"/>
      <c r="C34" s="15"/>
      <c r="D34" s="15"/>
      <c r="E34" s="16"/>
      <c r="F34" s="26"/>
      <c r="G34" s="117"/>
      <c r="H34" s="117"/>
      <c r="I34" s="153" t="str">
        <f t="shared" si="0"/>
        <v/>
      </c>
    </row>
    <row r="35" spans="2:9" ht="12.95" customHeight="1">
      <c r="B35" s="14"/>
      <c r="C35" s="15"/>
      <c r="D35" s="15"/>
      <c r="E35" s="16"/>
      <c r="F35" s="15"/>
      <c r="G35" s="108"/>
      <c r="H35" s="108"/>
      <c r="I35" s="153" t="str">
        <f t="shared" si="0"/>
        <v/>
      </c>
    </row>
    <row r="36" spans="2:9" s="1" customFormat="1" ht="12.95" customHeight="1">
      <c r="B36" s="17"/>
      <c r="C36" s="12"/>
      <c r="D36" s="12"/>
      <c r="E36" s="9">
        <v>821000</v>
      </c>
      <c r="F36" s="12" t="s">
        <v>92</v>
      </c>
      <c r="G36" s="108">
        <f>SUM(G37:G39)</f>
        <v>3000</v>
      </c>
      <c r="H36" s="108">
        <f>SUM(H37:H39)</f>
        <v>3000</v>
      </c>
      <c r="I36" s="152">
        <f t="shared" si="0"/>
        <v>100</v>
      </c>
    </row>
    <row r="37" spans="2:9" ht="12.95" customHeight="1">
      <c r="B37" s="14"/>
      <c r="C37" s="15"/>
      <c r="D37" s="15"/>
      <c r="E37" s="16">
        <v>821200</v>
      </c>
      <c r="F37" s="15" t="s">
        <v>93</v>
      </c>
      <c r="G37" s="117">
        <v>0</v>
      </c>
      <c r="H37" s="117">
        <v>0</v>
      </c>
      <c r="I37" s="153" t="str">
        <f t="shared" si="0"/>
        <v/>
      </c>
    </row>
    <row r="38" spans="2:9" ht="12.95" customHeight="1">
      <c r="B38" s="14"/>
      <c r="C38" s="15"/>
      <c r="D38" s="15"/>
      <c r="E38" s="16">
        <v>821300</v>
      </c>
      <c r="F38" s="15" t="s">
        <v>94</v>
      </c>
      <c r="G38" s="117">
        <v>3000</v>
      </c>
      <c r="H38" s="117">
        <v>3000</v>
      </c>
      <c r="I38" s="153">
        <f t="shared" si="0"/>
        <v>100</v>
      </c>
    </row>
    <row r="39" spans="2:9" ht="12.95" customHeight="1">
      <c r="B39" s="14"/>
      <c r="C39" s="15"/>
      <c r="D39" s="15"/>
      <c r="E39" s="16"/>
      <c r="F39" s="26"/>
      <c r="G39" s="117"/>
      <c r="H39" s="117"/>
      <c r="I39" s="153" t="str">
        <f t="shared" si="0"/>
        <v/>
      </c>
    </row>
    <row r="40" spans="2:9" ht="12.95" customHeight="1">
      <c r="B40" s="14"/>
      <c r="C40" s="15"/>
      <c r="D40" s="15"/>
      <c r="E40" s="16"/>
      <c r="F40" s="15"/>
      <c r="G40" s="44"/>
      <c r="H40" s="44"/>
      <c r="I40" s="153" t="str">
        <f t="shared" si="0"/>
        <v/>
      </c>
    </row>
    <row r="41" spans="2:9" s="1" customFormat="1" ht="12.95" customHeight="1">
      <c r="B41" s="17"/>
      <c r="C41" s="12"/>
      <c r="D41" s="12"/>
      <c r="E41" s="9"/>
      <c r="F41" s="12" t="s">
        <v>95</v>
      </c>
      <c r="G41" s="20">
        <v>16</v>
      </c>
      <c r="H41" s="20">
        <v>16</v>
      </c>
      <c r="I41" s="153"/>
    </row>
    <row r="42" spans="2:9" s="1" customFormat="1" ht="12.95" customHeight="1">
      <c r="B42" s="17"/>
      <c r="C42" s="12"/>
      <c r="D42" s="12"/>
      <c r="E42" s="9"/>
      <c r="F42" s="12" t="s">
        <v>115</v>
      </c>
      <c r="G42" s="20">
        <f>G7+G13+G17+G36</f>
        <v>647260</v>
      </c>
      <c r="H42" s="20">
        <f>H7+H13+H17+H36</f>
        <v>682670</v>
      </c>
      <c r="I42" s="152">
        <f t="shared" si="0"/>
        <v>105.47075363841422</v>
      </c>
    </row>
    <row r="43" spans="2:9" s="1" customFormat="1" ht="12.95" customHeight="1">
      <c r="B43" s="17"/>
      <c r="C43" s="12"/>
      <c r="D43" s="12"/>
      <c r="E43" s="9"/>
      <c r="F43" s="12" t="s">
        <v>96</v>
      </c>
      <c r="G43" s="20">
        <f>G42</f>
        <v>647260</v>
      </c>
      <c r="H43" s="20">
        <f>H42</f>
        <v>682670</v>
      </c>
      <c r="I43" s="152">
        <f t="shared" si="0"/>
        <v>105.47075363841422</v>
      </c>
    </row>
    <row r="44" spans="2:9" s="1" customFormat="1" ht="12.95" customHeight="1">
      <c r="B44" s="17"/>
      <c r="C44" s="12"/>
      <c r="D44" s="12"/>
      <c r="E44" s="9"/>
      <c r="F44" s="12" t="s">
        <v>97</v>
      </c>
      <c r="G44" s="20">
        <f>G43</f>
        <v>647260</v>
      </c>
      <c r="H44" s="20">
        <f>H43</f>
        <v>682670</v>
      </c>
      <c r="I44" s="152">
        <f t="shared" si="0"/>
        <v>105.47075363841422</v>
      </c>
    </row>
    <row r="45" spans="2:9" ht="12.95" customHeight="1" thickBot="1">
      <c r="B45" s="21"/>
      <c r="C45" s="22"/>
      <c r="D45" s="22"/>
      <c r="E45" s="23"/>
      <c r="F45" s="22"/>
      <c r="G45" s="48"/>
      <c r="H45" s="45"/>
      <c r="I45" s="156"/>
    </row>
    <row r="48" spans="2:9">
      <c r="B48" s="81"/>
    </row>
    <row r="49" spans="2:2">
      <c r="B49" s="81"/>
    </row>
    <row r="50" spans="2:2">
      <c r="B50" s="81"/>
    </row>
    <row r="51" spans="2:2">
      <c r="B51" s="81"/>
    </row>
    <row r="52" spans="2:2">
      <c r="B52" s="81"/>
    </row>
  </sheetData>
  <mergeCells count="2">
    <mergeCell ref="B2:G2"/>
    <mergeCell ref="F3:G3"/>
  </mergeCells>
  <phoneticPr fontId="2" type="noConversion"/>
  <pageMargins left="0.19685039370078741" right="0.19685039370078741" top="0.59055118110236227" bottom="0.59055118110236227" header="0.51181102362204722" footer="0.51181102362204722"/>
  <pageSetup paperSize="9" scale="88" firstPageNumber="10" orientation="portrait" useFirstPageNumber="1" horizontalDpi="180" verticalDpi="180" r:id="rId1"/>
  <headerFooter alignWithMargins="0">
    <oddFooter>&amp;R41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4"/>
  <dimension ref="A2:L213"/>
  <sheetViews>
    <sheetView tabSelected="1" topLeftCell="B131" workbookViewId="0">
      <selection activeCell="H190" sqref="H190"/>
    </sheetView>
  </sheetViews>
  <sheetFormatPr defaultRowHeight="12.75"/>
  <cols>
    <col min="1" max="1" width="0.42578125" hidden="1" customWidth="1"/>
    <col min="2" max="2" width="13.28515625" style="55" customWidth="1"/>
    <col min="3" max="3" width="64.5703125" customWidth="1"/>
    <col min="4" max="5" width="15.28515625" customWidth="1"/>
    <col min="6" max="6" width="8.5703125" customWidth="1"/>
    <col min="7" max="7" width="11" customWidth="1"/>
    <col min="8" max="8" width="15.7109375" customWidth="1"/>
    <col min="9" max="9" width="17.28515625" customWidth="1"/>
    <col min="10" max="10" width="15.28515625" customWidth="1"/>
    <col min="11" max="11" width="13.140625" bestFit="1" customWidth="1"/>
  </cols>
  <sheetData>
    <row r="2" spans="2:12" ht="18.75" thickBot="1">
      <c r="B2" s="437" t="s">
        <v>77</v>
      </c>
      <c r="C2" s="437"/>
      <c r="D2" s="437"/>
      <c r="E2" s="438"/>
      <c r="F2" s="438"/>
    </row>
    <row r="3" spans="2:12" ht="76.5" customHeight="1">
      <c r="B3" s="83" t="s">
        <v>188</v>
      </c>
      <c r="C3" s="84" t="s">
        <v>82</v>
      </c>
      <c r="D3" s="139" t="s">
        <v>556</v>
      </c>
      <c r="E3" s="139" t="s">
        <v>683</v>
      </c>
      <c r="F3" s="374" t="s">
        <v>332</v>
      </c>
      <c r="G3" s="286"/>
    </row>
    <row r="4" spans="2:12" ht="12.75" customHeight="1">
      <c r="B4" s="257">
        <v>1</v>
      </c>
      <c r="C4" s="258">
        <v>2</v>
      </c>
      <c r="D4" s="258">
        <v>3</v>
      </c>
      <c r="E4" s="319">
        <v>4</v>
      </c>
      <c r="F4" s="320">
        <v>5</v>
      </c>
      <c r="H4" s="321"/>
      <c r="I4" s="321"/>
      <c r="J4" s="321"/>
      <c r="K4" s="321"/>
      <c r="L4" s="321"/>
    </row>
    <row r="5" spans="2:12" s="52" customFormat="1" ht="17.25" customHeight="1">
      <c r="B5" s="375">
        <v>710000</v>
      </c>
      <c r="C5" s="376" t="s">
        <v>187</v>
      </c>
      <c r="D5" s="377">
        <f>D6+D14+D18+D26+D36+D45+D49</f>
        <v>34190490</v>
      </c>
      <c r="E5" s="377">
        <f>E6+E14+E18+E26+E36+E45+E49</f>
        <v>33587730</v>
      </c>
      <c r="F5" s="348">
        <f>IF(D5=0,"",E5/D5*100)</f>
        <v>98.237053636844635</v>
      </c>
      <c r="G5" s="224"/>
      <c r="H5" s="322"/>
      <c r="I5" s="322"/>
      <c r="J5" s="323"/>
      <c r="K5" s="323"/>
      <c r="L5" s="323"/>
    </row>
    <row r="6" spans="2:12" s="206" customFormat="1" ht="15" customHeight="1">
      <c r="B6" s="378">
        <v>711000</v>
      </c>
      <c r="C6" s="379" t="s">
        <v>192</v>
      </c>
      <c r="D6" s="380">
        <f>D7+D11</f>
        <v>2421450</v>
      </c>
      <c r="E6" s="380">
        <f>E7+E11</f>
        <v>2503780</v>
      </c>
      <c r="F6" s="349">
        <f>IF(D6=0,"",E6/D6*100)</f>
        <v>103.40002890829874</v>
      </c>
      <c r="G6" s="205"/>
      <c r="H6" s="324"/>
      <c r="I6" s="324"/>
      <c r="J6" s="325"/>
      <c r="K6" s="326"/>
      <c r="L6" s="326"/>
    </row>
    <row r="7" spans="2:12" s="206" customFormat="1" ht="15" customHeight="1">
      <c r="B7" s="207">
        <v>711100</v>
      </c>
      <c r="C7" s="208" t="s">
        <v>350</v>
      </c>
      <c r="D7" s="203">
        <f>SUM(D8:D10)</f>
        <v>3420</v>
      </c>
      <c r="E7" s="203">
        <f>SUM(E8:E10)</f>
        <v>3530</v>
      </c>
      <c r="F7" s="220">
        <f>IF(D7=0,"",E7/D7*100)</f>
        <v>103.21637426900585</v>
      </c>
      <c r="G7" s="205"/>
      <c r="H7" s="324"/>
      <c r="I7" s="326"/>
      <c r="J7" s="326"/>
      <c r="K7" s="326"/>
      <c r="L7" s="326"/>
    </row>
    <row r="8" spans="2:12" ht="15" customHeight="1">
      <c r="B8" s="202">
        <v>711111</v>
      </c>
      <c r="C8" s="327" t="s">
        <v>351</v>
      </c>
      <c r="D8" s="93">
        <v>3200</v>
      </c>
      <c r="E8" s="93">
        <v>3310</v>
      </c>
      <c r="F8" s="211">
        <f>IF(D8=0,"",E8/D8*100)</f>
        <v>103.4375</v>
      </c>
      <c r="G8" s="205"/>
      <c r="H8" s="324"/>
      <c r="I8" s="321"/>
      <c r="J8" s="321"/>
      <c r="K8" s="321"/>
      <c r="L8" s="321"/>
    </row>
    <row r="9" spans="2:12" ht="15" customHeight="1">
      <c r="B9" s="202">
        <v>711114</v>
      </c>
      <c r="C9" s="327" t="s">
        <v>643</v>
      </c>
      <c r="D9" s="93">
        <v>80</v>
      </c>
      <c r="E9" s="93">
        <v>80</v>
      </c>
      <c r="F9" s="211">
        <f>IF(D9=0,"",E9/D9*100)</f>
        <v>100</v>
      </c>
      <c r="G9" s="205"/>
      <c r="H9" s="324"/>
      <c r="I9" s="321"/>
      <c r="J9" s="321"/>
      <c r="K9" s="321"/>
      <c r="L9" s="321"/>
    </row>
    <row r="10" spans="2:12" ht="15" customHeight="1">
      <c r="B10" s="202">
        <v>711115</v>
      </c>
      <c r="C10" s="327" t="s">
        <v>352</v>
      </c>
      <c r="D10" s="268">
        <v>140</v>
      </c>
      <c r="E10" s="268">
        <v>140</v>
      </c>
      <c r="F10" s="211">
        <f t="shared" ref="F10:F73" si="0">IF(D10=0,"",E10/D10*100)</f>
        <v>100</v>
      </c>
      <c r="G10" s="205"/>
      <c r="H10" s="324"/>
      <c r="I10" s="321"/>
    </row>
    <row r="11" spans="2:12" s="206" customFormat="1" ht="15" customHeight="1">
      <c r="B11" s="207">
        <v>711200</v>
      </c>
      <c r="C11" s="208" t="s">
        <v>355</v>
      </c>
      <c r="D11" s="203">
        <f>SUM(D12:D13)</f>
        <v>2418030</v>
      </c>
      <c r="E11" s="203">
        <f>SUM(E12:E13)</f>
        <v>2500250</v>
      </c>
      <c r="F11" s="220">
        <f t="shared" si="0"/>
        <v>103.40028866473946</v>
      </c>
      <c r="G11" s="205"/>
      <c r="H11" s="324"/>
      <c r="I11" s="321"/>
    </row>
    <row r="12" spans="2:12" ht="15" customHeight="1">
      <c r="B12" s="202">
        <v>711211</v>
      </c>
      <c r="C12" s="327" t="s">
        <v>353</v>
      </c>
      <c r="D12" s="268">
        <v>2312230</v>
      </c>
      <c r="E12" s="268">
        <v>2390850</v>
      </c>
      <c r="F12" s="211">
        <f t="shared" si="0"/>
        <v>103.4001807778638</v>
      </c>
      <c r="G12" s="205"/>
      <c r="H12" s="324"/>
      <c r="I12" s="321"/>
    </row>
    <row r="13" spans="2:12" ht="15" customHeight="1">
      <c r="B13" s="202">
        <v>711212</v>
      </c>
      <c r="C13" s="327" t="s">
        <v>354</v>
      </c>
      <c r="D13" s="268">
        <v>105800</v>
      </c>
      <c r="E13" s="268">
        <v>109400</v>
      </c>
      <c r="F13" s="211">
        <f t="shared" si="0"/>
        <v>103.40264650283555</v>
      </c>
      <c r="G13" s="205"/>
      <c r="H13" s="324"/>
      <c r="I13" s="321"/>
    </row>
    <row r="14" spans="2:12" s="206" customFormat="1" ht="15" customHeight="1">
      <c r="B14" s="378">
        <v>713000</v>
      </c>
      <c r="C14" s="381" t="s">
        <v>356</v>
      </c>
      <c r="D14" s="380">
        <f>D15</f>
        <v>3340</v>
      </c>
      <c r="E14" s="380">
        <f>E15</f>
        <v>3400</v>
      </c>
      <c r="F14" s="349">
        <f t="shared" si="0"/>
        <v>101.79640718562875</v>
      </c>
      <c r="G14" s="205"/>
      <c r="H14" s="209"/>
    </row>
    <row r="15" spans="2:12" s="206" customFormat="1" ht="15" customHeight="1">
      <c r="B15" s="207">
        <v>713100</v>
      </c>
      <c r="C15" s="222" t="s">
        <v>461</v>
      </c>
      <c r="D15" s="223">
        <f>SUM(D16:D17)</f>
        <v>3340</v>
      </c>
      <c r="E15" s="223">
        <f>SUM(E16:E17)</f>
        <v>3400</v>
      </c>
      <c r="F15" s="220">
        <f t="shared" si="0"/>
        <v>101.79640718562875</v>
      </c>
      <c r="G15" s="205"/>
    </row>
    <row r="16" spans="2:12" ht="15" customHeight="1">
      <c r="B16" s="202">
        <v>713111</v>
      </c>
      <c r="C16" s="327" t="s">
        <v>357</v>
      </c>
      <c r="D16" s="93">
        <v>3150</v>
      </c>
      <c r="E16" s="93">
        <v>3200</v>
      </c>
      <c r="F16" s="211">
        <f t="shared" si="0"/>
        <v>101.58730158730158</v>
      </c>
      <c r="G16" s="102"/>
    </row>
    <row r="17" spans="2:8" ht="15" customHeight="1">
      <c r="B17" s="202">
        <v>713113</v>
      </c>
      <c r="C17" s="327" t="s">
        <v>358</v>
      </c>
      <c r="D17" s="93">
        <v>190</v>
      </c>
      <c r="E17" s="93">
        <v>200</v>
      </c>
      <c r="F17" s="211">
        <f t="shared" si="0"/>
        <v>105.26315789473684</v>
      </c>
      <c r="G17" s="102"/>
    </row>
    <row r="18" spans="2:8" s="206" customFormat="1" ht="15" customHeight="1">
      <c r="B18" s="378">
        <v>714000</v>
      </c>
      <c r="C18" s="381" t="s">
        <v>193</v>
      </c>
      <c r="D18" s="380">
        <f>D19</f>
        <v>277530</v>
      </c>
      <c r="E18" s="380">
        <f>E19</f>
        <v>275100</v>
      </c>
      <c r="F18" s="349">
        <f t="shared" si="0"/>
        <v>99.124418981731708</v>
      </c>
      <c r="G18" s="205"/>
      <c r="H18" s="205"/>
    </row>
    <row r="19" spans="2:8" s="206" customFormat="1" ht="15" customHeight="1">
      <c r="B19" s="207">
        <v>714100</v>
      </c>
      <c r="C19" s="222" t="s">
        <v>460</v>
      </c>
      <c r="D19" s="223">
        <f>SUM(D20:D25)</f>
        <v>277530</v>
      </c>
      <c r="E19" s="223">
        <f>SUM(E20:E25)</f>
        <v>275100</v>
      </c>
      <c r="F19" s="220">
        <f t="shared" si="0"/>
        <v>99.124418981731708</v>
      </c>
      <c r="G19" s="205"/>
    </row>
    <row r="20" spans="2:8" ht="15" customHeight="1">
      <c r="B20" s="202">
        <v>714111</v>
      </c>
      <c r="C20" s="327" t="s">
        <v>359</v>
      </c>
      <c r="D20" s="93">
        <v>42860</v>
      </c>
      <c r="E20" s="93">
        <v>42500</v>
      </c>
      <c r="F20" s="211">
        <f t="shared" si="0"/>
        <v>99.160055996266919</v>
      </c>
      <c r="G20" s="102"/>
      <c r="H20" s="102"/>
    </row>
    <row r="21" spans="2:8" ht="15" customHeight="1">
      <c r="B21" s="202">
        <v>714112</v>
      </c>
      <c r="C21" s="327" t="s">
        <v>360</v>
      </c>
      <c r="D21" s="268">
        <v>6430</v>
      </c>
      <c r="E21" s="268">
        <v>6350</v>
      </c>
      <c r="F21" s="211">
        <f t="shared" si="0"/>
        <v>98.755832037325035</v>
      </c>
      <c r="G21" s="102"/>
      <c r="H21" s="102"/>
    </row>
    <row r="22" spans="2:8" ht="15" customHeight="1">
      <c r="B22" s="202">
        <v>714113</v>
      </c>
      <c r="C22" s="327" t="s">
        <v>361</v>
      </c>
      <c r="D22" s="93">
        <v>50</v>
      </c>
      <c r="E22" s="93">
        <v>50</v>
      </c>
      <c r="F22" s="211">
        <f t="shared" si="0"/>
        <v>100</v>
      </c>
      <c r="G22" s="102"/>
      <c r="H22" s="102"/>
    </row>
    <row r="23" spans="2:8" ht="15" customHeight="1">
      <c r="B23" s="202">
        <v>714121</v>
      </c>
      <c r="C23" s="327" t="s">
        <v>362</v>
      </c>
      <c r="D23" s="268">
        <v>15300</v>
      </c>
      <c r="E23" s="268">
        <v>15200</v>
      </c>
      <c r="F23" s="211">
        <f t="shared" si="0"/>
        <v>99.346405228758172</v>
      </c>
      <c r="G23" s="102"/>
      <c r="H23" s="102"/>
    </row>
    <row r="24" spans="2:8" ht="15" customHeight="1">
      <c r="B24" s="202">
        <v>714131</v>
      </c>
      <c r="C24" s="327" t="s">
        <v>363</v>
      </c>
      <c r="D24" s="268">
        <v>116440</v>
      </c>
      <c r="E24" s="268">
        <v>115400</v>
      </c>
      <c r="F24" s="211">
        <f t="shared" si="0"/>
        <v>99.106836138783933</v>
      </c>
      <c r="G24" s="102"/>
      <c r="H24" s="102"/>
    </row>
    <row r="25" spans="2:8" ht="15" customHeight="1">
      <c r="B25" s="202">
        <v>714132</v>
      </c>
      <c r="C25" s="327" t="s">
        <v>364</v>
      </c>
      <c r="D25" s="93">
        <v>96450</v>
      </c>
      <c r="E25" s="93">
        <v>95600</v>
      </c>
      <c r="F25" s="211">
        <f t="shared" si="0"/>
        <v>99.1187143597719</v>
      </c>
      <c r="G25" s="102"/>
      <c r="H25" s="102"/>
    </row>
    <row r="26" spans="2:8" s="206" customFormat="1" ht="25.5" customHeight="1">
      <c r="B26" s="378">
        <v>715000</v>
      </c>
      <c r="C26" s="379" t="s">
        <v>365</v>
      </c>
      <c r="D26" s="380">
        <f>D27+D32+D34</f>
        <v>5090</v>
      </c>
      <c r="E26" s="380">
        <f>E27+E32+E34</f>
        <v>4800</v>
      </c>
      <c r="F26" s="349">
        <f t="shared" si="0"/>
        <v>94.302554027504911</v>
      </c>
      <c r="G26" s="205"/>
      <c r="H26" s="209"/>
    </row>
    <row r="27" spans="2:8" s="206" customFormat="1" ht="26.25" customHeight="1">
      <c r="B27" s="207">
        <v>715100</v>
      </c>
      <c r="C27" s="328" t="s">
        <v>369</v>
      </c>
      <c r="D27" s="203">
        <f>SUM(D28:D31)</f>
        <v>1480</v>
      </c>
      <c r="E27" s="203">
        <f>SUM(E28:E31)</f>
        <v>1300</v>
      </c>
      <c r="F27" s="220">
        <f t="shared" si="0"/>
        <v>87.837837837837839</v>
      </c>
      <c r="G27" s="205"/>
    </row>
    <row r="28" spans="2:8" ht="15" customHeight="1">
      <c r="B28" s="202">
        <v>715131</v>
      </c>
      <c r="C28" s="327" t="s">
        <v>366</v>
      </c>
      <c r="D28" s="93">
        <v>180</v>
      </c>
      <c r="E28" s="93">
        <v>200</v>
      </c>
      <c r="F28" s="211">
        <f t="shared" si="0"/>
        <v>111.11111111111111</v>
      </c>
      <c r="G28" s="102"/>
    </row>
    <row r="29" spans="2:8" ht="15" customHeight="1">
      <c r="B29" s="202">
        <v>715132</v>
      </c>
      <c r="C29" s="327" t="s">
        <v>644</v>
      </c>
      <c r="D29" s="93">
        <v>50</v>
      </c>
      <c r="E29" s="93">
        <v>50</v>
      </c>
      <c r="F29" s="211">
        <f t="shared" si="0"/>
        <v>100</v>
      </c>
      <c r="G29" s="102"/>
    </row>
    <row r="30" spans="2:8" ht="15" customHeight="1">
      <c r="B30" s="202">
        <v>715137</v>
      </c>
      <c r="C30" s="327" t="s">
        <v>367</v>
      </c>
      <c r="D30" s="93">
        <v>50</v>
      </c>
      <c r="E30" s="93">
        <v>50</v>
      </c>
      <c r="F30" s="211">
        <f t="shared" si="0"/>
        <v>100</v>
      </c>
      <c r="G30" s="102"/>
    </row>
    <row r="31" spans="2:8" ht="15" customHeight="1">
      <c r="B31" s="202">
        <v>715141</v>
      </c>
      <c r="C31" s="327" t="s">
        <v>368</v>
      </c>
      <c r="D31" s="93">
        <v>1200</v>
      </c>
      <c r="E31" s="93">
        <v>1000</v>
      </c>
      <c r="F31" s="211">
        <f t="shared" si="0"/>
        <v>83.333333333333343</v>
      </c>
      <c r="G31" s="102"/>
    </row>
    <row r="32" spans="2:8" s="206" customFormat="1" ht="15" customHeight="1">
      <c r="B32" s="207">
        <v>715200</v>
      </c>
      <c r="C32" s="329" t="s">
        <v>370</v>
      </c>
      <c r="D32" s="203">
        <f>D33</f>
        <v>2010</v>
      </c>
      <c r="E32" s="203">
        <f>E33</f>
        <v>2000</v>
      </c>
      <c r="F32" s="220">
        <f t="shared" si="0"/>
        <v>99.50248756218906</v>
      </c>
      <c r="G32" s="205"/>
    </row>
    <row r="33" spans="2:11" ht="15" customHeight="1">
      <c r="B33" s="202">
        <v>715211</v>
      </c>
      <c r="C33" s="327" t="s">
        <v>371</v>
      </c>
      <c r="D33" s="93">
        <v>2010</v>
      </c>
      <c r="E33" s="93">
        <v>2000</v>
      </c>
      <c r="F33" s="211">
        <f t="shared" si="0"/>
        <v>99.50248756218906</v>
      </c>
      <c r="G33" s="102"/>
      <c r="H33" s="321"/>
      <c r="I33" s="321"/>
      <c r="J33" s="321"/>
    </row>
    <row r="34" spans="2:11" s="206" customFormat="1" ht="15" customHeight="1">
      <c r="B34" s="207">
        <v>715900</v>
      </c>
      <c r="C34" s="329" t="s">
        <v>372</v>
      </c>
      <c r="D34" s="203">
        <f>D35</f>
        <v>1600</v>
      </c>
      <c r="E34" s="203">
        <f>E35</f>
        <v>1500</v>
      </c>
      <c r="F34" s="220">
        <f t="shared" si="0"/>
        <v>93.75</v>
      </c>
      <c r="G34" s="205"/>
      <c r="H34" s="326"/>
      <c r="I34" s="326"/>
      <c r="J34" s="326"/>
    </row>
    <row r="35" spans="2:11" ht="27" customHeight="1">
      <c r="B35" s="202">
        <v>715914</v>
      </c>
      <c r="C35" s="330" t="s">
        <v>373</v>
      </c>
      <c r="D35" s="268">
        <v>1600</v>
      </c>
      <c r="E35" s="268">
        <v>1500</v>
      </c>
      <c r="F35" s="211">
        <f t="shared" si="0"/>
        <v>93.75</v>
      </c>
      <c r="G35" s="102"/>
      <c r="H35" s="321"/>
      <c r="I35" s="321"/>
      <c r="J35" s="321"/>
    </row>
    <row r="36" spans="2:11" s="206" customFormat="1" ht="15" customHeight="1">
      <c r="B36" s="378">
        <v>716000</v>
      </c>
      <c r="C36" s="381" t="s">
        <v>194</v>
      </c>
      <c r="D36" s="380">
        <f>D37</f>
        <v>2535470</v>
      </c>
      <c r="E36" s="380">
        <f>E37</f>
        <v>2621680</v>
      </c>
      <c r="F36" s="349">
        <f t="shared" si="0"/>
        <v>103.4001585504857</v>
      </c>
      <c r="G36" s="205"/>
      <c r="H36" s="331"/>
      <c r="I36" s="332"/>
      <c r="J36" s="333"/>
      <c r="K36" s="334"/>
    </row>
    <row r="37" spans="2:11" s="206" customFormat="1" ht="15" customHeight="1">
      <c r="B37" s="207">
        <v>716100</v>
      </c>
      <c r="C37" s="329" t="s">
        <v>374</v>
      </c>
      <c r="D37" s="203">
        <f>SUM(D38:D44)</f>
        <v>2535470</v>
      </c>
      <c r="E37" s="203">
        <f>SUM(E38:E44)</f>
        <v>2621680</v>
      </c>
      <c r="F37" s="220">
        <f t="shared" si="0"/>
        <v>103.4001585504857</v>
      </c>
      <c r="G37" s="209"/>
      <c r="H37" s="331"/>
      <c r="I37" s="332"/>
      <c r="J37" s="332"/>
      <c r="K37" s="335"/>
    </row>
    <row r="38" spans="2:11" ht="15" customHeight="1">
      <c r="B38" s="202">
        <v>716111</v>
      </c>
      <c r="C38" s="327" t="s">
        <v>376</v>
      </c>
      <c r="D38" s="268">
        <v>1538780</v>
      </c>
      <c r="E38" s="268">
        <v>1591100</v>
      </c>
      <c r="F38" s="211">
        <f t="shared" si="0"/>
        <v>103.40009618009071</v>
      </c>
      <c r="G38" s="209"/>
      <c r="H38" s="331"/>
      <c r="I38" s="332"/>
      <c r="J38" s="332"/>
      <c r="K38" s="335"/>
    </row>
    <row r="39" spans="2:11" ht="15" customHeight="1">
      <c r="B39" s="202">
        <v>716112</v>
      </c>
      <c r="C39" s="327" t="s">
        <v>377</v>
      </c>
      <c r="D39" s="268">
        <v>62370</v>
      </c>
      <c r="E39" s="268">
        <v>64500</v>
      </c>
      <c r="F39" s="211">
        <f t="shared" si="0"/>
        <v>103.4151034151034</v>
      </c>
      <c r="G39" s="209"/>
      <c r="H39" s="331"/>
      <c r="I39" s="332"/>
      <c r="J39" s="332"/>
      <c r="K39" s="335"/>
    </row>
    <row r="40" spans="2:11" ht="15" customHeight="1">
      <c r="B40" s="202">
        <v>716113</v>
      </c>
      <c r="C40" s="327" t="s">
        <v>378</v>
      </c>
      <c r="D40" s="268">
        <v>302890</v>
      </c>
      <c r="E40" s="268">
        <v>313190</v>
      </c>
      <c r="F40" s="211">
        <f t="shared" si="0"/>
        <v>103.40057446597774</v>
      </c>
      <c r="G40" s="209"/>
      <c r="H40" s="331"/>
      <c r="I40" s="332"/>
      <c r="J40" s="332"/>
      <c r="K40" s="335"/>
    </row>
    <row r="41" spans="2:11" ht="15" customHeight="1">
      <c r="B41" s="202">
        <v>716114</v>
      </c>
      <c r="C41" s="327" t="s">
        <v>379</v>
      </c>
      <c r="D41" s="268">
        <v>50</v>
      </c>
      <c r="E41" s="268">
        <v>40</v>
      </c>
      <c r="F41" s="211">
        <f t="shared" si="0"/>
        <v>80</v>
      </c>
      <c r="G41" s="209"/>
      <c r="H41" s="331"/>
      <c r="I41" s="332"/>
      <c r="J41" s="321"/>
    </row>
    <row r="42" spans="2:11" ht="25.5" customHeight="1">
      <c r="B42" s="202">
        <v>716115</v>
      </c>
      <c r="C42" s="330" t="s">
        <v>380</v>
      </c>
      <c r="D42" s="268">
        <v>245470</v>
      </c>
      <c r="E42" s="268">
        <v>253820</v>
      </c>
      <c r="F42" s="211">
        <f t="shared" si="0"/>
        <v>103.40163767466493</v>
      </c>
      <c r="G42" s="209"/>
      <c r="H42" s="331"/>
      <c r="I42" s="332"/>
    </row>
    <row r="43" spans="2:11" ht="15" customHeight="1">
      <c r="B43" s="202">
        <v>716116</v>
      </c>
      <c r="C43" s="327" t="s">
        <v>381</v>
      </c>
      <c r="D43" s="268">
        <v>240480</v>
      </c>
      <c r="E43" s="268">
        <v>248660</v>
      </c>
      <c r="F43" s="211">
        <f t="shared" si="0"/>
        <v>103.40153027278775</v>
      </c>
      <c r="G43" s="209"/>
      <c r="H43" s="331"/>
      <c r="I43" s="332"/>
    </row>
    <row r="44" spans="2:11" ht="15" customHeight="1">
      <c r="B44" s="202">
        <v>716117</v>
      </c>
      <c r="C44" s="327" t="s">
        <v>375</v>
      </c>
      <c r="D44" s="268">
        <v>145430</v>
      </c>
      <c r="E44" s="268">
        <v>150370</v>
      </c>
      <c r="F44" s="211">
        <f t="shared" si="0"/>
        <v>103.39682321391734</v>
      </c>
      <c r="G44" s="209"/>
      <c r="H44" s="331"/>
      <c r="I44" s="332"/>
    </row>
    <row r="45" spans="2:11" s="206" customFormat="1" ht="15" customHeight="1">
      <c r="B45" s="378">
        <v>717000</v>
      </c>
      <c r="C45" s="381" t="s">
        <v>195</v>
      </c>
      <c r="D45" s="380">
        <f>D46</f>
        <v>28947500</v>
      </c>
      <c r="E45" s="380">
        <f>E46</f>
        <v>28178820</v>
      </c>
      <c r="F45" s="349">
        <f t="shared" si="0"/>
        <v>97.344572070126958</v>
      </c>
      <c r="G45" s="205"/>
      <c r="H45" s="331"/>
      <c r="I45" s="331"/>
    </row>
    <row r="46" spans="2:11" s="206" customFormat="1" ht="15" customHeight="1">
      <c r="B46" s="207">
        <v>717100</v>
      </c>
      <c r="C46" s="329" t="s">
        <v>382</v>
      </c>
      <c r="D46" s="203">
        <f>SUM(D47:D48)</f>
        <v>28947500</v>
      </c>
      <c r="E46" s="203">
        <f>SUM(E47:E48)</f>
        <v>28178820</v>
      </c>
      <c r="F46" s="220">
        <f t="shared" si="0"/>
        <v>97.344572070126958</v>
      </c>
      <c r="G46" s="205"/>
      <c r="H46" s="331"/>
      <c r="I46" s="331"/>
      <c r="J46" s="326"/>
      <c r="K46" s="326"/>
    </row>
    <row r="47" spans="2:11" ht="15" customHeight="1">
      <c r="B47" s="202">
        <v>717121</v>
      </c>
      <c r="C47" s="327" t="s">
        <v>383</v>
      </c>
      <c r="D47" s="268">
        <v>28244850</v>
      </c>
      <c r="E47" s="268">
        <v>27494830</v>
      </c>
      <c r="F47" s="211">
        <f t="shared" si="0"/>
        <v>97.344577861096809</v>
      </c>
      <c r="G47" s="102"/>
      <c r="H47" s="331"/>
      <c r="I47" s="331"/>
      <c r="J47" s="321"/>
      <c r="K47" s="321"/>
    </row>
    <row r="48" spans="2:11" ht="15" customHeight="1">
      <c r="B48" s="202">
        <v>717131</v>
      </c>
      <c r="C48" s="327" t="s">
        <v>384</v>
      </c>
      <c r="D48" s="268">
        <v>702650</v>
      </c>
      <c r="E48" s="268">
        <v>683990</v>
      </c>
      <c r="F48" s="211">
        <f t="shared" si="0"/>
        <v>97.344339286984976</v>
      </c>
      <c r="G48" s="102"/>
      <c r="H48" s="331"/>
      <c r="I48" s="331"/>
      <c r="J48" s="404"/>
      <c r="K48" s="321"/>
    </row>
    <row r="49" spans="1:11" s="206" customFormat="1" ht="15" customHeight="1">
      <c r="B49" s="378">
        <v>719000</v>
      </c>
      <c r="C49" s="381" t="s">
        <v>196</v>
      </c>
      <c r="D49" s="380">
        <f>D50</f>
        <v>110</v>
      </c>
      <c r="E49" s="380">
        <f>E50</f>
        <v>150</v>
      </c>
      <c r="F49" s="349">
        <f t="shared" si="0"/>
        <v>136.36363636363635</v>
      </c>
      <c r="G49" s="205"/>
      <c r="H49" s="326"/>
      <c r="I49" s="326"/>
      <c r="J49" s="400"/>
      <c r="K49" s="326"/>
    </row>
    <row r="50" spans="1:11" s="206" customFormat="1" ht="15" customHeight="1">
      <c r="B50" s="207">
        <v>719100</v>
      </c>
      <c r="C50" s="329" t="s">
        <v>385</v>
      </c>
      <c r="D50" s="203">
        <f>SUM(D51:D53)</f>
        <v>110</v>
      </c>
      <c r="E50" s="203">
        <f>SUM(E51:E53)</f>
        <v>150</v>
      </c>
      <c r="F50" s="220">
        <f t="shared" si="0"/>
        <v>136.36363636363635</v>
      </c>
      <c r="G50" s="205"/>
      <c r="H50" s="326"/>
      <c r="I50" s="326"/>
      <c r="J50" s="326"/>
      <c r="K50" s="326"/>
    </row>
    <row r="51" spans="1:11" ht="15" customHeight="1" thickBot="1">
      <c r="A51" s="285"/>
      <c r="B51" s="202">
        <v>719111</v>
      </c>
      <c r="C51" s="327" t="s">
        <v>385</v>
      </c>
      <c r="D51" s="93">
        <v>20</v>
      </c>
      <c r="E51" s="93">
        <v>50</v>
      </c>
      <c r="F51" s="211">
        <f t="shared" si="0"/>
        <v>250</v>
      </c>
      <c r="G51" s="102"/>
      <c r="H51" s="321"/>
      <c r="I51" s="321"/>
      <c r="J51" s="321"/>
      <c r="K51" s="321"/>
    </row>
    <row r="52" spans="1:11">
      <c r="B52" s="340">
        <v>719114</v>
      </c>
      <c r="C52" s="341" t="s">
        <v>386</v>
      </c>
      <c r="D52" s="342">
        <v>40</v>
      </c>
      <c r="E52" s="342">
        <v>50</v>
      </c>
      <c r="F52" s="350">
        <f t="shared" si="0"/>
        <v>125</v>
      </c>
      <c r="H52" s="321"/>
      <c r="I52" s="321"/>
    </row>
    <row r="53" spans="1:11" ht="25.5">
      <c r="B53" s="202">
        <v>719115</v>
      </c>
      <c r="C53" s="330" t="s">
        <v>387</v>
      </c>
      <c r="D53" s="93">
        <v>50</v>
      </c>
      <c r="E53" s="93">
        <v>50</v>
      </c>
      <c r="F53" s="214">
        <f t="shared" si="0"/>
        <v>100</v>
      </c>
      <c r="G53" s="179"/>
      <c r="H53" s="321"/>
      <c r="I53" s="321"/>
    </row>
    <row r="54" spans="1:11">
      <c r="B54" s="202"/>
      <c r="C54" s="29"/>
      <c r="D54" s="93"/>
      <c r="E54" s="93"/>
      <c r="F54" s="214" t="str">
        <f t="shared" si="0"/>
        <v/>
      </c>
      <c r="G54" s="179"/>
      <c r="H54" s="321"/>
      <c r="I54" s="321"/>
    </row>
    <row r="55" spans="1:11" ht="15">
      <c r="B55" s="375">
        <v>720000</v>
      </c>
      <c r="C55" s="376" t="s">
        <v>191</v>
      </c>
      <c r="D55" s="377">
        <f>D56+D68+D135</f>
        <v>2987650</v>
      </c>
      <c r="E55" s="377">
        <f>E56+E68+E135</f>
        <v>2661010</v>
      </c>
      <c r="F55" s="348">
        <f t="shared" si="0"/>
        <v>89.0669924522618</v>
      </c>
      <c r="G55" s="180"/>
    </row>
    <row r="56" spans="1:11" ht="25.5">
      <c r="B56" s="378">
        <v>721000</v>
      </c>
      <c r="C56" s="382" t="s">
        <v>222</v>
      </c>
      <c r="D56" s="380">
        <f>D57+D60+D64+D66</f>
        <v>70120</v>
      </c>
      <c r="E56" s="380">
        <f>E57+E60+E64+E66</f>
        <v>101060</v>
      </c>
      <c r="F56" s="349">
        <f t="shared" si="0"/>
        <v>144.12435824301198</v>
      </c>
    </row>
    <row r="57" spans="1:11">
      <c r="B57" s="207">
        <v>721100</v>
      </c>
      <c r="C57" s="329" t="s">
        <v>388</v>
      </c>
      <c r="D57" s="203">
        <f>SUM(D58:D59)</f>
        <v>56540</v>
      </c>
      <c r="E57" s="203">
        <f>SUM(E58:E59)</f>
        <v>90240</v>
      </c>
      <c r="F57" s="406">
        <f t="shared" si="0"/>
        <v>159.60382030420942</v>
      </c>
    </row>
    <row r="58" spans="1:11">
      <c r="B58" s="202">
        <v>721112</v>
      </c>
      <c r="C58" s="327" t="s">
        <v>389</v>
      </c>
      <c r="D58" s="93">
        <v>2430</v>
      </c>
      <c r="E58" s="268">
        <v>240</v>
      </c>
      <c r="F58" s="214">
        <f t="shared" si="0"/>
        <v>9.8765432098765427</v>
      </c>
      <c r="G58" s="70"/>
    </row>
    <row r="59" spans="1:11">
      <c r="B59" s="202">
        <v>721121</v>
      </c>
      <c r="C59" s="327" t="s">
        <v>681</v>
      </c>
      <c r="D59" s="268">
        <v>54110</v>
      </c>
      <c r="E59" s="268">
        <v>90000</v>
      </c>
      <c r="F59" s="371">
        <f t="shared" si="0"/>
        <v>166.32785067455185</v>
      </c>
      <c r="G59" s="70"/>
      <c r="I59" s="70"/>
    </row>
    <row r="60" spans="1:11">
      <c r="B60" s="216">
        <v>721200</v>
      </c>
      <c r="C60" s="329" t="s">
        <v>390</v>
      </c>
      <c r="D60" s="92">
        <f>SUM(D61:D63)</f>
        <v>13300</v>
      </c>
      <c r="E60" s="92">
        <f>SUM(E61:E63)</f>
        <v>10720</v>
      </c>
      <c r="F60" s="204">
        <f t="shared" si="0"/>
        <v>80.601503759398497</v>
      </c>
    </row>
    <row r="61" spans="1:11">
      <c r="B61" s="217">
        <v>721211</v>
      </c>
      <c r="C61" s="327" t="s">
        <v>391</v>
      </c>
      <c r="D61" s="93">
        <v>6260</v>
      </c>
      <c r="E61" s="215">
        <v>3700</v>
      </c>
      <c r="F61" s="214">
        <f t="shared" si="0"/>
        <v>59.105431309904155</v>
      </c>
    </row>
    <row r="62" spans="1:11">
      <c r="B62" s="217">
        <v>721225</v>
      </c>
      <c r="C62" s="327" t="s">
        <v>672</v>
      </c>
      <c r="D62" s="93">
        <v>7010</v>
      </c>
      <c r="E62" s="210">
        <v>7000</v>
      </c>
      <c r="F62" s="214">
        <f t="shared" si="0"/>
        <v>99.85734664764621</v>
      </c>
    </row>
    <row r="63" spans="1:11">
      <c r="B63" s="217">
        <v>721233</v>
      </c>
      <c r="C63" s="327" t="s">
        <v>673</v>
      </c>
      <c r="D63" s="93">
        <v>30</v>
      </c>
      <c r="E63" s="93">
        <v>20</v>
      </c>
      <c r="F63" s="214">
        <f t="shared" si="0"/>
        <v>66.666666666666657</v>
      </c>
    </row>
    <row r="64" spans="1:11">
      <c r="B64" s="216">
        <v>721300</v>
      </c>
      <c r="C64" s="329" t="s">
        <v>392</v>
      </c>
      <c r="D64" s="92">
        <f>SUM(D65:D65)</f>
        <v>30</v>
      </c>
      <c r="E64" s="92">
        <f>SUM(E65:E65)</f>
        <v>0</v>
      </c>
      <c r="F64" s="204">
        <f t="shared" si="0"/>
        <v>0</v>
      </c>
    </row>
    <row r="65" spans="2:8">
      <c r="B65" s="217">
        <v>721312</v>
      </c>
      <c r="C65" s="327" t="s">
        <v>393</v>
      </c>
      <c r="D65" s="93">
        <v>30</v>
      </c>
      <c r="E65" s="93">
        <v>0</v>
      </c>
      <c r="F65" s="214">
        <f t="shared" si="0"/>
        <v>0</v>
      </c>
    </row>
    <row r="66" spans="2:8">
      <c r="B66" s="216">
        <v>721500</v>
      </c>
      <c r="C66" s="329" t="s">
        <v>394</v>
      </c>
      <c r="D66" s="92">
        <f>D67</f>
        <v>250</v>
      </c>
      <c r="E66" s="92">
        <f>E67</f>
        <v>100</v>
      </c>
      <c r="F66" s="204">
        <f t="shared" si="0"/>
        <v>40</v>
      </c>
    </row>
    <row r="67" spans="2:8">
      <c r="B67" s="217">
        <v>721511</v>
      </c>
      <c r="C67" s="327" t="s">
        <v>394</v>
      </c>
      <c r="D67" s="93">
        <v>250</v>
      </c>
      <c r="E67" s="93">
        <v>100</v>
      </c>
      <c r="F67" s="214">
        <f t="shared" si="0"/>
        <v>40</v>
      </c>
    </row>
    <row r="68" spans="2:8">
      <c r="B68" s="378">
        <v>722000</v>
      </c>
      <c r="C68" s="379" t="s">
        <v>462</v>
      </c>
      <c r="D68" s="383">
        <f>D69+D71+D73+D88+D124+D131</f>
        <v>2567730</v>
      </c>
      <c r="E68" s="383">
        <f>E69+E71+E73+E88+E124+E131</f>
        <v>2196000</v>
      </c>
      <c r="F68" s="349">
        <f t="shared" si="0"/>
        <v>85.523010596908549</v>
      </c>
    </row>
    <row r="69" spans="2:8">
      <c r="B69" s="207">
        <v>722100</v>
      </c>
      <c r="C69" s="226" t="s">
        <v>395</v>
      </c>
      <c r="D69" s="223">
        <f>D70</f>
        <v>135300</v>
      </c>
      <c r="E69" s="223">
        <f>E70</f>
        <v>148100</v>
      </c>
      <c r="F69" s="204">
        <f t="shared" si="0"/>
        <v>109.46045824094605</v>
      </c>
    </row>
    <row r="70" spans="2:8">
      <c r="B70" s="212">
        <v>722121</v>
      </c>
      <c r="C70" s="336" t="s">
        <v>396</v>
      </c>
      <c r="D70" s="210">
        <v>135300</v>
      </c>
      <c r="E70" s="210">
        <v>148100</v>
      </c>
      <c r="F70" s="214">
        <f t="shared" si="0"/>
        <v>109.46045824094605</v>
      </c>
    </row>
    <row r="71" spans="2:8">
      <c r="B71" s="207">
        <v>722200</v>
      </c>
      <c r="C71" s="226" t="s">
        <v>397</v>
      </c>
      <c r="D71" s="223">
        <f>D72</f>
        <v>402700</v>
      </c>
      <c r="E71" s="223">
        <f>E72</f>
        <v>410800</v>
      </c>
      <c r="F71" s="204">
        <f t="shared" si="0"/>
        <v>102.01142289545568</v>
      </c>
    </row>
    <row r="72" spans="2:8">
      <c r="B72" s="212">
        <v>722221</v>
      </c>
      <c r="C72" s="336" t="s">
        <v>398</v>
      </c>
      <c r="D72" s="210">
        <v>402700</v>
      </c>
      <c r="E72" s="210">
        <v>410800</v>
      </c>
      <c r="F72" s="214">
        <f t="shared" si="0"/>
        <v>102.01142289545568</v>
      </c>
    </row>
    <row r="73" spans="2:8">
      <c r="B73" s="207">
        <v>722400</v>
      </c>
      <c r="C73" s="226" t="s">
        <v>399</v>
      </c>
      <c r="D73" s="223">
        <f>D74+D79+D83</f>
        <v>851270</v>
      </c>
      <c r="E73" s="223">
        <f>E74+E79+E83</f>
        <v>479400</v>
      </c>
      <c r="F73" s="204">
        <f t="shared" si="0"/>
        <v>56.31585748352461</v>
      </c>
    </row>
    <row r="74" spans="2:8">
      <c r="B74" s="227">
        <v>722420</v>
      </c>
      <c r="C74" s="337" t="s">
        <v>400</v>
      </c>
      <c r="D74" s="213">
        <f>D75+D77+D78</f>
        <v>676230</v>
      </c>
      <c r="E74" s="213">
        <f>E75+E77+E78</f>
        <v>329700</v>
      </c>
      <c r="F74" s="204">
        <f t="shared" ref="F74:F139" si="1">IF(D74=0,"",E74/D74*100)</f>
        <v>48.755600905017523</v>
      </c>
    </row>
    <row r="75" spans="2:8">
      <c r="B75" s="212">
        <v>722422</v>
      </c>
      <c r="C75" s="336" t="s">
        <v>495</v>
      </c>
      <c r="D75" s="210">
        <f>D76</f>
        <v>670540</v>
      </c>
      <c r="E75" s="210">
        <f>E76</f>
        <v>325000</v>
      </c>
      <c r="F75" s="214">
        <f t="shared" si="1"/>
        <v>48.468398604110121</v>
      </c>
      <c r="H75" s="321"/>
    </row>
    <row r="76" spans="2:8" ht="26.25">
      <c r="B76" s="212"/>
      <c r="C76" s="338" t="s">
        <v>645</v>
      </c>
      <c r="D76" s="210">
        <v>670540</v>
      </c>
      <c r="E76" s="210">
        <f>24000+301000</f>
        <v>325000</v>
      </c>
      <c r="F76" s="214">
        <f t="shared" si="1"/>
        <v>48.468398604110121</v>
      </c>
      <c r="G76" s="70"/>
      <c r="H76" s="403"/>
    </row>
    <row r="77" spans="2:8">
      <c r="B77" s="212">
        <v>722424</v>
      </c>
      <c r="C77" s="336" t="s">
        <v>403</v>
      </c>
      <c r="D77" s="210">
        <v>3890</v>
      </c>
      <c r="E77" s="210">
        <v>4200</v>
      </c>
      <c r="F77" s="214">
        <f t="shared" si="1"/>
        <v>107.96915167095116</v>
      </c>
      <c r="H77" s="321"/>
    </row>
    <row r="78" spans="2:8">
      <c r="B78" s="212">
        <v>722429</v>
      </c>
      <c r="C78" s="336" t="s">
        <v>401</v>
      </c>
      <c r="D78" s="210">
        <v>1800</v>
      </c>
      <c r="E78" s="210">
        <v>500</v>
      </c>
      <c r="F78" s="214">
        <f t="shared" si="1"/>
        <v>27.777777777777779</v>
      </c>
      <c r="H78" s="321"/>
    </row>
    <row r="79" spans="2:8">
      <c r="B79" s="225">
        <v>722450</v>
      </c>
      <c r="C79" s="337" t="s">
        <v>402</v>
      </c>
      <c r="D79" s="221">
        <f>SUM(D80:D82)</f>
        <v>83580</v>
      </c>
      <c r="E79" s="221">
        <f>SUM(E80:E82)</f>
        <v>8000</v>
      </c>
      <c r="F79" s="204">
        <f t="shared" si="1"/>
        <v>9.5716678631251497</v>
      </c>
      <c r="H79" s="321"/>
    </row>
    <row r="80" spans="2:8">
      <c r="B80" s="212">
        <v>722451</v>
      </c>
      <c r="C80" s="336" t="s">
        <v>404</v>
      </c>
      <c r="D80" s="210">
        <v>6560</v>
      </c>
      <c r="E80" s="210">
        <v>6400</v>
      </c>
      <c r="F80" s="214">
        <f t="shared" si="1"/>
        <v>97.560975609756099</v>
      </c>
      <c r="H80" s="321"/>
    </row>
    <row r="81" spans="2:10">
      <c r="B81" s="212">
        <v>722454</v>
      </c>
      <c r="C81" s="336" t="s">
        <v>405</v>
      </c>
      <c r="D81" s="210">
        <v>1670</v>
      </c>
      <c r="E81" s="210">
        <v>1600</v>
      </c>
      <c r="F81" s="214">
        <f t="shared" si="1"/>
        <v>95.808383233532936</v>
      </c>
      <c r="H81" s="321"/>
    </row>
    <row r="82" spans="2:10" ht="25.5">
      <c r="B82" s="212">
        <v>722455</v>
      </c>
      <c r="C82" s="338" t="s">
        <v>680</v>
      </c>
      <c r="D82" s="210">
        <v>75350</v>
      </c>
      <c r="E82" s="210">
        <v>0</v>
      </c>
      <c r="F82" s="214">
        <f>IF(D82=0,"",E82/D82*100)</f>
        <v>0</v>
      </c>
      <c r="G82" s="70"/>
      <c r="H82" s="321"/>
      <c r="I82" s="70"/>
    </row>
    <row r="83" spans="2:10" ht="26.25">
      <c r="B83" s="225">
        <v>722470</v>
      </c>
      <c r="C83" s="339" t="s">
        <v>463</v>
      </c>
      <c r="D83" s="221">
        <f>D84+D86+D87</f>
        <v>91460</v>
      </c>
      <c r="E83" s="221">
        <f>E84+E86+E87</f>
        <v>141700</v>
      </c>
      <c r="F83" s="204">
        <f t="shared" si="1"/>
        <v>154.931117428384</v>
      </c>
      <c r="H83" s="403"/>
    </row>
    <row r="84" spans="2:10">
      <c r="B84" s="212">
        <v>722471</v>
      </c>
      <c r="C84" s="336" t="s">
        <v>406</v>
      </c>
      <c r="D84" s="210">
        <f>D85</f>
        <v>78300</v>
      </c>
      <c r="E84" s="210">
        <f>E85</f>
        <v>126100</v>
      </c>
      <c r="F84" s="214">
        <f t="shared" si="1"/>
        <v>161.04725415070243</v>
      </c>
      <c r="H84" s="321"/>
      <c r="I84" s="70"/>
      <c r="J84" s="102"/>
    </row>
    <row r="85" spans="2:10" ht="25.5">
      <c r="B85" s="212"/>
      <c r="C85" s="338" t="s">
        <v>645</v>
      </c>
      <c r="D85" s="210">
        <v>78300</v>
      </c>
      <c r="E85" s="210">
        <f>150000-E80-E81-E86-E87-E109</f>
        <v>126100</v>
      </c>
      <c r="F85" s="214">
        <f t="shared" si="1"/>
        <v>161.04725415070243</v>
      </c>
      <c r="H85" s="321"/>
    </row>
    <row r="86" spans="2:10" ht="25.5">
      <c r="B86" s="212">
        <v>722472</v>
      </c>
      <c r="C86" s="338" t="s">
        <v>407</v>
      </c>
      <c r="D86" s="210">
        <v>13160</v>
      </c>
      <c r="E86" s="210">
        <v>15600</v>
      </c>
      <c r="F86" s="214">
        <f t="shared" si="1"/>
        <v>118.54103343465046</v>
      </c>
    </row>
    <row r="87" spans="2:10" ht="25.5">
      <c r="B87" s="212">
        <v>722479</v>
      </c>
      <c r="C87" s="338" t="s">
        <v>646</v>
      </c>
      <c r="D87" s="210">
        <v>0</v>
      </c>
      <c r="E87" s="210">
        <v>0</v>
      </c>
      <c r="F87" s="214" t="str">
        <f t="shared" si="1"/>
        <v/>
      </c>
    </row>
    <row r="88" spans="2:10" ht="25.5">
      <c r="B88" s="207">
        <v>722500</v>
      </c>
      <c r="C88" s="73" t="s">
        <v>408</v>
      </c>
      <c r="D88" s="228">
        <f>D89+D93+D103+D108+D110+D117</f>
        <v>771420</v>
      </c>
      <c r="E88" s="228">
        <f>E89+E93+E103+E108+E110+E117</f>
        <v>744400</v>
      </c>
      <c r="F88" s="204">
        <f t="shared" si="1"/>
        <v>96.497368489279509</v>
      </c>
    </row>
    <row r="89" spans="2:10" ht="25.5">
      <c r="B89" s="225">
        <v>722510</v>
      </c>
      <c r="C89" s="229" t="s">
        <v>464</v>
      </c>
      <c r="D89" s="221">
        <f>SUM(D90:D92)</f>
        <v>3670</v>
      </c>
      <c r="E89" s="221">
        <f>SUM(E90:E92)</f>
        <v>3750</v>
      </c>
      <c r="F89" s="204">
        <f t="shared" si="1"/>
        <v>102.17983651226159</v>
      </c>
    </row>
    <row r="90" spans="2:10" ht="25.5">
      <c r="B90" s="202">
        <v>722514</v>
      </c>
      <c r="C90" s="114" t="s">
        <v>423</v>
      </c>
      <c r="D90" s="178">
        <v>1770</v>
      </c>
      <c r="E90" s="178">
        <v>1800</v>
      </c>
      <c r="F90" s="214">
        <f t="shared" si="1"/>
        <v>101.69491525423729</v>
      </c>
    </row>
    <row r="91" spans="2:10">
      <c r="B91" s="202">
        <v>722515</v>
      </c>
      <c r="C91" s="115" t="s">
        <v>409</v>
      </c>
      <c r="D91" s="178">
        <v>1850</v>
      </c>
      <c r="E91" s="178">
        <v>1920</v>
      </c>
      <c r="F91" s="214">
        <f t="shared" si="1"/>
        <v>103.78378378378379</v>
      </c>
    </row>
    <row r="92" spans="2:10">
      <c r="B92" s="202">
        <v>722516</v>
      </c>
      <c r="C92" s="115" t="s">
        <v>410</v>
      </c>
      <c r="D92" s="178">
        <v>50</v>
      </c>
      <c r="E92" s="178">
        <v>30</v>
      </c>
      <c r="F92" s="214">
        <f t="shared" si="1"/>
        <v>60</v>
      </c>
    </row>
    <row r="93" spans="2:10">
      <c r="B93" s="225">
        <v>722520</v>
      </c>
      <c r="C93" s="230" t="s">
        <v>411</v>
      </c>
      <c r="D93" s="221">
        <f>D94+D96+D97+D98+D99+D100+D101+D102</f>
        <v>295450</v>
      </c>
      <c r="E93" s="221">
        <f>E94+E96+E97+E98+E99+E100+E101+E102</f>
        <v>226240</v>
      </c>
      <c r="F93" s="204">
        <f t="shared" si="1"/>
        <v>76.574716534100531</v>
      </c>
    </row>
    <row r="94" spans="2:10" ht="25.5">
      <c r="B94" s="202">
        <v>722521</v>
      </c>
      <c r="C94" s="114" t="s">
        <v>424</v>
      </c>
      <c r="D94" s="178">
        <f>D95</f>
        <v>187880</v>
      </c>
      <c r="E94" s="178">
        <f>E95</f>
        <v>117680</v>
      </c>
      <c r="F94" s="214">
        <f t="shared" si="1"/>
        <v>62.635724930806902</v>
      </c>
    </row>
    <row r="95" spans="2:10">
      <c r="B95" s="212"/>
      <c r="C95" s="338" t="s">
        <v>647</v>
      </c>
      <c r="D95" s="178">
        <v>187880</v>
      </c>
      <c r="E95" s="178">
        <f>92400+25280</f>
        <v>117680</v>
      </c>
      <c r="F95" s="214">
        <f t="shared" si="1"/>
        <v>62.635724930806902</v>
      </c>
    </row>
    <row r="96" spans="2:10" ht="25.5">
      <c r="B96" s="340">
        <v>722522</v>
      </c>
      <c r="C96" s="343" t="s">
        <v>425</v>
      </c>
      <c r="D96" s="344">
        <v>31200</v>
      </c>
      <c r="E96" s="344">
        <v>30300</v>
      </c>
      <c r="F96" s="351">
        <f t="shared" si="1"/>
        <v>97.115384615384613</v>
      </c>
    </row>
    <row r="97" spans="2:10" ht="25.5">
      <c r="B97" s="202">
        <v>722523</v>
      </c>
      <c r="C97" s="114" t="s">
        <v>426</v>
      </c>
      <c r="D97" s="178">
        <v>5000</v>
      </c>
      <c r="E97" s="178">
        <v>4800</v>
      </c>
      <c r="F97" s="211">
        <f t="shared" si="1"/>
        <v>96</v>
      </c>
    </row>
    <row r="98" spans="2:10" ht="25.5">
      <c r="B98" s="202">
        <v>722524</v>
      </c>
      <c r="C98" s="114" t="s">
        <v>427</v>
      </c>
      <c r="D98" s="178">
        <v>500</v>
      </c>
      <c r="E98" s="178">
        <v>540</v>
      </c>
      <c r="F98" s="211">
        <f t="shared" si="1"/>
        <v>108</v>
      </c>
    </row>
    <row r="99" spans="2:10" ht="25.5">
      <c r="B99" s="202">
        <v>722525</v>
      </c>
      <c r="C99" s="114" t="s">
        <v>428</v>
      </c>
      <c r="D99" s="178">
        <v>100</v>
      </c>
      <c r="E99" s="178">
        <v>1080</v>
      </c>
      <c r="F99" s="211">
        <f t="shared" si="1"/>
        <v>1080</v>
      </c>
    </row>
    <row r="100" spans="2:10">
      <c r="B100" s="202">
        <v>722527</v>
      </c>
      <c r="C100" s="115" t="s">
        <v>648</v>
      </c>
      <c r="D100" s="178">
        <v>6200</v>
      </c>
      <c r="E100" s="178">
        <v>5100</v>
      </c>
      <c r="F100" s="372">
        <f t="shared" si="1"/>
        <v>82.258064516129039</v>
      </c>
    </row>
    <row r="101" spans="2:10">
      <c r="B101" s="202">
        <v>722528</v>
      </c>
      <c r="C101" s="115" t="s">
        <v>412</v>
      </c>
      <c r="D101" s="178">
        <v>870</v>
      </c>
      <c r="E101" s="178">
        <v>840</v>
      </c>
      <c r="F101" s="211">
        <f t="shared" si="1"/>
        <v>96.551724137931032</v>
      </c>
    </row>
    <row r="102" spans="2:10">
      <c r="B102" s="202">
        <v>722529</v>
      </c>
      <c r="C102" s="115" t="s">
        <v>413</v>
      </c>
      <c r="D102" s="178">
        <v>63700</v>
      </c>
      <c r="E102" s="178">
        <v>65900</v>
      </c>
      <c r="F102" s="211">
        <f t="shared" si="1"/>
        <v>103.45368916797489</v>
      </c>
    </row>
    <row r="103" spans="2:10">
      <c r="B103" s="225">
        <v>722530</v>
      </c>
      <c r="C103" s="230" t="s">
        <v>414</v>
      </c>
      <c r="D103" s="221">
        <f>SUM(D104:D107)</f>
        <v>332080</v>
      </c>
      <c r="E103" s="221">
        <f>SUM(E104:E107)</f>
        <v>344210</v>
      </c>
      <c r="F103" s="220">
        <f t="shared" si="1"/>
        <v>103.65273428089617</v>
      </c>
    </row>
    <row r="104" spans="2:10">
      <c r="B104" s="202">
        <v>722531</v>
      </c>
      <c r="C104" s="115" t="s">
        <v>415</v>
      </c>
      <c r="D104" s="178">
        <v>93100</v>
      </c>
      <c r="E104" s="178">
        <v>95900</v>
      </c>
      <c r="F104" s="211">
        <f t="shared" si="1"/>
        <v>103.00751879699249</v>
      </c>
    </row>
    <row r="105" spans="2:10">
      <c r="B105" s="202">
        <v>722532</v>
      </c>
      <c r="C105" s="115" t="s">
        <v>416</v>
      </c>
      <c r="D105" s="178">
        <v>238800</v>
      </c>
      <c r="E105" s="178">
        <v>248200</v>
      </c>
      <c r="F105" s="211">
        <f t="shared" si="1"/>
        <v>103.93634840871022</v>
      </c>
    </row>
    <row r="106" spans="2:10">
      <c r="B106" s="202">
        <v>722538</v>
      </c>
      <c r="C106" s="115" t="s">
        <v>417</v>
      </c>
      <c r="D106" s="178">
        <v>170</v>
      </c>
      <c r="E106" s="178">
        <v>100</v>
      </c>
      <c r="F106" s="211">
        <f t="shared" si="1"/>
        <v>58.82352941176471</v>
      </c>
    </row>
    <row r="107" spans="2:10">
      <c r="B107" s="202">
        <v>722539</v>
      </c>
      <c r="C107" s="115" t="s">
        <v>674</v>
      </c>
      <c r="D107" s="178">
        <v>10</v>
      </c>
      <c r="E107" s="178">
        <v>10</v>
      </c>
      <c r="F107" s="211">
        <f t="shared" si="1"/>
        <v>100</v>
      </c>
    </row>
    <row r="108" spans="2:10">
      <c r="B108" s="225">
        <v>722540</v>
      </c>
      <c r="C108" s="230" t="s">
        <v>418</v>
      </c>
      <c r="D108" s="221">
        <f>D109</f>
        <v>310</v>
      </c>
      <c r="E108" s="221">
        <f>E109</f>
        <v>300</v>
      </c>
      <c r="F108" s="220">
        <f t="shared" si="1"/>
        <v>96.774193548387103</v>
      </c>
    </row>
    <row r="109" spans="2:10">
      <c r="B109" s="202">
        <v>722541</v>
      </c>
      <c r="C109" s="115" t="s">
        <v>419</v>
      </c>
      <c r="D109" s="178">
        <v>310</v>
      </c>
      <c r="E109" s="178">
        <v>300</v>
      </c>
      <c r="F109" s="211">
        <f t="shared" si="1"/>
        <v>96.774193548387103</v>
      </c>
    </row>
    <row r="110" spans="2:10" ht="15">
      <c r="B110" s="225">
        <v>722550</v>
      </c>
      <c r="C110" s="230" t="s">
        <v>420</v>
      </c>
      <c r="D110" s="221">
        <f>D111+D113+D115</f>
        <v>100000</v>
      </c>
      <c r="E110" s="221">
        <f>E111+E113+E115</f>
        <v>140000</v>
      </c>
      <c r="F110" s="220">
        <f t="shared" si="1"/>
        <v>140</v>
      </c>
      <c r="H110" s="400"/>
      <c r="I110" s="321"/>
      <c r="J110" s="400"/>
    </row>
    <row r="111" spans="2:10">
      <c r="B111" s="202">
        <v>722551</v>
      </c>
      <c r="C111" s="115" t="s">
        <v>421</v>
      </c>
      <c r="D111" s="178">
        <f>D112</f>
        <v>12090</v>
      </c>
      <c r="E111" s="178">
        <f>E112</f>
        <v>6300</v>
      </c>
      <c r="F111" s="211">
        <f t="shared" si="1"/>
        <v>52.109181141439208</v>
      </c>
      <c r="H111" s="321"/>
      <c r="I111" s="321"/>
      <c r="J111" s="321"/>
    </row>
    <row r="112" spans="2:10">
      <c r="B112" s="212"/>
      <c r="C112" s="338" t="s">
        <v>647</v>
      </c>
      <c r="D112" s="178">
        <v>12090</v>
      </c>
      <c r="E112" s="178">
        <f>6300</f>
        <v>6300</v>
      </c>
      <c r="F112" s="211">
        <f t="shared" si="1"/>
        <v>52.109181141439208</v>
      </c>
      <c r="H112" s="321"/>
      <c r="I112" s="401"/>
      <c r="J112" s="321"/>
    </row>
    <row r="113" spans="2:10" ht="25.5">
      <c r="B113" s="202">
        <v>722555</v>
      </c>
      <c r="C113" s="114" t="s">
        <v>429</v>
      </c>
      <c r="D113" s="178">
        <f>D114</f>
        <v>87910</v>
      </c>
      <c r="E113" s="178">
        <f>E114</f>
        <v>61200</v>
      </c>
      <c r="F113" s="211">
        <f t="shared" si="1"/>
        <v>69.616653395518142</v>
      </c>
      <c r="H113" s="321"/>
      <c r="I113" s="321"/>
      <c r="J113" s="321"/>
    </row>
    <row r="114" spans="2:10">
      <c r="B114" s="212"/>
      <c r="C114" s="338" t="s">
        <v>647</v>
      </c>
      <c r="D114" s="178">
        <v>87910</v>
      </c>
      <c r="E114" s="178">
        <f>61200</f>
        <v>61200</v>
      </c>
      <c r="F114" s="211">
        <f t="shared" si="1"/>
        <v>69.616653395518142</v>
      </c>
      <c r="H114" s="321"/>
      <c r="I114" s="401"/>
      <c r="J114" s="321"/>
    </row>
    <row r="115" spans="2:10" ht="25.5">
      <c r="B115" s="202">
        <v>722556</v>
      </c>
      <c r="C115" s="114" t="s">
        <v>430</v>
      </c>
      <c r="D115" s="178">
        <f>D116</f>
        <v>0</v>
      </c>
      <c r="E115" s="178">
        <f>E116</f>
        <v>72500</v>
      </c>
      <c r="F115" s="211" t="str">
        <f t="shared" si="1"/>
        <v/>
      </c>
      <c r="H115" s="321"/>
      <c r="I115" s="321"/>
      <c r="J115" s="321"/>
    </row>
    <row r="116" spans="2:10" ht="15">
      <c r="B116" s="212"/>
      <c r="C116" s="338" t="s">
        <v>647</v>
      </c>
      <c r="D116" s="178">
        <v>0</v>
      </c>
      <c r="E116" s="178">
        <f>121200-48700</f>
        <v>72500</v>
      </c>
      <c r="F116" s="211" t="str">
        <f t="shared" si="1"/>
        <v/>
      </c>
      <c r="H116" s="400"/>
      <c r="I116" s="401"/>
      <c r="J116" s="321"/>
    </row>
    <row r="117" spans="2:10">
      <c r="B117" s="225">
        <v>722580</v>
      </c>
      <c r="C117" s="230" t="s">
        <v>431</v>
      </c>
      <c r="D117" s="221">
        <f>D118+D120+D121+D122+D123</f>
        <v>39910</v>
      </c>
      <c r="E117" s="221">
        <f>E118+E120+E121+E122+E123</f>
        <v>29900</v>
      </c>
      <c r="F117" s="220">
        <f t="shared" si="1"/>
        <v>74.918566775244301</v>
      </c>
      <c r="H117" s="321"/>
      <c r="I117" s="321"/>
      <c r="J117" s="321"/>
    </row>
    <row r="118" spans="2:10" ht="25.5">
      <c r="B118" s="202">
        <v>722581</v>
      </c>
      <c r="C118" s="114" t="s">
        <v>432</v>
      </c>
      <c r="D118" s="178">
        <f>D119</f>
        <v>33370</v>
      </c>
      <c r="E118" s="178">
        <f>E119</f>
        <v>23820</v>
      </c>
      <c r="F118" s="211">
        <f t="shared" si="1"/>
        <v>71.381480371591252</v>
      </c>
      <c r="H118" s="321"/>
      <c r="I118" s="321"/>
      <c r="J118" s="321"/>
    </row>
    <row r="119" spans="2:10" ht="15">
      <c r="B119" s="212"/>
      <c r="C119" s="338" t="s">
        <v>649</v>
      </c>
      <c r="D119" s="178">
        <v>33370</v>
      </c>
      <c r="E119" s="178">
        <v>23820</v>
      </c>
      <c r="F119" s="211">
        <f t="shared" si="1"/>
        <v>71.381480371591252</v>
      </c>
      <c r="H119" s="400"/>
      <c r="I119" s="321"/>
      <c r="J119" s="402"/>
    </row>
    <row r="120" spans="2:10" ht="38.25">
      <c r="B120" s="202">
        <v>722582</v>
      </c>
      <c r="C120" s="114" t="s">
        <v>433</v>
      </c>
      <c r="D120" s="178">
        <v>3130</v>
      </c>
      <c r="E120" s="178">
        <v>3000</v>
      </c>
      <c r="F120" s="211">
        <f t="shared" si="1"/>
        <v>95.846645367412137</v>
      </c>
      <c r="H120" s="321"/>
      <c r="I120" s="321"/>
      <c r="J120" s="321"/>
    </row>
    <row r="121" spans="2:10" ht="25.5">
      <c r="B121" s="202">
        <v>722583</v>
      </c>
      <c r="C121" s="114" t="s">
        <v>434</v>
      </c>
      <c r="D121" s="178">
        <v>1690</v>
      </c>
      <c r="E121" s="178">
        <v>1500</v>
      </c>
      <c r="F121" s="211">
        <f t="shared" si="1"/>
        <v>88.757396449704146</v>
      </c>
    </row>
    <row r="122" spans="2:10" ht="25.5">
      <c r="B122" s="202">
        <v>722584</v>
      </c>
      <c r="C122" s="114" t="s">
        <v>435</v>
      </c>
      <c r="D122" s="178">
        <v>1280</v>
      </c>
      <c r="E122" s="178">
        <v>1200</v>
      </c>
      <c r="F122" s="211">
        <f t="shared" si="1"/>
        <v>93.75</v>
      </c>
    </row>
    <row r="123" spans="2:10" ht="25.5">
      <c r="B123" s="202">
        <v>722585</v>
      </c>
      <c r="C123" s="114" t="s">
        <v>436</v>
      </c>
      <c r="D123" s="178">
        <v>440</v>
      </c>
      <c r="E123" s="178">
        <v>380</v>
      </c>
      <c r="F123" s="211">
        <f t="shared" si="1"/>
        <v>86.36363636363636</v>
      </c>
    </row>
    <row r="124" spans="2:10">
      <c r="B124" s="207">
        <v>722600</v>
      </c>
      <c r="C124" s="73" t="s">
        <v>422</v>
      </c>
      <c r="D124" s="228">
        <f>SUM(D125:D130)</f>
        <v>406000</v>
      </c>
      <c r="E124" s="228">
        <f>SUM(E125:E130)</f>
        <v>412650</v>
      </c>
      <c r="F124" s="220">
        <f t="shared" si="1"/>
        <v>101.63793103448275</v>
      </c>
    </row>
    <row r="125" spans="2:10">
      <c r="B125" s="212">
        <v>722611</v>
      </c>
      <c r="C125" s="115" t="s">
        <v>437</v>
      </c>
      <c r="D125" s="178">
        <v>168810</v>
      </c>
      <c r="E125" s="178">
        <v>162900</v>
      </c>
      <c r="F125" s="211">
        <f t="shared" si="1"/>
        <v>96.499022569752981</v>
      </c>
    </row>
    <row r="126" spans="2:10">
      <c r="B126" s="212">
        <v>722612</v>
      </c>
      <c r="C126" s="115" t="s">
        <v>438</v>
      </c>
      <c r="D126" s="178">
        <v>45290</v>
      </c>
      <c r="E126" s="178">
        <v>43700</v>
      </c>
      <c r="F126" s="211">
        <f t="shared" si="1"/>
        <v>96.489291234268052</v>
      </c>
    </row>
    <row r="127" spans="2:10">
      <c r="B127" s="212">
        <v>722613</v>
      </c>
      <c r="C127" s="115" t="s">
        <v>439</v>
      </c>
      <c r="D127" s="178">
        <v>5980</v>
      </c>
      <c r="E127" s="178">
        <v>6800</v>
      </c>
      <c r="F127" s="211">
        <f t="shared" si="1"/>
        <v>113.71237458193978</v>
      </c>
    </row>
    <row r="128" spans="2:10">
      <c r="B128" s="212">
        <v>722621</v>
      </c>
      <c r="C128" s="115" t="s">
        <v>440</v>
      </c>
      <c r="D128" s="178">
        <v>138370</v>
      </c>
      <c r="E128" s="178">
        <v>151200</v>
      </c>
      <c r="F128" s="211">
        <f t="shared" si="1"/>
        <v>109.27224109272242</v>
      </c>
    </row>
    <row r="129" spans="2:8">
      <c r="B129" s="212">
        <v>722631</v>
      </c>
      <c r="C129" s="115" t="s">
        <v>441</v>
      </c>
      <c r="D129" s="178">
        <v>47500</v>
      </c>
      <c r="E129" s="178">
        <v>48000</v>
      </c>
      <c r="F129" s="211">
        <f t="shared" si="1"/>
        <v>101.05263157894737</v>
      </c>
    </row>
    <row r="130" spans="2:8">
      <c r="B130" s="212">
        <v>722632</v>
      </c>
      <c r="C130" s="115" t="s">
        <v>675</v>
      </c>
      <c r="D130" s="178">
        <v>50</v>
      </c>
      <c r="E130" s="178">
        <v>50</v>
      </c>
      <c r="F130" s="211">
        <f t="shared" si="1"/>
        <v>100</v>
      </c>
    </row>
    <row r="131" spans="2:8">
      <c r="B131" s="225">
        <v>722700</v>
      </c>
      <c r="C131" s="73" t="s">
        <v>442</v>
      </c>
      <c r="D131" s="228">
        <f>SUM(D132:D134)</f>
        <v>1040</v>
      </c>
      <c r="E131" s="228">
        <f>SUM(E132:E134)</f>
        <v>650</v>
      </c>
      <c r="F131" s="211">
        <f t="shared" si="1"/>
        <v>62.5</v>
      </c>
    </row>
    <row r="132" spans="2:8">
      <c r="B132" s="212">
        <v>722719</v>
      </c>
      <c r="C132" s="115" t="s">
        <v>650</v>
      </c>
      <c r="D132" s="178">
        <v>50</v>
      </c>
      <c r="E132" s="178">
        <v>50</v>
      </c>
      <c r="F132" s="211">
        <f t="shared" si="1"/>
        <v>100</v>
      </c>
    </row>
    <row r="133" spans="2:8">
      <c r="B133" s="212">
        <v>722732</v>
      </c>
      <c r="C133" s="115" t="s">
        <v>443</v>
      </c>
      <c r="D133" s="178">
        <v>280</v>
      </c>
      <c r="E133" s="178">
        <v>100</v>
      </c>
      <c r="F133" s="211">
        <f t="shared" si="1"/>
        <v>35.714285714285715</v>
      </c>
    </row>
    <row r="134" spans="2:8">
      <c r="B134" s="212">
        <v>722791</v>
      </c>
      <c r="C134" s="115" t="s">
        <v>444</v>
      </c>
      <c r="D134" s="178">
        <v>710</v>
      </c>
      <c r="E134" s="178">
        <v>500</v>
      </c>
      <c r="F134" s="211">
        <f t="shared" si="1"/>
        <v>70.422535211267601</v>
      </c>
    </row>
    <row r="135" spans="2:8">
      <c r="B135" s="378">
        <v>723000</v>
      </c>
      <c r="C135" s="379" t="s">
        <v>197</v>
      </c>
      <c r="D135" s="380">
        <f>D136</f>
        <v>349800</v>
      </c>
      <c r="E135" s="380">
        <f>E136</f>
        <v>363950</v>
      </c>
      <c r="F135" s="349">
        <f t="shared" si="1"/>
        <v>104.04516866781017</v>
      </c>
    </row>
    <row r="136" spans="2:8">
      <c r="B136" s="216">
        <v>723100</v>
      </c>
      <c r="C136" s="229" t="s">
        <v>445</v>
      </c>
      <c r="D136" s="221">
        <f>SUM(D137:D140)</f>
        <v>349800</v>
      </c>
      <c r="E136" s="221">
        <f>SUM(E137:E140)</f>
        <v>363950</v>
      </c>
      <c r="F136" s="211">
        <f t="shared" si="1"/>
        <v>104.04516866781017</v>
      </c>
    </row>
    <row r="137" spans="2:8">
      <c r="B137" s="212">
        <v>723121</v>
      </c>
      <c r="C137" s="29" t="s">
        <v>446</v>
      </c>
      <c r="D137" s="215">
        <v>270</v>
      </c>
      <c r="E137" s="215">
        <v>300</v>
      </c>
      <c r="F137" s="211">
        <f t="shared" si="1"/>
        <v>111.11111111111111</v>
      </c>
    </row>
    <row r="138" spans="2:8">
      <c r="B138" s="212">
        <v>723122</v>
      </c>
      <c r="C138" s="29" t="s">
        <v>447</v>
      </c>
      <c r="D138" s="210">
        <v>50</v>
      </c>
      <c r="E138" s="210">
        <v>50</v>
      </c>
      <c r="F138" s="211">
        <f t="shared" si="1"/>
        <v>100</v>
      </c>
    </row>
    <row r="139" spans="2:8" ht="25.5">
      <c r="B139" s="212">
        <v>723123</v>
      </c>
      <c r="C139" s="71" t="s">
        <v>449</v>
      </c>
      <c r="D139" s="215">
        <v>343700</v>
      </c>
      <c r="E139" s="215">
        <v>360000</v>
      </c>
      <c r="F139" s="211">
        <f t="shared" si="1"/>
        <v>104.7425080011638</v>
      </c>
    </row>
    <row r="140" spans="2:8">
      <c r="B140" s="345">
        <v>723129</v>
      </c>
      <c r="C140" s="346" t="s">
        <v>448</v>
      </c>
      <c r="D140" s="347">
        <v>5780</v>
      </c>
      <c r="E140" s="347">
        <v>3600</v>
      </c>
      <c r="F140" s="350">
        <f t="shared" ref="F140:F203" si="2">IF(D140=0,"",E140/D140*100)</f>
        <v>62.283737024221452</v>
      </c>
    </row>
    <row r="141" spans="2:8">
      <c r="B141" s="212"/>
      <c r="C141" s="201"/>
      <c r="D141" s="215"/>
      <c r="E141" s="215"/>
      <c r="F141" s="214" t="str">
        <f t="shared" si="2"/>
        <v/>
      </c>
    </row>
    <row r="142" spans="2:8" ht="15">
      <c r="B142" s="439" t="s">
        <v>493</v>
      </c>
      <c r="C142" s="440"/>
      <c r="D142" s="233">
        <f>D5+D55</f>
        <v>37178140</v>
      </c>
      <c r="E142" s="233">
        <f>E5+E55</f>
        <v>36248740</v>
      </c>
      <c r="F142" s="352">
        <f t="shared" si="2"/>
        <v>97.500143901765938</v>
      </c>
    </row>
    <row r="143" spans="2:8">
      <c r="B143" s="74"/>
      <c r="C143" s="72"/>
      <c r="D143" s="93"/>
      <c r="E143" s="93"/>
      <c r="F143" s="214" t="str">
        <f t="shared" si="2"/>
        <v/>
      </c>
    </row>
    <row r="144" spans="2:8" ht="15">
      <c r="B144" s="375">
        <v>730000</v>
      </c>
      <c r="C144" s="384" t="s">
        <v>552</v>
      </c>
      <c r="D144" s="377">
        <f>D145+D152+D165</f>
        <v>1997450</v>
      </c>
      <c r="E144" s="377">
        <f>E145+E152+E165</f>
        <v>3158900</v>
      </c>
      <c r="F144" s="348">
        <f t="shared" si="2"/>
        <v>158.14663696212671</v>
      </c>
      <c r="H144" s="102"/>
    </row>
    <row r="145" spans="2:6" ht="25.5">
      <c r="B145" s="385">
        <v>731000</v>
      </c>
      <c r="C145" s="386" t="s">
        <v>533</v>
      </c>
      <c r="D145" s="387">
        <f>D146</f>
        <v>174830</v>
      </c>
      <c r="E145" s="387">
        <f>E146</f>
        <v>0</v>
      </c>
      <c r="F145" s="349">
        <f t="shared" si="2"/>
        <v>0</v>
      </c>
    </row>
    <row r="146" spans="2:6">
      <c r="B146" s="225">
        <v>731100</v>
      </c>
      <c r="C146" s="337" t="s">
        <v>534</v>
      </c>
      <c r="D146" s="221">
        <f>D147+D149</f>
        <v>174830</v>
      </c>
      <c r="E146" s="221">
        <f>E147+E149</f>
        <v>0</v>
      </c>
      <c r="F146" s="204">
        <f t="shared" si="2"/>
        <v>0</v>
      </c>
    </row>
    <row r="147" spans="2:6">
      <c r="B147" s="408">
        <v>731111</v>
      </c>
      <c r="C147" s="327" t="s">
        <v>735</v>
      </c>
      <c r="D147" s="409">
        <f>D148</f>
        <v>20000</v>
      </c>
      <c r="E147" s="409">
        <f>E148</f>
        <v>0</v>
      </c>
      <c r="F147" s="410">
        <f>IF(D147=0,"",E147/D147*100)</f>
        <v>0</v>
      </c>
    </row>
    <row r="148" spans="2:6">
      <c r="B148" s="408"/>
      <c r="C148" s="338" t="s">
        <v>736</v>
      </c>
      <c r="D148" s="411">
        <v>20000</v>
      </c>
      <c r="E148" s="411">
        <v>0</v>
      </c>
      <c r="F148" s="410">
        <f>IF(D148=0,"",E148/D148*100)</f>
        <v>0</v>
      </c>
    </row>
    <row r="149" spans="2:6">
      <c r="B149" s="408">
        <v>731121</v>
      </c>
      <c r="C149" s="327" t="s">
        <v>535</v>
      </c>
      <c r="D149" s="409">
        <f>SUM(D150:D151)</f>
        <v>154830</v>
      </c>
      <c r="E149" s="409">
        <f>SUM(E150:E151)</f>
        <v>0</v>
      </c>
      <c r="F149" s="410">
        <f t="shared" si="2"/>
        <v>0</v>
      </c>
    </row>
    <row r="150" spans="2:6">
      <c r="B150" s="408"/>
      <c r="C150" s="338" t="s">
        <v>651</v>
      </c>
      <c r="D150" s="411">
        <v>17860</v>
      </c>
      <c r="E150" s="411">
        <v>0</v>
      </c>
      <c r="F150" s="410">
        <f t="shared" si="2"/>
        <v>0</v>
      </c>
    </row>
    <row r="151" spans="2:6">
      <c r="B151" s="408"/>
      <c r="C151" s="338" t="s">
        <v>652</v>
      </c>
      <c r="D151" s="411">
        <v>136970</v>
      </c>
      <c r="E151" s="411">
        <v>0</v>
      </c>
      <c r="F151" s="410">
        <f t="shared" si="2"/>
        <v>0</v>
      </c>
    </row>
    <row r="152" spans="2:6">
      <c r="B152" s="388">
        <v>732000</v>
      </c>
      <c r="C152" s="386" t="s">
        <v>536</v>
      </c>
      <c r="D152" s="387">
        <f>D153</f>
        <v>1552180</v>
      </c>
      <c r="E152" s="387">
        <f>E153</f>
        <v>3158900</v>
      </c>
      <c r="F152" s="349">
        <f t="shared" si="2"/>
        <v>203.51376773312376</v>
      </c>
    </row>
    <row r="153" spans="2:6">
      <c r="B153" s="225">
        <v>732100</v>
      </c>
      <c r="C153" s="337" t="s">
        <v>537</v>
      </c>
      <c r="D153" s="221">
        <f>D154+D163</f>
        <v>1552180</v>
      </c>
      <c r="E153" s="221">
        <f>E154+E163</f>
        <v>3158900</v>
      </c>
      <c r="F153" s="204">
        <f t="shared" si="2"/>
        <v>203.51376773312376</v>
      </c>
    </row>
    <row r="154" spans="2:6">
      <c r="B154" s="207">
        <v>732110</v>
      </c>
      <c r="C154" s="219" t="s">
        <v>538</v>
      </c>
      <c r="D154" s="228">
        <f>D155</f>
        <v>1552180</v>
      </c>
      <c r="E154" s="228">
        <f>E155</f>
        <v>3158900</v>
      </c>
      <c r="F154" s="204">
        <f t="shared" si="2"/>
        <v>203.51376773312376</v>
      </c>
    </row>
    <row r="155" spans="2:6">
      <c r="B155" s="408">
        <v>732112</v>
      </c>
      <c r="C155" s="327" t="s">
        <v>539</v>
      </c>
      <c r="D155" s="409">
        <f>SUM(D156:D162)</f>
        <v>1552180</v>
      </c>
      <c r="E155" s="409">
        <f>SUM(E156:E162)</f>
        <v>3158900</v>
      </c>
      <c r="F155" s="410">
        <f t="shared" si="2"/>
        <v>203.51376773312376</v>
      </c>
    </row>
    <row r="156" spans="2:6">
      <c r="B156" s="408"/>
      <c r="C156" s="338" t="s">
        <v>676</v>
      </c>
      <c r="D156" s="411">
        <v>78860</v>
      </c>
      <c r="E156" s="411">
        <v>81140</v>
      </c>
      <c r="F156" s="410"/>
    </row>
    <row r="157" spans="2:6" ht="25.5">
      <c r="B157" s="408"/>
      <c r="C157" s="338" t="s">
        <v>488</v>
      </c>
      <c r="D157" s="411">
        <v>268060</v>
      </c>
      <c r="E157" s="411">
        <v>262680</v>
      </c>
      <c r="F157" s="410">
        <f t="shared" si="2"/>
        <v>97.992986644781027</v>
      </c>
    </row>
    <row r="158" spans="2:6" ht="25.5">
      <c r="B158" s="408"/>
      <c r="C158" s="338" t="s">
        <v>653</v>
      </c>
      <c r="D158" s="411">
        <v>0</v>
      </c>
      <c r="E158" s="411">
        <v>15080</v>
      </c>
      <c r="F158" s="410" t="str">
        <f t="shared" si="2"/>
        <v/>
      </c>
    </row>
    <row r="159" spans="2:6" ht="38.25">
      <c r="B159" s="408"/>
      <c r="C159" s="338" t="s">
        <v>737</v>
      </c>
      <c r="D159" s="411">
        <v>2630</v>
      </c>
      <c r="E159" s="411">
        <v>0</v>
      </c>
      <c r="F159" s="410">
        <f>IF(D159=0,"",E159/D159*100)</f>
        <v>0</v>
      </c>
    </row>
    <row r="160" spans="2:6" ht="38.25">
      <c r="B160" s="408"/>
      <c r="C160" s="338" t="s">
        <v>738</v>
      </c>
      <c r="D160" s="411">
        <v>2630</v>
      </c>
      <c r="E160" s="411">
        <v>0</v>
      </c>
      <c r="F160" s="410">
        <f>IF(D160=0,"",E160/D160*100)</f>
        <v>0</v>
      </c>
    </row>
    <row r="161" spans="2:9">
      <c r="B161" s="408"/>
      <c r="C161" s="338" t="s">
        <v>739</v>
      </c>
      <c r="D161" s="411">
        <v>200000</v>
      </c>
      <c r="E161" s="411">
        <v>0</v>
      </c>
      <c r="F161" s="410">
        <f>IF(D161=0,"",E161/D161*100)</f>
        <v>0</v>
      </c>
    </row>
    <row r="162" spans="2:9">
      <c r="B162" s="408"/>
      <c r="C162" s="338" t="s">
        <v>489</v>
      </c>
      <c r="D162" s="411">
        <v>1000000</v>
      </c>
      <c r="E162" s="411">
        <v>2800000</v>
      </c>
      <c r="F162" s="410">
        <f t="shared" si="2"/>
        <v>280</v>
      </c>
    </row>
    <row r="163" spans="2:9">
      <c r="B163" s="207">
        <v>732120</v>
      </c>
      <c r="C163" s="219" t="s">
        <v>540</v>
      </c>
      <c r="D163" s="228">
        <f>SUM(D164:D164)</f>
        <v>0</v>
      </c>
      <c r="E163" s="228">
        <f>SUM(E164:E164)</f>
        <v>0</v>
      </c>
      <c r="F163" s="204" t="str">
        <f t="shared" si="2"/>
        <v/>
      </c>
    </row>
    <row r="164" spans="2:9">
      <c r="B164" s="217">
        <v>732125</v>
      </c>
      <c r="C164" s="336" t="s">
        <v>541</v>
      </c>
      <c r="D164" s="101">
        <v>0</v>
      </c>
      <c r="E164" s="101"/>
      <c r="F164" s="410" t="str">
        <f t="shared" si="2"/>
        <v/>
      </c>
    </row>
    <row r="165" spans="2:9">
      <c r="B165" s="388">
        <v>733000</v>
      </c>
      <c r="C165" s="386" t="s">
        <v>450</v>
      </c>
      <c r="D165" s="387">
        <f>D166</f>
        <v>270440</v>
      </c>
      <c r="E165" s="387">
        <f>E166</f>
        <v>0</v>
      </c>
      <c r="F165" s="349">
        <f t="shared" si="2"/>
        <v>0</v>
      </c>
    </row>
    <row r="166" spans="2:9">
      <c r="B166" s="225">
        <v>733100</v>
      </c>
      <c r="C166" s="337" t="s">
        <v>451</v>
      </c>
      <c r="D166" s="221">
        <f>D167+D170</f>
        <v>270440</v>
      </c>
      <c r="E166" s="221">
        <f>E167+E170</f>
        <v>0</v>
      </c>
      <c r="F166" s="204">
        <f t="shared" si="2"/>
        <v>0</v>
      </c>
    </row>
    <row r="167" spans="2:9">
      <c r="B167" s="207">
        <v>733110</v>
      </c>
      <c r="C167" s="219" t="s">
        <v>452</v>
      </c>
      <c r="D167" s="228">
        <f>SUM(D168:D169)</f>
        <v>245010</v>
      </c>
      <c r="E167" s="228">
        <f>SUM(E168:E169)</f>
        <v>0</v>
      </c>
      <c r="F167" s="204">
        <f t="shared" si="2"/>
        <v>0</v>
      </c>
      <c r="I167" s="102"/>
    </row>
    <row r="168" spans="2:9">
      <c r="B168" s="408">
        <v>733112</v>
      </c>
      <c r="C168" s="338" t="s">
        <v>740</v>
      </c>
      <c r="D168" s="411">
        <v>300</v>
      </c>
      <c r="E168" s="411">
        <v>0</v>
      </c>
      <c r="F168" s="410">
        <f>IF(D168=0,"",E168/D168*100)</f>
        <v>0</v>
      </c>
    </row>
    <row r="169" spans="2:9">
      <c r="B169" s="408">
        <v>733116</v>
      </c>
      <c r="C169" s="338" t="s">
        <v>679</v>
      </c>
      <c r="D169" s="411">
        <f>228080+16630</f>
        <v>244710</v>
      </c>
      <c r="E169" s="411">
        <v>0</v>
      </c>
      <c r="F169" s="410">
        <f t="shared" si="2"/>
        <v>0</v>
      </c>
    </row>
    <row r="170" spans="2:9">
      <c r="B170" s="207">
        <v>733120</v>
      </c>
      <c r="C170" s="219" t="s">
        <v>453</v>
      </c>
      <c r="D170" s="228">
        <f>D171+D172</f>
        <v>25430</v>
      </c>
      <c r="E170" s="228">
        <f>E171+E172</f>
        <v>0</v>
      </c>
      <c r="F170" s="204">
        <f t="shared" si="2"/>
        <v>0</v>
      </c>
    </row>
    <row r="171" spans="2:9">
      <c r="B171" s="408">
        <v>733121</v>
      </c>
      <c r="C171" s="338" t="s">
        <v>490</v>
      </c>
      <c r="D171" s="178">
        <v>25430</v>
      </c>
      <c r="E171" s="178">
        <v>0</v>
      </c>
      <c r="F171" s="410">
        <f>IF(D171=0,"",E171/D171*100)</f>
        <v>0</v>
      </c>
    </row>
    <row r="172" spans="2:9">
      <c r="B172" s="408">
        <v>733126</v>
      </c>
      <c r="C172" s="338" t="s">
        <v>492</v>
      </c>
      <c r="D172" s="178">
        <v>0</v>
      </c>
      <c r="E172" s="178">
        <v>0</v>
      </c>
      <c r="F172" s="410" t="str">
        <f t="shared" si="2"/>
        <v/>
      </c>
    </row>
    <row r="173" spans="2:9">
      <c r="B173" s="50"/>
      <c r="C173" s="73"/>
      <c r="D173" s="92"/>
      <c r="E173" s="92"/>
      <c r="F173" s="410" t="str">
        <f t="shared" si="2"/>
        <v/>
      </c>
    </row>
    <row r="174" spans="2:9" ht="15">
      <c r="B174" s="375">
        <v>740000</v>
      </c>
      <c r="C174" s="384" t="s">
        <v>542</v>
      </c>
      <c r="D174" s="377">
        <f>D175+D182</f>
        <v>462680</v>
      </c>
      <c r="E174" s="377">
        <f>E175+E182</f>
        <v>554000</v>
      </c>
      <c r="F174" s="348">
        <f t="shared" si="2"/>
        <v>119.73718336647359</v>
      </c>
    </row>
    <row r="175" spans="2:9" ht="25.5">
      <c r="B175" s="388">
        <v>741000</v>
      </c>
      <c r="C175" s="386" t="s">
        <v>543</v>
      </c>
      <c r="D175" s="387">
        <f>D176</f>
        <v>105430</v>
      </c>
      <c r="E175" s="387">
        <f>E176</f>
        <v>4000</v>
      </c>
      <c r="F175" s="349">
        <f t="shared" si="2"/>
        <v>3.7939865313478136</v>
      </c>
    </row>
    <row r="176" spans="2:9" ht="25.5">
      <c r="B176" s="225">
        <v>741100</v>
      </c>
      <c r="C176" s="339" t="s">
        <v>544</v>
      </c>
      <c r="D176" s="221">
        <f>D177</f>
        <v>105430</v>
      </c>
      <c r="E176" s="221">
        <f>E177</f>
        <v>4000</v>
      </c>
      <c r="F176" s="204">
        <f t="shared" si="2"/>
        <v>3.7939865313478136</v>
      </c>
    </row>
    <row r="177" spans="2:6">
      <c r="B177" s="217">
        <v>741111</v>
      </c>
      <c r="C177" s="327" t="s">
        <v>545</v>
      </c>
      <c r="D177" s="101">
        <f>SUM(D178:D181)</f>
        <v>105430</v>
      </c>
      <c r="E177" s="101">
        <f>SUM(E178:E181)</f>
        <v>4000</v>
      </c>
      <c r="F177" s="410">
        <f t="shared" si="2"/>
        <v>3.7939865313478136</v>
      </c>
    </row>
    <row r="178" spans="2:6">
      <c r="B178" s="408"/>
      <c r="C178" s="338" t="s">
        <v>678</v>
      </c>
      <c r="D178" s="411">
        <v>86830</v>
      </c>
      <c r="E178" s="411">
        <v>0</v>
      </c>
      <c r="F178" s="410">
        <f>IF(D178=0,"",E178/D178*100)</f>
        <v>0</v>
      </c>
    </row>
    <row r="179" spans="2:6">
      <c r="B179" s="408"/>
      <c r="C179" s="338" t="s">
        <v>717</v>
      </c>
      <c r="D179" s="411">
        <v>0</v>
      </c>
      <c r="E179" s="411">
        <v>4000</v>
      </c>
      <c r="F179" s="410"/>
    </row>
    <row r="180" spans="2:6">
      <c r="B180" s="408"/>
      <c r="C180" s="338" t="s">
        <v>655</v>
      </c>
      <c r="D180" s="411">
        <v>0</v>
      </c>
      <c r="E180" s="411">
        <v>0</v>
      </c>
      <c r="F180" s="410" t="str">
        <f>IF(D180=0,"",E180/D180*100)</f>
        <v/>
      </c>
    </row>
    <row r="181" spans="2:6" ht="25.5">
      <c r="B181" s="408"/>
      <c r="C181" s="338" t="s">
        <v>654</v>
      </c>
      <c r="D181" s="411">
        <v>18600</v>
      </c>
      <c r="E181" s="411">
        <v>0</v>
      </c>
      <c r="F181" s="410">
        <f t="shared" si="2"/>
        <v>0</v>
      </c>
    </row>
    <row r="182" spans="2:6" ht="25.5" customHeight="1">
      <c r="B182" s="388">
        <v>742000</v>
      </c>
      <c r="C182" s="386" t="s">
        <v>546</v>
      </c>
      <c r="D182" s="387">
        <f>D183</f>
        <v>357250</v>
      </c>
      <c r="E182" s="387">
        <f>E183</f>
        <v>550000</v>
      </c>
      <c r="F182" s="349">
        <f t="shared" si="2"/>
        <v>153.95381385584326</v>
      </c>
    </row>
    <row r="183" spans="2:6">
      <c r="B183" s="225">
        <v>742100</v>
      </c>
      <c r="C183" s="339" t="s">
        <v>547</v>
      </c>
      <c r="D183" s="221">
        <f>D184+D186+D196</f>
        <v>357250</v>
      </c>
      <c r="E183" s="221">
        <f>E184+E186+E196</f>
        <v>550000</v>
      </c>
      <c r="F183" s="204">
        <f t="shared" si="2"/>
        <v>153.95381385584326</v>
      </c>
    </row>
    <row r="184" spans="2:6">
      <c r="B184" s="217">
        <v>742111</v>
      </c>
      <c r="C184" s="327" t="s">
        <v>741</v>
      </c>
      <c r="D184" s="101">
        <f>D185</f>
        <v>3000</v>
      </c>
      <c r="E184" s="101">
        <f>E185</f>
        <v>0</v>
      </c>
      <c r="F184" s="410">
        <f>IF(D184=0,"",E184/D184*100)</f>
        <v>0</v>
      </c>
    </row>
    <row r="185" spans="2:6">
      <c r="B185" s="207"/>
      <c r="C185" s="338" t="s">
        <v>742</v>
      </c>
      <c r="D185" s="178">
        <v>3000</v>
      </c>
      <c r="E185" s="178">
        <v>0</v>
      </c>
      <c r="F185" s="410">
        <f>IF(D185=0,"",E185/D185*100)</f>
        <v>0</v>
      </c>
    </row>
    <row r="186" spans="2:6">
      <c r="B186" s="217">
        <v>742112</v>
      </c>
      <c r="C186" s="327" t="s">
        <v>548</v>
      </c>
      <c r="D186" s="101">
        <f>SUM(D187:D195)</f>
        <v>348250</v>
      </c>
      <c r="E186" s="101">
        <f>SUM(E187:E195)</f>
        <v>550000</v>
      </c>
      <c r="F186" s="410">
        <f t="shared" si="2"/>
        <v>157.93251974156496</v>
      </c>
    </row>
    <row r="187" spans="2:6">
      <c r="B187" s="207"/>
      <c r="C187" s="338" t="s">
        <v>656</v>
      </c>
      <c r="D187" s="178">
        <v>100000</v>
      </c>
      <c r="E187" s="178">
        <v>0</v>
      </c>
      <c r="F187" s="410">
        <f t="shared" si="2"/>
        <v>0</v>
      </c>
    </row>
    <row r="188" spans="2:6" ht="25.5">
      <c r="B188" s="207"/>
      <c r="C188" s="338" t="s">
        <v>657</v>
      </c>
      <c r="D188" s="178">
        <v>100000</v>
      </c>
      <c r="E188" s="178">
        <v>500000</v>
      </c>
      <c r="F188" s="410">
        <f t="shared" si="2"/>
        <v>500</v>
      </c>
    </row>
    <row r="189" spans="2:6" ht="25.5">
      <c r="B189" s="207"/>
      <c r="C189" s="338" t="s">
        <v>658</v>
      </c>
      <c r="D189" s="178">
        <v>100000</v>
      </c>
      <c r="E189" s="178">
        <v>0</v>
      </c>
      <c r="F189" s="410">
        <f t="shared" si="2"/>
        <v>0</v>
      </c>
    </row>
    <row r="190" spans="2:6" ht="25.5">
      <c r="B190" s="408"/>
      <c r="C190" s="338" t="s">
        <v>716</v>
      </c>
      <c r="D190" s="411">
        <v>0</v>
      </c>
      <c r="E190" s="411">
        <v>50000</v>
      </c>
      <c r="F190" s="410" t="str">
        <f>IF(D190=0,"",E190/D190*100)</f>
        <v/>
      </c>
    </row>
    <row r="191" spans="2:6" ht="25.5">
      <c r="B191" s="408"/>
      <c r="C191" s="338" t="s">
        <v>743</v>
      </c>
      <c r="D191" s="411">
        <v>8340</v>
      </c>
      <c r="E191" s="411">
        <v>0</v>
      </c>
      <c r="F191" s="410">
        <f>IF(D191=0,"",E191/D191*100)</f>
        <v>0</v>
      </c>
    </row>
    <row r="192" spans="2:6">
      <c r="B192" s="207"/>
      <c r="C192" s="338" t="s">
        <v>490</v>
      </c>
      <c r="D192" s="178">
        <v>0</v>
      </c>
      <c r="E192" s="178">
        <v>0</v>
      </c>
      <c r="F192" s="410" t="str">
        <f t="shared" si="2"/>
        <v/>
      </c>
    </row>
    <row r="193" spans="2:8">
      <c r="B193" s="408"/>
      <c r="C193" s="338" t="s">
        <v>659</v>
      </c>
      <c r="D193" s="411">
        <v>34910</v>
      </c>
      <c r="E193" s="411">
        <v>0</v>
      </c>
      <c r="F193" s="410">
        <f t="shared" si="2"/>
        <v>0</v>
      </c>
    </row>
    <row r="194" spans="2:8" ht="15" customHeight="1">
      <c r="B194" s="408"/>
      <c r="C194" s="338" t="s">
        <v>702</v>
      </c>
      <c r="D194" s="411">
        <v>5000</v>
      </c>
      <c r="E194" s="411">
        <v>0</v>
      </c>
      <c r="F194" s="410">
        <f t="shared" si="2"/>
        <v>0</v>
      </c>
    </row>
    <row r="195" spans="2:8">
      <c r="B195" s="408"/>
      <c r="C195" s="338" t="s">
        <v>703</v>
      </c>
      <c r="D195" s="411">
        <v>0</v>
      </c>
      <c r="E195" s="411">
        <v>0</v>
      </c>
      <c r="F195" s="410" t="str">
        <f t="shared" si="2"/>
        <v/>
      </c>
    </row>
    <row r="196" spans="2:8">
      <c r="B196" s="217">
        <v>742116</v>
      </c>
      <c r="C196" s="327" t="s">
        <v>677</v>
      </c>
      <c r="D196" s="101">
        <f>D197</f>
        <v>6000</v>
      </c>
      <c r="E196" s="101">
        <f>E197</f>
        <v>0</v>
      </c>
      <c r="F196" s="410">
        <f>IF(D196=0,"",E196/D196*100)</f>
        <v>0</v>
      </c>
    </row>
    <row r="197" spans="2:8">
      <c r="B197" s="207"/>
      <c r="C197" s="338" t="s">
        <v>490</v>
      </c>
      <c r="D197" s="178">
        <v>6000</v>
      </c>
      <c r="E197" s="178">
        <v>0</v>
      </c>
      <c r="F197" s="410">
        <f>IF(D197=0,"",E197/D197*100)</f>
        <v>0</v>
      </c>
    </row>
    <row r="198" spans="2:8">
      <c r="B198" s="207"/>
      <c r="C198" s="338"/>
      <c r="D198" s="178"/>
      <c r="E198" s="178"/>
      <c r="F198" s="410" t="str">
        <f t="shared" si="2"/>
        <v/>
      </c>
    </row>
    <row r="199" spans="2:8" ht="15">
      <c r="B199" s="375">
        <v>777000</v>
      </c>
      <c r="C199" s="376" t="s">
        <v>454</v>
      </c>
      <c r="D199" s="389">
        <f>SUM(D200:D201)</f>
        <v>179200</v>
      </c>
      <c r="E199" s="389">
        <f>SUM(E200:E201)</f>
        <v>1300</v>
      </c>
      <c r="F199" s="370">
        <f t="shared" si="2"/>
        <v>0.7254464285714286</v>
      </c>
    </row>
    <row r="200" spans="2:8">
      <c r="B200" s="202">
        <v>777778</v>
      </c>
      <c r="C200" s="336" t="s">
        <v>455</v>
      </c>
      <c r="D200" s="93">
        <v>142800</v>
      </c>
      <c r="E200" s="93">
        <v>1200</v>
      </c>
      <c r="F200" s="371">
        <f t="shared" si="2"/>
        <v>0.84033613445378152</v>
      </c>
    </row>
    <row r="201" spans="2:8">
      <c r="B201" s="202">
        <v>777779</v>
      </c>
      <c r="C201" s="327" t="s">
        <v>456</v>
      </c>
      <c r="D201" s="93">
        <v>36400</v>
      </c>
      <c r="E201" s="93">
        <v>100</v>
      </c>
      <c r="F201" s="371">
        <f t="shared" si="2"/>
        <v>0.27472527472527475</v>
      </c>
    </row>
    <row r="202" spans="2:8" ht="15.75" customHeight="1">
      <c r="B202" s="99"/>
      <c r="C202" s="100"/>
      <c r="D202" s="178"/>
      <c r="E202" s="178"/>
      <c r="F202" s="410" t="str">
        <f t="shared" si="2"/>
        <v/>
      </c>
      <c r="H202" s="102"/>
    </row>
    <row r="203" spans="2:8" ht="15">
      <c r="B203" s="439" t="s">
        <v>494</v>
      </c>
      <c r="C203" s="440"/>
      <c r="D203" s="233">
        <f>D142+D144+D174+D199</f>
        <v>39817470</v>
      </c>
      <c r="E203" s="233">
        <f>E142+E144+E174+E199</f>
        <v>39962940</v>
      </c>
      <c r="F203" s="352">
        <f t="shared" si="2"/>
        <v>100.36534214755484</v>
      </c>
    </row>
    <row r="204" spans="2:8" ht="15">
      <c r="B204" s="231"/>
      <c r="C204" s="232"/>
      <c r="D204" s="233"/>
      <c r="E204" s="233"/>
      <c r="F204" s="410" t="str">
        <f t="shared" ref="F204:F213" si="3">IF(D204=0,"",E204/D204*100)</f>
        <v/>
      </c>
    </row>
    <row r="205" spans="2:8" ht="15">
      <c r="B205" s="375">
        <v>810000</v>
      </c>
      <c r="C205" s="376" t="s">
        <v>457</v>
      </c>
      <c r="D205" s="377">
        <f>D206</f>
        <v>7510</v>
      </c>
      <c r="E205" s="377">
        <f>E206</f>
        <v>0</v>
      </c>
      <c r="F205" s="349">
        <f t="shared" si="3"/>
        <v>0</v>
      </c>
    </row>
    <row r="206" spans="2:8">
      <c r="B206" s="385">
        <v>811000</v>
      </c>
      <c r="C206" s="386" t="s">
        <v>459</v>
      </c>
      <c r="D206" s="387">
        <f>SUM(D207:D207)</f>
        <v>7510</v>
      </c>
      <c r="E206" s="387">
        <f>SUM(E207:E207)</f>
        <v>0</v>
      </c>
      <c r="F206" s="349">
        <f t="shared" si="3"/>
        <v>0</v>
      </c>
    </row>
    <row r="207" spans="2:8">
      <c r="B207" s="225">
        <v>811100</v>
      </c>
      <c r="C207" s="230" t="s">
        <v>458</v>
      </c>
      <c r="D207" s="228">
        <f>D208+D210</f>
        <v>7510</v>
      </c>
      <c r="E207" s="228">
        <f>E208+E210</f>
        <v>0</v>
      </c>
      <c r="F207" s="204">
        <f t="shared" si="3"/>
        <v>0</v>
      </c>
    </row>
    <row r="208" spans="2:8">
      <c r="B208" s="202">
        <v>811111</v>
      </c>
      <c r="C208" s="336" t="s">
        <v>704</v>
      </c>
      <c r="D208" s="93">
        <f>D209</f>
        <v>1510</v>
      </c>
      <c r="E208" s="93">
        <f>E209</f>
        <v>0</v>
      </c>
      <c r="F208" s="371">
        <f t="shared" si="3"/>
        <v>0</v>
      </c>
    </row>
    <row r="209" spans="2:6">
      <c r="B209" s="202"/>
      <c r="C209" s="338" t="s">
        <v>744</v>
      </c>
      <c r="D209" s="93">
        <v>1510</v>
      </c>
      <c r="E209" s="93">
        <v>0</v>
      </c>
      <c r="F209" s="371">
        <f t="shared" si="3"/>
        <v>0</v>
      </c>
    </row>
    <row r="210" spans="2:6">
      <c r="B210" s="202">
        <v>811114</v>
      </c>
      <c r="C210" s="327" t="s">
        <v>705</v>
      </c>
      <c r="D210" s="93">
        <f>D211</f>
        <v>6000</v>
      </c>
      <c r="E210" s="93">
        <f>E211</f>
        <v>0</v>
      </c>
      <c r="F210" s="371">
        <f t="shared" si="3"/>
        <v>0</v>
      </c>
    </row>
    <row r="211" spans="2:6">
      <c r="B211" s="202"/>
      <c r="C211" s="338" t="s">
        <v>745</v>
      </c>
      <c r="D211" s="93">
        <v>6000</v>
      </c>
      <c r="E211" s="93">
        <v>0</v>
      </c>
      <c r="F211" s="371">
        <f t="shared" si="3"/>
        <v>0</v>
      </c>
    </row>
    <row r="212" spans="2:6" ht="13.5" thickBot="1">
      <c r="B212" s="291"/>
      <c r="C212" s="292"/>
      <c r="D212" s="292"/>
      <c r="E212" s="292"/>
      <c r="F212" s="412" t="str">
        <f t="shared" si="3"/>
        <v/>
      </c>
    </row>
    <row r="213" spans="2:6" ht="15.75" thickBot="1">
      <c r="B213" s="441" t="s">
        <v>549</v>
      </c>
      <c r="C213" s="442"/>
      <c r="D213" s="390">
        <f>D203+D205</f>
        <v>39824980</v>
      </c>
      <c r="E213" s="390">
        <f>E203+E205</f>
        <v>39962940</v>
      </c>
      <c r="F213" s="353">
        <f t="shared" si="3"/>
        <v>100.34641574207947</v>
      </c>
    </row>
  </sheetData>
  <mergeCells count="4">
    <mergeCell ref="B2:F2"/>
    <mergeCell ref="B142:C142"/>
    <mergeCell ref="B203:C203"/>
    <mergeCell ref="B213:C213"/>
  </mergeCells>
  <pageMargins left="0.43307086614173229" right="0.15748031496062992" top="0.56999999999999995" bottom="0.74803149606299213" header="0.31496062992125984" footer="0.43307086614173229"/>
  <pageSetup paperSize="9" scale="81" firstPageNumber="2" orientation="portrait" useFirstPageNumber="1" r:id="rId1"/>
  <headerFooter alignWithMargins="0">
    <oddFooter>&amp;R&amp;P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>
  <sheetPr codeName="Sheet40"/>
  <dimension ref="B2:K48"/>
  <sheetViews>
    <sheetView workbookViewId="0">
      <selection activeCell="G7" sqref="G7:G41"/>
    </sheetView>
  </sheetViews>
  <sheetFormatPr defaultRowHeight="12.75"/>
  <cols>
    <col min="1" max="1" width="1.5703125" style="13" customWidth="1"/>
    <col min="2" max="4" width="5.7109375" style="13" bestFit="1" customWidth="1"/>
    <col min="5" max="5" width="11.140625" style="24" customWidth="1"/>
    <col min="6" max="6" width="43.7109375" style="13" customWidth="1"/>
    <col min="7" max="8" width="15.7109375" style="13" customWidth="1"/>
    <col min="9" max="9" width="8.7109375" style="140" customWidth="1"/>
    <col min="10" max="16384" width="9.140625" style="13"/>
  </cols>
  <sheetData>
    <row r="2" spans="2:11" s="112" customFormat="1" ht="15" customHeight="1">
      <c r="B2" s="450" t="s">
        <v>239</v>
      </c>
      <c r="C2" s="450"/>
      <c r="D2" s="450"/>
      <c r="E2" s="450"/>
      <c r="F2" s="450"/>
      <c r="G2" s="450"/>
      <c r="H2" s="450"/>
      <c r="I2" s="147"/>
    </row>
    <row r="3" spans="2:11" s="1" customFormat="1" ht="16.5" thickBot="1">
      <c r="E3" s="2"/>
      <c r="F3" s="449"/>
      <c r="G3" s="449"/>
      <c r="H3" s="181"/>
      <c r="I3" s="182"/>
    </row>
    <row r="4" spans="2:11" s="1" customFormat="1" ht="76.5" customHeight="1">
      <c r="B4" s="3" t="s">
        <v>79</v>
      </c>
      <c r="C4" s="4" t="s">
        <v>80</v>
      </c>
      <c r="D4" s="5" t="s">
        <v>112</v>
      </c>
      <c r="E4" s="6" t="s">
        <v>81</v>
      </c>
      <c r="F4" s="7" t="s">
        <v>82</v>
      </c>
      <c r="G4" s="316" t="s">
        <v>557</v>
      </c>
      <c r="H4" s="316" t="s">
        <v>683</v>
      </c>
      <c r="I4" s="149" t="s">
        <v>497</v>
      </c>
    </row>
    <row r="5" spans="2:11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34">
        <v>6</v>
      </c>
      <c r="H5" s="9">
        <v>7</v>
      </c>
      <c r="I5" s="150">
        <v>8</v>
      </c>
    </row>
    <row r="6" spans="2:11" s="2" customFormat="1" ht="12.95" customHeight="1">
      <c r="B6" s="10" t="s">
        <v>160</v>
      </c>
      <c r="C6" s="11" t="s">
        <v>83</v>
      </c>
      <c r="D6" s="11" t="s">
        <v>84</v>
      </c>
      <c r="E6" s="9"/>
      <c r="F6" s="9"/>
      <c r="G6" s="34"/>
      <c r="H6" s="9"/>
      <c r="I6" s="151"/>
    </row>
    <row r="7" spans="2:11" s="1" customFormat="1" ht="12.95" customHeight="1">
      <c r="B7" s="17"/>
      <c r="C7" s="12"/>
      <c r="D7" s="12"/>
      <c r="E7" s="9">
        <v>611000</v>
      </c>
      <c r="F7" s="12" t="s">
        <v>167</v>
      </c>
      <c r="G7" s="20">
        <f>SUM(G8:G11)</f>
        <v>55620</v>
      </c>
      <c r="H7" s="392">
        <f>SUM(H8:H11)</f>
        <v>67100</v>
      </c>
      <c r="I7" s="152">
        <f t="shared" ref="I7:I44" si="0">IF(G7=0,"",H7/G7*100)</f>
        <v>120.64005753326141</v>
      </c>
    </row>
    <row r="8" spans="2:11" ht="12.95" customHeight="1">
      <c r="B8" s="14"/>
      <c r="C8" s="15"/>
      <c r="D8" s="15"/>
      <c r="E8" s="16">
        <v>611100</v>
      </c>
      <c r="F8" s="26" t="s">
        <v>210</v>
      </c>
      <c r="G8" s="82">
        <v>43800</v>
      </c>
      <c r="H8" s="391">
        <f>54900+2600</f>
        <v>57500</v>
      </c>
      <c r="I8" s="153">
        <f t="shared" si="0"/>
        <v>131.2785388127854</v>
      </c>
    </row>
    <row r="9" spans="2:11" ht="12.95" customHeight="1">
      <c r="B9" s="14"/>
      <c r="C9" s="15"/>
      <c r="D9" s="15"/>
      <c r="E9" s="16">
        <v>611200</v>
      </c>
      <c r="F9" s="15" t="s">
        <v>211</v>
      </c>
      <c r="G9" s="82">
        <f>8900+3*240</f>
        <v>9620</v>
      </c>
      <c r="H9" s="391">
        <v>9600</v>
      </c>
      <c r="I9" s="153">
        <f t="shared" si="0"/>
        <v>99.792099792099805</v>
      </c>
    </row>
    <row r="10" spans="2:11" ht="12.95" customHeight="1">
      <c r="B10" s="14"/>
      <c r="C10" s="15"/>
      <c r="D10" s="15"/>
      <c r="E10" s="16">
        <v>611200</v>
      </c>
      <c r="F10" s="363" t="s">
        <v>699</v>
      </c>
      <c r="G10" s="82">
        <v>2200</v>
      </c>
      <c r="H10" s="391">
        <v>0</v>
      </c>
      <c r="I10" s="153">
        <f t="shared" si="0"/>
        <v>0</v>
      </c>
      <c r="K10" s="89"/>
    </row>
    <row r="11" spans="2:11" ht="12.95" customHeight="1">
      <c r="B11" s="14"/>
      <c r="C11" s="15"/>
      <c r="D11" s="15"/>
      <c r="E11" s="16"/>
      <c r="F11" s="26"/>
      <c r="G11" s="43"/>
      <c r="H11" s="391"/>
      <c r="I11" s="153" t="str">
        <f t="shared" si="0"/>
        <v/>
      </c>
    </row>
    <row r="12" spans="2:11" ht="12.95" customHeight="1">
      <c r="B12" s="14"/>
      <c r="C12" s="15"/>
      <c r="D12" s="15"/>
      <c r="E12" s="16"/>
      <c r="F12" s="15"/>
      <c r="G12" s="20"/>
      <c r="H12" s="392"/>
      <c r="I12" s="153" t="str">
        <f t="shared" si="0"/>
        <v/>
      </c>
    </row>
    <row r="13" spans="2:11" s="1" customFormat="1" ht="12.95" customHeight="1">
      <c r="B13" s="17"/>
      <c r="C13" s="12"/>
      <c r="D13" s="12"/>
      <c r="E13" s="9">
        <v>612000</v>
      </c>
      <c r="F13" s="12" t="s">
        <v>166</v>
      </c>
      <c r="G13" s="20">
        <f>G14</f>
        <v>5100</v>
      </c>
      <c r="H13" s="392">
        <f>H14</f>
        <v>6880</v>
      </c>
      <c r="I13" s="152">
        <f t="shared" si="0"/>
        <v>134.90196078431373</v>
      </c>
    </row>
    <row r="14" spans="2:11" ht="12.95" customHeight="1">
      <c r="B14" s="14"/>
      <c r="C14" s="15"/>
      <c r="D14" s="15"/>
      <c r="E14" s="16">
        <v>612100</v>
      </c>
      <c r="F14" s="18" t="s">
        <v>85</v>
      </c>
      <c r="G14" s="43">
        <v>5100</v>
      </c>
      <c r="H14" s="391">
        <f>6600+280</f>
        <v>6880</v>
      </c>
      <c r="I14" s="153">
        <f t="shared" si="0"/>
        <v>134.90196078431373</v>
      </c>
    </row>
    <row r="15" spans="2:11" ht="12.95" customHeight="1">
      <c r="B15" s="14"/>
      <c r="C15" s="15"/>
      <c r="D15" s="15"/>
      <c r="E15" s="16"/>
      <c r="F15" s="15"/>
      <c r="G15" s="43"/>
      <c r="H15" s="43"/>
      <c r="I15" s="153" t="str">
        <f t="shared" si="0"/>
        <v/>
      </c>
    </row>
    <row r="16" spans="2:11" ht="12.95" customHeight="1">
      <c r="B16" s="14"/>
      <c r="C16" s="15"/>
      <c r="D16" s="15"/>
      <c r="E16" s="16"/>
      <c r="F16" s="15"/>
      <c r="G16" s="49"/>
      <c r="H16" s="49"/>
      <c r="I16" s="153" t="str">
        <f t="shared" si="0"/>
        <v/>
      </c>
    </row>
    <row r="17" spans="2:10" s="1" customFormat="1" ht="12.95" customHeight="1">
      <c r="B17" s="17"/>
      <c r="C17" s="12"/>
      <c r="D17" s="12"/>
      <c r="E17" s="9">
        <v>613000</v>
      </c>
      <c r="F17" s="12" t="s">
        <v>168</v>
      </c>
      <c r="G17" s="49">
        <f>SUM(G18:G27)</f>
        <v>13150</v>
      </c>
      <c r="H17" s="49">
        <f>SUM(H18:H27)</f>
        <v>9500</v>
      </c>
      <c r="I17" s="152">
        <f t="shared" si="0"/>
        <v>72.243346007604558</v>
      </c>
    </row>
    <row r="18" spans="2:10" ht="12.95" customHeight="1">
      <c r="B18" s="14"/>
      <c r="C18" s="15"/>
      <c r="D18" s="15"/>
      <c r="E18" s="16">
        <v>613100</v>
      </c>
      <c r="F18" s="15" t="s">
        <v>86</v>
      </c>
      <c r="G18" s="43">
        <v>1000</v>
      </c>
      <c r="H18" s="43">
        <v>1000</v>
      </c>
      <c r="I18" s="153">
        <f t="shared" si="0"/>
        <v>100</v>
      </c>
    </row>
    <row r="19" spans="2:10" ht="12.95" customHeight="1">
      <c r="B19" s="14"/>
      <c r="C19" s="15"/>
      <c r="D19" s="15"/>
      <c r="E19" s="16">
        <v>613200</v>
      </c>
      <c r="F19" s="15" t="s">
        <v>87</v>
      </c>
      <c r="G19" s="43">
        <v>0</v>
      </c>
      <c r="H19" s="43">
        <v>0</v>
      </c>
      <c r="I19" s="153" t="str">
        <f t="shared" si="0"/>
        <v/>
      </c>
    </row>
    <row r="20" spans="2:10" ht="12.95" customHeight="1">
      <c r="B20" s="14"/>
      <c r="C20" s="15"/>
      <c r="D20" s="15"/>
      <c r="E20" s="16">
        <v>613300</v>
      </c>
      <c r="F20" s="26" t="s">
        <v>212</v>
      </c>
      <c r="G20" s="82">
        <v>3200</v>
      </c>
      <c r="H20" s="82">
        <v>3200</v>
      </c>
      <c r="I20" s="153">
        <f t="shared" si="0"/>
        <v>100</v>
      </c>
      <c r="J20" s="81"/>
    </row>
    <row r="21" spans="2:10" ht="12.95" customHeight="1">
      <c r="B21" s="14"/>
      <c r="C21" s="15"/>
      <c r="D21" s="15"/>
      <c r="E21" s="16">
        <v>613400</v>
      </c>
      <c r="F21" s="15" t="s">
        <v>169</v>
      </c>
      <c r="G21" s="43">
        <v>1200</v>
      </c>
      <c r="H21" s="43">
        <v>1200</v>
      </c>
      <c r="I21" s="153">
        <f t="shared" si="0"/>
        <v>100</v>
      </c>
    </row>
    <row r="22" spans="2:10" ht="12.95" customHeight="1">
      <c r="B22" s="14"/>
      <c r="C22" s="15"/>
      <c r="D22" s="15"/>
      <c r="E22" s="16">
        <v>613500</v>
      </c>
      <c r="F22" s="15" t="s">
        <v>88</v>
      </c>
      <c r="G22" s="43">
        <v>0</v>
      </c>
      <c r="H22" s="43">
        <v>0</v>
      </c>
      <c r="I22" s="153" t="str">
        <f t="shared" si="0"/>
        <v/>
      </c>
    </row>
    <row r="23" spans="2:10" ht="12.95" customHeight="1">
      <c r="B23" s="14"/>
      <c r="C23" s="15"/>
      <c r="D23" s="15"/>
      <c r="E23" s="16">
        <v>613600</v>
      </c>
      <c r="F23" s="26" t="s">
        <v>213</v>
      </c>
      <c r="G23" s="43">
        <v>0</v>
      </c>
      <c r="H23" s="43">
        <v>0</v>
      </c>
      <c r="I23" s="153" t="str">
        <f t="shared" si="0"/>
        <v/>
      </c>
    </row>
    <row r="24" spans="2:10" ht="12.95" customHeight="1">
      <c r="B24" s="14"/>
      <c r="C24" s="15"/>
      <c r="D24" s="15"/>
      <c r="E24" s="16">
        <v>613700</v>
      </c>
      <c r="F24" s="15" t="s">
        <v>89</v>
      </c>
      <c r="G24" s="82">
        <v>250</v>
      </c>
      <c r="H24" s="82">
        <v>500</v>
      </c>
      <c r="I24" s="153">
        <f t="shared" si="0"/>
        <v>200</v>
      </c>
    </row>
    <row r="25" spans="2:10" ht="12.95" customHeight="1">
      <c r="B25" s="14"/>
      <c r="C25" s="15"/>
      <c r="D25" s="15"/>
      <c r="E25" s="16">
        <v>613800</v>
      </c>
      <c r="F25" s="15" t="s">
        <v>170</v>
      </c>
      <c r="G25" s="82">
        <v>0</v>
      </c>
      <c r="H25" s="82">
        <v>0</v>
      </c>
      <c r="I25" s="153" t="str">
        <f t="shared" si="0"/>
        <v/>
      </c>
    </row>
    <row r="26" spans="2:10" ht="12.95" customHeight="1">
      <c r="B26" s="14"/>
      <c r="C26" s="15"/>
      <c r="D26" s="15"/>
      <c r="E26" s="16">
        <v>613900</v>
      </c>
      <c r="F26" s="15" t="s">
        <v>171</v>
      </c>
      <c r="G26" s="82">
        <v>4200</v>
      </c>
      <c r="H26" s="82">
        <v>3600</v>
      </c>
      <c r="I26" s="153">
        <f t="shared" si="0"/>
        <v>85.714285714285708</v>
      </c>
    </row>
    <row r="27" spans="2:10" ht="12.95" customHeight="1">
      <c r="B27" s="14"/>
      <c r="C27" s="15"/>
      <c r="D27" s="15"/>
      <c r="E27" s="16">
        <v>613900</v>
      </c>
      <c r="F27" s="363" t="s">
        <v>701</v>
      </c>
      <c r="G27" s="117">
        <v>3300</v>
      </c>
      <c r="H27" s="117">
        <v>0</v>
      </c>
      <c r="I27" s="153">
        <f t="shared" si="0"/>
        <v>0</v>
      </c>
    </row>
    <row r="28" spans="2:10" s="1" customFormat="1" ht="12.95" customHeight="1">
      <c r="B28" s="17"/>
      <c r="C28" s="12"/>
      <c r="D28" s="12"/>
      <c r="E28" s="9"/>
      <c r="F28" s="12"/>
      <c r="G28" s="82"/>
      <c r="H28" s="82"/>
      <c r="I28" s="153" t="str">
        <f t="shared" si="0"/>
        <v/>
      </c>
    </row>
    <row r="29" spans="2:10" ht="12.95" customHeight="1">
      <c r="B29" s="14"/>
      <c r="C29" s="15"/>
      <c r="D29" s="30"/>
      <c r="E29" s="16"/>
      <c r="F29" s="29"/>
      <c r="G29" s="82"/>
      <c r="H29" s="82"/>
      <c r="I29" s="153" t="str">
        <f t="shared" si="0"/>
        <v/>
      </c>
    </row>
    <row r="30" spans="2:10" ht="12.95" customHeight="1">
      <c r="B30" s="14"/>
      <c r="C30" s="15"/>
      <c r="D30" s="15"/>
      <c r="E30" s="60"/>
      <c r="F30" s="29"/>
      <c r="G30" s="82"/>
      <c r="H30" s="82"/>
      <c r="I30" s="153" t="str">
        <f t="shared" si="0"/>
        <v/>
      </c>
    </row>
    <row r="31" spans="2:10" ht="12.95" customHeight="1">
      <c r="B31" s="14"/>
      <c r="C31" s="15"/>
      <c r="D31" s="15"/>
      <c r="E31" s="16"/>
      <c r="F31" s="15"/>
      <c r="G31" s="82"/>
      <c r="H31" s="82"/>
      <c r="I31" s="153" t="str">
        <f t="shared" si="0"/>
        <v/>
      </c>
    </row>
    <row r="32" spans="2:10" ht="12.95" customHeight="1">
      <c r="B32" s="14"/>
      <c r="C32" s="15"/>
      <c r="D32" s="15"/>
      <c r="E32" s="16"/>
      <c r="F32" s="15"/>
      <c r="G32" s="82"/>
      <c r="H32" s="82"/>
      <c r="I32" s="153" t="str">
        <f t="shared" si="0"/>
        <v/>
      </c>
    </row>
    <row r="33" spans="2:9" ht="12.95" customHeight="1">
      <c r="B33" s="14"/>
      <c r="C33" s="15"/>
      <c r="D33" s="15"/>
      <c r="E33" s="9"/>
      <c r="F33" s="12"/>
      <c r="G33" s="82"/>
      <c r="H33" s="82"/>
      <c r="I33" s="153" t="str">
        <f t="shared" si="0"/>
        <v/>
      </c>
    </row>
    <row r="34" spans="2:9" ht="12.95" customHeight="1">
      <c r="B34" s="14"/>
      <c r="C34" s="15"/>
      <c r="D34" s="15"/>
      <c r="E34" s="16"/>
      <c r="F34" s="26"/>
      <c r="G34" s="82"/>
      <c r="H34" s="82"/>
      <c r="I34" s="153" t="str">
        <f t="shared" si="0"/>
        <v/>
      </c>
    </row>
    <row r="35" spans="2:9" ht="12.95" customHeight="1">
      <c r="B35" s="14"/>
      <c r="C35" s="15"/>
      <c r="D35" s="15"/>
      <c r="E35" s="16"/>
      <c r="F35" s="15"/>
      <c r="G35" s="108"/>
      <c r="H35" s="108"/>
      <c r="I35" s="153" t="str">
        <f t="shared" si="0"/>
        <v/>
      </c>
    </row>
    <row r="36" spans="2:9" s="1" customFormat="1" ht="12.95" customHeight="1">
      <c r="B36" s="17"/>
      <c r="C36" s="12"/>
      <c r="D36" s="12"/>
      <c r="E36" s="9">
        <v>821000</v>
      </c>
      <c r="F36" s="12" t="s">
        <v>92</v>
      </c>
      <c r="G36" s="108">
        <f>G37+G38</f>
        <v>1000</v>
      </c>
      <c r="H36" s="108">
        <f>H37+H38</f>
        <v>1000</v>
      </c>
      <c r="I36" s="152">
        <f t="shared" si="0"/>
        <v>100</v>
      </c>
    </row>
    <row r="37" spans="2:9" ht="12.95" customHeight="1">
      <c r="B37" s="14"/>
      <c r="C37" s="15"/>
      <c r="D37" s="15"/>
      <c r="E37" s="16">
        <v>821200</v>
      </c>
      <c r="F37" s="15" t="s">
        <v>93</v>
      </c>
      <c r="G37" s="82">
        <v>0</v>
      </c>
      <c r="H37" s="82">
        <v>0</v>
      </c>
      <c r="I37" s="153" t="str">
        <f t="shared" si="0"/>
        <v/>
      </c>
    </row>
    <row r="38" spans="2:9" ht="12.95" customHeight="1">
      <c r="B38" s="14"/>
      <c r="C38" s="15"/>
      <c r="D38" s="15"/>
      <c r="E38" s="16">
        <v>821300</v>
      </c>
      <c r="F38" s="15" t="s">
        <v>94</v>
      </c>
      <c r="G38" s="82">
        <v>1000</v>
      </c>
      <c r="H38" s="82">
        <v>1000</v>
      </c>
      <c r="I38" s="153">
        <f t="shared" si="0"/>
        <v>100</v>
      </c>
    </row>
    <row r="39" spans="2:9" ht="12.95" customHeight="1">
      <c r="B39" s="14"/>
      <c r="C39" s="15"/>
      <c r="D39" s="15"/>
      <c r="E39" s="16"/>
      <c r="F39" s="26"/>
      <c r="G39" s="82"/>
      <c r="H39" s="82"/>
      <c r="I39" s="153" t="str">
        <f t="shared" si="0"/>
        <v/>
      </c>
    </row>
    <row r="40" spans="2:9" ht="12.95" customHeight="1">
      <c r="B40" s="14"/>
      <c r="C40" s="15"/>
      <c r="D40" s="15"/>
      <c r="E40" s="16"/>
      <c r="F40" s="15"/>
      <c r="G40" s="20"/>
      <c r="H40" s="20"/>
      <c r="I40" s="153" t="str">
        <f t="shared" si="0"/>
        <v/>
      </c>
    </row>
    <row r="41" spans="2:9" s="1" customFormat="1" ht="12.95" customHeight="1">
      <c r="B41" s="17"/>
      <c r="C41" s="12"/>
      <c r="D41" s="12"/>
      <c r="E41" s="9"/>
      <c r="F41" s="12" t="s">
        <v>95</v>
      </c>
      <c r="G41" s="20">
        <v>3</v>
      </c>
      <c r="H41" s="20">
        <v>3</v>
      </c>
      <c r="I41" s="153"/>
    </row>
    <row r="42" spans="2:9" s="1" customFormat="1" ht="12.95" customHeight="1">
      <c r="B42" s="17"/>
      <c r="C42" s="12"/>
      <c r="D42" s="12"/>
      <c r="E42" s="9"/>
      <c r="F42" s="12" t="s">
        <v>115</v>
      </c>
      <c r="G42" s="20">
        <f>G7+G13+G17+G36</f>
        <v>74870</v>
      </c>
      <c r="H42" s="20">
        <f>H7+H13+H17+H36</f>
        <v>84480</v>
      </c>
      <c r="I42" s="152">
        <f t="shared" si="0"/>
        <v>112.83558167490317</v>
      </c>
    </row>
    <row r="43" spans="2:9" s="1" customFormat="1" ht="12.95" customHeight="1">
      <c r="B43" s="17"/>
      <c r="C43" s="12"/>
      <c r="D43" s="12"/>
      <c r="E43" s="9"/>
      <c r="F43" s="12" t="s">
        <v>96</v>
      </c>
      <c r="G43" s="20">
        <f>G42</f>
        <v>74870</v>
      </c>
      <c r="H43" s="20">
        <f>H42</f>
        <v>84480</v>
      </c>
      <c r="I43" s="152">
        <f t="shared" si="0"/>
        <v>112.83558167490317</v>
      </c>
    </row>
    <row r="44" spans="2:9" s="1" customFormat="1" ht="12.95" customHeight="1">
      <c r="B44" s="17"/>
      <c r="C44" s="12"/>
      <c r="D44" s="12"/>
      <c r="E44" s="9"/>
      <c r="F44" s="12" t="s">
        <v>97</v>
      </c>
      <c r="G44" s="20">
        <f>G43</f>
        <v>74870</v>
      </c>
      <c r="H44" s="20">
        <f>H43</f>
        <v>84480</v>
      </c>
      <c r="I44" s="152">
        <f t="shared" si="0"/>
        <v>112.83558167490317</v>
      </c>
    </row>
    <row r="45" spans="2:9" ht="12.95" customHeight="1" thickBot="1">
      <c r="B45" s="21"/>
      <c r="C45" s="22"/>
      <c r="D45" s="22"/>
      <c r="E45" s="23"/>
      <c r="F45" s="22"/>
      <c r="G45" s="48"/>
      <c r="H45" s="22"/>
      <c r="I45" s="156"/>
    </row>
    <row r="47" spans="2:9">
      <c r="B47" s="81"/>
    </row>
    <row r="48" spans="2:9">
      <c r="B48" s="81"/>
    </row>
  </sheetData>
  <mergeCells count="2">
    <mergeCell ref="B2:H2"/>
    <mergeCell ref="F3:G3"/>
  </mergeCells>
  <phoneticPr fontId="2" type="noConversion"/>
  <pageMargins left="0.19685039370078741" right="0.19685039370078741" top="0.59055118110236227" bottom="0.59055118110236227" header="0.51181102362204722" footer="0.51181102362204722"/>
  <pageSetup paperSize="9" scale="88" firstPageNumber="10" orientation="portrait" useFirstPageNumber="1" horizontalDpi="180" verticalDpi="180" r:id="rId1"/>
  <headerFooter alignWithMargins="0">
    <oddFooter>&amp;R42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>
  <sheetPr codeName="Sheet41"/>
  <dimension ref="B2:K49"/>
  <sheetViews>
    <sheetView topLeftCell="A7" workbookViewId="0">
      <selection activeCell="G7" sqref="G7:G41"/>
    </sheetView>
  </sheetViews>
  <sheetFormatPr defaultRowHeight="12.75"/>
  <cols>
    <col min="1" max="1" width="1.5703125" style="13" customWidth="1"/>
    <col min="2" max="4" width="5.7109375" style="13" bestFit="1" customWidth="1"/>
    <col min="5" max="5" width="11.28515625" style="24" customWidth="1"/>
    <col min="6" max="6" width="43.7109375" style="13" customWidth="1"/>
    <col min="7" max="7" width="15.7109375" style="13" customWidth="1"/>
    <col min="8" max="8" width="15.7109375" style="90" customWidth="1"/>
    <col min="9" max="9" width="8.7109375" style="140" customWidth="1"/>
    <col min="10" max="16384" width="9.140625" style="13"/>
  </cols>
  <sheetData>
    <row r="2" spans="2:11" ht="15" customHeight="1">
      <c r="B2" s="448" t="s">
        <v>162</v>
      </c>
      <c r="C2" s="448"/>
      <c r="D2" s="448"/>
      <c r="E2" s="448"/>
      <c r="F2" s="448"/>
      <c r="G2" s="448"/>
    </row>
    <row r="3" spans="2:11" s="1" customFormat="1" ht="16.5" thickBot="1">
      <c r="E3" s="2"/>
      <c r="F3" s="449"/>
      <c r="G3" s="449"/>
      <c r="H3" s="181"/>
      <c r="I3" s="182"/>
    </row>
    <row r="4" spans="2:11" s="1" customFormat="1" ht="76.5" customHeight="1">
      <c r="B4" s="3" t="s">
        <v>79</v>
      </c>
      <c r="C4" s="4" t="s">
        <v>80</v>
      </c>
      <c r="D4" s="5" t="s">
        <v>112</v>
      </c>
      <c r="E4" s="6" t="s">
        <v>81</v>
      </c>
      <c r="F4" s="7" t="s">
        <v>82</v>
      </c>
      <c r="G4" s="316" t="s">
        <v>557</v>
      </c>
      <c r="H4" s="316" t="s">
        <v>683</v>
      </c>
      <c r="I4" s="149" t="s">
        <v>497</v>
      </c>
    </row>
    <row r="5" spans="2:11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34">
        <v>6</v>
      </c>
      <c r="H5" s="9">
        <v>7</v>
      </c>
      <c r="I5" s="150">
        <v>8</v>
      </c>
    </row>
    <row r="6" spans="2:11" s="2" customFormat="1" ht="12.95" customHeight="1">
      <c r="B6" s="10" t="s">
        <v>161</v>
      </c>
      <c r="C6" s="11" t="s">
        <v>83</v>
      </c>
      <c r="D6" s="11" t="s">
        <v>84</v>
      </c>
      <c r="E6" s="9"/>
      <c r="F6" s="9"/>
      <c r="G6" s="34"/>
      <c r="H6" s="165"/>
      <c r="I6" s="151"/>
    </row>
    <row r="7" spans="2:11" s="1" customFormat="1" ht="12.95" customHeight="1">
      <c r="B7" s="17"/>
      <c r="C7" s="12"/>
      <c r="D7" s="12"/>
      <c r="E7" s="9">
        <v>611000</v>
      </c>
      <c r="F7" s="12" t="s">
        <v>167</v>
      </c>
      <c r="G7" s="20">
        <f>SUM(G8:G11)</f>
        <v>470220</v>
      </c>
      <c r="H7" s="392">
        <f>SUM(H8:H11)</f>
        <v>454090</v>
      </c>
      <c r="I7" s="152">
        <f t="shared" ref="I7:I44" si="0">IF(G7=0,"",H7/G7*100)</f>
        <v>96.569690783037728</v>
      </c>
    </row>
    <row r="8" spans="2:11" ht="12.95" customHeight="1">
      <c r="B8" s="14"/>
      <c r="C8" s="15"/>
      <c r="D8" s="15"/>
      <c r="E8" s="16">
        <v>611100</v>
      </c>
      <c r="F8" s="26" t="s">
        <v>210</v>
      </c>
      <c r="G8" s="117">
        <v>391400</v>
      </c>
      <c r="H8" s="394">
        <f>389100+5090</f>
        <v>394190</v>
      </c>
      <c r="I8" s="153">
        <f t="shared" si="0"/>
        <v>100.71282575370466</v>
      </c>
    </row>
    <row r="9" spans="2:11" ht="12.95" customHeight="1">
      <c r="B9" s="14"/>
      <c r="C9" s="15"/>
      <c r="D9" s="15"/>
      <c r="E9" s="16">
        <v>611200</v>
      </c>
      <c r="F9" s="15" t="s">
        <v>211</v>
      </c>
      <c r="G9" s="117">
        <f>65500+13*240</f>
        <v>68620</v>
      </c>
      <c r="H9" s="394">
        <f>59900</f>
        <v>59900</v>
      </c>
      <c r="I9" s="153">
        <f t="shared" si="0"/>
        <v>87.292334596327606</v>
      </c>
    </row>
    <row r="10" spans="2:11" ht="12.95" customHeight="1">
      <c r="B10" s="14"/>
      <c r="C10" s="15"/>
      <c r="D10" s="15"/>
      <c r="E10" s="16">
        <v>611200</v>
      </c>
      <c r="F10" s="363" t="s">
        <v>699</v>
      </c>
      <c r="G10" s="82">
        <v>10200</v>
      </c>
      <c r="H10" s="391">
        <v>0</v>
      </c>
      <c r="I10" s="153">
        <f t="shared" si="0"/>
        <v>0</v>
      </c>
      <c r="K10" s="89"/>
    </row>
    <row r="11" spans="2:11" ht="12.95" customHeight="1">
      <c r="B11" s="14"/>
      <c r="C11" s="15"/>
      <c r="D11" s="15"/>
      <c r="E11" s="16"/>
      <c r="F11" s="26"/>
      <c r="G11" s="44"/>
      <c r="H11" s="394"/>
      <c r="I11" s="153" t="str">
        <f t="shared" si="0"/>
        <v/>
      </c>
    </row>
    <row r="12" spans="2:11" ht="12.95" customHeight="1">
      <c r="B12" s="14"/>
      <c r="C12" s="15"/>
      <c r="D12" s="15"/>
      <c r="E12" s="16"/>
      <c r="F12" s="15"/>
      <c r="G12" s="20"/>
      <c r="H12" s="392"/>
      <c r="I12" s="153" t="str">
        <f t="shared" si="0"/>
        <v/>
      </c>
      <c r="K12" s="81"/>
    </row>
    <row r="13" spans="2:11" s="1" customFormat="1" ht="12.95" customHeight="1">
      <c r="B13" s="17"/>
      <c r="C13" s="12"/>
      <c r="D13" s="12"/>
      <c r="E13" s="9">
        <v>612000</v>
      </c>
      <c r="F13" s="12" t="s">
        <v>166</v>
      </c>
      <c r="G13" s="20">
        <f>G14</f>
        <v>42100</v>
      </c>
      <c r="H13" s="392">
        <f>H14</f>
        <v>43360</v>
      </c>
      <c r="I13" s="152">
        <f t="shared" si="0"/>
        <v>102.99287410926365</v>
      </c>
    </row>
    <row r="14" spans="2:11" ht="12.95" customHeight="1">
      <c r="B14" s="14"/>
      <c r="C14" s="15"/>
      <c r="D14" s="15"/>
      <c r="E14" s="16">
        <v>612100</v>
      </c>
      <c r="F14" s="18" t="s">
        <v>85</v>
      </c>
      <c r="G14" s="117">
        <v>42100</v>
      </c>
      <c r="H14" s="394">
        <f>42800+560</f>
        <v>43360</v>
      </c>
      <c r="I14" s="153">
        <f t="shared" si="0"/>
        <v>102.99287410926365</v>
      </c>
    </row>
    <row r="15" spans="2:11" ht="12.95" customHeight="1">
      <c r="B15" s="14"/>
      <c r="C15" s="15"/>
      <c r="D15" s="15"/>
      <c r="E15" s="16"/>
      <c r="F15" s="15"/>
      <c r="G15" s="44"/>
      <c r="H15" s="44"/>
      <c r="I15" s="153" t="str">
        <f t="shared" si="0"/>
        <v/>
      </c>
    </row>
    <row r="16" spans="2:11" ht="12.95" customHeight="1">
      <c r="B16" s="14"/>
      <c r="C16" s="15"/>
      <c r="D16" s="15"/>
      <c r="E16" s="16"/>
      <c r="F16" s="15"/>
      <c r="G16" s="20"/>
      <c r="H16" s="20"/>
      <c r="I16" s="153" t="str">
        <f t="shared" si="0"/>
        <v/>
      </c>
    </row>
    <row r="17" spans="2:10" s="1" customFormat="1" ht="12.95" customHeight="1">
      <c r="B17" s="17"/>
      <c r="C17" s="12"/>
      <c r="D17" s="12"/>
      <c r="E17" s="9">
        <v>613000</v>
      </c>
      <c r="F17" s="12" t="s">
        <v>168</v>
      </c>
      <c r="G17" s="49">
        <f>SUM(G18:G27)</f>
        <v>100600</v>
      </c>
      <c r="H17" s="49">
        <f>SUM(H18:H27)</f>
        <v>95400</v>
      </c>
      <c r="I17" s="152">
        <f t="shared" si="0"/>
        <v>94.831013916500993</v>
      </c>
    </row>
    <row r="18" spans="2:10" ht="12.95" customHeight="1">
      <c r="B18" s="14"/>
      <c r="C18" s="15"/>
      <c r="D18" s="15"/>
      <c r="E18" s="16">
        <v>613100</v>
      </c>
      <c r="F18" s="15" t="s">
        <v>86</v>
      </c>
      <c r="G18" s="44">
        <v>3000</v>
      </c>
      <c r="H18" s="44">
        <v>3000</v>
      </c>
      <c r="I18" s="153">
        <f t="shared" si="0"/>
        <v>100</v>
      </c>
    </row>
    <row r="19" spans="2:10" ht="12.95" customHeight="1">
      <c r="B19" s="14"/>
      <c r="C19" s="15"/>
      <c r="D19" s="15"/>
      <c r="E19" s="16">
        <v>613200</v>
      </c>
      <c r="F19" s="15" t="s">
        <v>87</v>
      </c>
      <c r="G19" s="44">
        <v>4500</v>
      </c>
      <c r="H19" s="44">
        <v>4500</v>
      </c>
      <c r="I19" s="153">
        <f t="shared" si="0"/>
        <v>100</v>
      </c>
    </row>
    <row r="20" spans="2:10" ht="12.95" customHeight="1">
      <c r="B20" s="14"/>
      <c r="C20" s="15"/>
      <c r="D20" s="15"/>
      <c r="E20" s="16">
        <v>613300</v>
      </c>
      <c r="F20" s="26" t="s">
        <v>212</v>
      </c>
      <c r="G20" s="117">
        <v>13000</v>
      </c>
      <c r="H20" s="117">
        <v>14000</v>
      </c>
      <c r="I20" s="153">
        <f t="shared" si="0"/>
        <v>107.69230769230769</v>
      </c>
      <c r="J20" s="81"/>
    </row>
    <row r="21" spans="2:10" ht="12.95" customHeight="1">
      <c r="B21" s="14"/>
      <c r="C21" s="15"/>
      <c r="D21" s="15"/>
      <c r="E21" s="16">
        <v>613400</v>
      </c>
      <c r="F21" s="15" t="s">
        <v>169</v>
      </c>
      <c r="G21" s="44">
        <v>9000</v>
      </c>
      <c r="H21" s="44">
        <v>9000</v>
      </c>
      <c r="I21" s="153">
        <f t="shared" si="0"/>
        <v>100</v>
      </c>
    </row>
    <row r="22" spans="2:10" ht="12.95" customHeight="1">
      <c r="B22" s="14"/>
      <c r="C22" s="15"/>
      <c r="D22" s="15"/>
      <c r="E22" s="16">
        <v>613500</v>
      </c>
      <c r="F22" s="15" t="s">
        <v>88</v>
      </c>
      <c r="G22" s="117">
        <v>3000</v>
      </c>
      <c r="H22" s="117">
        <v>2500</v>
      </c>
      <c r="I22" s="153">
        <f t="shared" si="0"/>
        <v>83.333333333333343</v>
      </c>
      <c r="J22" s="81"/>
    </row>
    <row r="23" spans="2:10" ht="12.95" customHeight="1">
      <c r="B23" s="14"/>
      <c r="C23" s="15"/>
      <c r="D23" s="15"/>
      <c r="E23" s="16">
        <v>613600</v>
      </c>
      <c r="F23" s="26" t="s">
        <v>213</v>
      </c>
      <c r="G23" s="44">
        <v>0</v>
      </c>
      <c r="H23" s="44">
        <v>0</v>
      </c>
      <c r="I23" s="153" t="str">
        <f t="shared" si="0"/>
        <v/>
      </c>
    </row>
    <row r="24" spans="2:10" ht="12.95" customHeight="1">
      <c r="B24" s="14"/>
      <c r="C24" s="15"/>
      <c r="D24" s="15"/>
      <c r="E24" s="16">
        <v>613700</v>
      </c>
      <c r="F24" s="15" t="s">
        <v>89</v>
      </c>
      <c r="G24" s="117">
        <v>6300</v>
      </c>
      <c r="H24" s="117">
        <v>6300</v>
      </c>
      <c r="I24" s="153">
        <f t="shared" si="0"/>
        <v>100</v>
      </c>
      <c r="J24" s="81"/>
    </row>
    <row r="25" spans="2:10" ht="12.95" customHeight="1">
      <c r="B25" s="14"/>
      <c r="C25" s="15"/>
      <c r="D25" s="15"/>
      <c r="E25" s="16">
        <v>613800</v>
      </c>
      <c r="F25" s="15" t="s">
        <v>170</v>
      </c>
      <c r="G25" s="117">
        <v>1100</v>
      </c>
      <c r="H25" s="117">
        <v>1100</v>
      </c>
      <c r="I25" s="153">
        <f t="shared" si="0"/>
        <v>100</v>
      </c>
    </row>
    <row r="26" spans="2:10" ht="12.95" customHeight="1">
      <c r="B26" s="14"/>
      <c r="C26" s="15"/>
      <c r="D26" s="15"/>
      <c r="E26" s="16">
        <v>613900</v>
      </c>
      <c r="F26" s="15" t="s">
        <v>171</v>
      </c>
      <c r="G26" s="117">
        <v>50000</v>
      </c>
      <c r="H26" s="117">
        <v>55000</v>
      </c>
      <c r="I26" s="153">
        <f t="shared" si="0"/>
        <v>110.00000000000001</v>
      </c>
    </row>
    <row r="27" spans="2:10" ht="12.95" customHeight="1">
      <c r="B27" s="14"/>
      <c r="C27" s="15"/>
      <c r="D27" s="15"/>
      <c r="E27" s="16">
        <v>613900</v>
      </c>
      <c r="F27" s="363" t="s">
        <v>701</v>
      </c>
      <c r="G27" s="117">
        <v>10700</v>
      </c>
      <c r="H27" s="117">
        <v>0</v>
      </c>
      <c r="I27" s="153">
        <f t="shared" si="0"/>
        <v>0</v>
      </c>
    </row>
    <row r="28" spans="2:10" s="1" customFormat="1" ht="12.95" customHeight="1">
      <c r="B28" s="17"/>
      <c r="C28" s="12"/>
      <c r="D28" s="12"/>
      <c r="E28" s="9"/>
      <c r="F28" s="12"/>
      <c r="G28" s="117"/>
      <c r="H28" s="117"/>
      <c r="I28" s="153" t="str">
        <f t="shared" si="0"/>
        <v/>
      </c>
    </row>
    <row r="29" spans="2:10" ht="12.95" customHeight="1">
      <c r="B29" s="14"/>
      <c r="C29" s="15"/>
      <c r="D29" s="30"/>
      <c r="E29" s="16"/>
      <c r="F29" s="29"/>
      <c r="G29" s="117"/>
      <c r="H29" s="117"/>
      <c r="I29" s="153" t="str">
        <f t="shared" si="0"/>
        <v/>
      </c>
    </row>
    <row r="30" spans="2:10" ht="12.95" customHeight="1">
      <c r="B30" s="14"/>
      <c r="C30" s="15"/>
      <c r="D30" s="15"/>
      <c r="E30" s="60"/>
      <c r="F30" s="29"/>
      <c r="G30" s="117"/>
      <c r="H30" s="117"/>
      <c r="I30" s="153" t="str">
        <f t="shared" si="0"/>
        <v/>
      </c>
    </row>
    <row r="31" spans="2:10" ht="12.95" customHeight="1">
      <c r="B31" s="14"/>
      <c r="C31" s="15"/>
      <c r="D31" s="15"/>
      <c r="E31" s="16"/>
      <c r="F31" s="15"/>
      <c r="G31" s="117"/>
      <c r="H31" s="117"/>
      <c r="I31" s="153" t="str">
        <f t="shared" si="0"/>
        <v/>
      </c>
    </row>
    <row r="32" spans="2:10" ht="12.95" customHeight="1">
      <c r="B32" s="14"/>
      <c r="C32" s="15"/>
      <c r="D32" s="15"/>
      <c r="E32" s="16"/>
      <c r="F32" s="15"/>
      <c r="G32" s="117"/>
      <c r="H32" s="117"/>
      <c r="I32" s="153" t="str">
        <f t="shared" si="0"/>
        <v/>
      </c>
    </row>
    <row r="33" spans="2:9" ht="12.95" customHeight="1">
      <c r="B33" s="14"/>
      <c r="C33" s="15"/>
      <c r="D33" s="15"/>
      <c r="E33" s="9"/>
      <c r="F33" s="12"/>
      <c r="G33" s="117"/>
      <c r="H33" s="117"/>
      <c r="I33" s="153" t="str">
        <f t="shared" si="0"/>
        <v/>
      </c>
    </row>
    <row r="34" spans="2:9" ht="12.95" customHeight="1">
      <c r="B34" s="14"/>
      <c r="C34" s="15"/>
      <c r="D34" s="15"/>
      <c r="E34" s="16"/>
      <c r="F34" s="26"/>
      <c r="G34" s="117"/>
      <c r="H34" s="117"/>
      <c r="I34" s="153" t="str">
        <f t="shared" si="0"/>
        <v/>
      </c>
    </row>
    <row r="35" spans="2:9" ht="12.95" customHeight="1">
      <c r="B35" s="14"/>
      <c r="C35" s="15"/>
      <c r="D35" s="15"/>
      <c r="E35" s="16"/>
      <c r="F35" s="15"/>
      <c r="G35" s="108"/>
      <c r="H35" s="108"/>
      <c r="I35" s="153" t="str">
        <f t="shared" si="0"/>
        <v/>
      </c>
    </row>
    <row r="36" spans="2:9" s="1" customFormat="1" ht="12.95" customHeight="1">
      <c r="B36" s="17"/>
      <c r="C36" s="12"/>
      <c r="D36" s="12"/>
      <c r="E36" s="9">
        <v>821000</v>
      </c>
      <c r="F36" s="12" t="s">
        <v>92</v>
      </c>
      <c r="G36" s="108">
        <f>G37+G38</f>
        <v>5000</v>
      </c>
      <c r="H36" s="108">
        <f>H37+H38</f>
        <v>5000</v>
      </c>
      <c r="I36" s="152">
        <f t="shared" si="0"/>
        <v>100</v>
      </c>
    </row>
    <row r="37" spans="2:9" ht="12.95" customHeight="1">
      <c r="B37" s="14"/>
      <c r="C37" s="15"/>
      <c r="D37" s="15"/>
      <c r="E37" s="16">
        <v>821200</v>
      </c>
      <c r="F37" s="15" t="s">
        <v>93</v>
      </c>
      <c r="G37" s="117">
        <v>0</v>
      </c>
      <c r="H37" s="117">
        <v>0</v>
      </c>
      <c r="I37" s="153" t="str">
        <f t="shared" si="0"/>
        <v/>
      </c>
    </row>
    <row r="38" spans="2:9" ht="12.95" customHeight="1">
      <c r="B38" s="14"/>
      <c r="C38" s="15"/>
      <c r="D38" s="15"/>
      <c r="E38" s="16">
        <v>821300</v>
      </c>
      <c r="F38" s="15" t="s">
        <v>94</v>
      </c>
      <c r="G38" s="117">
        <v>5000</v>
      </c>
      <c r="H38" s="117">
        <v>5000</v>
      </c>
      <c r="I38" s="153">
        <f t="shared" si="0"/>
        <v>100</v>
      </c>
    </row>
    <row r="39" spans="2:9" ht="12.95" customHeight="1">
      <c r="B39" s="14"/>
      <c r="C39" s="15"/>
      <c r="D39" s="15"/>
      <c r="E39" s="16"/>
      <c r="F39" s="26"/>
      <c r="G39" s="117"/>
      <c r="H39" s="117"/>
      <c r="I39" s="153" t="str">
        <f t="shared" si="0"/>
        <v/>
      </c>
    </row>
    <row r="40" spans="2:9" ht="12.95" customHeight="1">
      <c r="B40" s="14"/>
      <c r="C40" s="15"/>
      <c r="D40" s="15"/>
      <c r="E40" s="16"/>
      <c r="F40" s="15"/>
      <c r="G40" s="44"/>
      <c r="H40" s="44"/>
      <c r="I40" s="153" t="str">
        <f t="shared" si="0"/>
        <v/>
      </c>
    </row>
    <row r="41" spans="2:9" s="1" customFormat="1" ht="12.95" customHeight="1">
      <c r="B41" s="17"/>
      <c r="C41" s="12"/>
      <c r="D41" s="12"/>
      <c r="E41" s="9"/>
      <c r="F41" s="12" t="s">
        <v>95</v>
      </c>
      <c r="G41" s="108">
        <v>13</v>
      </c>
      <c r="H41" s="108">
        <v>13</v>
      </c>
      <c r="I41" s="153"/>
    </row>
    <row r="42" spans="2:9" s="1" customFormat="1" ht="12.95" customHeight="1">
      <c r="B42" s="17"/>
      <c r="C42" s="12"/>
      <c r="D42" s="12"/>
      <c r="E42" s="9"/>
      <c r="F42" s="12" t="s">
        <v>115</v>
      </c>
      <c r="G42" s="20">
        <f>G7+G13+G17+G36</f>
        <v>617920</v>
      </c>
      <c r="H42" s="20">
        <f>H7+H13+H17+H36</f>
        <v>597850</v>
      </c>
      <c r="I42" s="152">
        <f t="shared" si="0"/>
        <v>96.752006732263069</v>
      </c>
    </row>
    <row r="43" spans="2:9" s="1" customFormat="1" ht="12.95" customHeight="1">
      <c r="B43" s="17"/>
      <c r="C43" s="12"/>
      <c r="D43" s="12"/>
      <c r="E43" s="9"/>
      <c r="F43" s="12" t="s">
        <v>96</v>
      </c>
      <c r="G43" s="20">
        <f>G42</f>
        <v>617920</v>
      </c>
      <c r="H43" s="20">
        <f>H42</f>
        <v>597850</v>
      </c>
      <c r="I43" s="152">
        <f t="shared" si="0"/>
        <v>96.752006732263069</v>
      </c>
    </row>
    <row r="44" spans="2:9" s="1" customFormat="1" ht="12.95" customHeight="1">
      <c r="B44" s="17"/>
      <c r="C44" s="12"/>
      <c r="D44" s="12"/>
      <c r="E44" s="9"/>
      <c r="F44" s="12" t="s">
        <v>97</v>
      </c>
      <c r="G44" s="20">
        <f>G43</f>
        <v>617920</v>
      </c>
      <c r="H44" s="20">
        <f>H43</f>
        <v>597850</v>
      </c>
      <c r="I44" s="152">
        <f t="shared" si="0"/>
        <v>96.752006732263069</v>
      </c>
    </row>
    <row r="45" spans="2:9" ht="12.95" customHeight="1" thickBot="1">
      <c r="B45" s="21"/>
      <c r="C45" s="22"/>
      <c r="D45" s="22"/>
      <c r="E45" s="23"/>
      <c r="F45" s="22"/>
      <c r="G45" s="48"/>
      <c r="H45" s="45"/>
      <c r="I45" s="156"/>
    </row>
    <row r="47" spans="2:9">
      <c r="B47" s="81"/>
    </row>
    <row r="48" spans="2:9">
      <c r="B48" s="81"/>
    </row>
    <row r="49" spans="2:2">
      <c r="B49" s="81"/>
    </row>
  </sheetData>
  <mergeCells count="2">
    <mergeCell ref="B2:G2"/>
    <mergeCell ref="F3:G3"/>
  </mergeCells>
  <phoneticPr fontId="2" type="noConversion"/>
  <pageMargins left="0.19685039370078741" right="0.19685039370078741" top="0.59055118110236227" bottom="0.59055118110236227" header="0.51181102362204722" footer="0.51181102362204722"/>
  <pageSetup paperSize="9" scale="88" firstPageNumber="10" orientation="portrait" useFirstPageNumber="1" horizontalDpi="180" verticalDpi="180" r:id="rId1"/>
  <headerFooter alignWithMargins="0">
    <oddFooter>&amp;R43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>
  <sheetPr codeName="Sheet44"/>
  <dimension ref="B2:K47"/>
  <sheetViews>
    <sheetView topLeftCell="C13" workbookViewId="0">
      <selection activeCell="G7" sqref="G7:G41"/>
    </sheetView>
  </sheetViews>
  <sheetFormatPr defaultRowHeight="12.75"/>
  <cols>
    <col min="1" max="1" width="1.5703125" style="13" customWidth="1"/>
    <col min="2" max="4" width="5.7109375" style="13" bestFit="1" customWidth="1"/>
    <col min="5" max="5" width="10.7109375" style="24" customWidth="1"/>
    <col min="6" max="6" width="43.7109375" style="13" customWidth="1"/>
    <col min="7" max="7" width="15.7109375" style="13" customWidth="1"/>
    <col min="8" max="8" width="15.7109375" style="90" customWidth="1"/>
    <col min="9" max="9" width="8.7109375" style="140" customWidth="1"/>
    <col min="10" max="16384" width="9.140625" style="13"/>
  </cols>
  <sheetData>
    <row r="2" spans="2:11" ht="15" customHeight="1">
      <c r="B2" s="448" t="s">
        <v>186</v>
      </c>
      <c r="C2" s="448"/>
      <c r="D2" s="448"/>
      <c r="E2" s="448"/>
      <c r="F2" s="448"/>
      <c r="G2" s="448"/>
    </row>
    <row r="3" spans="2:11" s="1" customFormat="1" ht="16.5" thickBot="1">
      <c r="E3" s="2"/>
      <c r="F3" s="449"/>
      <c r="G3" s="449"/>
      <c r="H3" s="181"/>
      <c r="I3" s="182"/>
    </row>
    <row r="4" spans="2:11" s="1" customFormat="1" ht="76.5" customHeight="1">
      <c r="B4" s="3" t="s">
        <v>79</v>
      </c>
      <c r="C4" s="4" t="s">
        <v>80</v>
      </c>
      <c r="D4" s="5" t="s">
        <v>112</v>
      </c>
      <c r="E4" s="6" t="s">
        <v>81</v>
      </c>
      <c r="F4" s="7" t="s">
        <v>82</v>
      </c>
      <c r="G4" s="316" t="s">
        <v>557</v>
      </c>
      <c r="H4" s="316" t="s">
        <v>683</v>
      </c>
      <c r="I4" s="149" t="s">
        <v>497</v>
      </c>
    </row>
    <row r="5" spans="2:11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34">
        <v>6</v>
      </c>
      <c r="H5" s="9">
        <v>7</v>
      </c>
      <c r="I5" s="150">
        <v>8</v>
      </c>
    </row>
    <row r="6" spans="2:11" s="2" customFormat="1" ht="12.95" customHeight="1">
      <c r="B6" s="10" t="s">
        <v>185</v>
      </c>
      <c r="C6" s="11" t="s">
        <v>83</v>
      </c>
      <c r="D6" s="11" t="s">
        <v>84</v>
      </c>
      <c r="E6" s="9"/>
      <c r="F6" s="9"/>
      <c r="G6" s="34"/>
      <c r="H6" s="165"/>
      <c r="I6" s="151"/>
    </row>
    <row r="7" spans="2:11" s="1" customFormat="1" ht="12.95" customHeight="1">
      <c r="B7" s="17"/>
      <c r="C7" s="12"/>
      <c r="D7" s="12"/>
      <c r="E7" s="9">
        <v>611000</v>
      </c>
      <c r="F7" s="12" t="s">
        <v>167</v>
      </c>
      <c r="G7" s="20">
        <f>SUM(G8:G11)</f>
        <v>326680</v>
      </c>
      <c r="H7" s="392">
        <f>SUM(H8:H11)</f>
        <v>338800</v>
      </c>
      <c r="I7" s="152">
        <f t="shared" ref="I7:I44" si="0">IF(G7=0,"",H7/G7*100)</f>
        <v>103.7100526509122</v>
      </c>
    </row>
    <row r="8" spans="2:11" ht="12.95" customHeight="1">
      <c r="B8" s="14"/>
      <c r="C8" s="15"/>
      <c r="D8" s="15"/>
      <c r="E8" s="16">
        <v>611100</v>
      </c>
      <c r="F8" s="26" t="s">
        <v>210</v>
      </c>
      <c r="G8" s="44">
        <f>272500</f>
        <v>272500</v>
      </c>
      <c r="H8" s="394">
        <f>273500+13600</f>
        <v>287100</v>
      </c>
      <c r="I8" s="153">
        <f t="shared" si="0"/>
        <v>105.35779816513762</v>
      </c>
    </row>
    <row r="9" spans="2:11" ht="12.95" customHeight="1">
      <c r="B9" s="14"/>
      <c r="C9" s="15"/>
      <c r="D9" s="15"/>
      <c r="E9" s="16">
        <v>611200</v>
      </c>
      <c r="F9" s="15" t="s">
        <v>211</v>
      </c>
      <c r="G9" s="44">
        <f>48900+12*240</f>
        <v>51780</v>
      </c>
      <c r="H9" s="394">
        <f>49400+2300</f>
        <v>51700</v>
      </c>
      <c r="I9" s="153">
        <f t="shared" si="0"/>
        <v>99.845500193124764</v>
      </c>
    </row>
    <row r="10" spans="2:11" ht="12.95" customHeight="1">
      <c r="B10" s="14"/>
      <c r="C10" s="15"/>
      <c r="D10" s="15"/>
      <c r="E10" s="16">
        <v>611200</v>
      </c>
      <c r="F10" s="363" t="s">
        <v>699</v>
      </c>
      <c r="G10" s="82">
        <v>2400</v>
      </c>
      <c r="H10" s="391">
        <v>0</v>
      </c>
      <c r="I10" s="153">
        <f t="shared" si="0"/>
        <v>0</v>
      </c>
      <c r="K10" s="89"/>
    </row>
    <row r="11" spans="2:11" ht="12.95" customHeight="1">
      <c r="B11" s="14"/>
      <c r="C11" s="15"/>
      <c r="D11" s="15"/>
      <c r="E11" s="16"/>
      <c r="F11" s="26"/>
      <c r="G11" s="44"/>
      <c r="H11" s="394"/>
      <c r="I11" s="153" t="str">
        <f t="shared" si="0"/>
        <v/>
      </c>
    </row>
    <row r="12" spans="2:11" ht="12.95" customHeight="1">
      <c r="B12" s="14"/>
      <c r="C12" s="15"/>
      <c r="D12" s="15"/>
      <c r="E12" s="16"/>
      <c r="F12" s="15"/>
      <c r="G12" s="20"/>
      <c r="H12" s="392"/>
      <c r="I12" s="153" t="str">
        <f t="shared" si="0"/>
        <v/>
      </c>
    </row>
    <row r="13" spans="2:11" s="1" customFormat="1" ht="12.95" customHeight="1">
      <c r="B13" s="17"/>
      <c r="C13" s="12"/>
      <c r="D13" s="12"/>
      <c r="E13" s="9">
        <v>612000</v>
      </c>
      <c r="F13" s="12" t="s">
        <v>166</v>
      </c>
      <c r="G13" s="20">
        <f>G14</f>
        <v>29600</v>
      </c>
      <c r="H13" s="392">
        <f>H14</f>
        <v>32300</v>
      </c>
      <c r="I13" s="152">
        <f t="shared" si="0"/>
        <v>109.12162162162163</v>
      </c>
    </row>
    <row r="14" spans="2:11" ht="12.95" customHeight="1">
      <c r="B14" s="14"/>
      <c r="C14" s="15"/>
      <c r="D14" s="15"/>
      <c r="E14" s="16">
        <v>612100</v>
      </c>
      <c r="F14" s="18" t="s">
        <v>85</v>
      </c>
      <c r="G14" s="44">
        <v>29600</v>
      </c>
      <c r="H14" s="394">
        <f>30900+1400</f>
        <v>32300</v>
      </c>
      <c r="I14" s="153">
        <f t="shared" si="0"/>
        <v>109.12162162162163</v>
      </c>
    </row>
    <row r="15" spans="2:11" ht="12.95" customHeight="1">
      <c r="B15" s="14"/>
      <c r="C15" s="15"/>
      <c r="D15" s="15"/>
      <c r="E15" s="16"/>
      <c r="F15" s="15"/>
      <c r="G15" s="44"/>
      <c r="H15" s="44"/>
      <c r="I15" s="153" t="str">
        <f t="shared" si="0"/>
        <v/>
      </c>
    </row>
    <row r="16" spans="2:11" ht="12.95" customHeight="1">
      <c r="B16" s="14"/>
      <c r="C16" s="15"/>
      <c r="D16" s="15"/>
      <c r="E16" s="16"/>
      <c r="F16" s="15"/>
      <c r="G16" s="20"/>
      <c r="H16" s="20"/>
      <c r="I16" s="153" t="str">
        <f t="shared" si="0"/>
        <v/>
      </c>
    </row>
    <row r="17" spans="2:10" s="1" customFormat="1" ht="12.95" customHeight="1">
      <c r="B17" s="17"/>
      <c r="C17" s="12"/>
      <c r="D17" s="12"/>
      <c r="E17" s="9">
        <v>613000</v>
      </c>
      <c r="F17" s="12" t="s">
        <v>168</v>
      </c>
      <c r="G17" s="49">
        <f>SUM(G18:G27)</f>
        <v>31500</v>
      </c>
      <c r="H17" s="49">
        <f>SUM(H18:H27)</f>
        <v>29300</v>
      </c>
      <c r="I17" s="152">
        <f t="shared" si="0"/>
        <v>93.015873015873012</v>
      </c>
    </row>
    <row r="18" spans="2:10" ht="12.95" customHeight="1">
      <c r="B18" s="14"/>
      <c r="C18" s="15"/>
      <c r="D18" s="15"/>
      <c r="E18" s="16">
        <v>613100</v>
      </c>
      <c r="F18" s="15" t="s">
        <v>86</v>
      </c>
      <c r="G18" s="44">
        <v>2000</v>
      </c>
      <c r="H18" s="44">
        <v>2500</v>
      </c>
      <c r="I18" s="153">
        <f t="shared" si="0"/>
        <v>125</v>
      </c>
    </row>
    <row r="19" spans="2:10" ht="12.95" customHeight="1">
      <c r="B19" s="14"/>
      <c r="C19" s="15"/>
      <c r="D19" s="15"/>
      <c r="E19" s="16">
        <v>613200</v>
      </c>
      <c r="F19" s="15" t="s">
        <v>87</v>
      </c>
      <c r="G19" s="44">
        <v>7000</v>
      </c>
      <c r="H19" s="44">
        <v>6000</v>
      </c>
      <c r="I19" s="153">
        <f t="shared" si="0"/>
        <v>85.714285714285708</v>
      </c>
    </row>
    <row r="20" spans="2:10" ht="12.95" customHeight="1">
      <c r="B20" s="14"/>
      <c r="C20" s="15"/>
      <c r="D20" s="15"/>
      <c r="E20" s="16">
        <v>613300</v>
      </c>
      <c r="F20" s="26" t="s">
        <v>212</v>
      </c>
      <c r="G20" s="44">
        <v>6000</v>
      </c>
      <c r="H20" s="44">
        <v>6000</v>
      </c>
      <c r="I20" s="153">
        <f t="shared" si="0"/>
        <v>100</v>
      </c>
    </row>
    <row r="21" spans="2:10" ht="12.95" customHeight="1">
      <c r="B21" s="14"/>
      <c r="C21" s="15"/>
      <c r="D21" s="15"/>
      <c r="E21" s="16">
        <v>613400</v>
      </c>
      <c r="F21" s="15" t="s">
        <v>169</v>
      </c>
      <c r="G21" s="44">
        <v>1000</v>
      </c>
      <c r="H21" s="44">
        <v>1500</v>
      </c>
      <c r="I21" s="153">
        <f t="shared" si="0"/>
        <v>150</v>
      </c>
    </row>
    <row r="22" spans="2:10" ht="12.95" customHeight="1">
      <c r="B22" s="14"/>
      <c r="C22" s="15"/>
      <c r="D22" s="15"/>
      <c r="E22" s="16">
        <v>613500</v>
      </c>
      <c r="F22" s="15" t="s">
        <v>88</v>
      </c>
      <c r="G22" s="44">
        <v>6000</v>
      </c>
      <c r="H22" s="44">
        <v>5500</v>
      </c>
      <c r="I22" s="153">
        <f t="shared" si="0"/>
        <v>91.666666666666657</v>
      </c>
    </row>
    <row r="23" spans="2:10" ht="12.95" customHeight="1">
      <c r="B23" s="14"/>
      <c r="C23" s="15"/>
      <c r="D23" s="15"/>
      <c r="E23" s="16">
        <v>613600</v>
      </c>
      <c r="F23" s="26" t="s">
        <v>213</v>
      </c>
      <c r="G23" s="117">
        <v>0</v>
      </c>
      <c r="H23" s="117">
        <v>0</v>
      </c>
      <c r="I23" s="153" t="str">
        <f t="shared" si="0"/>
        <v/>
      </c>
    </row>
    <row r="24" spans="2:10" ht="12.95" customHeight="1">
      <c r="B24" s="14"/>
      <c r="C24" s="15"/>
      <c r="D24" s="15"/>
      <c r="E24" s="16">
        <v>613700</v>
      </c>
      <c r="F24" s="15" t="s">
        <v>89</v>
      </c>
      <c r="G24" s="117">
        <v>2000</v>
      </c>
      <c r="H24" s="117">
        <v>2000</v>
      </c>
      <c r="I24" s="153">
        <f t="shared" si="0"/>
        <v>100</v>
      </c>
      <c r="J24" s="81"/>
    </row>
    <row r="25" spans="2:10" ht="12.95" customHeight="1">
      <c r="B25" s="14"/>
      <c r="C25" s="15"/>
      <c r="D25" s="15"/>
      <c r="E25" s="16">
        <v>613800</v>
      </c>
      <c r="F25" s="15" t="s">
        <v>170</v>
      </c>
      <c r="G25" s="117">
        <v>1100</v>
      </c>
      <c r="H25" s="117">
        <v>800</v>
      </c>
      <c r="I25" s="153">
        <f t="shared" si="0"/>
        <v>72.727272727272734</v>
      </c>
    </row>
    <row r="26" spans="2:10" ht="12.95" customHeight="1">
      <c r="B26" s="14"/>
      <c r="C26" s="15"/>
      <c r="D26" s="15"/>
      <c r="E26" s="16">
        <v>613900</v>
      </c>
      <c r="F26" s="15" t="s">
        <v>171</v>
      </c>
      <c r="G26" s="117">
        <v>3000</v>
      </c>
      <c r="H26" s="117">
        <v>5000</v>
      </c>
      <c r="I26" s="153">
        <f t="shared" si="0"/>
        <v>166.66666666666669</v>
      </c>
      <c r="J26" s="81"/>
    </row>
    <row r="27" spans="2:10" ht="12.95" customHeight="1">
      <c r="B27" s="14"/>
      <c r="C27" s="15"/>
      <c r="D27" s="15"/>
      <c r="E27" s="16">
        <v>613900</v>
      </c>
      <c r="F27" s="363" t="s">
        <v>701</v>
      </c>
      <c r="G27" s="117">
        <v>3400</v>
      </c>
      <c r="H27" s="117">
        <v>0</v>
      </c>
      <c r="I27" s="153">
        <f t="shared" si="0"/>
        <v>0</v>
      </c>
    </row>
    <row r="28" spans="2:10" s="1" customFormat="1" ht="12.95" customHeight="1">
      <c r="B28" s="17"/>
      <c r="C28" s="12"/>
      <c r="D28" s="12"/>
      <c r="E28" s="9"/>
      <c r="F28" s="12"/>
      <c r="G28" s="117"/>
      <c r="H28" s="117"/>
      <c r="I28" s="153" t="str">
        <f t="shared" si="0"/>
        <v/>
      </c>
    </row>
    <row r="29" spans="2:10" ht="12.95" customHeight="1">
      <c r="B29" s="14"/>
      <c r="C29" s="15"/>
      <c r="D29" s="30"/>
      <c r="E29" s="16"/>
      <c r="F29" s="29"/>
      <c r="G29" s="117"/>
      <c r="H29" s="117"/>
      <c r="I29" s="153" t="str">
        <f t="shared" si="0"/>
        <v/>
      </c>
    </row>
    <row r="30" spans="2:10" ht="12.95" customHeight="1">
      <c r="B30" s="14"/>
      <c r="C30" s="15"/>
      <c r="D30" s="15"/>
      <c r="E30" s="60"/>
      <c r="F30" s="29"/>
      <c r="G30" s="117"/>
      <c r="H30" s="117"/>
      <c r="I30" s="153" t="str">
        <f t="shared" si="0"/>
        <v/>
      </c>
    </row>
    <row r="31" spans="2:10" ht="12.95" customHeight="1">
      <c r="B31" s="14"/>
      <c r="C31" s="15"/>
      <c r="D31" s="15"/>
      <c r="E31" s="16"/>
      <c r="F31" s="15"/>
      <c r="G31" s="117"/>
      <c r="H31" s="117"/>
      <c r="I31" s="153" t="str">
        <f t="shared" si="0"/>
        <v/>
      </c>
    </row>
    <row r="32" spans="2:10" ht="12.95" customHeight="1">
      <c r="B32" s="14"/>
      <c r="C32" s="15"/>
      <c r="D32" s="15"/>
      <c r="E32" s="16"/>
      <c r="F32" s="15"/>
      <c r="G32" s="117"/>
      <c r="H32" s="117"/>
      <c r="I32" s="153" t="str">
        <f t="shared" si="0"/>
        <v/>
      </c>
    </row>
    <row r="33" spans="2:9" ht="12.95" customHeight="1">
      <c r="B33" s="14"/>
      <c r="C33" s="15"/>
      <c r="D33" s="15"/>
      <c r="E33" s="9"/>
      <c r="F33" s="12"/>
      <c r="G33" s="117"/>
      <c r="H33" s="117"/>
      <c r="I33" s="153" t="str">
        <f t="shared" si="0"/>
        <v/>
      </c>
    </row>
    <row r="34" spans="2:9" ht="12.95" customHeight="1">
      <c r="B34" s="14"/>
      <c r="C34" s="15"/>
      <c r="D34" s="15"/>
      <c r="E34" s="16"/>
      <c r="F34" s="26"/>
      <c r="G34" s="117"/>
      <c r="H34" s="117"/>
      <c r="I34" s="153" t="str">
        <f t="shared" si="0"/>
        <v/>
      </c>
    </row>
    <row r="35" spans="2:9" ht="12.95" customHeight="1">
      <c r="B35" s="14"/>
      <c r="C35" s="15"/>
      <c r="D35" s="15"/>
      <c r="E35" s="16"/>
      <c r="F35" s="15"/>
      <c r="G35" s="108"/>
      <c r="H35" s="108"/>
      <c r="I35" s="153" t="str">
        <f t="shared" si="0"/>
        <v/>
      </c>
    </row>
    <row r="36" spans="2:9" s="1" customFormat="1" ht="12.95" customHeight="1">
      <c r="B36" s="17"/>
      <c r="C36" s="12"/>
      <c r="D36" s="12"/>
      <c r="E36" s="9">
        <v>821000</v>
      </c>
      <c r="F36" s="12" t="s">
        <v>92</v>
      </c>
      <c r="G36" s="108">
        <f>SUM(G37:G39)</f>
        <v>18000</v>
      </c>
      <c r="H36" s="108">
        <f>SUM(H37:H39)</f>
        <v>2000</v>
      </c>
      <c r="I36" s="152">
        <f t="shared" si="0"/>
        <v>11.111111111111111</v>
      </c>
    </row>
    <row r="37" spans="2:9" ht="12.95" customHeight="1">
      <c r="B37" s="14"/>
      <c r="C37" s="15"/>
      <c r="D37" s="15"/>
      <c r="E37" s="16">
        <v>821200</v>
      </c>
      <c r="F37" s="15" t="s">
        <v>93</v>
      </c>
      <c r="G37" s="117">
        <v>0</v>
      </c>
      <c r="H37" s="117">
        <v>0</v>
      </c>
      <c r="I37" s="153" t="str">
        <f t="shared" si="0"/>
        <v/>
      </c>
    </row>
    <row r="38" spans="2:9" ht="12.95" customHeight="1">
      <c r="B38" s="14"/>
      <c r="C38" s="15"/>
      <c r="D38" s="15"/>
      <c r="E38" s="16">
        <v>821300</v>
      </c>
      <c r="F38" s="15" t="s">
        <v>94</v>
      </c>
      <c r="G38" s="117">
        <v>18000</v>
      </c>
      <c r="H38" s="117">
        <v>2000</v>
      </c>
      <c r="I38" s="153">
        <f t="shared" si="0"/>
        <v>11.111111111111111</v>
      </c>
    </row>
    <row r="39" spans="2:9" ht="12.95" customHeight="1">
      <c r="B39" s="14"/>
      <c r="C39" s="15"/>
      <c r="D39" s="15"/>
      <c r="E39" s="16"/>
      <c r="F39" s="26"/>
      <c r="G39" s="117"/>
      <c r="H39" s="117"/>
      <c r="I39" s="153" t="str">
        <f t="shared" si="0"/>
        <v/>
      </c>
    </row>
    <row r="40" spans="2:9" ht="12.95" customHeight="1">
      <c r="B40" s="14"/>
      <c r="C40" s="15"/>
      <c r="D40" s="15"/>
      <c r="E40" s="16"/>
      <c r="F40" s="15"/>
      <c r="G40" s="117"/>
      <c r="H40" s="117"/>
      <c r="I40" s="153" t="str">
        <f t="shared" si="0"/>
        <v/>
      </c>
    </row>
    <row r="41" spans="2:9" s="1" customFormat="1" ht="12.95" customHeight="1">
      <c r="B41" s="17"/>
      <c r="C41" s="12"/>
      <c r="D41" s="12"/>
      <c r="E41" s="9"/>
      <c r="F41" s="12" t="s">
        <v>95</v>
      </c>
      <c r="G41" s="20">
        <v>12</v>
      </c>
      <c r="H41" s="20">
        <v>12</v>
      </c>
      <c r="I41" s="153"/>
    </row>
    <row r="42" spans="2:9" s="1" customFormat="1" ht="12.95" customHeight="1">
      <c r="B42" s="17"/>
      <c r="C42" s="12"/>
      <c r="D42" s="12"/>
      <c r="E42" s="9"/>
      <c r="F42" s="12" t="s">
        <v>115</v>
      </c>
      <c r="G42" s="20">
        <f>G7+G13+G17+G36</f>
        <v>405780</v>
      </c>
      <c r="H42" s="20">
        <f>H7+H13+H17+H36</f>
        <v>402400</v>
      </c>
      <c r="I42" s="152">
        <f t="shared" si="0"/>
        <v>99.167036325102274</v>
      </c>
    </row>
    <row r="43" spans="2:9" s="1" customFormat="1" ht="12.95" customHeight="1">
      <c r="B43" s="17"/>
      <c r="C43" s="12"/>
      <c r="D43" s="12"/>
      <c r="E43" s="9"/>
      <c r="F43" s="12" t="s">
        <v>96</v>
      </c>
      <c r="G43" s="20">
        <f>G42</f>
        <v>405780</v>
      </c>
      <c r="H43" s="20">
        <f>H42</f>
        <v>402400</v>
      </c>
      <c r="I43" s="152">
        <f t="shared" si="0"/>
        <v>99.167036325102274</v>
      </c>
    </row>
    <row r="44" spans="2:9" s="1" customFormat="1" ht="12.95" customHeight="1">
      <c r="B44" s="17"/>
      <c r="C44" s="12"/>
      <c r="D44" s="12"/>
      <c r="E44" s="9"/>
      <c r="F44" s="12" t="s">
        <v>97</v>
      </c>
      <c r="G44" s="20">
        <f>G43</f>
        <v>405780</v>
      </c>
      <c r="H44" s="20">
        <f>H43</f>
        <v>402400</v>
      </c>
      <c r="I44" s="152">
        <f t="shared" si="0"/>
        <v>99.167036325102274</v>
      </c>
    </row>
    <row r="45" spans="2:9" ht="12.95" customHeight="1" thickBot="1">
      <c r="B45" s="21"/>
      <c r="C45" s="22"/>
      <c r="D45" s="22"/>
      <c r="E45" s="23"/>
      <c r="F45" s="22"/>
      <c r="G45" s="48"/>
      <c r="H45" s="45"/>
      <c r="I45" s="156"/>
    </row>
    <row r="47" spans="2:9">
      <c r="B47" s="81"/>
    </row>
  </sheetData>
  <mergeCells count="2">
    <mergeCell ref="B2:G2"/>
    <mergeCell ref="F3:G3"/>
  </mergeCells>
  <phoneticPr fontId="2" type="noConversion"/>
  <pageMargins left="0.19685039370078741" right="0.19685039370078741" top="0.59055118110236227" bottom="0.59055118110236227" header="0.51181102362204722" footer="0.51181102362204722"/>
  <pageSetup paperSize="9" scale="88" firstPageNumber="10" orientation="portrait" useFirstPageNumber="1" horizontalDpi="180" verticalDpi="180" r:id="rId1"/>
  <headerFooter alignWithMargins="0">
    <oddFooter>&amp;R44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>
  <dimension ref="A2:L45"/>
  <sheetViews>
    <sheetView topLeftCell="A13" workbookViewId="0">
      <selection activeCell="N45" sqref="N45"/>
    </sheetView>
  </sheetViews>
  <sheetFormatPr defaultRowHeight="12.75"/>
  <cols>
    <col min="1" max="1" width="11.85546875" style="55" customWidth="1"/>
    <col min="2" max="2" width="82.28515625" customWidth="1"/>
    <col min="3" max="11" width="10.7109375" customWidth="1"/>
    <col min="12" max="12" width="11.42578125" style="68" customWidth="1"/>
  </cols>
  <sheetData>
    <row r="2" spans="1:12" ht="15.75">
      <c r="A2" s="424" t="s">
        <v>694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</row>
    <row r="4" spans="1:12" s="68" customFormat="1" ht="51">
      <c r="A4" s="280" t="s">
        <v>503</v>
      </c>
      <c r="B4" s="281" t="s">
        <v>522</v>
      </c>
      <c r="C4" s="280" t="s">
        <v>515</v>
      </c>
      <c r="D4" s="280" t="s">
        <v>516</v>
      </c>
      <c r="E4" s="280" t="s">
        <v>523</v>
      </c>
      <c r="F4" s="280" t="s">
        <v>524</v>
      </c>
      <c r="G4" s="280" t="s">
        <v>517</v>
      </c>
      <c r="H4" s="280" t="s">
        <v>518</v>
      </c>
      <c r="I4" s="280" t="s">
        <v>519</v>
      </c>
      <c r="J4" s="280" t="s">
        <v>525</v>
      </c>
      <c r="K4" s="280" t="s">
        <v>520</v>
      </c>
      <c r="L4" s="280" t="s">
        <v>521</v>
      </c>
    </row>
    <row r="5" spans="1:12" ht="15.95" customHeight="1">
      <c r="A5" s="274">
        <v>10010001</v>
      </c>
      <c r="B5" s="29" t="s">
        <v>251</v>
      </c>
      <c r="C5" s="272">
        <f>'1'!H8</f>
        <v>333970</v>
      </c>
      <c r="D5" s="272">
        <f>'1'!H9+'1'!H10</f>
        <v>69400</v>
      </c>
      <c r="E5" s="272">
        <f>'1'!H12</f>
        <v>35790</v>
      </c>
      <c r="F5" s="272">
        <f>'1'!H16</f>
        <v>270740</v>
      </c>
      <c r="G5" s="272">
        <f>'1'!H28</f>
        <v>0</v>
      </c>
      <c r="H5" s="272">
        <v>0</v>
      </c>
      <c r="I5" s="29">
        <v>0</v>
      </c>
      <c r="J5" s="272">
        <f>'1'!H36</f>
        <v>57000</v>
      </c>
      <c r="K5" s="29">
        <v>0</v>
      </c>
      <c r="L5" s="273">
        <f>SUM(C5:K5)</f>
        <v>766900</v>
      </c>
    </row>
    <row r="6" spans="1:12" ht="15.95" customHeight="1">
      <c r="A6" s="274">
        <v>10010002</v>
      </c>
      <c r="B6" s="29" t="s">
        <v>504</v>
      </c>
      <c r="C6" s="272">
        <f>'2'!H8</f>
        <v>44680</v>
      </c>
      <c r="D6" s="272">
        <f>'2'!H9+'2'!H10</f>
        <v>12800</v>
      </c>
      <c r="E6" s="272">
        <f>'2'!H13</f>
        <v>5030</v>
      </c>
      <c r="F6" s="272">
        <f>'2'!H17</f>
        <v>1050</v>
      </c>
      <c r="G6" s="29">
        <v>0</v>
      </c>
      <c r="H6" s="29">
        <v>0</v>
      </c>
      <c r="I6" s="29">
        <v>0</v>
      </c>
      <c r="J6" s="272">
        <f>'2'!H36</f>
        <v>0</v>
      </c>
      <c r="K6" s="29">
        <v>0</v>
      </c>
      <c r="L6" s="273">
        <f t="shared" ref="L6:L41" si="0">SUM(C6:K6)</f>
        <v>63560</v>
      </c>
    </row>
    <row r="7" spans="1:12" ht="15.95" customHeight="1">
      <c r="A7" s="274">
        <v>11010001</v>
      </c>
      <c r="B7" s="29" t="s">
        <v>252</v>
      </c>
      <c r="C7" s="272">
        <f>'3'!H13</f>
        <v>127050</v>
      </c>
      <c r="D7" s="272">
        <f>'3'!H14+'3'!H15</f>
        <v>215000</v>
      </c>
      <c r="E7" s="272">
        <f>'3'!H18</f>
        <v>14010</v>
      </c>
      <c r="F7" s="272">
        <f>'3'!H22</f>
        <v>398600</v>
      </c>
      <c r="G7" s="272">
        <f>'3'!H35</f>
        <v>850000</v>
      </c>
      <c r="H7" s="272">
        <f>'3'!H47</f>
        <v>400000</v>
      </c>
      <c r="I7" s="29">
        <v>0</v>
      </c>
      <c r="J7" s="272">
        <f>'3'!H50</f>
        <v>55000</v>
      </c>
      <c r="K7" s="29">
        <v>0</v>
      </c>
      <c r="L7" s="273">
        <f t="shared" si="0"/>
        <v>2059660</v>
      </c>
    </row>
    <row r="8" spans="1:12" ht="15.95" customHeight="1">
      <c r="A8" s="274">
        <v>11010002</v>
      </c>
      <c r="B8" s="29" t="s">
        <v>253</v>
      </c>
      <c r="C8" s="272">
        <f>'4'!H8</f>
        <v>26780</v>
      </c>
      <c r="D8" s="272">
        <f>'4'!H9+'4'!H10</f>
        <v>6300</v>
      </c>
      <c r="E8" s="272">
        <f>'4'!H13</f>
        <v>3110</v>
      </c>
      <c r="F8" s="272">
        <f>'4'!H17</f>
        <v>12000</v>
      </c>
      <c r="G8" s="272">
        <f>'4'!H29</f>
        <v>15000</v>
      </c>
      <c r="H8" s="29">
        <v>0</v>
      </c>
      <c r="I8" s="29">
        <v>0</v>
      </c>
      <c r="J8" s="272">
        <f>'4'!H37</f>
        <v>1000</v>
      </c>
      <c r="K8" s="29">
        <v>0</v>
      </c>
      <c r="L8" s="273">
        <f t="shared" si="0"/>
        <v>64190</v>
      </c>
    </row>
    <row r="9" spans="1:12" ht="15.95" customHeight="1">
      <c r="A9" s="274">
        <v>11010003</v>
      </c>
      <c r="B9" s="29" t="s">
        <v>254</v>
      </c>
      <c r="C9" s="272">
        <f>'5'!H8</f>
        <v>41660</v>
      </c>
      <c r="D9" s="272">
        <f>'5'!H9+'5'!H10</f>
        <v>5940</v>
      </c>
      <c r="E9" s="272">
        <f>'5'!H13</f>
        <v>5010</v>
      </c>
      <c r="F9" s="272">
        <f>'5'!H17</f>
        <v>15300</v>
      </c>
      <c r="G9" s="29">
        <v>0</v>
      </c>
      <c r="H9" s="29">
        <v>0</v>
      </c>
      <c r="I9" s="29">
        <v>0</v>
      </c>
      <c r="J9" s="272">
        <f>'5'!H36</f>
        <v>1500</v>
      </c>
      <c r="K9" s="29">
        <v>0</v>
      </c>
      <c r="L9" s="273">
        <f t="shared" si="0"/>
        <v>69410</v>
      </c>
    </row>
    <row r="10" spans="1:12" ht="15.95" customHeight="1">
      <c r="A10" s="274">
        <v>11010004</v>
      </c>
      <c r="B10" s="29" t="s">
        <v>256</v>
      </c>
      <c r="C10" s="272">
        <f>'6'!H8</f>
        <v>64950</v>
      </c>
      <c r="D10" s="272">
        <f>'6'!H9+'6'!H10</f>
        <v>11100</v>
      </c>
      <c r="E10" s="272">
        <f>'6'!H13</f>
        <v>7330</v>
      </c>
      <c r="F10" s="272">
        <f>'6'!H17</f>
        <v>6700</v>
      </c>
      <c r="G10" s="29">
        <v>0</v>
      </c>
      <c r="H10" s="29">
        <v>0</v>
      </c>
      <c r="I10" s="29">
        <v>0</v>
      </c>
      <c r="J10" s="272">
        <f>'6'!H36</f>
        <v>2500</v>
      </c>
      <c r="K10" s="29">
        <v>0</v>
      </c>
      <c r="L10" s="273">
        <f t="shared" si="0"/>
        <v>92580</v>
      </c>
    </row>
    <row r="11" spans="1:12" ht="15.95" customHeight="1">
      <c r="A11" s="274">
        <v>11010005</v>
      </c>
      <c r="B11" s="29" t="s">
        <v>344</v>
      </c>
      <c r="C11" s="272">
        <f>'7'!H8</f>
        <v>87960</v>
      </c>
      <c r="D11" s="272">
        <f>'7'!H9+'7'!H10</f>
        <v>20500</v>
      </c>
      <c r="E11" s="272">
        <f>'7'!H13</f>
        <v>10030</v>
      </c>
      <c r="F11" s="272">
        <f>'7'!H17</f>
        <v>8000</v>
      </c>
      <c r="G11" s="29">
        <v>0</v>
      </c>
      <c r="H11" s="29">
        <v>0</v>
      </c>
      <c r="I11" s="29">
        <v>0</v>
      </c>
      <c r="J11" s="272">
        <f>'7'!H36</f>
        <v>2000</v>
      </c>
      <c r="K11" s="29">
        <v>0</v>
      </c>
      <c r="L11" s="273">
        <f t="shared" si="0"/>
        <v>128490</v>
      </c>
    </row>
    <row r="12" spans="1:12" ht="15.95" customHeight="1">
      <c r="A12" s="274">
        <v>12010001</v>
      </c>
      <c r="B12" s="29" t="s">
        <v>257</v>
      </c>
      <c r="C12" s="272">
        <f>'8'!H8</f>
        <v>174830</v>
      </c>
      <c r="D12" s="272">
        <f>'8'!H9+'8'!H10</f>
        <v>54400</v>
      </c>
      <c r="E12" s="272">
        <f>'8'!H13</f>
        <v>19600</v>
      </c>
      <c r="F12" s="272">
        <f>'8'!H17</f>
        <v>385000</v>
      </c>
      <c r="G12" s="29">
        <v>0</v>
      </c>
      <c r="H12" s="29">
        <v>0</v>
      </c>
      <c r="I12" s="29">
        <v>0</v>
      </c>
      <c r="J12" s="272">
        <f>'8'!H36</f>
        <v>75000</v>
      </c>
      <c r="K12" s="29">
        <v>0</v>
      </c>
      <c r="L12" s="273">
        <f t="shared" si="0"/>
        <v>708830</v>
      </c>
    </row>
    <row r="13" spans="1:12" ht="15.95" customHeight="1">
      <c r="A13" s="274">
        <v>13010001</v>
      </c>
      <c r="B13" s="29" t="s">
        <v>502</v>
      </c>
      <c r="C13" s="272">
        <f>'9'!H8</f>
        <v>3911810</v>
      </c>
      <c r="D13" s="272">
        <f>'9'!H9+'9'!H10</f>
        <v>824000</v>
      </c>
      <c r="E13" s="272">
        <f>'9'!H13</f>
        <v>615250</v>
      </c>
      <c r="F13" s="272">
        <f>'9'!H17</f>
        <v>814500</v>
      </c>
      <c r="G13" s="29">
        <v>0</v>
      </c>
      <c r="H13" s="29">
        <v>0</v>
      </c>
      <c r="I13" s="29">
        <v>0</v>
      </c>
      <c r="J13" s="272">
        <f>'9'!H36</f>
        <v>150000</v>
      </c>
      <c r="K13" s="29">
        <v>0</v>
      </c>
      <c r="L13" s="273">
        <f t="shared" si="0"/>
        <v>6315560</v>
      </c>
    </row>
    <row r="14" spans="1:12" ht="15.95" customHeight="1">
      <c r="A14" s="274">
        <v>14010001</v>
      </c>
      <c r="B14" s="29" t="s">
        <v>259</v>
      </c>
      <c r="C14" s="272">
        <f>'10'!H8</f>
        <v>65450</v>
      </c>
      <c r="D14" s="272">
        <f>'10'!H9+'10'!H10</f>
        <v>10800</v>
      </c>
      <c r="E14" s="272">
        <f>'10'!H13</f>
        <v>7330</v>
      </c>
      <c r="F14" s="272">
        <f>'10'!H17</f>
        <v>45600</v>
      </c>
      <c r="G14" s="29">
        <v>0</v>
      </c>
      <c r="H14" s="29">
        <v>0</v>
      </c>
      <c r="I14" s="29">
        <v>0</v>
      </c>
      <c r="J14" s="272">
        <f>'10'!H36</f>
        <v>3000</v>
      </c>
      <c r="K14" s="29">
        <v>0</v>
      </c>
      <c r="L14" s="273">
        <f t="shared" si="0"/>
        <v>132180</v>
      </c>
    </row>
    <row r="15" spans="1:12" ht="15.95" customHeight="1">
      <c r="A15" s="274">
        <v>14020003</v>
      </c>
      <c r="B15" s="29" t="s">
        <v>260</v>
      </c>
      <c r="C15" s="272">
        <f>'11'!H8</f>
        <v>977910</v>
      </c>
      <c r="D15" s="272">
        <f>'11'!H9+'11'!H10</f>
        <v>189400</v>
      </c>
      <c r="E15" s="272">
        <f>'11'!H13</f>
        <v>105990</v>
      </c>
      <c r="F15" s="272">
        <f>'11'!H17</f>
        <v>338500</v>
      </c>
      <c r="G15" s="29">
        <v>0</v>
      </c>
      <c r="H15" s="29">
        <v>0</v>
      </c>
      <c r="I15" s="29">
        <v>0</v>
      </c>
      <c r="J15" s="272">
        <f>'11'!H36</f>
        <v>30000</v>
      </c>
      <c r="K15" s="29">
        <v>0</v>
      </c>
      <c r="L15" s="273">
        <f t="shared" si="0"/>
        <v>1641800</v>
      </c>
    </row>
    <row r="16" spans="1:12" ht="15.95" customHeight="1">
      <c r="A16" s="274">
        <v>14050001</v>
      </c>
      <c r="B16" s="29" t="s">
        <v>261</v>
      </c>
      <c r="C16" s="272">
        <f>'12'!H8</f>
        <v>28200</v>
      </c>
      <c r="D16" s="272">
        <f>'12'!H9+'12'!H10</f>
        <v>5400</v>
      </c>
      <c r="E16" s="272">
        <f>'12'!H13</f>
        <v>3240</v>
      </c>
      <c r="F16" s="272">
        <f>'12'!H17</f>
        <v>4200</v>
      </c>
      <c r="G16" s="29">
        <v>0</v>
      </c>
      <c r="H16" s="29">
        <v>0</v>
      </c>
      <c r="I16" s="29">
        <v>0</v>
      </c>
      <c r="J16" s="272">
        <f>'12'!H36</f>
        <v>500</v>
      </c>
      <c r="K16" s="29">
        <v>0</v>
      </c>
      <c r="L16" s="273">
        <f t="shared" si="0"/>
        <v>41540</v>
      </c>
    </row>
    <row r="17" spans="1:12" ht="15.95" customHeight="1">
      <c r="A17" s="274">
        <v>14050002</v>
      </c>
      <c r="B17" s="29" t="s">
        <v>262</v>
      </c>
      <c r="C17" s="272">
        <f>'13'!H8</f>
        <v>24970</v>
      </c>
      <c r="D17" s="272">
        <f>'13'!H9+'13'!H10</f>
        <v>5150</v>
      </c>
      <c r="E17" s="272">
        <f>'13'!H13</f>
        <v>3180</v>
      </c>
      <c r="F17" s="272">
        <f>'13'!H17</f>
        <v>2450</v>
      </c>
      <c r="G17" s="29">
        <v>0</v>
      </c>
      <c r="H17" s="29">
        <v>0</v>
      </c>
      <c r="I17" s="29">
        <v>0</v>
      </c>
      <c r="J17" s="272">
        <f>'13'!H36</f>
        <v>1000</v>
      </c>
      <c r="K17" s="29">
        <v>0</v>
      </c>
      <c r="L17" s="273">
        <f t="shared" si="0"/>
        <v>36750</v>
      </c>
    </row>
    <row r="18" spans="1:12" ht="15.95" customHeight="1">
      <c r="A18" s="274">
        <v>14060001</v>
      </c>
      <c r="B18" s="29" t="s">
        <v>263</v>
      </c>
      <c r="C18" s="272">
        <f>'14'!H8</f>
        <v>52660</v>
      </c>
      <c r="D18" s="272">
        <f>'14'!H9+'14'!H10</f>
        <v>6000</v>
      </c>
      <c r="E18" s="272">
        <f>'14'!H13</f>
        <v>5970</v>
      </c>
      <c r="F18" s="272">
        <f>'14'!H17</f>
        <v>5800</v>
      </c>
      <c r="G18" s="29">
        <v>0</v>
      </c>
      <c r="H18" s="29">
        <v>0</v>
      </c>
      <c r="I18" s="29">
        <v>0</v>
      </c>
      <c r="J18" s="272">
        <f>'14'!H36</f>
        <v>0</v>
      </c>
      <c r="K18" s="29">
        <v>0</v>
      </c>
      <c r="L18" s="273">
        <f t="shared" si="0"/>
        <v>70430</v>
      </c>
    </row>
    <row r="19" spans="1:12" ht="15.95" customHeight="1">
      <c r="A19" s="274">
        <v>15010001</v>
      </c>
      <c r="B19" s="29" t="s">
        <v>264</v>
      </c>
      <c r="C19" s="272">
        <f>'15'!H8</f>
        <v>143960</v>
      </c>
      <c r="D19" s="272">
        <f>'15'!H9+'15'!H10</f>
        <v>28900</v>
      </c>
      <c r="E19" s="272">
        <f>'15'!H13</f>
        <v>16630</v>
      </c>
      <c r="F19" s="272">
        <f>'15'!H17</f>
        <v>24600</v>
      </c>
      <c r="G19" s="272">
        <f>'15'!H29</f>
        <v>900000</v>
      </c>
      <c r="H19" s="29">
        <v>0</v>
      </c>
      <c r="I19" s="29">
        <v>0</v>
      </c>
      <c r="J19" s="272">
        <f>'15'!H32</f>
        <v>2000</v>
      </c>
      <c r="K19" s="29">
        <v>0</v>
      </c>
      <c r="L19" s="273">
        <f t="shared" si="0"/>
        <v>1116090</v>
      </c>
    </row>
    <row r="20" spans="1:12" ht="15.95" customHeight="1">
      <c r="A20" s="274">
        <v>16010001</v>
      </c>
      <c r="B20" s="29" t="s">
        <v>265</v>
      </c>
      <c r="C20" s="272">
        <f>'16'!H11</f>
        <v>302100</v>
      </c>
      <c r="D20" s="272">
        <f>'16'!H12+'16'!H13</f>
        <v>67500</v>
      </c>
      <c r="E20" s="272">
        <f>'16'!H16</f>
        <v>33330</v>
      </c>
      <c r="F20" s="272">
        <f>'16'!H20</f>
        <v>117600</v>
      </c>
      <c r="G20" s="272">
        <f>'16'!H33</f>
        <v>330000</v>
      </c>
      <c r="H20" s="29">
        <v>0</v>
      </c>
      <c r="I20" s="272">
        <f>'16'!H38</f>
        <v>80500</v>
      </c>
      <c r="J20" s="272">
        <f>'16'!H43</f>
        <v>5000</v>
      </c>
      <c r="K20" s="272">
        <f>'16'!H47</f>
        <v>1384620</v>
      </c>
      <c r="L20" s="273">
        <f t="shared" si="0"/>
        <v>2320650</v>
      </c>
    </row>
    <row r="21" spans="1:12" ht="15.95" customHeight="1">
      <c r="A21" s="274">
        <v>17010001</v>
      </c>
      <c r="B21" s="29" t="s">
        <v>266</v>
      </c>
      <c r="C21" s="272">
        <f>'17'!H8</f>
        <v>192660</v>
      </c>
      <c r="D21" s="272">
        <f>'17'!H9+'17'!H10</f>
        <v>38800</v>
      </c>
      <c r="E21" s="272">
        <f>'17'!H13</f>
        <v>21580</v>
      </c>
      <c r="F21" s="272">
        <f>'17'!H17</f>
        <v>92610</v>
      </c>
      <c r="G21" s="272">
        <f>'17'!H29</f>
        <v>3000000</v>
      </c>
      <c r="H21" s="272">
        <v>0</v>
      </c>
      <c r="I21" s="29">
        <v>0</v>
      </c>
      <c r="J21" s="272">
        <f>'17'!H34</f>
        <v>1500</v>
      </c>
      <c r="K21" s="29">
        <v>0</v>
      </c>
      <c r="L21" s="273">
        <f t="shared" si="0"/>
        <v>3347150</v>
      </c>
    </row>
    <row r="22" spans="1:12" ht="15.95" customHeight="1">
      <c r="A22" s="274">
        <v>18010001</v>
      </c>
      <c r="B22" s="29" t="s">
        <v>267</v>
      </c>
      <c r="C22" s="272">
        <f>'18'!H8</f>
        <v>182810</v>
      </c>
      <c r="D22" s="272">
        <f>'18'!H9+'18'!H10</f>
        <v>39000</v>
      </c>
      <c r="E22" s="272">
        <f>'18'!H13</f>
        <v>20330</v>
      </c>
      <c r="F22" s="272">
        <f>'18'!H17</f>
        <v>317800</v>
      </c>
      <c r="G22" s="272">
        <f>'18'!H30</f>
        <v>160000</v>
      </c>
      <c r="H22" s="29">
        <v>0</v>
      </c>
      <c r="I22" s="29">
        <v>0</v>
      </c>
      <c r="J22" s="272">
        <f>'18'!H37</f>
        <v>603000</v>
      </c>
      <c r="K22" s="29">
        <v>0</v>
      </c>
      <c r="L22" s="273">
        <f t="shared" si="0"/>
        <v>1322940</v>
      </c>
    </row>
    <row r="23" spans="1:12" ht="15.95" customHeight="1">
      <c r="A23" s="274">
        <v>19010001</v>
      </c>
      <c r="B23" s="29" t="s">
        <v>268</v>
      </c>
      <c r="C23" s="272">
        <f>'19'!H8</f>
        <v>438340</v>
      </c>
      <c r="D23" s="272">
        <f>'19'!H9+'19'!H10</f>
        <v>91200</v>
      </c>
      <c r="E23" s="272">
        <f>'19'!H13</f>
        <v>48530</v>
      </c>
      <c r="F23" s="272">
        <f>'19'!H17</f>
        <v>65490</v>
      </c>
      <c r="G23" s="272">
        <f>'19'!H29</f>
        <v>1865000</v>
      </c>
      <c r="H23" s="29">
        <v>0</v>
      </c>
      <c r="I23" s="29">
        <v>0</v>
      </c>
      <c r="J23" s="272">
        <f>'19'!H35</f>
        <v>13000</v>
      </c>
      <c r="K23" s="29">
        <v>0</v>
      </c>
      <c r="L23" s="273">
        <f t="shared" si="0"/>
        <v>2521560</v>
      </c>
    </row>
    <row r="24" spans="1:12" ht="15.95" customHeight="1">
      <c r="A24" s="274">
        <v>20010001</v>
      </c>
      <c r="B24" s="29" t="s">
        <v>269</v>
      </c>
      <c r="C24" s="272">
        <f>'20'!H8</f>
        <v>231880</v>
      </c>
      <c r="D24" s="272">
        <f>'20'!H9+'20'!H10</f>
        <v>39400</v>
      </c>
      <c r="E24" s="272">
        <f>'20'!H13</f>
        <v>24730</v>
      </c>
      <c r="F24" s="272">
        <f>'20'!H17</f>
        <v>93300</v>
      </c>
      <c r="G24" s="272">
        <f>'20'!H31</f>
        <v>1070000</v>
      </c>
      <c r="H24" s="272">
        <f>'20'!H40</f>
        <v>0</v>
      </c>
      <c r="I24" s="272">
        <f>'20'!H43</f>
        <v>9300</v>
      </c>
      <c r="J24" s="272">
        <f>'20'!H46</f>
        <v>16100</v>
      </c>
      <c r="K24" s="272">
        <f>'20'!H50</f>
        <v>75000</v>
      </c>
      <c r="L24" s="273">
        <f t="shared" si="0"/>
        <v>1559710</v>
      </c>
    </row>
    <row r="25" spans="1:12" ht="15.95" customHeight="1">
      <c r="A25" s="274">
        <v>20020002</v>
      </c>
      <c r="B25" s="29" t="s">
        <v>505</v>
      </c>
      <c r="C25" s="272">
        <f>'21'!H8</f>
        <v>909260</v>
      </c>
      <c r="D25" s="272">
        <f>'21'!H9+'21'!H10</f>
        <v>216310</v>
      </c>
      <c r="E25" s="272">
        <f>'21'!H13</f>
        <v>96800</v>
      </c>
      <c r="F25" s="272">
        <f>'21'!H17</f>
        <v>167500</v>
      </c>
      <c r="G25" s="29">
        <v>0</v>
      </c>
      <c r="H25" s="29">
        <v>0</v>
      </c>
      <c r="I25" s="29">
        <v>0</v>
      </c>
      <c r="J25" s="272">
        <f>'21'!H36</f>
        <v>81000</v>
      </c>
      <c r="K25" s="29">
        <v>0</v>
      </c>
      <c r="L25" s="273">
        <f t="shared" si="0"/>
        <v>1470870</v>
      </c>
    </row>
    <row r="26" spans="1:12" ht="15.95" customHeight="1">
      <c r="A26" s="274">
        <v>20020003</v>
      </c>
      <c r="B26" s="29" t="s">
        <v>506</v>
      </c>
      <c r="C26" s="272">
        <f>'22'!H8</f>
        <v>829230</v>
      </c>
      <c r="D26" s="272">
        <f>'22'!H9+'22'!H10</f>
        <v>218850</v>
      </c>
      <c r="E26" s="272">
        <f>'22'!H13</f>
        <v>88200</v>
      </c>
      <c r="F26" s="272">
        <f>'22'!H17</f>
        <v>168500</v>
      </c>
      <c r="G26" s="29">
        <v>0</v>
      </c>
      <c r="H26" s="29">
        <v>0</v>
      </c>
      <c r="I26" s="29">
        <v>0</v>
      </c>
      <c r="J26" s="272">
        <f>'22'!H36</f>
        <v>5000</v>
      </c>
      <c r="K26" s="29">
        <v>0</v>
      </c>
      <c r="L26" s="273">
        <f t="shared" si="0"/>
        <v>1309780</v>
      </c>
    </row>
    <row r="27" spans="1:12" ht="15.95" customHeight="1">
      <c r="A27" s="274">
        <v>20020004</v>
      </c>
      <c r="B27" s="29" t="s">
        <v>507</v>
      </c>
      <c r="C27" s="272">
        <f>'23'!H8</f>
        <v>669160</v>
      </c>
      <c r="D27" s="272">
        <f>'23'!H9+'23'!H10</f>
        <v>163600</v>
      </c>
      <c r="E27" s="272">
        <f>'23'!H13</f>
        <v>72030</v>
      </c>
      <c r="F27" s="272">
        <f>'23'!H17</f>
        <v>138500</v>
      </c>
      <c r="G27" s="29">
        <v>0</v>
      </c>
      <c r="H27" s="29">
        <v>0</v>
      </c>
      <c r="I27" s="29">
        <v>0</v>
      </c>
      <c r="J27" s="272">
        <f>'23'!H36</f>
        <v>5000</v>
      </c>
      <c r="K27" s="29">
        <v>0</v>
      </c>
      <c r="L27" s="273">
        <f t="shared" si="0"/>
        <v>1048290</v>
      </c>
    </row>
    <row r="28" spans="1:12" ht="15.95" customHeight="1">
      <c r="A28" s="274">
        <v>20030001</v>
      </c>
      <c r="B28" s="29" t="s">
        <v>508</v>
      </c>
      <c r="C28" s="272">
        <f>'24'!H8</f>
        <v>863900</v>
      </c>
      <c r="D28" s="272">
        <f>'24'!H9+'24'!H10</f>
        <v>175500</v>
      </c>
      <c r="E28" s="272">
        <f>'24'!H13</f>
        <v>92000</v>
      </c>
      <c r="F28" s="272">
        <f>'24'!H17</f>
        <v>98500</v>
      </c>
      <c r="G28" s="29">
        <v>0</v>
      </c>
      <c r="H28" s="29">
        <v>0</v>
      </c>
      <c r="I28" s="29">
        <v>0</v>
      </c>
      <c r="J28" s="272">
        <f>'24'!H36</f>
        <v>3000</v>
      </c>
      <c r="K28" s="29">
        <v>0</v>
      </c>
      <c r="L28" s="273">
        <f t="shared" si="0"/>
        <v>1232900</v>
      </c>
    </row>
    <row r="29" spans="1:12" ht="15.95" customHeight="1">
      <c r="A29" s="274">
        <v>20030002</v>
      </c>
      <c r="B29" s="29" t="s">
        <v>509</v>
      </c>
      <c r="C29" s="272">
        <f>'25'!H8</f>
        <v>1746600</v>
      </c>
      <c r="D29" s="272">
        <f>'25'!H9+'25'!H10</f>
        <v>398200</v>
      </c>
      <c r="E29" s="272">
        <f>'25'!H13</f>
        <v>187190</v>
      </c>
      <c r="F29" s="272">
        <f>'25'!H17</f>
        <v>215000</v>
      </c>
      <c r="G29" s="29">
        <v>0</v>
      </c>
      <c r="H29" s="29">
        <v>0</v>
      </c>
      <c r="I29" s="29">
        <v>0</v>
      </c>
      <c r="J29" s="272">
        <f>'25'!H36</f>
        <v>7000</v>
      </c>
      <c r="K29" s="29">
        <v>0</v>
      </c>
      <c r="L29" s="273">
        <f t="shared" si="0"/>
        <v>2553990</v>
      </c>
    </row>
    <row r="30" spans="1:12" ht="15.95" customHeight="1">
      <c r="A30" s="274">
        <v>20030003</v>
      </c>
      <c r="B30" s="29" t="s">
        <v>510</v>
      </c>
      <c r="C30" s="272">
        <f>'26'!H8</f>
        <v>475800</v>
      </c>
      <c r="D30" s="272">
        <f>'26'!H9+'26'!H10</f>
        <v>105500</v>
      </c>
      <c r="E30" s="272">
        <f>'26'!H13</f>
        <v>51300</v>
      </c>
      <c r="F30" s="272">
        <f>'26'!H17</f>
        <v>51100</v>
      </c>
      <c r="G30" s="29">
        <v>0</v>
      </c>
      <c r="H30" s="29">
        <v>0</v>
      </c>
      <c r="I30" s="29">
        <v>0</v>
      </c>
      <c r="J30" s="272">
        <f>'26'!H36</f>
        <v>2000</v>
      </c>
      <c r="K30" s="29">
        <v>0</v>
      </c>
      <c r="L30" s="273">
        <f t="shared" si="0"/>
        <v>685700</v>
      </c>
    </row>
    <row r="31" spans="1:12" ht="15.95" customHeight="1">
      <c r="A31" s="274">
        <v>20030004</v>
      </c>
      <c r="B31" s="29" t="s">
        <v>511</v>
      </c>
      <c r="C31" s="272">
        <f>'27'!H8</f>
        <v>672000</v>
      </c>
      <c r="D31" s="272">
        <f>'27'!H9+'27'!H10</f>
        <v>147400</v>
      </c>
      <c r="E31" s="272">
        <f>'27'!H13</f>
        <v>71600</v>
      </c>
      <c r="F31" s="272">
        <f>'27'!H17</f>
        <v>61050</v>
      </c>
      <c r="G31" s="29">
        <v>0</v>
      </c>
      <c r="H31" s="29">
        <v>0</v>
      </c>
      <c r="I31" s="29">
        <v>0</v>
      </c>
      <c r="J31" s="272">
        <f>'27'!H36</f>
        <v>11000</v>
      </c>
      <c r="K31" s="29">
        <v>0</v>
      </c>
      <c r="L31" s="273">
        <f t="shared" si="0"/>
        <v>963050</v>
      </c>
    </row>
    <row r="32" spans="1:12" ht="15.95" customHeight="1">
      <c r="A32" s="274">
        <v>20030005</v>
      </c>
      <c r="B32" s="29" t="s">
        <v>512</v>
      </c>
      <c r="C32" s="272">
        <f>'28'!H8</f>
        <v>714720</v>
      </c>
      <c r="D32" s="272">
        <f>'28'!H9+'28'!H10</f>
        <v>172000</v>
      </c>
      <c r="E32" s="272">
        <f>'28'!H13</f>
        <v>75000</v>
      </c>
      <c r="F32" s="272">
        <f>'28'!H17</f>
        <v>92100</v>
      </c>
      <c r="G32" s="29">
        <v>0</v>
      </c>
      <c r="H32" s="29">
        <v>0</v>
      </c>
      <c r="I32" s="29">
        <v>0</v>
      </c>
      <c r="J32" s="272">
        <f>'28'!H36</f>
        <v>12000</v>
      </c>
      <c r="K32" s="29">
        <v>0</v>
      </c>
      <c r="L32" s="273">
        <f t="shared" si="0"/>
        <v>1065820</v>
      </c>
    </row>
    <row r="33" spans="1:12" ht="15.95" customHeight="1">
      <c r="A33" s="274">
        <v>20030006</v>
      </c>
      <c r="B33" s="29" t="s">
        <v>513</v>
      </c>
      <c r="C33" s="272">
        <f>'29'!H8</f>
        <v>332900</v>
      </c>
      <c r="D33" s="272">
        <f>'29'!H9+'29'!H10</f>
        <v>86700</v>
      </c>
      <c r="E33" s="272">
        <f>'29'!H13</f>
        <v>35600</v>
      </c>
      <c r="F33" s="272">
        <f>'29'!H17</f>
        <v>48800</v>
      </c>
      <c r="G33" s="29">
        <v>0</v>
      </c>
      <c r="H33" s="29">
        <v>0</v>
      </c>
      <c r="I33" s="29">
        <v>0</v>
      </c>
      <c r="J33" s="272">
        <f>'29'!H36</f>
        <v>2000</v>
      </c>
      <c r="K33" s="29">
        <v>0</v>
      </c>
      <c r="L33" s="273">
        <f t="shared" si="0"/>
        <v>506000</v>
      </c>
    </row>
    <row r="34" spans="1:12" ht="15.95" customHeight="1">
      <c r="A34" s="274">
        <v>20030007</v>
      </c>
      <c r="B34" s="29" t="s">
        <v>514</v>
      </c>
      <c r="C34" s="272">
        <f>'30'!H8</f>
        <v>484500</v>
      </c>
      <c r="D34" s="272">
        <f>'30'!H9+'30'!H10</f>
        <v>112700</v>
      </c>
      <c r="E34" s="272">
        <f>'30'!H13</f>
        <v>53100</v>
      </c>
      <c r="F34" s="272">
        <f>'30'!H17</f>
        <v>62400</v>
      </c>
      <c r="G34" s="29">
        <v>0</v>
      </c>
      <c r="H34" s="29">
        <v>0</v>
      </c>
      <c r="I34" s="29">
        <v>0</v>
      </c>
      <c r="J34" s="272">
        <f>'30'!H36</f>
        <v>2000</v>
      </c>
      <c r="K34" s="29">
        <v>0</v>
      </c>
      <c r="L34" s="273">
        <f t="shared" si="0"/>
        <v>714700</v>
      </c>
    </row>
    <row r="35" spans="1:12" ht="15.95" customHeight="1">
      <c r="A35" s="274">
        <v>21010001</v>
      </c>
      <c r="B35" s="29" t="s">
        <v>279</v>
      </c>
      <c r="C35" s="272">
        <f>'31'!H8</f>
        <v>179800</v>
      </c>
      <c r="D35" s="272">
        <f>'31'!H9+'31'!H10</f>
        <v>46400</v>
      </c>
      <c r="E35" s="272">
        <f>'31'!H13</f>
        <v>20520</v>
      </c>
      <c r="F35" s="272">
        <f>'31'!H17</f>
        <v>39800</v>
      </c>
      <c r="G35" s="272">
        <f>'31'!H29</f>
        <v>1000000</v>
      </c>
      <c r="H35" s="29">
        <v>0</v>
      </c>
      <c r="I35" s="29">
        <v>0</v>
      </c>
      <c r="J35" s="272">
        <f>'31'!H33</f>
        <v>1000</v>
      </c>
      <c r="K35" s="29">
        <v>0</v>
      </c>
      <c r="L35" s="273">
        <f t="shared" si="0"/>
        <v>1287520</v>
      </c>
    </row>
    <row r="36" spans="1:12" ht="15.95" customHeight="1">
      <c r="A36" s="274">
        <v>22010001</v>
      </c>
      <c r="B36" s="29" t="s">
        <v>280</v>
      </c>
      <c r="C36" s="272">
        <f>'32'!H8</f>
        <v>79870</v>
      </c>
      <c r="D36" s="272">
        <f>'32'!H9+'32'!H10</f>
        <v>18200</v>
      </c>
      <c r="E36" s="272">
        <f>'32'!H12</f>
        <v>8800</v>
      </c>
      <c r="F36" s="272">
        <f>'32'!H16</f>
        <v>28800</v>
      </c>
      <c r="G36" s="29">
        <v>0</v>
      </c>
      <c r="H36" s="29">
        <v>0</v>
      </c>
      <c r="I36" s="29">
        <v>0</v>
      </c>
      <c r="J36" s="272">
        <f>'32'!H35</f>
        <v>4000</v>
      </c>
      <c r="K36" s="29">
        <v>0</v>
      </c>
      <c r="L36" s="273">
        <f t="shared" si="0"/>
        <v>139670</v>
      </c>
    </row>
    <row r="37" spans="1:12" ht="15.95" customHeight="1">
      <c r="A37" s="274">
        <v>23010001</v>
      </c>
      <c r="B37" s="29" t="s">
        <v>281</v>
      </c>
      <c r="C37" s="272">
        <f>'33'!H8</f>
        <v>161040</v>
      </c>
      <c r="D37" s="272">
        <f>'33'!H9+'33'!H10</f>
        <v>40850</v>
      </c>
      <c r="E37" s="272">
        <f>'33'!H13</f>
        <v>17890</v>
      </c>
      <c r="F37" s="272">
        <f>'33'!H17</f>
        <v>53100</v>
      </c>
      <c r="G37" s="272">
        <f>'33'!H29</f>
        <v>30000</v>
      </c>
      <c r="H37" s="29">
        <v>0</v>
      </c>
      <c r="I37" s="29">
        <v>0</v>
      </c>
      <c r="J37" s="272">
        <f>'33'!H34</f>
        <v>2000</v>
      </c>
      <c r="K37" s="29">
        <v>0</v>
      </c>
      <c r="L37" s="273">
        <f t="shared" si="0"/>
        <v>304880</v>
      </c>
    </row>
    <row r="38" spans="1:12" ht="15.95" customHeight="1">
      <c r="A38" s="274">
        <v>24010001</v>
      </c>
      <c r="B38" s="29" t="s">
        <v>282</v>
      </c>
      <c r="C38" s="272">
        <f>'34'!H8</f>
        <v>429150</v>
      </c>
      <c r="D38" s="272">
        <f>'34'!H9+'34'!H10</f>
        <v>79900</v>
      </c>
      <c r="E38" s="272">
        <f>'34'!H13</f>
        <v>46620</v>
      </c>
      <c r="F38" s="272">
        <f>'34'!H17</f>
        <v>124000</v>
      </c>
      <c r="G38" s="29">
        <v>0</v>
      </c>
      <c r="H38" s="29">
        <v>0</v>
      </c>
      <c r="I38" s="29">
        <v>0</v>
      </c>
      <c r="J38" s="272">
        <f>'34'!H36</f>
        <v>3000</v>
      </c>
      <c r="K38" s="29">
        <v>0</v>
      </c>
      <c r="L38" s="273">
        <f t="shared" si="0"/>
        <v>682670</v>
      </c>
    </row>
    <row r="39" spans="1:12" ht="15.95" customHeight="1">
      <c r="A39" s="274">
        <v>26010001</v>
      </c>
      <c r="B39" s="29" t="s">
        <v>283</v>
      </c>
      <c r="C39" s="272">
        <f>'35'!H8</f>
        <v>57500</v>
      </c>
      <c r="D39" s="272">
        <f>'35'!H9+'35'!H10</f>
        <v>9600</v>
      </c>
      <c r="E39" s="272">
        <f>'35'!H13</f>
        <v>6880</v>
      </c>
      <c r="F39" s="272">
        <f>'35'!H17</f>
        <v>9500</v>
      </c>
      <c r="G39" s="272">
        <v>0</v>
      </c>
      <c r="H39" s="29">
        <v>0</v>
      </c>
      <c r="I39" s="29">
        <v>0</v>
      </c>
      <c r="J39" s="272">
        <f>'35'!H36</f>
        <v>1000</v>
      </c>
      <c r="K39" s="29">
        <v>0</v>
      </c>
      <c r="L39" s="273">
        <f t="shared" si="0"/>
        <v>84480</v>
      </c>
    </row>
    <row r="40" spans="1:12" ht="15.95" customHeight="1">
      <c r="A40" s="274">
        <v>27010001</v>
      </c>
      <c r="B40" s="29" t="s">
        <v>284</v>
      </c>
      <c r="C40" s="272">
        <f>'36'!H8</f>
        <v>394190</v>
      </c>
      <c r="D40" s="272">
        <f>'36'!H9+'36'!H10</f>
        <v>59900</v>
      </c>
      <c r="E40" s="272">
        <f>'36'!H13</f>
        <v>43360</v>
      </c>
      <c r="F40" s="272">
        <f>'36'!H17</f>
        <v>95400</v>
      </c>
      <c r="G40" s="29">
        <v>0</v>
      </c>
      <c r="H40" s="29">
        <v>0</v>
      </c>
      <c r="I40" s="29">
        <v>0</v>
      </c>
      <c r="J40" s="272">
        <f>'36'!H36</f>
        <v>5000</v>
      </c>
      <c r="K40" s="29">
        <v>0</v>
      </c>
      <c r="L40" s="273">
        <f t="shared" si="0"/>
        <v>597850</v>
      </c>
    </row>
    <row r="41" spans="1:12" ht="15.95" customHeight="1">
      <c r="A41" s="274">
        <v>28010001</v>
      </c>
      <c r="B41" s="29" t="s">
        <v>285</v>
      </c>
      <c r="C41" s="272">
        <f>'37'!H8</f>
        <v>287100</v>
      </c>
      <c r="D41" s="272">
        <f>'37'!H9+'37'!H10</f>
        <v>51700</v>
      </c>
      <c r="E41" s="272">
        <f>'37'!H13</f>
        <v>32300</v>
      </c>
      <c r="F41" s="272">
        <f>'37'!H17</f>
        <v>29300</v>
      </c>
      <c r="G41" s="272">
        <v>0</v>
      </c>
      <c r="H41" s="29">
        <v>0</v>
      </c>
      <c r="I41" s="29">
        <v>0</v>
      </c>
      <c r="J41" s="272">
        <f>'37'!H36</f>
        <v>2000</v>
      </c>
      <c r="K41" s="29">
        <v>0</v>
      </c>
      <c r="L41" s="273">
        <f t="shared" si="0"/>
        <v>402400</v>
      </c>
    </row>
    <row r="42" spans="1:12" s="68" customFormat="1" ht="15.95" customHeight="1">
      <c r="A42" s="130"/>
      <c r="B42" s="278" t="s">
        <v>526</v>
      </c>
      <c r="C42" s="279">
        <f>SUM(C5:C41)</f>
        <v>16741350</v>
      </c>
      <c r="D42" s="279">
        <f t="shared" ref="D42:K42" si="1">SUM(D5:D41)</f>
        <v>3844300</v>
      </c>
      <c r="E42" s="279">
        <f t="shared" si="1"/>
        <v>2005190</v>
      </c>
      <c r="F42" s="279">
        <f t="shared" si="1"/>
        <v>4503190</v>
      </c>
      <c r="G42" s="279">
        <f t="shared" si="1"/>
        <v>9220000</v>
      </c>
      <c r="H42" s="279">
        <f t="shared" si="1"/>
        <v>400000</v>
      </c>
      <c r="I42" s="279">
        <f t="shared" si="1"/>
        <v>89800</v>
      </c>
      <c r="J42" s="279">
        <f t="shared" si="1"/>
        <v>1167100</v>
      </c>
      <c r="K42" s="279">
        <f t="shared" si="1"/>
        <v>1459620</v>
      </c>
      <c r="L42" s="279">
        <f>SUM(L5:L41)</f>
        <v>39430550</v>
      </c>
    </row>
    <row r="43" spans="1:12" ht="18" customHeight="1">
      <c r="B43" t="s">
        <v>527</v>
      </c>
      <c r="L43" s="177">
        <f>Rashodi!F8</f>
        <v>510000</v>
      </c>
    </row>
    <row r="44" spans="1:12" ht="18" customHeight="1">
      <c r="B44" t="s">
        <v>551</v>
      </c>
      <c r="L44" s="177">
        <f>Uvod!C50</f>
        <v>22390</v>
      </c>
    </row>
    <row r="45" spans="1:12" ht="18" customHeight="1">
      <c r="A45" s="275"/>
      <c r="B45" s="277" t="s">
        <v>526</v>
      </c>
      <c r="C45" s="276"/>
      <c r="D45" s="276"/>
      <c r="E45" s="276"/>
      <c r="F45" s="276"/>
      <c r="G45" s="276"/>
      <c r="H45" s="276"/>
      <c r="I45" s="276"/>
      <c r="J45" s="276"/>
      <c r="K45" s="276"/>
      <c r="L45" s="282">
        <f>L42+L43+L44</f>
        <v>39962940</v>
      </c>
    </row>
  </sheetData>
  <mergeCells count="1">
    <mergeCell ref="A2:L2"/>
  </mergeCells>
  <phoneticPr fontId="0" type="noConversion"/>
  <pageMargins left="0.31" right="0.32" top="0.34" bottom="0.53" header="0.34" footer="0.5"/>
  <pageSetup paperSize="9" scale="71" orientation="landscape" r:id="rId1"/>
  <headerFooter alignWithMargins="0">
    <oddFooter>&amp;R45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>
  <dimension ref="A2:F119"/>
  <sheetViews>
    <sheetView zoomScaleSheetLayoutView="100" workbookViewId="0">
      <selection activeCell="T39" sqref="T39"/>
    </sheetView>
  </sheetViews>
  <sheetFormatPr defaultRowHeight="12.75"/>
  <cols>
    <col min="1" max="1" width="5.28515625" customWidth="1"/>
    <col min="2" max="2" width="8" customWidth="1"/>
    <col min="3" max="3" width="59.140625" customWidth="1"/>
    <col min="4" max="4" width="14.7109375" customWidth="1"/>
    <col min="5" max="5" width="14.42578125" customWidth="1"/>
    <col min="6" max="6" width="8.85546875" customWidth="1"/>
  </cols>
  <sheetData>
    <row r="2" spans="1:6" ht="15">
      <c r="A2" s="452" t="s">
        <v>695</v>
      </c>
      <c r="B2" s="416"/>
      <c r="C2" s="416"/>
      <c r="D2" s="416"/>
      <c r="E2" s="416"/>
      <c r="F2" s="416"/>
    </row>
    <row r="3" spans="1:6" ht="15">
      <c r="A3" s="293"/>
      <c r="B3" s="295"/>
      <c r="C3" s="294"/>
      <c r="D3" s="294"/>
      <c r="E3" s="294"/>
    </row>
    <row r="4" spans="1:6">
      <c r="A4" s="296"/>
      <c r="B4" s="296"/>
      <c r="C4" s="297"/>
      <c r="D4" s="298"/>
      <c r="E4" s="298"/>
    </row>
    <row r="5" spans="1:6" ht="57.75" customHeight="1">
      <c r="A5" s="299" t="s">
        <v>287</v>
      </c>
      <c r="B5" s="300" t="s">
        <v>559</v>
      </c>
      <c r="C5" s="300" t="s">
        <v>560</v>
      </c>
      <c r="D5" s="301" t="s">
        <v>557</v>
      </c>
      <c r="E5" s="301" t="s">
        <v>683</v>
      </c>
      <c r="F5" s="311" t="s">
        <v>55</v>
      </c>
    </row>
    <row r="6" spans="1:6">
      <c r="A6" s="302"/>
      <c r="B6" s="303">
        <v>1</v>
      </c>
      <c r="C6" s="303">
        <v>2</v>
      </c>
      <c r="D6" s="304">
        <v>3</v>
      </c>
      <c r="E6" s="304">
        <v>4</v>
      </c>
      <c r="F6" s="66"/>
    </row>
    <row r="7" spans="1:6" ht="25.5">
      <c r="A7" s="302">
        <v>1</v>
      </c>
      <c r="B7" s="305"/>
      <c r="C7" s="305" t="s">
        <v>54</v>
      </c>
      <c r="D7" s="308">
        <f>D8+D17+D23+D30+D40+D47+D54+D61+D68+D77</f>
        <v>39703660</v>
      </c>
      <c r="E7" s="308">
        <f>E8+E17+E23+E30+E40+E47+E54+E61+E68+E77</f>
        <v>39940550</v>
      </c>
      <c r="F7" s="315">
        <f>IF(D7=0,"",E7/D7*100)</f>
        <v>100.59664524630728</v>
      </c>
    </row>
    <row r="8" spans="1:6">
      <c r="A8" s="302">
        <v>2</v>
      </c>
      <c r="B8" s="306" t="s">
        <v>83</v>
      </c>
      <c r="C8" s="307" t="s">
        <v>58</v>
      </c>
      <c r="D8" s="308">
        <f>SUM(D9:D16)</f>
        <v>7390590</v>
      </c>
      <c r="E8" s="308">
        <f>SUM(E9:E16)</f>
        <v>6784270</v>
      </c>
      <c r="F8" s="312">
        <f>IF(D8=0,"",E8/D8*100)</f>
        <v>91.796054171588466</v>
      </c>
    </row>
    <row r="9" spans="1:6" ht="14.1" customHeight="1">
      <c r="A9" s="302">
        <v>3</v>
      </c>
      <c r="B9" s="309" t="s">
        <v>561</v>
      </c>
      <c r="C9" s="310" t="s">
        <v>59</v>
      </c>
      <c r="D9" s="255">
        <f>'1'!G42+'2'!G42+'3'!G56+'4'!G43+'5'!G42+'6'!G42+'7'!G42+'16'!G51</f>
        <v>6648980</v>
      </c>
      <c r="E9" s="255">
        <f>'1'!H42+'2'!H42+'3'!H56+'4'!H43+'5'!H42+'6'!H42+'7'!H42+'16'!H51</f>
        <v>6075440</v>
      </c>
      <c r="F9" s="313">
        <f>IF(D9=0,"",E9/D9*100)</f>
        <v>91.374015262491397</v>
      </c>
    </row>
    <row r="10" spans="1:6" ht="14.1" customHeight="1">
      <c r="A10" s="302">
        <v>4</v>
      </c>
      <c r="B10" s="309" t="s">
        <v>562</v>
      </c>
      <c r="C10" s="310" t="s">
        <v>563</v>
      </c>
      <c r="D10" s="255">
        <v>0</v>
      </c>
      <c r="E10" s="255">
        <v>0</v>
      </c>
      <c r="F10" s="313" t="str">
        <f t="shared" ref="F10:F73" si="0">IF(D10=0,"",E10/D10*100)</f>
        <v/>
      </c>
    </row>
    <row r="11" spans="1:6" ht="14.1" customHeight="1">
      <c r="A11" s="302">
        <v>5</v>
      </c>
      <c r="B11" s="309" t="s">
        <v>564</v>
      </c>
      <c r="C11" s="310" t="s">
        <v>565</v>
      </c>
      <c r="D11" s="255">
        <f>'8'!G42</f>
        <v>741610</v>
      </c>
      <c r="E11" s="255">
        <f>'8'!H42</f>
        <v>708830</v>
      </c>
      <c r="F11" s="313">
        <f t="shared" si="0"/>
        <v>95.579887002602447</v>
      </c>
    </row>
    <row r="12" spans="1:6" ht="14.1" customHeight="1">
      <c r="A12" s="302">
        <v>6</v>
      </c>
      <c r="B12" s="309" t="s">
        <v>566</v>
      </c>
      <c r="C12" s="310" t="s">
        <v>567</v>
      </c>
      <c r="D12" s="255">
        <v>0</v>
      </c>
      <c r="E12" s="255">
        <v>0</v>
      </c>
      <c r="F12" s="313" t="str">
        <f t="shared" si="0"/>
        <v/>
      </c>
    </row>
    <row r="13" spans="1:6" ht="14.1" customHeight="1">
      <c r="A13" s="302">
        <v>7</v>
      </c>
      <c r="B13" s="309" t="s">
        <v>568</v>
      </c>
      <c r="C13" s="310" t="s">
        <v>569</v>
      </c>
      <c r="D13" s="255">
        <v>0</v>
      </c>
      <c r="E13" s="255">
        <v>0</v>
      </c>
      <c r="F13" s="313" t="str">
        <f t="shared" si="0"/>
        <v/>
      </c>
    </row>
    <row r="14" spans="1:6" ht="14.1" customHeight="1">
      <c r="A14" s="302">
        <v>8</v>
      </c>
      <c r="B14" s="309" t="s">
        <v>570</v>
      </c>
      <c r="C14" s="310" t="s">
        <v>571</v>
      </c>
      <c r="D14" s="255">
        <v>0</v>
      </c>
      <c r="E14" s="255">
        <v>0</v>
      </c>
      <c r="F14" s="313" t="str">
        <f t="shared" si="0"/>
        <v/>
      </c>
    </row>
    <row r="15" spans="1:6" ht="14.1" customHeight="1">
      <c r="A15" s="302">
        <v>9</v>
      </c>
      <c r="B15" s="309" t="s">
        <v>572</v>
      </c>
      <c r="C15" s="310" t="s">
        <v>573</v>
      </c>
      <c r="D15" s="255">
        <v>0</v>
      </c>
      <c r="E15" s="255">
        <v>0</v>
      </c>
      <c r="F15" s="313" t="str">
        <f t="shared" si="0"/>
        <v/>
      </c>
    </row>
    <row r="16" spans="1:6" ht="14.1" customHeight="1">
      <c r="A16" s="302">
        <v>10</v>
      </c>
      <c r="B16" s="309" t="s">
        <v>574</v>
      </c>
      <c r="C16" s="310" t="s">
        <v>60</v>
      </c>
      <c r="D16" s="255">
        <v>0</v>
      </c>
      <c r="E16" s="255">
        <v>0</v>
      </c>
      <c r="F16" s="313" t="str">
        <f t="shared" si="0"/>
        <v/>
      </c>
    </row>
    <row r="17" spans="1:6" ht="14.1" customHeight="1">
      <c r="A17" s="302">
        <v>11</v>
      </c>
      <c r="B17" s="306" t="s">
        <v>136</v>
      </c>
      <c r="C17" s="307" t="s">
        <v>61</v>
      </c>
      <c r="D17" s="308">
        <f>SUM(D18:D22)</f>
        <v>0</v>
      </c>
      <c r="E17" s="308">
        <f>SUM(E18:E22)</f>
        <v>0</v>
      </c>
      <c r="F17" s="312" t="str">
        <f t="shared" si="0"/>
        <v/>
      </c>
    </row>
    <row r="18" spans="1:6" ht="14.1" customHeight="1">
      <c r="A18" s="302">
        <v>12</v>
      </c>
      <c r="B18" s="309" t="s">
        <v>575</v>
      </c>
      <c r="C18" s="310" t="s">
        <v>62</v>
      </c>
      <c r="D18" s="255">
        <v>0</v>
      </c>
      <c r="E18" s="255">
        <v>0</v>
      </c>
      <c r="F18" s="313" t="str">
        <f t="shared" si="0"/>
        <v/>
      </c>
    </row>
    <row r="19" spans="1:6" ht="14.1" customHeight="1">
      <c r="A19" s="302">
        <v>13</v>
      </c>
      <c r="B19" s="309" t="s">
        <v>576</v>
      </c>
      <c r="C19" s="310" t="s">
        <v>63</v>
      </c>
      <c r="D19" s="255">
        <v>0</v>
      </c>
      <c r="E19" s="255">
        <v>0</v>
      </c>
      <c r="F19" s="313" t="str">
        <f t="shared" si="0"/>
        <v/>
      </c>
    </row>
    <row r="20" spans="1:6" ht="14.1" customHeight="1">
      <c r="A20" s="302">
        <v>14</v>
      </c>
      <c r="B20" s="309" t="s">
        <v>577</v>
      </c>
      <c r="C20" s="310" t="s">
        <v>64</v>
      </c>
      <c r="D20" s="255">
        <v>0</v>
      </c>
      <c r="E20" s="255">
        <v>0</v>
      </c>
      <c r="F20" s="313" t="str">
        <f t="shared" si="0"/>
        <v/>
      </c>
    </row>
    <row r="21" spans="1:6" ht="14.1" customHeight="1">
      <c r="A21" s="302">
        <v>15</v>
      </c>
      <c r="B21" s="309" t="s">
        <v>578</v>
      </c>
      <c r="C21" s="310" t="s">
        <v>65</v>
      </c>
      <c r="D21" s="255">
        <v>0</v>
      </c>
      <c r="E21" s="255">
        <v>0</v>
      </c>
      <c r="F21" s="313" t="str">
        <f t="shared" si="0"/>
        <v/>
      </c>
    </row>
    <row r="22" spans="1:6" ht="14.1" customHeight="1">
      <c r="A22" s="302">
        <v>16</v>
      </c>
      <c r="B22" s="309" t="s">
        <v>579</v>
      </c>
      <c r="C22" s="310" t="s">
        <v>66</v>
      </c>
      <c r="D22" s="255">
        <v>0</v>
      </c>
      <c r="E22" s="255">
        <v>0</v>
      </c>
      <c r="F22" s="313" t="str">
        <f t="shared" si="0"/>
        <v/>
      </c>
    </row>
    <row r="23" spans="1:6" ht="14.1" customHeight="1">
      <c r="A23" s="302">
        <v>17</v>
      </c>
      <c r="B23" s="306" t="s">
        <v>149</v>
      </c>
      <c r="C23" s="307" t="s">
        <v>580</v>
      </c>
      <c r="D23" s="308">
        <f>SUM(D24:D29)</f>
        <v>9630780</v>
      </c>
      <c r="E23" s="308">
        <f>SUM(E24:E29)</f>
        <v>9908140</v>
      </c>
      <c r="F23" s="312">
        <f t="shared" si="0"/>
        <v>102.87993288186419</v>
      </c>
    </row>
    <row r="24" spans="1:6" ht="14.1" customHeight="1">
      <c r="A24" s="302">
        <v>18</v>
      </c>
      <c r="B24" s="309" t="s">
        <v>581</v>
      </c>
      <c r="C24" s="310" t="s">
        <v>582</v>
      </c>
      <c r="D24" s="255">
        <f>'9'!G42</f>
        <v>6044240</v>
      </c>
      <c r="E24" s="255">
        <f>'9'!H42</f>
        <v>6315560</v>
      </c>
      <c r="F24" s="313">
        <f t="shared" si="0"/>
        <v>104.4889018305031</v>
      </c>
    </row>
    <row r="25" spans="1:6" ht="14.1" customHeight="1">
      <c r="A25" s="302">
        <v>19</v>
      </c>
      <c r="B25" s="309" t="s">
        <v>583</v>
      </c>
      <c r="C25" s="310" t="s">
        <v>67</v>
      </c>
      <c r="D25" s="255">
        <f>'33'!G40</f>
        <v>337800</v>
      </c>
      <c r="E25" s="255">
        <f>'33'!H40</f>
        <v>304880</v>
      </c>
      <c r="F25" s="313">
        <f t="shared" si="0"/>
        <v>90.254588513913561</v>
      </c>
    </row>
    <row r="26" spans="1:6" ht="14.1" customHeight="1">
      <c r="A26" s="302">
        <v>20</v>
      </c>
      <c r="B26" s="309" t="s">
        <v>584</v>
      </c>
      <c r="C26" s="310" t="s">
        <v>585</v>
      </c>
      <c r="D26" s="255">
        <f>'11'!G42+'12'!G42+'13'!G42+'14'!G42+'34'!G42+'35'!G42+'36'!G42</f>
        <v>3126860</v>
      </c>
      <c r="E26" s="255">
        <f>'11'!H42+'12'!H42+'13'!H42+'14'!H42+'34'!H42+'35'!H42+'36'!H42</f>
        <v>3155520</v>
      </c>
      <c r="F26" s="313">
        <f t="shared" si="0"/>
        <v>100.91657445488444</v>
      </c>
    </row>
    <row r="27" spans="1:6" ht="14.1" customHeight="1">
      <c r="A27" s="302">
        <v>21</v>
      </c>
      <c r="B27" s="309" t="s">
        <v>586</v>
      </c>
      <c r="C27" s="310" t="s">
        <v>587</v>
      </c>
      <c r="D27" s="255">
        <v>0</v>
      </c>
      <c r="E27" s="255">
        <v>0</v>
      </c>
      <c r="F27" s="313" t="str">
        <f t="shared" si="0"/>
        <v/>
      </c>
    </row>
    <row r="28" spans="1:6" ht="14.1" customHeight="1">
      <c r="A28" s="302">
        <v>22</v>
      </c>
      <c r="B28" s="309" t="s">
        <v>588</v>
      </c>
      <c r="C28" s="310" t="s">
        <v>589</v>
      </c>
      <c r="D28" s="255">
        <v>0</v>
      </c>
      <c r="E28" s="255">
        <v>0</v>
      </c>
      <c r="F28" s="313" t="str">
        <f t="shared" si="0"/>
        <v/>
      </c>
    </row>
    <row r="29" spans="1:6" ht="14.1" customHeight="1">
      <c r="A29" s="302">
        <v>23</v>
      </c>
      <c r="B29" s="309" t="s">
        <v>590</v>
      </c>
      <c r="C29" s="310" t="s">
        <v>591</v>
      </c>
      <c r="D29" s="255">
        <f>'10'!G42</f>
        <v>121880</v>
      </c>
      <c r="E29" s="255">
        <f>'10'!H42</f>
        <v>132180</v>
      </c>
      <c r="F29" s="313">
        <f t="shared" si="0"/>
        <v>108.45093534624222</v>
      </c>
    </row>
    <row r="30" spans="1:6" ht="14.1" customHeight="1">
      <c r="A30" s="302">
        <v>24</v>
      </c>
      <c r="B30" s="306" t="s">
        <v>592</v>
      </c>
      <c r="C30" s="307" t="s">
        <v>593</v>
      </c>
      <c r="D30" s="308">
        <f>SUM(D31:D39)</f>
        <v>6076680</v>
      </c>
      <c r="E30" s="308">
        <f>SUM(E31:E39)</f>
        <v>5502660</v>
      </c>
      <c r="F30" s="312">
        <f t="shared" si="0"/>
        <v>90.553723414759375</v>
      </c>
    </row>
    <row r="31" spans="1:6" ht="14.1" customHeight="1">
      <c r="A31" s="302">
        <v>25</v>
      </c>
      <c r="B31" s="309" t="s">
        <v>594</v>
      </c>
      <c r="C31" s="310" t="s">
        <v>595</v>
      </c>
      <c r="D31" s="255">
        <v>0</v>
      </c>
      <c r="E31" s="255">
        <v>0</v>
      </c>
      <c r="F31" s="313" t="str">
        <f t="shared" si="0"/>
        <v/>
      </c>
    </row>
    <row r="32" spans="1:6" ht="14.1" customHeight="1">
      <c r="A32" s="302">
        <v>26</v>
      </c>
      <c r="B32" s="309" t="s">
        <v>596</v>
      </c>
      <c r="C32" s="310" t="s">
        <v>597</v>
      </c>
      <c r="D32" s="255">
        <f>'19'!G41</f>
        <v>2761500</v>
      </c>
      <c r="E32" s="255">
        <f>'19'!H41</f>
        <v>2521560</v>
      </c>
      <c r="F32" s="313">
        <f t="shared" si="0"/>
        <v>91.311243889190649</v>
      </c>
    </row>
    <row r="33" spans="1:6" ht="14.1" customHeight="1">
      <c r="A33" s="302">
        <v>27</v>
      </c>
      <c r="B33" s="309" t="s">
        <v>598</v>
      </c>
      <c r="C33" s="310" t="s">
        <v>599</v>
      </c>
      <c r="D33" s="255">
        <v>0</v>
      </c>
      <c r="E33" s="255">
        <v>0</v>
      </c>
      <c r="F33" s="313" t="str">
        <f t="shared" si="0"/>
        <v/>
      </c>
    </row>
    <row r="34" spans="1:6" ht="14.1" customHeight="1">
      <c r="A34" s="302">
        <v>28</v>
      </c>
      <c r="B34" s="309" t="s">
        <v>600</v>
      </c>
      <c r="C34" s="310" t="s">
        <v>601</v>
      </c>
      <c r="D34" s="255">
        <v>0</v>
      </c>
      <c r="E34" s="255">
        <v>0</v>
      </c>
      <c r="F34" s="313" t="str">
        <f t="shared" si="0"/>
        <v/>
      </c>
    </row>
    <row r="35" spans="1:6" ht="14.1" customHeight="1">
      <c r="A35" s="302">
        <v>29</v>
      </c>
      <c r="B35" s="309" t="s">
        <v>602</v>
      </c>
      <c r="C35" s="310" t="s">
        <v>68</v>
      </c>
      <c r="D35" s="255">
        <v>0</v>
      </c>
      <c r="E35" s="255">
        <v>0</v>
      </c>
      <c r="F35" s="313" t="str">
        <f t="shared" si="0"/>
        <v/>
      </c>
    </row>
    <row r="36" spans="1:6" ht="14.1" customHeight="1">
      <c r="A36" s="302">
        <v>30</v>
      </c>
      <c r="B36" s="309" t="s">
        <v>603</v>
      </c>
      <c r="C36" s="310" t="s">
        <v>604</v>
      </c>
      <c r="D36" s="255">
        <v>0</v>
      </c>
      <c r="E36" s="255">
        <v>0</v>
      </c>
      <c r="F36" s="313" t="str">
        <f t="shared" si="0"/>
        <v/>
      </c>
    </row>
    <row r="37" spans="1:6" ht="14.1" customHeight="1">
      <c r="A37" s="302">
        <v>31</v>
      </c>
      <c r="B37" s="309" t="s">
        <v>605</v>
      </c>
      <c r="C37" s="310" t="s">
        <v>606</v>
      </c>
      <c r="D37" s="255">
        <v>0</v>
      </c>
      <c r="E37" s="255">
        <v>0</v>
      </c>
      <c r="F37" s="313" t="str">
        <f t="shared" si="0"/>
        <v/>
      </c>
    </row>
    <row r="38" spans="1:6" ht="14.1" customHeight="1">
      <c r="A38" s="302">
        <v>32</v>
      </c>
      <c r="B38" s="309" t="s">
        <v>607</v>
      </c>
      <c r="C38" s="310" t="s">
        <v>608</v>
      </c>
      <c r="D38" s="255">
        <v>0</v>
      </c>
      <c r="E38" s="255">
        <v>0</v>
      </c>
      <c r="F38" s="313" t="str">
        <f t="shared" si="0"/>
        <v/>
      </c>
    </row>
    <row r="39" spans="1:6" ht="14.1" customHeight="1">
      <c r="A39" s="302">
        <v>33</v>
      </c>
      <c r="B39" s="309" t="s">
        <v>609</v>
      </c>
      <c r="C39" s="310" t="s">
        <v>610</v>
      </c>
      <c r="D39" s="255">
        <f>'15'!G38+'18'!G43+'32'!G41+'37'!G42</f>
        <v>3315180</v>
      </c>
      <c r="E39" s="255">
        <f>'15'!H38+'18'!H43+'32'!H41+'37'!H42</f>
        <v>2981100</v>
      </c>
      <c r="F39" s="313">
        <f t="shared" si="0"/>
        <v>89.922719128373117</v>
      </c>
    </row>
    <row r="40" spans="1:6" ht="14.1" customHeight="1">
      <c r="A40" s="302">
        <v>34</v>
      </c>
      <c r="B40" s="306" t="s">
        <v>137</v>
      </c>
      <c r="C40" s="307" t="s">
        <v>611</v>
      </c>
      <c r="D40" s="308">
        <f>SUM(D41:D46)</f>
        <v>0</v>
      </c>
      <c r="E40" s="308">
        <f>SUM(E41:E46)</f>
        <v>0</v>
      </c>
      <c r="F40" s="312" t="str">
        <f t="shared" si="0"/>
        <v/>
      </c>
    </row>
    <row r="41" spans="1:6" ht="14.1" customHeight="1">
      <c r="A41" s="302">
        <v>35</v>
      </c>
      <c r="B41" s="309" t="s">
        <v>612</v>
      </c>
      <c r="C41" s="310" t="s">
        <v>613</v>
      </c>
      <c r="D41" s="255">
        <v>0</v>
      </c>
      <c r="E41" s="255">
        <v>0</v>
      </c>
      <c r="F41" s="313" t="str">
        <f t="shared" si="0"/>
        <v/>
      </c>
    </row>
    <row r="42" spans="1:6" ht="14.1" customHeight="1">
      <c r="A42" s="302">
        <v>36</v>
      </c>
      <c r="B42" s="309" t="s">
        <v>614</v>
      </c>
      <c r="C42" s="310" t="s">
        <v>615</v>
      </c>
      <c r="D42" s="255">
        <v>0</v>
      </c>
      <c r="E42" s="255">
        <v>0</v>
      </c>
      <c r="F42" s="313" t="str">
        <f t="shared" si="0"/>
        <v/>
      </c>
    </row>
    <row r="43" spans="1:6" ht="14.1" customHeight="1">
      <c r="A43" s="302">
        <v>37</v>
      </c>
      <c r="B43" s="309" t="s">
        <v>616</v>
      </c>
      <c r="C43" s="310" t="s">
        <v>617</v>
      </c>
      <c r="D43" s="255">
        <v>0</v>
      </c>
      <c r="E43" s="255">
        <v>0</v>
      </c>
      <c r="F43" s="313" t="str">
        <f t="shared" si="0"/>
        <v/>
      </c>
    </row>
    <row r="44" spans="1:6" ht="14.1" customHeight="1">
      <c r="A44" s="302">
        <v>38</v>
      </c>
      <c r="B44" s="309" t="s">
        <v>618</v>
      </c>
      <c r="C44" s="310" t="s">
        <v>69</v>
      </c>
      <c r="D44" s="255">
        <v>0</v>
      </c>
      <c r="E44" s="255">
        <v>0</v>
      </c>
      <c r="F44" s="313" t="str">
        <f t="shared" si="0"/>
        <v/>
      </c>
    </row>
    <row r="45" spans="1:6" ht="14.1" customHeight="1">
      <c r="A45" s="302">
        <v>39</v>
      </c>
      <c r="B45" s="309" t="s">
        <v>619</v>
      </c>
      <c r="C45" s="310" t="s">
        <v>56</v>
      </c>
      <c r="D45" s="255">
        <v>0</v>
      </c>
      <c r="E45" s="255">
        <v>0</v>
      </c>
      <c r="F45" s="313" t="str">
        <f t="shared" si="0"/>
        <v/>
      </c>
    </row>
    <row r="46" spans="1:6" ht="14.1" customHeight="1">
      <c r="A46" s="302">
        <v>40</v>
      </c>
      <c r="B46" s="309" t="s">
        <v>620</v>
      </c>
      <c r="C46" s="310" t="s">
        <v>621</v>
      </c>
      <c r="D46" s="255">
        <v>0</v>
      </c>
      <c r="E46" s="255">
        <v>0</v>
      </c>
      <c r="F46" s="313" t="str">
        <f t="shared" si="0"/>
        <v/>
      </c>
    </row>
    <row r="47" spans="1:6" ht="14.1" customHeight="1">
      <c r="A47" s="302">
        <v>41</v>
      </c>
      <c r="B47" s="306" t="s">
        <v>201</v>
      </c>
      <c r="C47" s="307" t="s">
        <v>622</v>
      </c>
      <c r="D47" s="308">
        <f>SUM(D48:D53)</f>
        <v>0</v>
      </c>
      <c r="E47" s="308">
        <f>SUM(E48:E53)</f>
        <v>0</v>
      </c>
      <c r="F47" s="312" t="str">
        <f t="shared" si="0"/>
        <v/>
      </c>
    </row>
    <row r="48" spans="1:6" ht="14.1" customHeight="1">
      <c r="A48" s="302">
        <v>42</v>
      </c>
      <c r="B48" s="309" t="s">
        <v>623</v>
      </c>
      <c r="C48" s="310" t="s">
        <v>624</v>
      </c>
      <c r="D48" s="255">
        <v>0</v>
      </c>
      <c r="E48" s="255">
        <v>0</v>
      </c>
      <c r="F48" s="313" t="str">
        <f t="shared" si="0"/>
        <v/>
      </c>
    </row>
    <row r="49" spans="1:6" ht="14.1" customHeight="1">
      <c r="A49" s="302">
        <v>43</v>
      </c>
      <c r="B49" s="309" t="s">
        <v>625</v>
      </c>
      <c r="C49" s="310" t="s">
        <v>626</v>
      </c>
      <c r="D49" s="255">
        <v>0</v>
      </c>
      <c r="E49" s="255">
        <v>0</v>
      </c>
      <c r="F49" s="313" t="str">
        <f t="shared" si="0"/>
        <v/>
      </c>
    </row>
    <row r="50" spans="1:6" ht="14.1" customHeight="1">
      <c r="A50" s="302">
        <v>44</v>
      </c>
      <c r="B50" s="309" t="s">
        <v>627</v>
      </c>
      <c r="C50" s="310" t="s">
        <v>70</v>
      </c>
      <c r="D50" s="255">
        <v>0</v>
      </c>
      <c r="E50" s="255">
        <v>0</v>
      </c>
      <c r="F50" s="313" t="str">
        <f t="shared" si="0"/>
        <v/>
      </c>
    </row>
    <row r="51" spans="1:6" ht="14.1" customHeight="1">
      <c r="A51" s="302">
        <v>45</v>
      </c>
      <c r="B51" s="309" t="s">
        <v>628</v>
      </c>
      <c r="C51" s="310" t="s">
        <v>629</v>
      </c>
      <c r="D51" s="255">
        <v>0</v>
      </c>
      <c r="E51" s="255">
        <v>0</v>
      </c>
      <c r="F51" s="313" t="str">
        <f t="shared" si="0"/>
        <v/>
      </c>
    </row>
    <row r="52" spans="1:6" ht="14.1" customHeight="1">
      <c r="A52" s="302">
        <v>46</v>
      </c>
      <c r="B52" s="309" t="s">
        <v>630</v>
      </c>
      <c r="C52" s="310" t="s">
        <v>631</v>
      </c>
      <c r="D52" s="255">
        <v>0</v>
      </c>
      <c r="E52" s="255">
        <v>0</v>
      </c>
      <c r="F52" s="313" t="str">
        <f t="shared" si="0"/>
        <v/>
      </c>
    </row>
    <row r="53" spans="1:6" ht="14.1" customHeight="1">
      <c r="A53" s="302">
        <v>47</v>
      </c>
      <c r="B53" s="309" t="s">
        <v>632</v>
      </c>
      <c r="C53" s="310" t="s">
        <v>633</v>
      </c>
      <c r="D53" s="255">
        <v>0</v>
      </c>
      <c r="E53" s="255">
        <v>0</v>
      </c>
      <c r="F53" s="313" t="str">
        <f t="shared" si="0"/>
        <v/>
      </c>
    </row>
    <row r="54" spans="1:6" ht="14.1" customHeight="1">
      <c r="A54" s="302">
        <v>48</v>
      </c>
      <c r="B54" s="306" t="s">
        <v>634</v>
      </c>
      <c r="C54" s="307" t="s">
        <v>635</v>
      </c>
      <c r="D54" s="308">
        <f>SUM(D55:D60)</f>
        <v>0</v>
      </c>
      <c r="E54" s="308">
        <f>SUM(E55:E60)</f>
        <v>0</v>
      </c>
      <c r="F54" s="312" t="str">
        <f t="shared" si="0"/>
        <v/>
      </c>
    </row>
    <row r="55" spans="1:6" ht="14.1" customHeight="1">
      <c r="A55" s="302">
        <v>49</v>
      </c>
      <c r="B55" s="309" t="s">
        <v>636</v>
      </c>
      <c r="C55" s="310" t="s">
        <v>637</v>
      </c>
      <c r="D55" s="255">
        <v>0</v>
      </c>
      <c r="E55" s="255">
        <v>0</v>
      </c>
      <c r="F55" s="313" t="str">
        <f t="shared" si="0"/>
        <v/>
      </c>
    </row>
    <row r="56" spans="1:6" ht="14.1" customHeight="1">
      <c r="A56" s="302">
        <v>50</v>
      </c>
      <c r="B56" s="309" t="s">
        <v>638</v>
      </c>
      <c r="C56" s="310" t="s">
        <v>71</v>
      </c>
      <c r="D56" s="255">
        <v>0</v>
      </c>
      <c r="E56" s="255">
        <v>0</v>
      </c>
      <c r="F56" s="313" t="str">
        <f t="shared" si="0"/>
        <v/>
      </c>
    </row>
    <row r="57" spans="1:6" ht="14.1" customHeight="1">
      <c r="A57" s="302">
        <v>51</v>
      </c>
      <c r="B57" s="309" t="s">
        <v>0</v>
      </c>
      <c r="C57" s="310" t="s">
        <v>1</v>
      </c>
      <c r="D57" s="255">
        <v>0</v>
      </c>
      <c r="E57" s="255">
        <v>0</v>
      </c>
      <c r="F57" s="313" t="str">
        <f t="shared" si="0"/>
        <v/>
      </c>
    </row>
    <row r="58" spans="1:6" ht="14.1" customHeight="1">
      <c r="A58" s="302">
        <v>52</v>
      </c>
      <c r="B58" s="309" t="s">
        <v>2</v>
      </c>
      <c r="C58" s="310" t="s">
        <v>3</v>
      </c>
      <c r="D58" s="255">
        <v>0</v>
      </c>
      <c r="E58" s="255">
        <v>0</v>
      </c>
      <c r="F58" s="313" t="str">
        <f t="shared" si="0"/>
        <v/>
      </c>
    </row>
    <row r="59" spans="1:6" ht="14.1" customHeight="1">
      <c r="A59" s="302">
        <v>53</v>
      </c>
      <c r="B59" s="309" t="s">
        <v>4</v>
      </c>
      <c r="C59" s="310" t="s">
        <v>5</v>
      </c>
      <c r="D59" s="255">
        <v>0</v>
      </c>
      <c r="E59" s="255">
        <v>0</v>
      </c>
      <c r="F59" s="313" t="str">
        <f t="shared" si="0"/>
        <v/>
      </c>
    </row>
    <row r="60" spans="1:6" ht="14.1" customHeight="1">
      <c r="A60" s="302">
        <v>54</v>
      </c>
      <c r="B60" s="309" t="s">
        <v>6</v>
      </c>
      <c r="C60" s="310" t="s">
        <v>7</v>
      </c>
      <c r="D60" s="255">
        <v>0</v>
      </c>
      <c r="E60" s="255">
        <v>0</v>
      </c>
      <c r="F60" s="313" t="str">
        <f t="shared" si="0"/>
        <v/>
      </c>
    </row>
    <row r="61" spans="1:6">
      <c r="A61" s="302">
        <v>55</v>
      </c>
      <c r="B61" s="306" t="s">
        <v>8</v>
      </c>
      <c r="C61" s="307" t="s">
        <v>9</v>
      </c>
      <c r="D61" s="308">
        <f>SUM(D62:D67)</f>
        <v>430000</v>
      </c>
      <c r="E61" s="308">
        <f>SUM(E62:E67)</f>
        <v>480000</v>
      </c>
      <c r="F61" s="312">
        <f t="shared" si="0"/>
        <v>111.62790697674419</v>
      </c>
    </row>
    <row r="62" spans="1:6">
      <c r="A62" s="302">
        <v>56</v>
      </c>
      <c r="B62" s="309" t="s">
        <v>10</v>
      </c>
      <c r="C62" s="310" t="s">
        <v>72</v>
      </c>
      <c r="D62" s="255">
        <v>220000</v>
      </c>
      <c r="E62" s="255">
        <v>270000</v>
      </c>
      <c r="F62" s="314">
        <f t="shared" si="0"/>
        <v>122.72727272727273</v>
      </c>
    </row>
    <row r="63" spans="1:6">
      <c r="A63" s="302">
        <v>57</v>
      </c>
      <c r="B63" s="309" t="s">
        <v>11</v>
      </c>
      <c r="C63" s="310" t="s">
        <v>12</v>
      </c>
      <c r="D63" s="255">
        <v>30000</v>
      </c>
      <c r="E63" s="255">
        <v>30000</v>
      </c>
      <c r="F63" s="314">
        <f t="shared" si="0"/>
        <v>100</v>
      </c>
    </row>
    <row r="64" spans="1:6">
      <c r="A64" s="302">
        <v>58</v>
      </c>
      <c r="B64" s="309" t="s">
        <v>13</v>
      </c>
      <c r="C64" s="310" t="s">
        <v>73</v>
      </c>
      <c r="D64" s="255">
        <f>'20'!G37</f>
        <v>30000</v>
      </c>
      <c r="E64" s="255">
        <f>'20'!H37</f>
        <v>30000</v>
      </c>
      <c r="F64" s="314">
        <f t="shared" si="0"/>
        <v>100</v>
      </c>
    </row>
    <row r="65" spans="1:6">
      <c r="A65" s="302">
        <v>59</v>
      </c>
      <c r="B65" s="309" t="s">
        <v>14</v>
      </c>
      <c r="C65" s="310" t="s">
        <v>57</v>
      </c>
      <c r="D65" s="255">
        <f>'20'!G38</f>
        <v>150000</v>
      </c>
      <c r="E65" s="255">
        <f>'20'!H38</f>
        <v>150000</v>
      </c>
      <c r="F65" s="314">
        <f t="shared" si="0"/>
        <v>100</v>
      </c>
    </row>
    <row r="66" spans="1:6">
      <c r="A66" s="302">
        <v>60</v>
      </c>
      <c r="B66" s="309" t="s">
        <v>15</v>
      </c>
      <c r="C66" s="310" t="s">
        <v>16</v>
      </c>
      <c r="D66" s="255">
        <v>0</v>
      </c>
      <c r="E66" s="255">
        <v>0</v>
      </c>
      <c r="F66" s="314" t="str">
        <f t="shared" si="0"/>
        <v/>
      </c>
    </row>
    <row r="67" spans="1:6">
      <c r="A67" s="302">
        <v>61</v>
      </c>
      <c r="B67" s="309" t="s">
        <v>17</v>
      </c>
      <c r="C67" s="310" t="s">
        <v>18</v>
      </c>
      <c r="D67" s="255">
        <v>0</v>
      </c>
      <c r="E67" s="255">
        <v>0</v>
      </c>
      <c r="F67" s="314" t="str">
        <f t="shared" si="0"/>
        <v/>
      </c>
    </row>
    <row r="68" spans="1:6">
      <c r="A68" s="302">
        <v>62</v>
      </c>
      <c r="B68" s="306" t="s">
        <v>19</v>
      </c>
      <c r="C68" s="307" t="s">
        <v>20</v>
      </c>
      <c r="D68" s="308">
        <f>SUM(D69:D76)</f>
        <v>12261240</v>
      </c>
      <c r="E68" s="308">
        <f>SUM(E69:E76)</f>
        <v>12630810</v>
      </c>
      <c r="F68" s="312">
        <f t="shared" si="0"/>
        <v>103.0141323389804</v>
      </c>
    </row>
    <row r="69" spans="1:6">
      <c r="A69" s="302">
        <v>63</v>
      </c>
      <c r="B69" s="309" t="s">
        <v>21</v>
      </c>
      <c r="C69" s="310" t="s">
        <v>22</v>
      </c>
      <c r="D69" s="255">
        <f>'24'!G42+'25'!G42+'26'!G42+'27'!G42+'28'!G42+'29'!G42+'30'!G42+10000</f>
        <v>7529760</v>
      </c>
      <c r="E69" s="255">
        <f>'24'!H42+'25'!H42+'26'!H42+'27'!H42+'28'!H42+'29'!H42+'30'!H42+10000</f>
        <v>7732160</v>
      </c>
      <c r="F69" s="314">
        <f t="shared" si="0"/>
        <v>102.68800067996855</v>
      </c>
    </row>
    <row r="70" spans="1:6">
      <c r="A70" s="302">
        <v>64</v>
      </c>
      <c r="B70" s="309" t="s">
        <v>23</v>
      </c>
      <c r="C70" s="310" t="s">
        <v>24</v>
      </c>
      <c r="D70" s="255">
        <f>'21'!G42+'22'!G42+'23'!G42+5000</f>
        <v>3678600</v>
      </c>
      <c r="E70" s="255">
        <f>'21'!H42+'22'!H42+'23'!H42+5000</f>
        <v>3833940</v>
      </c>
      <c r="F70" s="314">
        <f t="shared" si="0"/>
        <v>104.22280215299298</v>
      </c>
    </row>
    <row r="71" spans="1:6">
      <c r="A71" s="302">
        <v>65</v>
      </c>
      <c r="B71" s="309" t="s">
        <v>25</v>
      </c>
      <c r="C71" s="310" t="s">
        <v>26</v>
      </c>
      <c r="D71" s="255">
        <v>0</v>
      </c>
      <c r="E71" s="255">
        <v>0</v>
      </c>
      <c r="F71" s="314" t="str">
        <f t="shared" si="0"/>
        <v/>
      </c>
    </row>
    <row r="72" spans="1:6">
      <c r="A72" s="302">
        <v>66</v>
      </c>
      <c r="B72" s="309" t="s">
        <v>27</v>
      </c>
      <c r="C72" s="310" t="s">
        <v>28</v>
      </c>
      <c r="D72" s="255">
        <f>'20'!G32+'20'!G35</f>
        <v>278000</v>
      </c>
      <c r="E72" s="255">
        <f>'20'!H32+'20'!H35</f>
        <v>280000</v>
      </c>
      <c r="F72" s="314">
        <f t="shared" si="0"/>
        <v>100.71942446043165</v>
      </c>
    </row>
    <row r="73" spans="1:6">
      <c r="A73" s="302">
        <v>67</v>
      </c>
      <c r="B73" s="309" t="s">
        <v>29</v>
      </c>
      <c r="C73" s="310" t="s">
        <v>74</v>
      </c>
      <c r="D73" s="255">
        <v>0</v>
      </c>
      <c r="E73" s="255">
        <v>0</v>
      </c>
      <c r="F73" s="314" t="str">
        <f t="shared" si="0"/>
        <v/>
      </c>
    </row>
    <row r="74" spans="1:6">
      <c r="A74" s="302">
        <v>68</v>
      </c>
      <c r="B74" s="309" t="s">
        <v>30</v>
      </c>
      <c r="C74" s="310" t="s">
        <v>31</v>
      </c>
      <c r="D74" s="255">
        <v>0</v>
      </c>
      <c r="E74" s="255">
        <v>0</v>
      </c>
      <c r="F74" s="314" t="str">
        <f t="shared" ref="F74:F86" si="1">IF(D74=0,"",E74/D74*100)</f>
        <v/>
      </c>
    </row>
    <row r="75" spans="1:6">
      <c r="A75" s="302">
        <v>69</v>
      </c>
      <c r="B75" s="309" t="s">
        <v>32</v>
      </c>
      <c r="C75" s="310" t="s">
        <v>33</v>
      </c>
      <c r="D75" s="255">
        <v>0</v>
      </c>
      <c r="E75" s="255">
        <v>0</v>
      </c>
      <c r="F75" s="314" t="str">
        <f t="shared" si="1"/>
        <v/>
      </c>
    </row>
    <row r="76" spans="1:6">
      <c r="A76" s="302">
        <v>70</v>
      </c>
      <c r="B76" s="309" t="s">
        <v>34</v>
      </c>
      <c r="C76" s="310" t="s">
        <v>35</v>
      </c>
      <c r="D76" s="255">
        <f>'20'!G55-'20'!G32-'20'!G33-'20'!G35-'20'!G36-'20'!G37-'20'!G38</f>
        <v>774880</v>
      </c>
      <c r="E76" s="255">
        <f>'20'!H55-'20'!H32-'20'!H33-'20'!H35-'20'!H36-'20'!H37-'20'!H38</f>
        <v>784710</v>
      </c>
      <c r="F76" s="314">
        <f t="shared" si="1"/>
        <v>101.26858352260994</v>
      </c>
    </row>
    <row r="77" spans="1:6">
      <c r="A77" s="302">
        <v>71</v>
      </c>
      <c r="B77" s="306" t="s">
        <v>36</v>
      </c>
      <c r="C77" s="305" t="s">
        <v>37</v>
      </c>
      <c r="D77" s="308">
        <f>SUM(D78:D86)</f>
        <v>3914370</v>
      </c>
      <c r="E77" s="308">
        <f>SUM(E78:E86)</f>
        <v>4634670</v>
      </c>
      <c r="F77" s="312">
        <f t="shared" si="1"/>
        <v>118.40142858237724</v>
      </c>
    </row>
    <row r="78" spans="1:6">
      <c r="A78" s="302">
        <v>72</v>
      </c>
      <c r="B78" s="309" t="s">
        <v>38</v>
      </c>
      <c r="C78" s="310" t="s">
        <v>39</v>
      </c>
      <c r="D78" s="255">
        <v>0</v>
      </c>
      <c r="E78" s="255">
        <v>0</v>
      </c>
      <c r="F78" s="314" t="str">
        <f t="shared" si="1"/>
        <v/>
      </c>
    </row>
    <row r="79" spans="1:6">
      <c r="A79" s="302">
        <v>73</v>
      </c>
      <c r="B79" s="309" t="s">
        <v>40</v>
      </c>
      <c r="C79" s="310" t="s">
        <v>41</v>
      </c>
      <c r="D79" s="255">
        <v>0</v>
      </c>
      <c r="E79" s="255">
        <v>0</v>
      </c>
      <c r="F79" s="314" t="str">
        <f t="shared" si="1"/>
        <v/>
      </c>
    </row>
    <row r="80" spans="1:6">
      <c r="A80" s="302">
        <v>74</v>
      </c>
      <c r="B80" s="309" t="s">
        <v>42</v>
      </c>
      <c r="C80" s="310" t="s">
        <v>43</v>
      </c>
      <c r="D80" s="255">
        <v>0</v>
      </c>
      <c r="E80" s="255">
        <v>0</v>
      </c>
      <c r="F80" s="314" t="str">
        <f t="shared" si="1"/>
        <v/>
      </c>
    </row>
    <row r="81" spans="1:6">
      <c r="A81" s="302">
        <v>75</v>
      </c>
      <c r="B81" s="309" t="s">
        <v>44</v>
      </c>
      <c r="C81" s="310" t="s">
        <v>75</v>
      </c>
      <c r="D81" s="255">
        <v>0</v>
      </c>
      <c r="E81" s="255">
        <v>0</v>
      </c>
      <c r="F81" s="314" t="str">
        <f t="shared" si="1"/>
        <v/>
      </c>
    </row>
    <row r="82" spans="1:6">
      <c r="A82" s="302">
        <v>76</v>
      </c>
      <c r="B82" s="309" t="s">
        <v>45</v>
      </c>
      <c r="C82" s="310" t="s">
        <v>76</v>
      </c>
      <c r="D82" s="255">
        <v>0</v>
      </c>
      <c r="E82" s="255">
        <v>0</v>
      </c>
      <c r="F82" s="314" t="str">
        <f t="shared" si="1"/>
        <v/>
      </c>
    </row>
    <row r="83" spans="1:6">
      <c r="A83" s="302">
        <v>77</v>
      </c>
      <c r="B83" s="309" t="s">
        <v>46</v>
      </c>
      <c r="C83" s="310" t="s">
        <v>47</v>
      </c>
      <c r="D83" s="255">
        <v>0</v>
      </c>
      <c r="E83" s="255">
        <v>0</v>
      </c>
      <c r="F83" s="314" t="str">
        <f t="shared" si="1"/>
        <v/>
      </c>
    </row>
    <row r="84" spans="1:6">
      <c r="A84" s="302">
        <v>78</v>
      </c>
      <c r="B84" s="309" t="s">
        <v>48</v>
      </c>
      <c r="C84" s="310" t="s">
        <v>49</v>
      </c>
      <c r="D84" s="255">
        <v>0</v>
      </c>
      <c r="E84" s="255">
        <v>0</v>
      </c>
      <c r="F84" s="314" t="str">
        <f t="shared" si="1"/>
        <v/>
      </c>
    </row>
    <row r="85" spans="1:6">
      <c r="A85" s="302">
        <v>79</v>
      </c>
      <c r="B85" s="309" t="s">
        <v>50</v>
      </c>
      <c r="C85" s="310" t="s">
        <v>51</v>
      </c>
      <c r="D85" s="255">
        <v>0</v>
      </c>
      <c r="E85" s="255">
        <v>0</v>
      </c>
      <c r="F85" s="314" t="str">
        <f t="shared" si="1"/>
        <v/>
      </c>
    </row>
    <row r="86" spans="1:6">
      <c r="A86" s="302">
        <v>80</v>
      </c>
      <c r="B86" s="309" t="s">
        <v>52</v>
      </c>
      <c r="C86" s="310" t="s">
        <v>53</v>
      </c>
      <c r="D86" s="255">
        <f>'17'!G40+'31'!G39</f>
        <v>3914370</v>
      </c>
      <c r="E86" s="255">
        <f>'17'!H40+'31'!H39</f>
        <v>4634670</v>
      </c>
      <c r="F86" s="314">
        <f t="shared" si="1"/>
        <v>118.40142858237724</v>
      </c>
    </row>
    <row r="87" spans="1:6">
      <c r="A87" s="98"/>
      <c r="B87" s="98"/>
      <c r="C87" s="98"/>
      <c r="D87" s="98"/>
      <c r="E87" s="98"/>
      <c r="F87" s="98"/>
    </row>
    <row r="88" spans="1:6">
      <c r="A88" s="98"/>
      <c r="B88" s="98"/>
      <c r="C88" s="98"/>
      <c r="D88" s="98"/>
      <c r="E88" s="98"/>
      <c r="F88" s="98"/>
    </row>
    <row r="89" spans="1:6">
      <c r="A89" s="98"/>
      <c r="B89" s="98"/>
      <c r="C89" s="98"/>
      <c r="D89" s="98"/>
      <c r="E89" s="98"/>
      <c r="F89" s="98"/>
    </row>
    <row r="90" spans="1:6">
      <c r="A90" s="98"/>
      <c r="B90" s="98"/>
      <c r="C90" s="98"/>
      <c r="D90" s="98"/>
      <c r="E90" s="98"/>
      <c r="F90" s="98"/>
    </row>
    <row r="91" spans="1:6">
      <c r="A91" s="98"/>
      <c r="B91" s="98"/>
      <c r="C91" s="98"/>
      <c r="D91" s="98"/>
      <c r="E91" s="98"/>
      <c r="F91" s="98"/>
    </row>
    <row r="92" spans="1:6">
      <c r="A92" s="98"/>
      <c r="B92" s="98"/>
      <c r="C92" s="98"/>
      <c r="D92" s="98"/>
      <c r="E92" s="98"/>
      <c r="F92" s="98"/>
    </row>
    <row r="93" spans="1:6">
      <c r="A93" s="98"/>
      <c r="B93" s="98"/>
      <c r="C93" s="98"/>
      <c r="D93" s="98"/>
      <c r="E93" s="98"/>
      <c r="F93" s="98"/>
    </row>
    <row r="94" spans="1:6">
      <c r="A94" s="98"/>
      <c r="B94" s="98"/>
      <c r="C94" s="98"/>
      <c r="D94" s="98"/>
      <c r="E94" s="98"/>
      <c r="F94" s="98"/>
    </row>
    <row r="95" spans="1:6">
      <c r="A95" s="98"/>
      <c r="B95" s="98"/>
      <c r="C95" s="98"/>
      <c r="D95" s="98"/>
      <c r="E95" s="98"/>
      <c r="F95" s="98"/>
    </row>
    <row r="96" spans="1:6">
      <c r="A96" s="98"/>
      <c r="B96" s="98"/>
      <c r="C96" s="98"/>
      <c r="D96" s="98"/>
      <c r="E96" s="98"/>
      <c r="F96" s="98"/>
    </row>
    <row r="97" spans="1:6">
      <c r="A97" s="98"/>
      <c r="B97" s="98"/>
      <c r="C97" s="98"/>
      <c r="D97" s="98"/>
      <c r="E97" s="98"/>
      <c r="F97" s="98"/>
    </row>
    <row r="98" spans="1:6">
      <c r="A98" s="98"/>
      <c r="B98" s="98"/>
      <c r="C98" s="98"/>
      <c r="D98" s="98"/>
      <c r="E98" s="98"/>
      <c r="F98" s="98"/>
    </row>
    <row r="99" spans="1:6">
      <c r="A99" s="98"/>
      <c r="B99" s="98"/>
      <c r="C99" s="98"/>
      <c r="D99" s="98"/>
      <c r="E99" s="98"/>
      <c r="F99" s="98"/>
    </row>
    <row r="100" spans="1:6">
      <c r="A100" s="98"/>
      <c r="B100" s="98"/>
      <c r="C100" s="98"/>
      <c r="D100" s="98"/>
      <c r="E100" s="98"/>
      <c r="F100" s="98"/>
    </row>
    <row r="101" spans="1:6">
      <c r="A101" s="98"/>
      <c r="B101" s="98"/>
      <c r="C101" s="98"/>
      <c r="D101" s="98"/>
      <c r="E101" s="98"/>
      <c r="F101" s="98"/>
    </row>
    <row r="102" spans="1:6">
      <c r="A102" s="98"/>
      <c r="B102" s="98"/>
      <c r="C102" s="98"/>
      <c r="D102" s="98"/>
      <c r="E102" s="98"/>
      <c r="F102" s="98"/>
    </row>
    <row r="103" spans="1:6">
      <c r="A103" s="98"/>
      <c r="B103" s="98"/>
      <c r="C103" s="98"/>
      <c r="D103" s="98"/>
      <c r="E103" s="98"/>
      <c r="F103" s="98"/>
    </row>
    <row r="104" spans="1:6">
      <c r="A104" s="98"/>
      <c r="B104" s="98"/>
      <c r="C104" s="98"/>
      <c r="D104" s="98"/>
      <c r="E104" s="98"/>
      <c r="F104" s="98"/>
    </row>
    <row r="105" spans="1:6">
      <c r="A105" s="98"/>
      <c r="B105" s="98"/>
      <c r="C105" s="98"/>
      <c r="D105" s="98"/>
      <c r="E105" s="98"/>
      <c r="F105" s="98"/>
    </row>
    <row r="106" spans="1:6">
      <c r="A106" s="98"/>
      <c r="B106" s="98"/>
      <c r="C106" s="98"/>
      <c r="D106" s="98"/>
      <c r="E106" s="98"/>
      <c r="F106" s="98"/>
    </row>
    <row r="107" spans="1:6">
      <c r="A107" s="98"/>
      <c r="B107" s="98"/>
      <c r="C107" s="98"/>
      <c r="D107" s="98"/>
      <c r="E107" s="98"/>
      <c r="F107" s="98"/>
    </row>
    <row r="108" spans="1:6">
      <c r="A108" s="98"/>
      <c r="B108" s="98"/>
      <c r="C108" s="98"/>
      <c r="D108" s="98"/>
      <c r="E108" s="98"/>
      <c r="F108" s="98"/>
    </row>
    <row r="109" spans="1:6">
      <c r="A109" s="98"/>
      <c r="B109" s="98"/>
      <c r="C109" s="98"/>
      <c r="D109" s="98"/>
      <c r="E109" s="98"/>
      <c r="F109" s="98"/>
    </row>
    <row r="110" spans="1:6">
      <c r="A110" s="98"/>
      <c r="B110" s="98"/>
      <c r="C110" s="98"/>
      <c r="D110" s="98"/>
      <c r="E110" s="98"/>
      <c r="F110" s="98"/>
    </row>
    <row r="111" spans="1:6">
      <c r="A111" s="98"/>
      <c r="B111" s="98"/>
      <c r="C111" s="98"/>
      <c r="D111" s="98"/>
      <c r="E111" s="98"/>
      <c r="F111" s="98"/>
    </row>
    <row r="112" spans="1:6">
      <c r="A112" s="98"/>
      <c r="B112" s="98"/>
      <c r="C112" s="98"/>
      <c r="D112" s="98"/>
      <c r="E112" s="98"/>
      <c r="F112" s="98"/>
    </row>
    <row r="113" spans="1:6">
      <c r="A113" s="98"/>
      <c r="B113" s="98"/>
      <c r="C113" s="98"/>
      <c r="D113" s="98"/>
      <c r="E113" s="98"/>
      <c r="F113" s="98"/>
    </row>
    <row r="114" spans="1:6">
      <c r="A114" s="98"/>
      <c r="B114" s="98"/>
      <c r="C114" s="98"/>
      <c r="D114" s="98"/>
      <c r="E114" s="98"/>
      <c r="F114" s="98"/>
    </row>
    <row r="115" spans="1:6">
      <c r="A115" s="98"/>
      <c r="B115" s="98"/>
      <c r="C115" s="98"/>
      <c r="D115" s="98"/>
      <c r="E115" s="98"/>
      <c r="F115" s="98"/>
    </row>
    <row r="116" spans="1:6">
      <c r="A116" s="98"/>
      <c r="B116" s="98"/>
      <c r="C116" s="98"/>
      <c r="D116" s="98"/>
      <c r="E116" s="98"/>
      <c r="F116" s="98"/>
    </row>
    <row r="117" spans="1:6">
      <c r="A117" s="98"/>
      <c r="B117" s="98"/>
      <c r="C117" s="98"/>
      <c r="D117" s="98"/>
      <c r="E117" s="98"/>
      <c r="F117" s="98"/>
    </row>
    <row r="118" spans="1:6">
      <c r="A118" s="98"/>
      <c r="B118" s="98"/>
      <c r="C118" s="98"/>
      <c r="D118" s="98"/>
      <c r="E118" s="98"/>
      <c r="F118" s="98"/>
    </row>
    <row r="119" spans="1:6">
      <c r="A119" s="98"/>
      <c r="B119" s="98"/>
      <c r="C119" s="98"/>
      <c r="D119" s="98"/>
      <c r="E119" s="98"/>
      <c r="F119" s="98"/>
    </row>
  </sheetData>
  <mergeCells count="1">
    <mergeCell ref="A2:F2"/>
  </mergeCells>
  <phoneticPr fontId="0" type="noConversion"/>
  <pageMargins left="0.35433070866141736" right="0.27559055118110237" top="0.51181102362204722" bottom="0.74803149606299213" header="0.51181102362204722" footer="0.51181102362204722"/>
  <pageSetup paperSize="9" scale="88" firstPageNumber="46" orientation="portrait" useFirstPageNumber="1" r:id="rId1"/>
  <headerFooter alignWithMargins="0">
    <oddFooter>&amp;R&amp;P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>
  <dimension ref="A2:F45"/>
  <sheetViews>
    <sheetView topLeftCell="A13" workbookViewId="0">
      <selection activeCell="I46" sqref="I46"/>
    </sheetView>
  </sheetViews>
  <sheetFormatPr defaultRowHeight="12.75"/>
  <cols>
    <col min="1" max="1" width="11.85546875" style="55" customWidth="1"/>
    <col min="2" max="2" width="82.28515625" customWidth="1"/>
    <col min="3" max="6" width="15.7109375" customWidth="1"/>
  </cols>
  <sheetData>
    <row r="2" spans="1:6" ht="15.75">
      <c r="A2" s="424" t="s">
        <v>697</v>
      </c>
      <c r="B2" s="451"/>
      <c r="C2" s="451"/>
      <c r="D2" s="451"/>
      <c r="E2" s="451"/>
      <c r="F2" s="451"/>
    </row>
    <row r="4" spans="1:6" s="68" customFormat="1" ht="25.5">
      <c r="A4" s="456" t="s">
        <v>503</v>
      </c>
      <c r="B4" s="456" t="s">
        <v>522</v>
      </c>
      <c r="C4" s="280" t="s">
        <v>696</v>
      </c>
      <c r="D4" s="453" t="s">
        <v>531</v>
      </c>
      <c r="E4" s="454"/>
      <c r="F4" s="455"/>
    </row>
    <row r="5" spans="1:6" s="68" customFormat="1" ht="25.5">
      <c r="A5" s="457"/>
      <c r="B5" s="457"/>
      <c r="C5" s="280"/>
      <c r="D5" s="280" t="s">
        <v>530</v>
      </c>
      <c r="E5" s="280" t="s">
        <v>724</v>
      </c>
      <c r="F5" s="280" t="s">
        <v>725</v>
      </c>
    </row>
    <row r="6" spans="1:6" s="68" customFormat="1">
      <c r="A6" s="280">
        <v>1</v>
      </c>
      <c r="B6" s="281">
        <v>2</v>
      </c>
      <c r="C6" s="280" t="s">
        <v>532</v>
      </c>
      <c r="D6" s="280">
        <v>4</v>
      </c>
      <c r="E6" s="280">
        <v>5</v>
      </c>
      <c r="F6" s="280">
        <v>6</v>
      </c>
    </row>
    <row r="7" spans="1:6" ht="15.95" customHeight="1">
      <c r="A7" s="274">
        <v>10010001</v>
      </c>
      <c r="B7" s="29" t="s">
        <v>251</v>
      </c>
      <c r="C7" s="272">
        <f>D7+E7+F7</f>
        <v>57000</v>
      </c>
      <c r="D7" s="272">
        <f>'1'!H36-E7-F7</f>
        <v>57000</v>
      </c>
      <c r="E7" s="272">
        <v>0</v>
      </c>
      <c r="F7" s="272">
        <v>0</v>
      </c>
    </row>
    <row r="8" spans="1:6" ht="15.95" customHeight="1">
      <c r="A8" s="274">
        <v>10010002</v>
      </c>
      <c r="B8" s="29" t="s">
        <v>504</v>
      </c>
      <c r="C8" s="272">
        <f t="shared" ref="C8:C43" si="0">D8+E8+F8</f>
        <v>0</v>
      </c>
      <c r="D8" s="272">
        <f>'2'!H36-E8-F8</f>
        <v>0</v>
      </c>
      <c r="E8" s="272">
        <v>0</v>
      </c>
      <c r="F8" s="272">
        <v>0</v>
      </c>
    </row>
    <row r="9" spans="1:6" ht="15.95" customHeight="1">
      <c r="A9" s="274">
        <v>11010001</v>
      </c>
      <c r="B9" s="29" t="s">
        <v>252</v>
      </c>
      <c r="C9" s="272">
        <f t="shared" si="0"/>
        <v>55000</v>
      </c>
      <c r="D9" s="272">
        <f>'3'!H50-E9-F9</f>
        <v>55000</v>
      </c>
      <c r="E9" s="272">
        <v>0</v>
      </c>
      <c r="F9" s="272">
        <v>0</v>
      </c>
    </row>
    <row r="10" spans="1:6" ht="15.95" customHeight="1">
      <c r="A10" s="274">
        <v>11010002</v>
      </c>
      <c r="B10" s="29" t="s">
        <v>253</v>
      </c>
      <c r="C10" s="272">
        <f t="shared" si="0"/>
        <v>1000</v>
      </c>
      <c r="D10" s="272">
        <f>'4'!H37-E10-F10</f>
        <v>1000</v>
      </c>
      <c r="E10" s="272">
        <v>0</v>
      </c>
      <c r="F10" s="272">
        <v>0</v>
      </c>
    </row>
    <row r="11" spans="1:6" ht="15.95" customHeight="1">
      <c r="A11" s="274">
        <v>11010003</v>
      </c>
      <c r="B11" s="29" t="s">
        <v>254</v>
      </c>
      <c r="C11" s="272">
        <f t="shared" si="0"/>
        <v>1500</v>
      </c>
      <c r="D11" s="272">
        <f>'5'!H36-E11-F11</f>
        <v>1500</v>
      </c>
      <c r="E11" s="272">
        <v>0</v>
      </c>
      <c r="F11" s="272">
        <v>0</v>
      </c>
    </row>
    <row r="12" spans="1:6" ht="15.95" customHeight="1">
      <c r="A12" s="274">
        <v>11010004</v>
      </c>
      <c r="B12" s="29" t="s">
        <v>256</v>
      </c>
      <c r="C12" s="272">
        <f t="shared" si="0"/>
        <v>2500</v>
      </c>
      <c r="D12" s="272">
        <f>'6'!H36-E12-F12</f>
        <v>2500</v>
      </c>
      <c r="E12" s="272">
        <v>0</v>
      </c>
      <c r="F12" s="272">
        <v>0</v>
      </c>
    </row>
    <row r="13" spans="1:6" ht="15.95" customHeight="1">
      <c r="A13" s="274">
        <v>11010005</v>
      </c>
      <c r="B13" s="29" t="s">
        <v>344</v>
      </c>
      <c r="C13" s="272">
        <f t="shared" si="0"/>
        <v>2000</v>
      </c>
      <c r="D13" s="272">
        <f>'7'!H36-E13-F13</f>
        <v>2000</v>
      </c>
      <c r="E13" s="272">
        <v>0</v>
      </c>
      <c r="F13" s="272">
        <v>0</v>
      </c>
    </row>
    <row r="14" spans="1:6" ht="15.95" customHeight="1">
      <c r="A14" s="274">
        <v>12010001</v>
      </c>
      <c r="B14" s="29" t="s">
        <v>257</v>
      </c>
      <c r="C14" s="272">
        <f t="shared" si="0"/>
        <v>75000</v>
      </c>
      <c r="D14" s="272">
        <f>'8'!H36-E14-F14</f>
        <v>75000</v>
      </c>
      <c r="E14" s="272">
        <v>0</v>
      </c>
      <c r="F14" s="272">
        <v>0</v>
      </c>
    </row>
    <row r="15" spans="1:6" ht="15.95" customHeight="1">
      <c r="A15" s="274">
        <v>13010001</v>
      </c>
      <c r="B15" s="29" t="s">
        <v>502</v>
      </c>
      <c r="C15" s="272">
        <f t="shared" si="0"/>
        <v>150000</v>
      </c>
      <c r="D15" s="272">
        <f>'9'!H36-E15-F15</f>
        <v>150000</v>
      </c>
      <c r="E15" s="272">
        <v>0</v>
      </c>
      <c r="F15" s="272">
        <v>0</v>
      </c>
    </row>
    <row r="16" spans="1:6" ht="15.95" customHeight="1">
      <c r="A16" s="274">
        <v>14010001</v>
      </c>
      <c r="B16" s="29" t="s">
        <v>259</v>
      </c>
      <c r="C16" s="272">
        <f t="shared" si="0"/>
        <v>3000</v>
      </c>
      <c r="D16" s="272">
        <f>'10'!H36-E16-F16</f>
        <v>3000</v>
      </c>
      <c r="E16" s="272">
        <v>0</v>
      </c>
      <c r="F16" s="272">
        <v>0</v>
      </c>
    </row>
    <row r="17" spans="1:6" ht="15.95" customHeight="1">
      <c r="A17" s="274">
        <v>14020003</v>
      </c>
      <c r="B17" s="29" t="s">
        <v>260</v>
      </c>
      <c r="C17" s="272">
        <f t="shared" si="0"/>
        <v>30000</v>
      </c>
      <c r="D17" s="272">
        <f>'11'!H36-E17-F17</f>
        <v>30000</v>
      </c>
      <c r="E17" s="272">
        <v>0</v>
      </c>
      <c r="F17" s="272">
        <v>0</v>
      </c>
    </row>
    <row r="18" spans="1:6" ht="15.95" customHeight="1">
      <c r="A18" s="274">
        <v>14050001</v>
      </c>
      <c r="B18" s="29" t="s">
        <v>261</v>
      </c>
      <c r="C18" s="272">
        <f t="shared" si="0"/>
        <v>500</v>
      </c>
      <c r="D18" s="272">
        <f>'12'!H36-E18-F18</f>
        <v>500</v>
      </c>
      <c r="E18" s="272">
        <v>0</v>
      </c>
      <c r="F18" s="272">
        <v>0</v>
      </c>
    </row>
    <row r="19" spans="1:6" ht="15.95" customHeight="1">
      <c r="A19" s="274">
        <v>14050002</v>
      </c>
      <c r="B19" s="29" t="s">
        <v>262</v>
      </c>
      <c r="C19" s="272">
        <f t="shared" si="0"/>
        <v>1000</v>
      </c>
      <c r="D19" s="272">
        <f>'13'!H36-E19-F19</f>
        <v>1000</v>
      </c>
      <c r="E19" s="272">
        <v>0</v>
      </c>
      <c r="F19" s="272">
        <v>0</v>
      </c>
    </row>
    <row r="20" spans="1:6" ht="15.95" customHeight="1">
      <c r="A20" s="274">
        <v>14060001</v>
      </c>
      <c r="B20" s="29" t="s">
        <v>263</v>
      </c>
      <c r="C20" s="272">
        <f t="shared" si="0"/>
        <v>0</v>
      </c>
      <c r="D20" s="272">
        <f>'14'!H36-E20-F20</f>
        <v>0</v>
      </c>
      <c r="E20" s="272">
        <v>0</v>
      </c>
      <c r="F20" s="272">
        <v>0</v>
      </c>
    </row>
    <row r="21" spans="1:6" ht="15.95" customHeight="1">
      <c r="A21" s="274">
        <v>15010001</v>
      </c>
      <c r="B21" s="29" t="s">
        <v>264</v>
      </c>
      <c r="C21" s="272">
        <f t="shared" si="0"/>
        <v>2000</v>
      </c>
      <c r="D21" s="272">
        <f>'15'!H32-E21-F21</f>
        <v>2000</v>
      </c>
      <c r="E21" s="272">
        <v>0</v>
      </c>
      <c r="F21" s="272">
        <v>0</v>
      </c>
    </row>
    <row r="22" spans="1:6" ht="15.95" customHeight="1">
      <c r="A22" s="274">
        <v>16010001</v>
      </c>
      <c r="B22" s="29" t="s">
        <v>265</v>
      </c>
      <c r="C22" s="272">
        <f t="shared" si="0"/>
        <v>5000</v>
      </c>
      <c r="D22" s="272">
        <f>'16'!H43-E22-F22</f>
        <v>5000</v>
      </c>
      <c r="E22" s="272">
        <v>0</v>
      </c>
      <c r="F22" s="272">
        <v>0</v>
      </c>
    </row>
    <row r="23" spans="1:6" ht="15.95" customHeight="1">
      <c r="A23" s="274">
        <v>17010001</v>
      </c>
      <c r="B23" s="29" t="s">
        <v>266</v>
      </c>
      <c r="C23" s="272">
        <f t="shared" si="0"/>
        <v>1500</v>
      </c>
      <c r="D23" s="272">
        <f>'17'!H34-E23-F23</f>
        <v>1500</v>
      </c>
      <c r="E23" s="272">
        <v>0</v>
      </c>
      <c r="F23" s="272">
        <v>0</v>
      </c>
    </row>
    <row r="24" spans="1:6" ht="15.95" customHeight="1">
      <c r="A24" s="274">
        <v>18010001</v>
      </c>
      <c r="B24" s="29" t="s">
        <v>267</v>
      </c>
      <c r="C24" s="272">
        <f t="shared" si="0"/>
        <v>603000</v>
      </c>
      <c r="D24" s="272">
        <f>'18'!H37-E24-F24</f>
        <v>0</v>
      </c>
      <c r="E24" s="272">
        <v>103000</v>
      </c>
      <c r="F24" s="272">
        <v>500000</v>
      </c>
    </row>
    <row r="25" spans="1:6" ht="15.95" customHeight="1">
      <c r="A25" s="274">
        <v>19010001</v>
      </c>
      <c r="B25" s="29" t="s">
        <v>268</v>
      </c>
      <c r="C25" s="272">
        <f t="shared" si="0"/>
        <v>13000</v>
      </c>
      <c r="D25" s="272">
        <f>'19'!H35-E25-F25</f>
        <v>13000</v>
      </c>
      <c r="E25" s="272">
        <v>0</v>
      </c>
      <c r="F25" s="272">
        <v>0</v>
      </c>
    </row>
    <row r="26" spans="1:6" ht="15.95" customHeight="1">
      <c r="A26" s="274">
        <v>20010001</v>
      </c>
      <c r="B26" s="29" t="s">
        <v>269</v>
      </c>
      <c r="C26" s="272">
        <f t="shared" si="0"/>
        <v>16100</v>
      </c>
      <c r="D26" s="272">
        <f>'20'!H46-E26-F26</f>
        <v>1020</v>
      </c>
      <c r="E26" s="272">
        <v>0</v>
      </c>
      <c r="F26" s="272">
        <v>15080</v>
      </c>
    </row>
    <row r="27" spans="1:6" ht="15.95" customHeight="1">
      <c r="A27" s="274">
        <v>20020002</v>
      </c>
      <c r="B27" s="29" t="s">
        <v>505</v>
      </c>
      <c r="C27" s="272">
        <f t="shared" si="0"/>
        <v>81000</v>
      </c>
      <c r="D27" s="272">
        <f>'21'!H36-E27-F27</f>
        <v>27000</v>
      </c>
      <c r="E27" s="272">
        <v>0</v>
      </c>
      <c r="F27" s="272">
        <v>54000</v>
      </c>
    </row>
    <row r="28" spans="1:6" ht="15.95" customHeight="1">
      <c r="A28" s="274">
        <v>20020003</v>
      </c>
      <c r="B28" s="29" t="s">
        <v>506</v>
      </c>
      <c r="C28" s="272">
        <f t="shared" si="0"/>
        <v>5000</v>
      </c>
      <c r="D28" s="272">
        <f>'22'!H36-E28-F28</f>
        <v>5000</v>
      </c>
      <c r="E28" s="272">
        <v>0</v>
      </c>
      <c r="F28" s="272">
        <v>0</v>
      </c>
    </row>
    <row r="29" spans="1:6" ht="15.95" customHeight="1">
      <c r="A29" s="274">
        <v>20020004</v>
      </c>
      <c r="B29" s="29" t="s">
        <v>507</v>
      </c>
      <c r="C29" s="272">
        <f t="shared" si="0"/>
        <v>5000</v>
      </c>
      <c r="D29" s="272">
        <f>'23'!H36-E29-F29</f>
        <v>5000</v>
      </c>
      <c r="E29" s="272">
        <v>0</v>
      </c>
      <c r="F29" s="272">
        <v>0</v>
      </c>
    </row>
    <row r="30" spans="1:6" ht="15.95" customHeight="1">
      <c r="A30" s="274">
        <v>20030001</v>
      </c>
      <c r="B30" s="373" t="s">
        <v>508</v>
      </c>
      <c r="C30" s="272">
        <f t="shared" si="0"/>
        <v>3000</v>
      </c>
      <c r="D30" s="272">
        <f>'24'!H36-E30-F30</f>
        <v>3000</v>
      </c>
      <c r="E30" s="272">
        <v>0</v>
      </c>
      <c r="F30" s="272">
        <v>0</v>
      </c>
    </row>
    <row r="31" spans="1:6" ht="15.95" customHeight="1">
      <c r="A31" s="274">
        <v>20030002</v>
      </c>
      <c r="B31" s="29" t="s">
        <v>509</v>
      </c>
      <c r="C31" s="272">
        <f t="shared" si="0"/>
        <v>7000</v>
      </c>
      <c r="D31" s="272">
        <f>'25'!H36-E31-F31</f>
        <v>7000</v>
      </c>
      <c r="E31" s="272">
        <v>0</v>
      </c>
      <c r="F31" s="272">
        <v>0</v>
      </c>
    </row>
    <row r="32" spans="1:6" ht="15.95" customHeight="1">
      <c r="A32" s="274">
        <v>20030003</v>
      </c>
      <c r="B32" s="29" t="s">
        <v>510</v>
      </c>
      <c r="C32" s="272">
        <f t="shared" si="0"/>
        <v>2000</v>
      </c>
      <c r="D32" s="272">
        <f>'26'!H36-E32-F32</f>
        <v>2000</v>
      </c>
      <c r="E32" s="272">
        <v>0</v>
      </c>
      <c r="F32" s="272">
        <v>0</v>
      </c>
    </row>
    <row r="33" spans="1:6" ht="15.95" customHeight="1">
      <c r="A33" s="274">
        <v>20030004</v>
      </c>
      <c r="B33" s="373" t="s">
        <v>682</v>
      </c>
      <c r="C33" s="272">
        <f t="shared" si="0"/>
        <v>11000</v>
      </c>
      <c r="D33" s="272">
        <f>'27'!H36-E33-F33</f>
        <v>11000</v>
      </c>
      <c r="E33" s="272">
        <v>0</v>
      </c>
      <c r="F33" s="272">
        <v>0</v>
      </c>
    </row>
    <row r="34" spans="1:6" ht="15.95" customHeight="1">
      <c r="A34" s="274">
        <v>20030005</v>
      </c>
      <c r="B34" s="29" t="s">
        <v>726</v>
      </c>
      <c r="C34" s="272">
        <f t="shared" si="0"/>
        <v>12000</v>
      </c>
      <c r="D34" s="272">
        <f>'28'!H36-E34-F34</f>
        <v>12000</v>
      </c>
      <c r="E34" s="272">
        <v>0</v>
      </c>
      <c r="F34" s="272">
        <v>0</v>
      </c>
    </row>
    <row r="35" spans="1:6" ht="15.95" customHeight="1">
      <c r="A35" s="274">
        <v>20030006</v>
      </c>
      <c r="B35" s="29" t="s">
        <v>727</v>
      </c>
      <c r="C35" s="272">
        <f t="shared" si="0"/>
        <v>2000</v>
      </c>
      <c r="D35" s="272">
        <f>'29'!H36-E35-F35</f>
        <v>2000</v>
      </c>
      <c r="E35" s="272">
        <v>0</v>
      </c>
      <c r="F35" s="272">
        <v>0</v>
      </c>
    </row>
    <row r="36" spans="1:6" ht="15.95" customHeight="1">
      <c r="A36" s="274">
        <v>20030007</v>
      </c>
      <c r="B36" s="29" t="s">
        <v>728</v>
      </c>
      <c r="C36" s="272">
        <f t="shared" si="0"/>
        <v>2000</v>
      </c>
      <c r="D36" s="272">
        <f>'30'!H36-E36-F36</f>
        <v>2000</v>
      </c>
      <c r="E36" s="272">
        <v>0</v>
      </c>
      <c r="F36" s="272">
        <v>0</v>
      </c>
    </row>
    <row r="37" spans="1:6" ht="15.95" customHeight="1">
      <c r="A37" s="274">
        <v>21010001</v>
      </c>
      <c r="B37" s="29" t="s">
        <v>279</v>
      </c>
      <c r="C37" s="272">
        <f t="shared" si="0"/>
        <v>1000</v>
      </c>
      <c r="D37" s="272">
        <f>'31'!H33-E37-F37</f>
        <v>1000</v>
      </c>
      <c r="E37" s="272">
        <v>0</v>
      </c>
      <c r="F37" s="272">
        <v>0</v>
      </c>
    </row>
    <row r="38" spans="1:6" ht="15.95" customHeight="1">
      <c r="A38" s="274">
        <v>22010001</v>
      </c>
      <c r="B38" s="29" t="s">
        <v>280</v>
      </c>
      <c r="C38" s="272">
        <f t="shared" si="0"/>
        <v>4000</v>
      </c>
      <c r="D38" s="272">
        <f>'32'!H35-E38-F38</f>
        <v>4000</v>
      </c>
      <c r="E38" s="272">
        <v>0</v>
      </c>
      <c r="F38" s="272">
        <v>0</v>
      </c>
    </row>
    <row r="39" spans="1:6" ht="15.95" customHeight="1">
      <c r="A39" s="274">
        <v>23010001</v>
      </c>
      <c r="B39" s="29" t="s">
        <v>281</v>
      </c>
      <c r="C39" s="272">
        <f t="shared" si="0"/>
        <v>2000</v>
      </c>
      <c r="D39" s="272">
        <f>'33'!H34-E39-F39</f>
        <v>2000</v>
      </c>
      <c r="E39" s="272">
        <v>0</v>
      </c>
      <c r="F39" s="272">
        <v>0</v>
      </c>
    </row>
    <row r="40" spans="1:6" ht="15.95" customHeight="1">
      <c r="A40" s="274">
        <v>24010001</v>
      </c>
      <c r="B40" s="29" t="s">
        <v>282</v>
      </c>
      <c r="C40" s="272">
        <f t="shared" si="0"/>
        <v>3000</v>
      </c>
      <c r="D40" s="272">
        <f>'34'!H36-E40-F40</f>
        <v>3000</v>
      </c>
      <c r="E40" s="272">
        <v>0</v>
      </c>
      <c r="F40" s="272">
        <v>0</v>
      </c>
    </row>
    <row r="41" spans="1:6" ht="15.95" customHeight="1">
      <c r="A41" s="274">
        <v>26010001</v>
      </c>
      <c r="B41" s="29" t="s">
        <v>283</v>
      </c>
      <c r="C41" s="272">
        <f t="shared" si="0"/>
        <v>1000</v>
      </c>
      <c r="D41" s="272">
        <f>'35'!H36-E41-F41</f>
        <v>1000</v>
      </c>
      <c r="E41" s="272">
        <v>0</v>
      </c>
      <c r="F41" s="272">
        <v>0</v>
      </c>
    </row>
    <row r="42" spans="1:6" ht="15.95" customHeight="1">
      <c r="A42" s="274">
        <v>27010001</v>
      </c>
      <c r="B42" s="29" t="s">
        <v>284</v>
      </c>
      <c r="C42" s="272">
        <f t="shared" si="0"/>
        <v>5000</v>
      </c>
      <c r="D42" s="272">
        <f>'36'!H36-E42-F42</f>
        <v>5000</v>
      </c>
      <c r="E42" s="272">
        <v>0</v>
      </c>
      <c r="F42" s="272">
        <v>0</v>
      </c>
    </row>
    <row r="43" spans="1:6" ht="15.95" customHeight="1">
      <c r="A43" s="274">
        <v>28010001</v>
      </c>
      <c r="B43" s="29" t="s">
        <v>285</v>
      </c>
      <c r="C43" s="272">
        <f t="shared" si="0"/>
        <v>2000</v>
      </c>
      <c r="D43" s="272">
        <f>'37'!H36-E43-F43</f>
        <v>2000</v>
      </c>
      <c r="E43" s="272">
        <v>0</v>
      </c>
      <c r="F43" s="272">
        <v>0</v>
      </c>
    </row>
    <row r="44" spans="1:6" s="68" customFormat="1" ht="15.95" customHeight="1">
      <c r="A44" s="130"/>
      <c r="B44" s="278" t="s">
        <v>526</v>
      </c>
      <c r="C44" s="279">
        <f>SUM(C7:C43)</f>
        <v>1167100</v>
      </c>
      <c r="D44" s="279">
        <f>SUM(D7:D43)</f>
        <v>495020</v>
      </c>
      <c r="E44" s="279">
        <f>SUM(E7:E43)</f>
        <v>103000</v>
      </c>
      <c r="F44" s="279">
        <f>SUM(F7:F43)</f>
        <v>569080</v>
      </c>
    </row>
    <row r="45" spans="1:6" ht="18" customHeight="1"/>
  </sheetData>
  <mergeCells count="4">
    <mergeCell ref="A2:F2"/>
    <mergeCell ref="D4:F4"/>
    <mergeCell ref="A4:A5"/>
    <mergeCell ref="B4:B5"/>
  </mergeCells>
  <phoneticPr fontId="0" type="noConversion"/>
  <pageMargins left="1.31" right="0.32" top="0.56000000000000005" bottom="0.53" header="0.5" footer="0.5"/>
  <pageSetup paperSize="9" scale="71" orientation="landscape" r:id="rId1"/>
  <headerFooter alignWithMargins="0">
    <oddFooter>&amp;R48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>
  <sheetPr codeName="Sheet47"/>
  <dimension ref="A1:H37"/>
  <sheetViews>
    <sheetView workbookViewId="0">
      <selection activeCell="F8" sqref="F8"/>
    </sheetView>
  </sheetViews>
  <sheetFormatPr defaultRowHeight="15" customHeight="1"/>
  <cols>
    <col min="2" max="2" width="46.7109375" customWidth="1"/>
    <col min="3" max="3" width="18" customWidth="1"/>
    <col min="4" max="4" width="12.42578125" customWidth="1"/>
    <col min="7" max="8" width="15.7109375" customWidth="1"/>
    <col min="9" max="9" width="8.7109375" customWidth="1"/>
  </cols>
  <sheetData>
    <row r="1" spans="1:8" ht="15" customHeight="1">
      <c r="A1" s="54" t="s">
        <v>343</v>
      </c>
      <c r="C1" s="54"/>
    </row>
    <row r="2" spans="1:8" ht="15" customHeight="1">
      <c r="A2" s="54"/>
      <c r="C2" s="369">
        <f>Rashodi!F9/(Prihodi!E142-Prihodi!E48-Prihodi!E52-Prihodi!E53-Prihodi!E59-Prihodi!E75-Prihodi!E79-Prihodi!E83-Prihodi!E93-Prihodi!E103-Prihodi!E108-Prihodi!E110-Prihodi!E117-Prihodi!E129)*100</f>
        <v>1.3153548681283669</v>
      </c>
    </row>
    <row r="3" spans="1:8" ht="27" customHeight="1">
      <c r="A3" s="436" t="str">
        <f>CONCATENATE("     U tekuću pričuvu Vlade izdvojit će se ",TEXT(C2,"#.##0,00"),"% prihoda bez namjenskih prihoda, vlastitih prihoda i primitaka Proračuna.")</f>
        <v xml:space="preserve">     U tekuću pričuvu Vlade izdvojit će se 1,32% prihoda bez namjenskih prihoda, vlastitih prihoda i primitaka Proračuna.</v>
      </c>
      <c r="B3" s="458"/>
      <c r="C3" s="458"/>
    </row>
    <row r="4" spans="1:8" ht="15" customHeight="1">
      <c r="G4" s="68"/>
      <c r="H4" s="68"/>
    </row>
    <row r="5" spans="1:8" ht="15" customHeight="1">
      <c r="A5" s="54" t="s">
        <v>347</v>
      </c>
      <c r="C5" s="54"/>
    </row>
    <row r="6" spans="1:8" ht="15" customHeight="1">
      <c r="A6" s="54"/>
      <c r="C6" s="54"/>
      <c r="E6" s="367"/>
    </row>
    <row r="7" spans="1:8" ht="15" customHeight="1">
      <c r="A7" s="459" t="s">
        <v>698</v>
      </c>
      <c r="B7" s="432"/>
      <c r="C7" s="432"/>
      <c r="E7" s="368"/>
    </row>
    <row r="8" spans="1:8" ht="15" customHeight="1">
      <c r="A8" s="432"/>
      <c r="B8" s="432"/>
      <c r="C8" s="432"/>
    </row>
    <row r="13" spans="1:8" ht="15" customHeight="1">
      <c r="A13" t="s">
        <v>204</v>
      </c>
    </row>
    <row r="14" spans="1:8" ht="15" customHeight="1">
      <c r="A14" t="s">
        <v>205</v>
      </c>
    </row>
    <row r="15" spans="1:8" ht="15" customHeight="1">
      <c r="A15" t="s">
        <v>206</v>
      </c>
    </row>
    <row r="16" spans="1:8" ht="15" customHeight="1">
      <c r="A16" t="s">
        <v>207</v>
      </c>
    </row>
    <row r="17" spans="1:3" ht="15" customHeight="1">
      <c r="A17" t="s">
        <v>208</v>
      </c>
    </row>
    <row r="18" spans="1:3" ht="15" customHeight="1">
      <c r="A18" t="s">
        <v>209</v>
      </c>
    </row>
    <row r="20" spans="1:3" ht="15" customHeight="1">
      <c r="C20" s="55" t="s">
        <v>348</v>
      </c>
    </row>
    <row r="21" spans="1:3" ht="15" customHeight="1">
      <c r="C21" s="86"/>
    </row>
    <row r="22" spans="1:3" ht="15" customHeight="1">
      <c r="C22" s="55" t="s">
        <v>349</v>
      </c>
    </row>
    <row r="24" spans="1:3" ht="15" customHeight="1">
      <c r="C24" s="55"/>
    </row>
    <row r="27" spans="1:3" ht="15" customHeight="1">
      <c r="C27" s="55"/>
    </row>
    <row r="37" ht="12.75"/>
  </sheetData>
  <mergeCells count="2">
    <mergeCell ref="A3:C3"/>
    <mergeCell ref="A7:C8"/>
  </mergeCells>
  <phoneticPr fontId="0" type="noConversion"/>
  <pageMargins left="0.89" right="0.75" top="1" bottom="1" header="0.5" footer="0.5"/>
  <pageSetup paperSize="9" orientation="portrait" r:id="rId1"/>
  <headerFooter alignWithMargins="0">
    <oddFooter>&amp;R49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2:K109"/>
  <sheetViews>
    <sheetView topLeftCell="C25" workbookViewId="0">
      <selection activeCell="L47" sqref="L47"/>
    </sheetView>
  </sheetViews>
  <sheetFormatPr defaultRowHeight="12" customHeight="1"/>
  <cols>
    <col min="1" max="1" width="0.5703125" style="13" hidden="1" customWidth="1"/>
    <col min="2" max="2" width="5.7109375" style="13" hidden="1" customWidth="1"/>
    <col min="3" max="3" width="10.7109375" style="24" customWidth="1"/>
    <col min="4" max="4" width="54" style="13" customWidth="1"/>
    <col min="5" max="6" width="15.7109375" style="13" customWidth="1"/>
    <col min="7" max="7" width="8.7109375" style="140" customWidth="1"/>
    <col min="8" max="8" width="9.140625" style="13"/>
    <col min="9" max="9" width="13.140625" style="13" bestFit="1" customWidth="1"/>
    <col min="10" max="11" width="10.140625" style="13" bestFit="1" customWidth="1"/>
    <col min="12" max="16384" width="9.140625" style="13"/>
  </cols>
  <sheetData>
    <row r="2" spans="2:11" ht="2.25" customHeight="1"/>
    <row r="3" spans="2:11" s="1" customFormat="1" ht="30.75" customHeight="1" thickBot="1">
      <c r="C3" s="445" t="s">
        <v>78</v>
      </c>
      <c r="D3" s="445"/>
      <c r="E3" s="138"/>
      <c r="F3" s="443"/>
      <c r="G3" s="444"/>
    </row>
    <row r="4" spans="2:11" s="1" customFormat="1" ht="51.75" customHeight="1">
      <c r="B4" s="3" t="s">
        <v>79</v>
      </c>
      <c r="C4" s="41" t="s">
        <v>81</v>
      </c>
      <c r="D4" s="42" t="s">
        <v>82</v>
      </c>
      <c r="E4" s="174" t="s">
        <v>557</v>
      </c>
      <c r="F4" s="174" t="s">
        <v>683</v>
      </c>
      <c r="G4" s="141" t="s">
        <v>496</v>
      </c>
    </row>
    <row r="5" spans="2:11" s="2" customFormat="1" ht="14.1" customHeight="1">
      <c r="B5" s="8">
        <v>1</v>
      </c>
      <c r="C5" s="8">
        <v>1</v>
      </c>
      <c r="D5" s="9">
        <v>2</v>
      </c>
      <c r="E5" s="34">
        <v>3</v>
      </c>
      <c r="F5" s="9">
        <v>4</v>
      </c>
      <c r="G5" s="150">
        <v>5</v>
      </c>
    </row>
    <row r="6" spans="2:11" s="2" customFormat="1" ht="14.1" customHeight="1">
      <c r="B6" s="8"/>
      <c r="C6" s="8"/>
      <c r="D6" s="27" t="s">
        <v>163</v>
      </c>
      <c r="E6" s="25">
        <f>E8+E14+E19+E22+E39+E74+E78+E85+E92</f>
        <v>39753660</v>
      </c>
      <c r="F6" s="25">
        <f>F8+F14+F19+F22+F39+F74+F78+F85+F92</f>
        <v>39940550</v>
      </c>
      <c r="G6" s="168">
        <f>IF(E6=0,"",F6/E6*100)</f>
        <v>100.47012023547015</v>
      </c>
      <c r="I6" s="283"/>
    </row>
    <row r="7" spans="2:11" s="2" customFormat="1" ht="14.1" customHeight="1">
      <c r="B7" s="8"/>
      <c r="C7" s="8"/>
      <c r="D7" s="27"/>
      <c r="E7" s="25"/>
      <c r="F7" s="25"/>
      <c r="G7" s="173" t="str">
        <f>IF(E7=0,"",F7/E7*100)</f>
        <v/>
      </c>
      <c r="I7" s="137"/>
    </row>
    <row r="8" spans="2:11" s="2" customFormat="1" ht="14.1" customHeight="1">
      <c r="B8" s="8"/>
      <c r="C8" s="8">
        <v>600000</v>
      </c>
      <c r="D8" s="27" t="s">
        <v>124</v>
      </c>
      <c r="E8" s="25">
        <f>E9+E10+E11+E12</f>
        <v>960000</v>
      </c>
      <c r="F8" s="25">
        <f>F9+F10+F11+F12</f>
        <v>510000</v>
      </c>
      <c r="G8" s="168">
        <f>IF(E8=0,"",F8/E8*100)</f>
        <v>53.125</v>
      </c>
      <c r="I8" s="283"/>
    </row>
    <row r="9" spans="2:11" s="2" customFormat="1" ht="14.1" customHeight="1">
      <c r="B9" s="8"/>
      <c r="C9" s="65">
        <v>600000</v>
      </c>
      <c r="D9" s="57" t="s">
        <v>99</v>
      </c>
      <c r="E9" s="64">
        <f>'3'!G8</f>
        <v>900000</v>
      </c>
      <c r="F9" s="405">
        <f>'3'!H8</f>
        <v>450000</v>
      </c>
      <c r="G9" s="173">
        <f>IF(E9=0,"",F9/E9*100)</f>
        <v>50</v>
      </c>
      <c r="K9" s="137"/>
    </row>
    <row r="10" spans="2:11" s="2" customFormat="1" ht="14.1" customHeight="1">
      <c r="B10" s="8"/>
      <c r="C10" s="65">
        <v>600000</v>
      </c>
      <c r="D10" s="57" t="s">
        <v>100</v>
      </c>
      <c r="E10" s="64">
        <f>'3'!G9</f>
        <v>30000</v>
      </c>
      <c r="F10" s="64">
        <f>'3'!H9</f>
        <v>30000</v>
      </c>
      <c r="G10" s="173">
        <f t="shared" ref="G10:G72" si="0">IF(E10=0,"",F10/E10*100)</f>
        <v>100</v>
      </c>
      <c r="J10" s="137"/>
    </row>
    <row r="11" spans="2:11" s="2" customFormat="1" ht="14.1" customHeight="1">
      <c r="B11" s="8"/>
      <c r="C11" s="65">
        <v>600000</v>
      </c>
      <c r="D11" s="57" t="s">
        <v>125</v>
      </c>
      <c r="E11" s="64">
        <f>'3'!G10</f>
        <v>15000</v>
      </c>
      <c r="F11" s="64">
        <f>'3'!H10</f>
        <v>15000</v>
      </c>
      <c r="G11" s="173">
        <f t="shared" si="0"/>
        <v>100</v>
      </c>
      <c r="K11" s="137"/>
    </row>
    <row r="12" spans="2:11" s="2" customFormat="1" ht="14.1" customHeight="1">
      <c r="B12" s="8"/>
      <c r="C12" s="65">
        <v>600000</v>
      </c>
      <c r="D12" s="57" t="s">
        <v>111</v>
      </c>
      <c r="E12" s="64">
        <f>'16'!G8</f>
        <v>15000</v>
      </c>
      <c r="F12" s="64">
        <f>'16'!H8</f>
        <v>15000</v>
      </c>
      <c r="G12" s="173">
        <f t="shared" si="0"/>
        <v>100</v>
      </c>
    </row>
    <row r="13" spans="2:11" s="2" customFormat="1" ht="14.1" customHeight="1">
      <c r="B13" s="8"/>
      <c r="C13" s="65"/>
      <c r="D13" s="57"/>
      <c r="E13" s="134"/>
      <c r="F13" s="134"/>
      <c r="G13" s="173" t="str">
        <f t="shared" si="0"/>
        <v/>
      </c>
    </row>
    <row r="14" spans="2:11" s="1" customFormat="1" ht="14.1" customHeight="1">
      <c r="B14" s="10"/>
      <c r="C14" s="8">
        <v>611000</v>
      </c>
      <c r="D14" s="12" t="s">
        <v>167</v>
      </c>
      <c r="E14" s="108">
        <f>SUM(E15:E17)</f>
        <v>19494060</v>
      </c>
      <c r="F14" s="108">
        <f>SUM(F15:F17)</f>
        <v>20585650</v>
      </c>
      <c r="G14" s="168">
        <f t="shared" si="0"/>
        <v>105.59960316116808</v>
      </c>
      <c r="I14" s="91"/>
      <c r="J14" s="91"/>
    </row>
    <row r="15" spans="2:11" ht="14.1" customHeight="1">
      <c r="B15" s="14"/>
      <c r="C15" s="36">
        <v>611100</v>
      </c>
      <c r="D15" s="26" t="s">
        <v>210</v>
      </c>
      <c r="E15" s="44">
        <f>'1'!G8+'2'!G8+'3'!G13+'4'!G8+'5'!G8+'6'!G8+'8'!G8+'9'!G8+'10'!G8+'11'!G8+'12'!G8+'13'!G8+'14'!G8+'15'!G8+'16'!G11+'17'!G8+'18'!G8+'19'!G8+'20'!G8+'22'!G8+'23'!G8+'21'!G8+'24'!G8+'25'!G8+'26'!G8+'27'!G8+'28'!G8+'29'!G8+'30'!G8+'31'!G8+'32'!G8+'33'!G8+'34'!G8+'35'!G8+'36'!G8+'37'!G8+'7'!G8</f>
        <v>15337700</v>
      </c>
      <c r="F15" s="44">
        <f>'1'!H8+'2'!H8+'3'!H13+'4'!H8+'5'!H8+'6'!H8+'8'!H8+'9'!H8+'10'!H8+'11'!H8+'12'!H8+'13'!H8+'14'!H8+'15'!H8+'16'!H11+'17'!H8+'18'!H8+'19'!H8+'20'!H8+'22'!H8+'23'!H8+'21'!H8+'24'!H8+'25'!H8+'26'!H8+'27'!H8+'28'!H8+'29'!H8+'30'!H8+'31'!H8+'32'!H8+'33'!H8+'34'!H8+'35'!H8+'36'!H8+'37'!H8+'7'!H8</f>
        <v>16741350</v>
      </c>
      <c r="G15" s="173">
        <f t="shared" si="0"/>
        <v>109.1516329045424</v>
      </c>
      <c r="I15" s="90"/>
    </row>
    <row r="16" spans="2:11" ht="14.1" customHeight="1">
      <c r="B16" s="14"/>
      <c r="C16" s="36">
        <v>611200</v>
      </c>
      <c r="D16" s="26" t="s">
        <v>211</v>
      </c>
      <c r="E16" s="44">
        <f>'1'!G9+'2'!G9+'3'!G14+'4'!G9+'5'!G9+'6'!G9+'8'!G9+'9'!G9+'10'!G9+'11'!G9+'12'!G9+'13'!G9+'14'!G9+'15'!G9+'16'!G12+'17'!G9+'18'!G9+'19'!G9+'20'!G9+'22'!G9+'23'!G9+'21'!G9+'24'!G9+'25'!G9+'26'!G9+'27'!G9+'28'!G9+'29'!G9+'30'!G9+'31'!G9+'32'!G9+'33'!G9+'34'!G9+'35'!G9+'36'!G9+'37'!G9+'7'!G9</f>
        <v>3808190</v>
      </c>
      <c r="F16" s="44">
        <f>'1'!H9+'2'!H9+'3'!H14+'4'!H9+'5'!H9+'6'!H9+'8'!H9+'9'!H9+'10'!H9+'11'!H9+'12'!H9+'13'!H9+'14'!H9+'15'!H9+'16'!H12+'17'!H9+'18'!H9+'19'!H9+'20'!H9+'22'!H9+'23'!H9+'21'!H9+'24'!H9+'25'!H9+'26'!H9+'27'!H9+'28'!H9+'29'!H9+'30'!H9+'31'!H9+'32'!H9+'33'!H9+'34'!H9+'35'!H9+'36'!H9+'37'!H9+'7'!H9</f>
        <v>3655300</v>
      </c>
      <c r="G16" s="173">
        <f t="shared" si="0"/>
        <v>95.985231829294221</v>
      </c>
      <c r="I16" s="90"/>
    </row>
    <row r="17" spans="2:10" ht="14.1" customHeight="1">
      <c r="B17" s="14"/>
      <c r="C17" s="36">
        <v>611200</v>
      </c>
      <c r="D17" s="363" t="s">
        <v>699</v>
      </c>
      <c r="E17" s="44">
        <f>'1'!G10+'2'!G10+'3'!G15+'4'!G10+'5'!G10+'6'!G10+'8'!G10+'9'!G10+'10'!G10+'11'!G10+'12'!G10+'13'!G10+'14'!G10+'15'!G10+'16'!G13+'17'!G10+'18'!G10+'19'!G10+'20'!G10+'22'!G10+'23'!G10+'21'!G10+'24'!G10+'25'!G10+'26'!G10+'27'!G10+'28'!G10+'29'!G10+'30'!G10+'31'!G10+'32'!G10+'33'!G10+'34'!G10+'35'!G10+'36'!G10+'37'!G10+'7'!G10</f>
        <v>348170</v>
      </c>
      <c r="F17" s="44">
        <f>'1'!H10+'2'!H10+'3'!H15+'4'!H10+'5'!H10+'6'!H10+'8'!H10+'9'!H10+'10'!H10+'11'!H10+'12'!H10+'13'!H10+'14'!H10+'15'!H10+'16'!H13+'17'!H10+'18'!H10+'19'!H10+'20'!H10+'22'!H10+'23'!H10+'21'!H10+'24'!H10+'25'!H10+'26'!H10+'27'!H10+'28'!H10+'29'!H10+'30'!H10+'31'!H10+'32'!H10+'33'!H10+'34'!H10+'35'!H10+'36'!H10+'37'!H10+'7'!H10</f>
        <v>189000</v>
      </c>
      <c r="G17" s="173">
        <f t="shared" si="0"/>
        <v>54.283826866186061</v>
      </c>
      <c r="I17" s="90"/>
    </row>
    <row r="18" spans="2:10" ht="14.1" customHeight="1">
      <c r="B18" s="14"/>
      <c r="C18" s="36"/>
      <c r="D18" s="15"/>
      <c r="E18" s="82"/>
      <c r="F18" s="82"/>
      <c r="G18" s="173" t="str">
        <f t="shared" si="0"/>
        <v/>
      </c>
      <c r="I18" s="90"/>
    </row>
    <row r="19" spans="2:10" ht="14.1" customHeight="1">
      <c r="B19" s="14"/>
      <c r="C19" s="8">
        <v>612000</v>
      </c>
      <c r="D19" s="12" t="s">
        <v>166</v>
      </c>
      <c r="E19" s="20">
        <f>E20</f>
        <v>1817000</v>
      </c>
      <c r="F19" s="20">
        <f>F20</f>
        <v>2005190</v>
      </c>
      <c r="G19" s="168">
        <f t="shared" si="0"/>
        <v>110.35718216840947</v>
      </c>
      <c r="I19" s="90"/>
      <c r="J19" s="90"/>
    </row>
    <row r="20" spans="2:10" s="1" customFormat="1" ht="14.1" customHeight="1">
      <c r="B20" s="17"/>
      <c r="C20" s="36">
        <v>612100</v>
      </c>
      <c r="D20" s="18" t="s">
        <v>85</v>
      </c>
      <c r="E20" s="44">
        <f>'1'!G13+'2'!G14+'3'!G19+'4'!G14+'5'!G14+'6'!G14+'8'!G14+'9'!G14+'10'!G14+'11'!G14+'12'!G14+'13'!G14+'14'!G14+'15'!G14+'16'!G17+'17'!G14+'18'!G14+'19'!G14+'20'!G14+'22'!G14+'23'!G14+'21'!G14+'24'!G14+'25'!G14+'26'!G14+'27'!G14+'28'!G14+'29'!G14+'30'!G14+'31'!G14+'32'!G13+'33'!G14+'34'!G14+'35'!G14+'36'!G14+'37'!G14+'7'!G14</f>
        <v>1817000</v>
      </c>
      <c r="F20" s="44">
        <f>'1'!H13+'2'!H14+'3'!H19+'4'!H14+'5'!H14+'6'!H14+'8'!H14+'9'!H14+'10'!H14+'11'!H14+'12'!H14+'13'!H14+'14'!H14+'15'!H14+'16'!H17+'17'!H14+'18'!H14+'19'!H14+'20'!H14+'22'!H14+'23'!H14+'21'!H14+'24'!H14+'25'!H14+'26'!H14+'27'!H14+'28'!H14+'29'!H14+'30'!H14+'31'!H14+'32'!H13+'33'!H14+'34'!H14+'35'!H14+'36'!H14+'37'!H14+'7'!H14</f>
        <v>2005190</v>
      </c>
      <c r="G20" s="173">
        <f t="shared" si="0"/>
        <v>110.35718216840947</v>
      </c>
    </row>
    <row r="21" spans="2:10" ht="14.1" customHeight="1">
      <c r="B21" s="14"/>
      <c r="C21" s="36"/>
      <c r="D21" s="26"/>
      <c r="E21" s="44"/>
      <c r="F21" s="44"/>
      <c r="G21" s="173" t="str">
        <f t="shared" si="0"/>
        <v/>
      </c>
    </row>
    <row r="22" spans="2:10" ht="14.1" customHeight="1">
      <c r="B22" s="14"/>
      <c r="C22" s="8">
        <v>613000</v>
      </c>
      <c r="D22" s="12" t="s">
        <v>168</v>
      </c>
      <c r="E22" s="20">
        <f>SUM(E23:E37)</f>
        <v>4674290</v>
      </c>
      <c r="F22" s="20">
        <f>SUM(F23:F37)</f>
        <v>4503190</v>
      </c>
      <c r="G22" s="168">
        <f t="shared" si="0"/>
        <v>96.339551033418985</v>
      </c>
      <c r="I22" s="140"/>
    </row>
    <row r="23" spans="2:10" s="1" customFormat="1" ht="14.1" customHeight="1">
      <c r="B23" s="17"/>
      <c r="C23" s="36">
        <v>613100</v>
      </c>
      <c r="D23" s="15" t="s">
        <v>86</v>
      </c>
      <c r="E23" s="44">
        <f>'1'!G17+'2'!G18+'3'!G23+'4'!G18+'5'!G18+'6'!G18+'8'!G18+'9'!G18+'10'!G18+'11'!G18+'12'!G18+'13'!G18+'14'!G18+'15'!G18+'16'!G21+'17'!G18+'18'!G18+'19'!G18+'20'!G18+'22'!G18+'23'!G18+'21'!G18+'24'!G18+'25'!G18+'26'!G18+'27'!G18+'28'!G18+'29'!G18+'30'!G18+'31'!G18+'32'!G17+'33'!G18+'34'!G18+'35'!G18+'36'!G18+'37'!G18+'7'!G18</f>
        <v>154640</v>
      </c>
      <c r="F23" s="44">
        <f>'1'!H17+'2'!H18+'3'!H23+'4'!H18+'5'!H18+'6'!H18+'8'!H18+'9'!H18+'10'!H18+'11'!H18+'12'!H18+'13'!H18+'14'!H18+'15'!H18+'16'!H21+'17'!H18+'18'!H18+'19'!H18+'20'!H18+'22'!H18+'23'!H18+'21'!H18+'24'!H18+'25'!H18+'26'!H18+'27'!H18+'28'!H18+'29'!H18+'30'!H18+'31'!H18+'32'!H17+'33'!H18+'34'!H18+'35'!H18+'36'!H18+'37'!H18+'7'!H18</f>
        <v>153910</v>
      </c>
      <c r="G23" s="173">
        <f t="shared" si="0"/>
        <v>99.527935851008792</v>
      </c>
      <c r="I23" s="91"/>
    </row>
    <row r="24" spans="2:10" ht="14.1" customHeight="1">
      <c r="B24" s="14"/>
      <c r="C24" s="36">
        <v>613200</v>
      </c>
      <c r="D24" s="15" t="s">
        <v>87</v>
      </c>
      <c r="E24" s="44">
        <f>'1'!G18+'2'!G19+'3'!G24+'4'!G19+'5'!G19+'6'!G19+'8'!G19+'9'!G19+'10'!G19+'11'!G19+'12'!G19+'13'!G19+'14'!G19+'15'!G19+'16'!G22+'17'!G19+'18'!G19+'19'!G19+'20'!G19+'22'!G19+'23'!G19+'21'!G19+'24'!G19+'25'!G19+'26'!G19+'27'!G19+'28'!G19+'29'!G19+'30'!G19+'31'!G19+'32'!G18+'33'!G19+'34'!G19+'35'!G19+'36'!G19+'37'!G19+'7'!G19</f>
        <v>716800</v>
      </c>
      <c r="F24" s="44">
        <f>'1'!H18+'2'!H19+'3'!H24+'4'!H19+'5'!H19+'6'!H19+'8'!H19+'9'!H19+'10'!H19+'11'!H19+'12'!H19+'13'!H19+'14'!H19+'15'!H19+'16'!H22+'17'!H19+'18'!H19+'19'!H19+'20'!H19+'22'!H19+'23'!H19+'21'!H19+'24'!H19+'25'!H19+'26'!H19+'27'!H19+'28'!H19+'29'!H19+'30'!H19+'31'!H19+'32'!H18+'33'!H19+'34'!H19+'35'!H19+'36'!H19+'37'!H19+'7'!H19</f>
        <v>746600</v>
      </c>
      <c r="G24" s="173">
        <f t="shared" si="0"/>
        <v>104.15736607142858</v>
      </c>
    </row>
    <row r="25" spans="2:10" ht="14.1" customHeight="1">
      <c r="B25" s="14"/>
      <c r="C25" s="36">
        <v>613300</v>
      </c>
      <c r="D25" s="26" t="s">
        <v>212</v>
      </c>
      <c r="E25" s="44">
        <f>'1'!G19+'2'!G20+'3'!G25+'4'!G20+'5'!G20+'6'!G20+'8'!G20+'9'!G20+'10'!G20+'11'!G20+'12'!G20+'13'!G20+'14'!G20+'15'!G20+'16'!G23+'17'!G20+'18'!G20+'19'!G20+'20'!G20+'22'!G20+'23'!G20+'21'!G20+'24'!G20+'25'!G20+'26'!G20+'27'!G20+'28'!G20+'29'!G20+'30'!G20+'31'!G20+'32'!G19+'33'!G20+'34'!G20+'35'!G20+'36'!G20+'37'!G20+'7'!G20</f>
        <v>443900</v>
      </c>
      <c r="F25" s="44">
        <f>'1'!H19+'2'!H20+'3'!H25+'4'!H20+'5'!H20+'6'!H20+'8'!H20+'9'!H20+'10'!H20+'11'!H20+'12'!H20+'13'!H20+'14'!H20+'15'!H20+'16'!H23+'17'!H20+'18'!H20+'19'!H20+'20'!H20+'22'!H20+'23'!H20+'21'!H20+'24'!H20+'25'!H20+'26'!H20+'27'!H20+'28'!H20+'29'!H20+'30'!H20+'31'!H20+'32'!H19+'33'!H20+'34'!H20+'35'!H20+'36'!H20+'37'!H20+'7'!H20</f>
        <v>450800</v>
      </c>
      <c r="G25" s="173">
        <f t="shared" si="0"/>
        <v>101.55440414507773</v>
      </c>
    </row>
    <row r="26" spans="2:10" ht="14.1" customHeight="1">
      <c r="B26" s="14"/>
      <c r="C26" s="36">
        <v>613400</v>
      </c>
      <c r="D26" s="26" t="s">
        <v>169</v>
      </c>
      <c r="E26" s="44">
        <f>'1'!G20+'2'!G21+'3'!G26+'4'!G21+'5'!G21+'6'!G21+'8'!G21+'9'!G21+'10'!G21+'11'!G21+'12'!G21+'13'!G21+'14'!G21+'15'!G21+'16'!G24+'17'!G21+'18'!G21+'19'!G21+'20'!G21+'22'!G21+'23'!G21+'21'!G21+'24'!G21+'25'!G21+'26'!G21+'27'!G21+'28'!G21+'29'!G21+'30'!G21+'31'!G21+'32'!G20+'33'!G21+'34'!G21+'35'!G21+'36'!G21+'37'!G21+'7'!G21</f>
        <v>451500</v>
      </c>
      <c r="F26" s="44">
        <f>'1'!H20+'2'!H21+'3'!H26+'4'!H21+'5'!H21+'6'!H21+'8'!H21+'9'!H21+'10'!H21+'11'!H21+'12'!H21+'13'!H21+'14'!H21+'15'!H21+'16'!H24+'17'!H21+'18'!H21+'19'!H21+'20'!H21+'22'!H21+'23'!H21+'21'!H21+'24'!H21+'25'!H21+'26'!H21+'27'!H21+'28'!H21+'29'!H21+'30'!H21+'31'!H21+'32'!H20+'33'!H21+'34'!H21+'35'!H21+'36'!H21+'37'!H21+'7'!H21</f>
        <v>523000</v>
      </c>
      <c r="G26" s="173">
        <f t="shared" si="0"/>
        <v>115.83610188261351</v>
      </c>
    </row>
    <row r="27" spans="2:10" ht="14.1" customHeight="1">
      <c r="B27" s="14"/>
      <c r="C27" s="36">
        <v>613500</v>
      </c>
      <c r="D27" s="19" t="s">
        <v>88</v>
      </c>
      <c r="E27" s="117">
        <f>'1'!G21+'2'!G22+'3'!G27+'4'!G22+'5'!G22+'6'!G22+'8'!G22+'9'!G22+'10'!G22+'11'!G22+'12'!G22+'13'!G22+'14'!G22+'15'!G22+'16'!G25+'17'!G22+'18'!G22+'19'!G22+'20'!G22+'22'!G22+'23'!G22+'21'!G22+'24'!G22+'25'!G22+'26'!G22+'27'!G22+'28'!G22+'29'!G22+'30'!G22+'31'!G22+'32'!G21+'33'!G22+'34'!G22+'35'!G22+'36'!G22+'37'!G22+'7'!G22</f>
        <v>186310</v>
      </c>
      <c r="F27" s="117">
        <f>'1'!H21+'2'!H22+'3'!H27+'4'!H22+'5'!H22+'6'!H22+'8'!H22+'9'!H22+'10'!H22+'11'!H22+'12'!H22+'13'!H22+'14'!H22+'15'!H22+'16'!H25+'17'!H22+'18'!H22+'19'!H22+'20'!H22+'22'!H22+'23'!H22+'21'!H22+'24'!H22+'25'!H22+'26'!H22+'27'!H22+'28'!H22+'29'!H22+'30'!H22+'31'!H22+'32'!H21+'33'!H22+'34'!H22+'35'!H22+'36'!H22+'37'!H22+'7'!H22</f>
        <v>188290</v>
      </c>
      <c r="G27" s="173">
        <f t="shared" si="0"/>
        <v>101.06274488755301</v>
      </c>
    </row>
    <row r="28" spans="2:10" ht="14.1" customHeight="1">
      <c r="B28" s="14"/>
      <c r="C28" s="36">
        <v>613600</v>
      </c>
      <c r="D28" s="110" t="s">
        <v>213</v>
      </c>
      <c r="E28" s="117">
        <f>'1'!G22+'2'!G23+'3'!G28+'4'!G23+'5'!G23+'6'!G23+'8'!G23+'9'!G23+'10'!G23+'11'!G23+'12'!G23+'13'!G23+'14'!G23+'15'!G23+'16'!G26+'17'!G23+'18'!G23+'19'!G23+'20'!G23+'22'!G23+'23'!G23+'21'!G23+'24'!G23+'25'!G23+'26'!G23+'27'!G23+'28'!G23+'29'!G23+'30'!G23+'31'!G23+'32'!G22+'33'!G23+'34'!G23+'35'!G23+'36'!G23+'37'!G23+'7'!G23</f>
        <v>32500</v>
      </c>
      <c r="F28" s="117">
        <f>'1'!H22+'2'!H23+'3'!H28+'4'!H23+'5'!H23+'6'!H23+'8'!H23+'9'!H23+'10'!H23+'11'!H23+'12'!H23+'13'!H23+'14'!H23+'15'!H23+'16'!H26+'17'!H23+'18'!H23+'19'!H23+'20'!H23+'22'!H23+'23'!H23+'21'!H23+'24'!H23+'25'!H23+'26'!H23+'27'!H23+'28'!H23+'29'!H23+'30'!H23+'31'!H23+'32'!H22+'33'!H23+'34'!H23+'35'!H23+'36'!H23+'37'!H23+'7'!H23</f>
        <v>32500</v>
      </c>
      <c r="G28" s="173">
        <f t="shared" si="0"/>
        <v>100</v>
      </c>
    </row>
    <row r="29" spans="2:10" ht="14.1" customHeight="1">
      <c r="B29" s="14"/>
      <c r="C29" s="36">
        <v>613700</v>
      </c>
      <c r="D29" s="19" t="s">
        <v>89</v>
      </c>
      <c r="E29" s="117">
        <f>'1'!G23+'2'!G24+'3'!G29+'4'!G24+'5'!G24+'6'!G24+'8'!G24+'9'!G24+'10'!G24+'11'!G24+'12'!G24+'13'!G24+'14'!G24+'15'!G24+'16'!G27+'17'!G24+'18'!G24+'19'!G24+'20'!G24+'22'!G24+'23'!G24+'21'!G24+'24'!G24+'25'!G24+'26'!G24+'27'!G24+'28'!G24+'29'!G24+'30'!G24+'31'!G24+'32'!G23+'33'!G24+'34'!G24+'35'!G24+'36'!G24+'37'!G24+'7'!G24</f>
        <v>314750</v>
      </c>
      <c r="F29" s="117">
        <f>'1'!H23+'2'!H24+'3'!H29+'4'!H24+'5'!H24+'6'!H24+'8'!H24+'9'!H24+'10'!H24+'11'!H24+'12'!H24+'13'!H24+'14'!H24+'15'!H24+'16'!H27+'17'!H24+'18'!H24+'19'!H24+'20'!H24+'22'!H24+'23'!H24+'21'!H24+'24'!H24+'25'!H24+'26'!H24+'27'!H24+'28'!H24+'29'!H24+'30'!H24+'31'!H24+'32'!H23+'33'!H24+'34'!H24+'35'!H24+'36'!H24+'37'!H24+'7'!H24</f>
        <v>335600</v>
      </c>
      <c r="G29" s="173">
        <f t="shared" si="0"/>
        <v>106.6243050039714</v>
      </c>
    </row>
    <row r="30" spans="2:10" ht="14.1" customHeight="1">
      <c r="B30" s="14"/>
      <c r="C30" s="36">
        <v>613700</v>
      </c>
      <c r="D30" s="19" t="s">
        <v>90</v>
      </c>
      <c r="E30" s="117">
        <f>'18'!G25</f>
        <v>390000</v>
      </c>
      <c r="F30" s="117">
        <f>'18'!H25</f>
        <v>300000</v>
      </c>
      <c r="G30" s="173">
        <f t="shared" si="0"/>
        <v>76.923076923076934</v>
      </c>
    </row>
    <row r="31" spans="2:10" ht="14.1" customHeight="1">
      <c r="B31" s="14"/>
      <c r="C31" s="36">
        <v>613800</v>
      </c>
      <c r="D31" s="110" t="s">
        <v>170</v>
      </c>
      <c r="E31" s="117">
        <f>'1'!G24+'2'!G25+'3'!G30+'4'!G25+'5'!G25+'6'!G25+'8'!G25+'9'!G25+'10'!G25+'11'!G25+'12'!G25+'13'!G25+'14'!G25+'15'!G25+'16'!G28+'17'!G25+'18'!G26+'19'!G25+'20'!G25+'22'!G25+'23'!G25+'21'!G25+'24'!G25+'25'!G25+'26'!G25+'27'!G25+'28'!G25+'29'!G25+'30'!G25+'31'!G25+'32'!G24+'33'!G25+'34'!G25+'35'!G25+'36'!G25+'37'!G25+'7'!G25</f>
        <v>44140</v>
      </c>
      <c r="F31" s="117">
        <f>'1'!H24+'2'!H25+'3'!H30+'4'!H25+'5'!H25+'6'!H25+'8'!H25+'9'!H25+'10'!H25+'11'!H25+'12'!H25+'13'!H25+'14'!H25+'15'!H25+'16'!H28+'17'!H25+'18'!H26+'19'!H25+'20'!H25+'22'!H25+'23'!H25+'21'!H25+'24'!H25+'25'!H25+'26'!H25+'27'!H25+'28'!H25+'29'!H25+'30'!H25+'31'!H25+'32'!H24+'33'!H25+'34'!H25+'35'!H25+'36'!H25+'37'!H25+'7'!H25</f>
        <v>45840</v>
      </c>
      <c r="G31" s="173">
        <f t="shared" si="0"/>
        <v>103.85138196647033</v>
      </c>
    </row>
    <row r="32" spans="2:10" ht="14.1" customHeight="1">
      <c r="B32" s="14"/>
      <c r="C32" s="36">
        <v>613800</v>
      </c>
      <c r="D32" s="26" t="s">
        <v>190</v>
      </c>
      <c r="E32" s="44">
        <f>'20'!G26</f>
        <v>0</v>
      </c>
      <c r="F32" s="44">
        <f>'20'!H26</f>
        <v>0</v>
      </c>
      <c r="G32" s="173" t="str">
        <f t="shared" si="0"/>
        <v/>
      </c>
    </row>
    <row r="33" spans="2:9" ht="14.1" customHeight="1">
      <c r="B33" s="14"/>
      <c r="C33" s="120">
        <v>613900</v>
      </c>
      <c r="D33" s="110" t="s">
        <v>171</v>
      </c>
      <c r="E33" s="121">
        <f>'1'!G25+'2'!G26+'3'!G31+'4'!G26+'5'!G26+'6'!G26+'8'!G26+'9'!G26+'10'!G26+'11'!G26+'12'!G26+'13'!G26+'14'!G26+'15'!G26+'16'!G29+'17'!G26+'18'!G27+'19'!G26+'20'!G27+'22'!G26+'23'!G26+'21'!G26+'24'!G26+'25'!G26+'26'!G26+'27'!G26+'28'!G26+'29'!G26+'30'!G26+'31'!G26+'32'!G25+'33'!G26+'34'!G26+'35'!G26+'36'!G26+'37'!G26+'7'!G26</f>
        <v>1400670</v>
      </c>
      <c r="F33" s="121">
        <f>'1'!H25+'2'!H26+'3'!H31+'4'!H26+'5'!H26+'6'!H26+'8'!H26+'9'!H26+'10'!H26+'11'!H26+'12'!H26+'13'!H26+'14'!H26+'15'!H26+'16'!H29+'17'!H26+'18'!H27+'19'!H26+'20'!H27+'22'!H26+'23'!H26+'21'!H26+'24'!H26+'25'!H26+'26'!H26+'27'!H26+'28'!H26+'29'!H26+'30'!H26+'31'!H26+'32'!H25+'33'!H26+'34'!H26+'35'!H26+'36'!H26+'37'!H26+'7'!H26</f>
        <v>1371650</v>
      </c>
      <c r="G33" s="173">
        <f t="shared" si="0"/>
        <v>97.928134392826294</v>
      </c>
    </row>
    <row r="34" spans="2:9" ht="14.1" customHeight="1">
      <c r="B34" s="14"/>
      <c r="C34" s="36">
        <v>613900</v>
      </c>
      <c r="D34" s="26" t="s">
        <v>220</v>
      </c>
      <c r="E34" s="44">
        <f>'3'!G32</f>
        <v>36000</v>
      </c>
      <c r="F34" s="44">
        <f>'3'!H32</f>
        <v>36000</v>
      </c>
      <c r="G34" s="173">
        <f t="shared" si="0"/>
        <v>100</v>
      </c>
    </row>
    <row r="35" spans="2:9" ht="14.1" customHeight="1">
      <c r="B35" s="14"/>
      <c r="C35" s="36">
        <v>613900</v>
      </c>
      <c r="D35" s="26" t="s">
        <v>706</v>
      </c>
      <c r="E35" s="44">
        <f>'16'!G30</f>
        <v>73500</v>
      </c>
      <c r="F35" s="44">
        <f>'16'!H30</f>
        <v>73500</v>
      </c>
      <c r="G35" s="173">
        <f t="shared" si="0"/>
        <v>100</v>
      </c>
    </row>
    <row r="36" spans="2:9" ht="14.1" customHeight="1">
      <c r="B36" s="14"/>
      <c r="C36" s="36">
        <v>613900</v>
      </c>
      <c r="D36" s="26" t="s">
        <v>184</v>
      </c>
      <c r="E36" s="44">
        <f>'20'!G28</f>
        <v>57000</v>
      </c>
      <c r="F36" s="44">
        <f>'20'!H28</f>
        <v>55000</v>
      </c>
      <c r="G36" s="173">
        <f t="shared" si="0"/>
        <v>96.491228070175438</v>
      </c>
    </row>
    <row r="37" spans="2:9" ht="14.1" customHeight="1">
      <c r="B37" s="14"/>
      <c r="C37" s="36">
        <v>613900</v>
      </c>
      <c r="D37" s="363" t="s">
        <v>700</v>
      </c>
      <c r="E37" s="44">
        <f>'1'!G26+'2'!G27+'3'!G33+'4'!G27+'5'!G27+'6'!G27+'8'!G27+'9'!G27+'10'!G27+'11'!G27+'12'!G27+'13'!G27+'14'!G27+'15'!G27+'16'!G31+'17'!G27+'18'!G28+'19'!G27+'20'!G29+'22'!G27+'23'!G27+'21'!G27+'24'!G27+'25'!G27+'26'!G27+'27'!G27+'28'!G27+'29'!G27+'30'!G27+'31'!G27+'32'!G26+'33'!G27+'34'!G27+'35'!G27+'36'!G27+'37'!G27+'7'!G27</f>
        <v>372580</v>
      </c>
      <c r="F37" s="44">
        <f>'1'!H26+'2'!H27+'3'!H33+'4'!H27+'5'!H27+'6'!H27+'8'!H27+'9'!H27+'10'!H27+'11'!H27+'12'!H27+'13'!H27+'14'!H27+'15'!H27+'16'!H31+'17'!H27+'18'!H28+'19'!H27+'20'!H29+'22'!H27+'23'!H27+'21'!H27+'24'!H27+'25'!H27+'26'!H27+'27'!H27+'28'!H27+'29'!H27+'30'!H27+'31'!H27+'32'!H26+'33'!H27+'34'!H27+'35'!H27+'36'!H27+'37'!H27+'7'!H27</f>
        <v>190500</v>
      </c>
      <c r="G37" s="173">
        <f t="shared" si="0"/>
        <v>51.129958666595101</v>
      </c>
    </row>
    <row r="38" spans="2:9" ht="14.1" customHeight="1">
      <c r="B38" s="14"/>
      <c r="C38" s="36"/>
      <c r="D38" s="15"/>
      <c r="E38" s="82"/>
      <c r="F38" s="82"/>
      <c r="G38" s="173" t="str">
        <f t="shared" si="0"/>
        <v/>
      </c>
    </row>
    <row r="39" spans="2:9" ht="14.1" customHeight="1">
      <c r="B39" s="14"/>
      <c r="C39" s="8">
        <v>614000</v>
      </c>
      <c r="D39" s="12" t="s">
        <v>214</v>
      </c>
      <c r="E39" s="108">
        <f>SUM(E40:E71)</f>
        <v>8676000</v>
      </c>
      <c r="F39" s="108">
        <f>SUM(F40:F71)</f>
        <v>9220000</v>
      </c>
      <c r="G39" s="168">
        <f t="shared" si="0"/>
        <v>106.27017058552329</v>
      </c>
      <c r="I39" s="140"/>
    </row>
    <row r="40" spans="2:9" s="95" customFormat="1" ht="14.1" customHeight="1">
      <c r="B40" s="96"/>
      <c r="C40" s="65">
        <v>614100</v>
      </c>
      <c r="D40" s="18" t="s">
        <v>338</v>
      </c>
      <c r="E40" s="117">
        <f>'3'!G36</f>
        <v>290000</v>
      </c>
      <c r="F40" s="117">
        <f>'3'!H36</f>
        <v>200000</v>
      </c>
      <c r="G40" s="173">
        <f t="shared" si="0"/>
        <v>68.965517241379317</v>
      </c>
      <c r="I40" s="176"/>
    </row>
    <row r="41" spans="2:9" s="95" customFormat="1" ht="14.1" customHeight="1">
      <c r="B41" s="96"/>
      <c r="C41" s="65">
        <v>614100</v>
      </c>
      <c r="D41" s="116" t="s">
        <v>339</v>
      </c>
      <c r="E41" s="117">
        <f>'3'!G37</f>
        <v>200000</v>
      </c>
      <c r="F41" s="117">
        <f>'3'!H37</f>
        <v>200000</v>
      </c>
      <c r="G41" s="173">
        <f t="shared" si="0"/>
        <v>100</v>
      </c>
    </row>
    <row r="42" spans="2:9" s="1" customFormat="1" ht="14.1" customHeight="1">
      <c r="B42" s="17"/>
      <c r="C42" s="36">
        <v>614100</v>
      </c>
      <c r="D42" s="29" t="s">
        <v>341</v>
      </c>
      <c r="E42" s="44">
        <f>'16'!G34</f>
        <v>342000</v>
      </c>
      <c r="F42" s="44">
        <f>'16'!H34</f>
        <v>250000</v>
      </c>
      <c r="G42" s="173">
        <f t="shared" si="0"/>
        <v>73.099415204678365</v>
      </c>
    </row>
    <row r="43" spans="2:9" s="1" customFormat="1" ht="14.1" customHeight="1">
      <c r="B43" s="17"/>
      <c r="C43" s="32">
        <v>614100</v>
      </c>
      <c r="D43" s="26" t="s">
        <v>227</v>
      </c>
      <c r="E43" s="44">
        <f>'17'!G30</f>
        <v>490000</v>
      </c>
      <c r="F43" s="44">
        <f>'17'!H30</f>
        <v>300000</v>
      </c>
      <c r="G43" s="173">
        <f t="shared" si="0"/>
        <v>61.224489795918366</v>
      </c>
    </row>
    <row r="44" spans="2:9" s="1" customFormat="1" ht="14.1" customHeight="1">
      <c r="B44" s="17"/>
      <c r="C44" s="36">
        <v>614100</v>
      </c>
      <c r="D44" s="69" t="s">
        <v>180</v>
      </c>
      <c r="E44" s="44">
        <f>'18'!G31</f>
        <v>100000</v>
      </c>
      <c r="F44" s="44">
        <f>'18'!H31</f>
        <v>140000</v>
      </c>
      <c r="G44" s="173">
        <f t="shared" si="0"/>
        <v>140</v>
      </c>
    </row>
    <row r="45" spans="2:9" s="1" customFormat="1" ht="14.1" customHeight="1">
      <c r="B45" s="17"/>
      <c r="C45" s="36">
        <v>614100</v>
      </c>
      <c r="D45" s="69" t="s">
        <v>233</v>
      </c>
      <c r="E45" s="44">
        <f>'18'!G32</f>
        <v>0</v>
      </c>
      <c r="F45" s="117">
        <f>'18'!H32</f>
        <v>20000</v>
      </c>
      <c r="G45" s="173" t="str">
        <f t="shared" si="0"/>
        <v/>
      </c>
    </row>
    <row r="46" spans="2:9" s="1" customFormat="1" ht="14.1" customHeight="1">
      <c r="B46" s="17"/>
      <c r="C46" s="65">
        <v>614100</v>
      </c>
      <c r="D46" s="116" t="s">
        <v>165</v>
      </c>
      <c r="E46" s="44">
        <f>'19'!G30</f>
        <v>100000</v>
      </c>
      <c r="F46" s="44">
        <f>'19'!H30</f>
        <v>150000</v>
      </c>
      <c r="G46" s="173">
        <f t="shared" si="0"/>
        <v>150</v>
      </c>
    </row>
    <row r="47" spans="2:9" s="1" customFormat="1" ht="26.25" customHeight="1">
      <c r="B47" s="17"/>
      <c r="C47" s="32">
        <v>614100</v>
      </c>
      <c r="D47" s="114" t="s">
        <v>237</v>
      </c>
      <c r="E47" s="44">
        <f>'20'!G32</f>
        <v>158000</v>
      </c>
      <c r="F47" s="44">
        <f>'20'!H32</f>
        <v>160000</v>
      </c>
      <c r="G47" s="173">
        <f t="shared" si="0"/>
        <v>101.26582278481013</v>
      </c>
    </row>
    <row r="48" spans="2:9" s="1" customFormat="1" ht="14.1" customHeight="1">
      <c r="B48" s="17"/>
      <c r="C48" s="122" t="s">
        <v>110</v>
      </c>
      <c r="D48" s="115" t="s">
        <v>102</v>
      </c>
      <c r="E48" s="117">
        <f>'20'!G33</f>
        <v>300000</v>
      </c>
      <c r="F48" s="117">
        <f>'20'!H33</f>
        <v>300000</v>
      </c>
      <c r="G48" s="173">
        <f t="shared" si="0"/>
        <v>100</v>
      </c>
    </row>
    <row r="49" spans="2:7" s="1" customFormat="1" ht="14.1" customHeight="1">
      <c r="B49" s="17"/>
      <c r="C49" s="122" t="s">
        <v>110</v>
      </c>
      <c r="D49" s="115" t="s">
        <v>501</v>
      </c>
      <c r="E49" s="117">
        <f>'20'!G34</f>
        <v>291000</v>
      </c>
      <c r="F49" s="117">
        <f>'20'!H34</f>
        <v>295000</v>
      </c>
      <c r="G49" s="173">
        <f t="shared" si="0"/>
        <v>101.37457044673539</v>
      </c>
    </row>
    <row r="50" spans="2:7" s="1" customFormat="1" ht="12.75" customHeight="1">
      <c r="B50" s="17"/>
      <c r="C50" s="122" t="s">
        <v>108</v>
      </c>
      <c r="D50" s="175" t="s">
        <v>342</v>
      </c>
      <c r="E50" s="117">
        <f>'3'!G38</f>
        <v>100000</v>
      </c>
      <c r="F50" s="117">
        <f>'3'!H38</f>
        <v>100000</v>
      </c>
      <c r="G50" s="173">
        <f t="shared" si="0"/>
        <v>100</v>
      </c>
    </row>
    <row r="51" spans="2:7" s="1" customFormat="1" ht="14.1" customHeight="1">
      <c r="B51" s="17"/>
      <c r="C51" s="32">
        <v>614200</v>
      </c>
      <c r="D51" s="29" t="s">
        <v>101</v>
      </c>
      <c r="E51" s="43">
        <f>'4'!G30</f>
        <v>12000</v>
      </c>
      <c r="F51" s="43">
        <f>'4'!H30</f>
        <v>15000</v>
      </c>
      <c r="G51" s="173">
        <f t="shared" si="0"/>
        <v>125</v>
      </c>
    </row>
    <row r="52" spans="2:7" s="1" customFormat="1" ht="14.1" customHeight="1">
      <c r="B52" s="17"/>
      <c r="C52" s="32" t="s">
        <v>108</v>
      </c>
      <c r="D52" s="26" t="s">
        <v>107</v>
      </c>
      <c r="E52" s="44">
        <f>'17'!G31</f>
        <v>1872000</v>
      </c>
      <c r="F52" s="44">
        <f>'17'!H31</f>
        <v>2700000</v>
      </c>
      <c r="G52" s="173">
        <f t="shared" si="0"/>
        <v>144.23076923076923</v>
      </c>
    </row>
    <row r="53" spans="2:7" s="1" customFormat="1" ht="14.1" customHeight="1">
      <c r="B53" s="17"/>
      <c r="C53" s="32" t="s">
        <v>108</v>
      </c>
      <c r="D53" s="29" t="s">
        <v>114</v>
      </c>
      <c r="E53" s="43">
        <f>'20'!G35</f>
        <v>120000</v>
      </c>
      <c r="F53" s="43">
        <f>'20'!H35</f>
        <v>120000</v>
      </c>
      <c r="G53" s="173">
        <f t="shared" si="0"/>
        <v>100</v>
      </c>
    </row>
    <row r="54" spans="2:7" s="1" customFormat="1" ht="26.25" customHeight="1">
      <c r="B54" s="17"/>
      <c r="C54" s="32" t="s">
        <v>108</v>
      </c>
      <c r="D54" s="71" t="s">
        <v>334</v>
      </c>
      <c r="E54" s="43">
        <f>'20'!G36</f>
        <v>15000</v>
      </c>
      <c r="F54" s="43">
        <f>'20'!H36</f>
        <v>15000</v>
      </c>
      <c r="G54" s="173">
        <f t="shared" si="0"/>
        <v>100</v>
      </c>
    </row>
    <row r="55" spans="2:7" s="1" customFormat="1" ht="14.1" customHeight="1">
      <c r="B55" s="17"/>
      <c r="C55" s="32">
        <v>614200</v>
      </c>
      <c r="D55" s="29" t="s">
        <v>117</v>
      </c>
      <c r="E55" s="43">
        <f>'31'!G30</f>
        <v>900000</v>
      </c>
      <c r="F55" s="43">
        <f>'31'!H30</f>
        <v>1000000</v>
      </c>
      <c r="G55" s="173">
        <f t="shared" si="0"/>
        <v>111.11111111111111</v>
      </c>
    </row>
    <row r="56" spans="2:7" s="1" customFormat="1" ht="14.1" customHeight="1">
      <c r="B56" s="17"/>
      <c r="C56" s="32" t="s">
        <v>108</v>
      </c>
      <c r="D56" s="26" t="s">
        <v>118</v>
      </c>
      <c r="E56" s="43">
        <f>'33'!G30</f>
        <v>40000</v>
      </c>
      <c r="F56" s="43">
        <f>'33'!H30</f>
        <v>30000</v>
      </c>
      <c r="G56" s="173">
        <f t="shared" si="0"/>
        <v>75</v>
      </c>
    </row>
    <row r="57" spans="2:7" s="1" customFormat="1" ht="14.1" customHeight="1">
      <c r="B57" s="17"/>
      <c r="C57" s="32" t="s">
        <v>109</v>
      </c>
      <c r="D57" s="29" t="s">
        <v>98</v>
      </c>
      <c r="E57" s="44">
        <f>'3'!G45</f>
        <v>160000</v>
      </c>
      <c r="F57" s="44">
        <f>'3'!H45</f>
        <v>160000</v>
      </c>
      <c r="G57" s="173">
        <f t="shared" si="0"/>
        <v>100</v>
      </c>
    </row>
    <row r="58" spans="2:7" s="1" customFormat="1" ht="14.1" customHeight="1">
      <c r="B58" s="17"/>
      <c r="C58" s="32" t="s">
        <v>109</v>
      </c>
      <c r="D58" s="110" t="s">
        <v>707</v>
      </c>
      <c r="E58" s="43">
        <f>'3'!G39</f>
        <v>105000</v>
      </c>
      <c r="F58" s="43">
        <f>'3'!H39</f>
        <v>70000</v>
      </c>
      <c r="G58" s="173">
        <f t="shared" si="0"/>
        <v>66.666666666666657</v>
      </c>
    </row>
    <row r="59" spans="2:7" ht="12" customHeight="1">
      <c r="B59" s="14"/>
      <c r="C59" s="32" t="s">
        <v>109</v>
      </c>
      <c r="D59" s="110" t="s">
        <v>238</v>
      </c>
      <c r="E59" s="82">
        <f>'3'!G40</f>
        <v>30000</v>
      </c>
      <c r="F59" s="82">
        <f>'3'!H40</f>
        <v>30000</v>
      </c>
      <c r="G59" s="173">
        <f t="shared" si="0"/>
        <v>100</v>
      </c>
    </row>
    <row r="60" spans="2:7" s="1" customFormat="1" ht="12" customHeight="1">
      <c r="B60" s="17"/>
      <c r="C60" s="122" t="s">
        <v>109</v>
      </c>
      <c r="D60" s="110" t="s">
        <v>325</v>
      </c>
      <c r="E60" s="82">
        <f>'3'!G41</f>
        <v>15000</v>
      </c>
      <c r="F60" s="82">
        <f>'3'!H41</f>
        <v>25000</v>
      </c>
      <c r="G60" s="173">
        <f t="shared" si="0"/>
        <v>166.66666666666669</v>
      </c>
    </row>
    <row r="61" spans="2:7" s="1" customFormat="1" ht="12" customHeight="1">
      <c r="B61" s="28"/>
      <c r="C61" s="122" t="s">
        <v>109</v>
      </c>
      <c r="D61" s="110" t="s">
        <v>335</v>
      </c>
      <c r="E61" s="82">
        <f>'3'!G42</f>
        <v>15000</v>
      </c>
      <c r="F61" s="82">
        <f>'3'!H42</f>
        <v>25000</v>
      </c>
      <c r="G61" s="173">
        <f t="shared" si="0"/>
        <v>166.66666666666669</v>
      </c>
    </row>
    <row r="62" spans="2:7" s="1" customFormat="1" ht="12" customHeight="1">
      <c r="B62" s="28"/>
      <c r="C62" s="122" t="s">
        <v>109</v>
      </c>
      <c r="D62" s="110" t="s">
        <v>641</v>
      </c>
      <c r="E62" s="82">
        <f>'3'!G43</f>
        <v>5000</v>
      </c>
      <c r="F62" s="82">
        <f>'3'!H43</f>
        <v>10000</v>
      </c>
      <c r="G62" s="173">
        <f t="shared" si="0"/>
        <v>200</v>
      </c>
    </row>
    <row r="63" spans="2:7" s="1" customFormat="1" ht="12" customHeight="1">
      <c r="B63" s="28"/>
      <c r="C63" s="122" t="s">
        <v>109</v>
      </c>
      <c r="D63" s="110" t="s">
        <v>240</v>
      </c>
      <c r="E63" s="82">
        <f>'3'!G44</f>
        <v>30000</v>
      </c>
      <c r="F63" s="82">
        <f>'3'!H44</f>
        <v>30000</v>
      </c>
      <c r="G63" s="173">
        <f t="shared" si="0"/>
        <v>100</v>
      </c>
    </row>
    <row r="64" spans="2:7" ht="12" customHeight="1" thickBot="1">
      <c r="B64" s="21"/>
      <c r="C64" s="122" t="s">
        <v>109</v>
      </c>
      <c r="D64" s="115" t="s">
        <v>103</v>
      </c>
      <c r="E64" s="82">
        <f>'20'!G37</f>
        <v>30000</v>
      </c>
      <c r="F64" s="82">
        <f>'20'!H37</f>
        <v>30000</v>
      </c>
      <c r="G64" s="173">
        <f t="shared" si="0"/>
        <v>100</v>
      </c>
    </row>
    <row r="65" spans="3:7" ht="12" customHeight="1">
      <c r="C65" s="122" t="s">
        <v>109</v>
      </c>
      <c r="D65" s="115" t="s">
        <v>104</v>
      </c>
      <c r="E65" s="82">
        <f>'20'!G38</f>
        <v>150000</v>
      </c>
      <c r="F65" s="82">
        <f>'20'!H38</f>
        <v>150000</v>
      </c>
      <c r="G65" s="173">
        <f t="shared" si="0"/>
        <v>100</v>
      </c>
    </row>
    <row r="66" spans="3:7" ht="12" customHeight="1">
      <c r="C66" s="122" t="s">
        <v>218</v>
      </c>
      <c r="D66" s="115" t="s">
        <v>116</v>
      </c>
      <c r="E66" s="82">
        <f>'15'!G30</f>
        <v>700000</v>
      </c>
      <c r="F66" s="82">
        <f>'15'!H30</f>
        <v>900000</v>
      </c>
      <c r="G66" s="173">
        <f t="shared" si="0"/>
        <v>128.57142857142858</v>
      </c>
    </row>
    <row r="67" spans="3:7" ht="12" customHeight="1">
      <c r="C67" s="32" t="s">
        <v>218</v>
      </c>
      <c r="D67" s="29" t="s">
        <v>498</v>
      </c>
      <c r="E67" s="43">
        <f>'19'!G31</f>
        <v>800000</v>
      </c>
      <c r="F67" s="43">
        <f>'19'!H31</f>
        <v>900000</v>
      </c>
      <c r="G67" s="173">
        <f t="shared" si="0"/>
        <v>112.5</v>
      </c>
    </row>
    <row r="68" spans="3:7" ht="12" customHeight="1">
      <c r="C68" s="32" t="s">
        <v>218</v>
      </c>
      <c r="D68" s="29" t="s">
        <v>499</v>
      </c>
      <c r="E68" s="43">
        <f>'19'!G32</f>
        <v>400000</v>
      </c>
      <c r="F68" s="43">
        <f>'19'!H32</f>
        <v>400000</v>
      </c>
      <c r="G68" s="173">
        <f t="shared" si="0"/>
        <v>100</v>
      </c>
    </row>
    <row r="69" spans="3:7" ht="12" customHeight="1">
      <c r="C69" s="32" t="s">
        <v>218</v>
      </c>
      <c r="D69" s="29" t="s">
        <v>500</v>
      </c>
      <c r="E69" s="43">
        <f>'19'!G33</f>
        <v>800000</v>
      </c>
      <c r="F69" s="43">
        <f>'19'!H33</f>
        <v>415000</v>
      </c>
      <c r="G69" s="173">
        <f t="shared" si="0"/>
        <v>51.875000000000007</v>
      </c>
    </row>
    <row r="70" spans="3:7" ht="12" customHeight="1">
      <c r="C70" s="32">
        <v>614800</v>
      </c>
      <c r="D70" s="29" t="s">
        <v>113</v>
      </c>
      <c r="E70" s="43">
        <f>'16'!G35</f>
        <v>50000</v>
      </c>
      <c r="F70" s="43">
        <f>'16'!H35</f>
        <v>50000</v>
      </c>
      <c r="G70" s="173">
        <f t="shared" si="0"/>
        <v>100</v>
      </c>
    </row>
    <row r="71" spans="3:7" ht="12" customHeight="1">
      <c r="C71" s="32">
        <v>614800</v>
      </c>
      <c r="D71" s="29" t="s">
        <v>640</v>
      </c>
      <c r="E71" s="43">
        <f>'16'!G36</f>
        <v>56000</v>
      </c>
      <c r="F71" s="43">
        <f>'16'!H36</f>
        <v>30000</v>
      </c>
      <c r="G71" s="173">
        <f t="shared" si="0"/>
        <v>53.571428571428569</v>
      </c>
    </row>
    <row r="72" spans="3:7" ht="12" customHeight="1">
      <c r="C72" s="17"/>
      <c r="D72" s="12"/>
      <c r="E72" s="20"/>
      <c r="F72" s="20"/>
      <c r="G72" s="173" t="str">
        <f t="shared" si="0"/>
        <v/>
      </c>
    </row>
    <row r="73" spans="3:7" ht="12" customHeight="1">
      <c r="C73" s="14"/>
      <c r="D73" s="15"/>
      <c r="E73" s="43"/>
      <c r="F73" s="43"/>
      <c r="G73" s="173" t="str">
        <f t="shared" ref="G73:G98" si="1">IF(E73=0,"",F73/E73*100)</f>
        <v/>
      </c>
    </row>
    <row r="74" spans="3:7" ht="12" customHeight="1">
      <c r="C74" s="39">
        <v>615000</v>
      </c>
      <c r="D74" s="33" t="s">
        <v>91</v>
      </c>
      <c r="E74" s="20">
        <f>SUM(E75:E76)</f>
        <v>500000</v>
      </c>
      <c r="F74" s="20">
        <f>SUM(F75:F76)</f>
        <v>400000</v>
      </c>
      <c r="G74" s="168">
        <f t="shared" si="1"/>
        <v>80</v>
      </c>
    </row>
    <row r="75" spans="3:7" ht="12" customHeight="1">
      <c r="C75" s="80" t="s">
        <v>221</v>
      </c>
      <c r="D75" s="66" t="s">
        <v>91</v>
      </c>
      <c r="E75" s="44">
        <f>'3'!G48+'20'!G41</f>
        <v>500000</v>
      </c>
      <c r="F75" s="44">
        <f>'3'!H48+'20'!H41</f>
        <v>400000</v>
      </c>
      <c r="G75" s="173">
        <f t="shared" si="1"/>
        <v>80</v>
      </c>
    </row>
    <row r="76" spans="3:7" ht="12" customHeight="1">
      <c r="C76" s="38"/>
      <c r="D76" s="29"/>
      <c r="E76" s="44"/>
      <c r="F76" s="44"/>
      <c r="G76" s="173" t="str">
        <f t="shared" si="1"/>
        <v/>
      </c>
    </row>
    <row r="77" spans="3:7" ht="12" customHeight="1">
      <c r="C77" s="37"/>
      <c r="D77" s="29"/>
      <c r="E77" s="44"/>
      <c r="F77" s="44"/>
      <c r="G77" s="173" t="str">
        <f t="shared" si="1"/>
        <v/>
      </c>
    </row>
    <row r="78" spans="3:7" ht="12" customHeight="1">
      <c r="C78" s="10" t="s">
        <v>105</v>
      </c>
      <c r="D78" s="33" t="s">
        <v>215</v>
      </c>
      <c r="E78" s="20">
        <f>SUM(E79:E82)</f>
        <v>93870</v>
      </c>
      <c r="F78" s="20">
        <f>SUM(F79:F82)</f>
        <v>89800</v>
      </c>
      <c r="G78" s="168">
        <f t="shared" si="1"/>
        <v>95.664216469585597</v>
      </c>
    </row>
    <row r="79" spans="3:7" ht="12" customHeight="1">
      <c r="C79" s="36">
        <v>616300</v>
      </c>
      <c r="D79" s="66" t="s">
        <v>198</v>
      </c>
      <c r="E79" s="44">
        <f>'20'!G44</f>
        <v>12560</v>
      </c>
      <c r="F79" s="44">
        <f>'20'!H44</f>
        <v>9300</v>
      </c>
      <c r="G79" s="173">
        <f t="shared" si="1"/>
        <v>74.044585987261144</v>
      </c>
    </row>
    <row r="80" spans="3:7" ht="12" customHeight="1">
      <c r="C80" s="36">
        <v>616300</v>
      </c>
      <c r="D80" s="66" t="s">
        <v>337</v>
      </c>
      <c r="E80" s="44">
        <f>'16'!G39</f>
        <v>14020</v>
      </c>
      <c r="F80" s="44">
        <f>'16'!H39</f>
        <v>11000</v>
      </c>
      <c r="G80" s="173">
        <f t="shared" si="1"/>
        <v>78.459343794579169</v>
      </c>
    </row>
    <row r="81" spans="3:7" ht="12" customHeight="1">
      <c r="C81" s="36">
        <v>616300</v>
      </c>
      <c r="D81" s="66" t="s">
        <v>224</v>
      </c>
      <c r="E81" s="44">
        <f>'16'!G40</f>
        <v>23440</v>
      </c>
      <c r="F81" s="44">
        <f>'16'!H40</f>
        <v>25000</v>
      </c>
      <c r="G81" s="173">
        <f t="shared" si="1"/>
        <v>106.65529010238907</v>
      </c>
    </row>
    <row r="82" spans="3:7" ht="12" customHeight="1">
      <c r="C82" s="36">
        <v>616300</v>
      </c>
      <c r="D82" s="66" t="s">
        <v>229</v>
      </c>
      <c r="E82" s="44">
        <f>'16'!G41</f>
        <v>43850</v>
      </c>
      <c r="F82" s="44">
        <f>'16'!H41</f>
        <v>44500</v>
      </c>
      <c r="G82" s="173">
        <f t="shared" si="1"/>
        <v>101.4823261117446</v>
      </c>
    </row>
    <row r="83" spans="3:7" ht="12" customHeight="1">
      <c r="C83" s="36"/>
      <c r="D83" s="66"/>
      <c r="E83" s="44"/>
      <c r="F83" s="44"/>
      <c r="G83" s="173" t="str">
        <f t="shared" si="1"/>
        <v/>
      </c>
    </row>
    <row r="84" spans="3:7" ht="12" customHeight="1">
      <c r="C84" s="36"/>
      <c r="D84" s="15"/>
      <c r="E84" s="43"/>
      <c r="F84" s="43"/>
      <c r="G84" s="173" t="str">
        <f t="shared" si="1"/>
        <v/>
      </c>
    </row>
    <row r="85" spans="3:7" ht="12" customHeight="1">
      <c r="C85" s="8">
        <v>821000</v>
      </c>
      <c r="D85" s="12" t="s">
        <v>92</v>
      </c>
      <c r="E85" s="20">
        <f>SUM(E86:E89)</f>
        <v>2079690</v>
      </c>
      <c r="F85" s="20">
        <f>SUM(F86:F89)</f>
        <v>1167100</v>
      </c>
      <c r="G85" s="168">
        <f t="shared" si="1"/>
        <v>56.118940803677475</v>
      </c>
    </row>
    <row r="86" spans="3:7" ht="12" customHeight="1">
      <c r="C86" s="120">
        <v>821200</v>
      </c>
      <c r="D86" s="19" t="s">
        <v>93</v>
      </c>
      <c r="E86" s="117">
        <f>'1'!G37+'2'!G37+'3'!G51+'4'!G38+'5'!G37+'6'!G37+'7'!G37+'8'!G37+'9'!G37+'10'!G37+'11'!G37+'12'!G37+'13'!G37+'14'!G37+'15'!G33+'16'!G44+'17'!G35+'18'!G38+'19'!G36+'20'!G47+'21'!G37+'22'!G37+'23'!G37+'24'!G37+'25'!G37+'26'!G37+'27'!G37+'28'!G37+'29'!G37+'30'!G37+'31'!G34+'32'!G36+'33'!G35+'34'!G37+'35'!G37+'36'!G37+'37'!G37</f>
        <v>183080</v>
      </c>
      <c r="F86" s="117">
        <f>'1'!H37+'2'!H37+'3'!H51+'4'!H38+'5'!H37+'6'!H37+'7'!H37+'8'!H37+'9'!H37+'10'!H37+'11'!H37+'12'!H37+'13'!H37+'14'!H37+'15'!H33+'16'!H44+'17'!H35+'18'!H38+'19'!H36+'20'!H47+'21'!H37+'22'!H37+'23'!H37+'24'!H37+'25'!H37+'26'!H37+'27'!H37+'28'!H37+'29'!H37+'30'!H37+'31'!H34+'32'!H36+'33'!H35+'34'!H37+'35'!H37+'36'!H37+'37'!H37</f>
        <v>158000</v>
      </c>
      <c r="G86" s="173">
        <f t="shared" si="1"/>
        <v>86.301070570242516</v>
      </c>
    </row>
    <row r="87" spans="3:7" ht="12" customHeight="1">
      <c r="C87" s="120">
        <v>821300</v>
      </c>
      <c r="D87" s="19" t="s">
        <v>94</v>
      </c>
      <c r="E87" s="117">
        <f>'1'!G38+'2'!G38+'3'!G52+'4'!G39+'5'!G38+'6'!G38+'7'!G38+'8'!G38+'9'!G38+'10'!G38+'11'!G38+'12'!G38+'13'!G38+'14'!G38+'15'!G34+'16'!G45+'17'!G36+'18'!G39+'19'!G37+'20'!G48+'21'!G38+'22'!G38+'23'!G38+'24'!G38+'25'!G38+'26'!G38+'27'!G38+'28'!G38+'29'!G38+'30'!G38+'31'!G35+'32'!G37+'33'!G36+'34'!G38+'35'!G38+'36'!G38+'37'!G38</f>
        <v>529780</v>
      </c>
      <c r="F87" s="117">
        <f>'1'!H38+'2'!H38+'3'!H52+'4'!H39+'5'!H38+'6'!H38+'7'!H38+'8'!H38+'9'!H38+'10'!H38+'11'!H38+'12'!H38+'13'!H38+'14'!H38+'15'!H34+'16'!H45+'17'!H36+'18'!H39+'19'!H37+'20'!H48+'21'!H38+'22'!H38+'23'!H38+'24'!H38+'25'!H38+'26'!H38+'27'!H38+'28'!H38+'29'!H38+'30'!H38+'31'!H35+'32'!H37+'33'!H36+'34'!H38+'35'!H38+'36'!H38+'37'!H38</f>
        <v>359100</v>
      </c>
      <c r="G87" s="173">
        <f t="shared" si="1"/>
        <v>67.782853259843705</v>
      </c>
    </row>
    <row r="88" spans="3:7" ht="12" customHeight="1">
      <c r="C88" s="120">
        <v>821500</v>
      </c>
      <c r="D88" s="317" t="s">
        <v>642</v>
      </c>
      <c r="E88" s="117">
        <f>'3'!G53</f>
        <v>286830</v>
      </c>
      <c r="F88" s="117">
        <f>'3'!H53</f>
        <v>50000</v>
      </c>
      <c r="G88" s="173">
        <f t="shared" si="1"/>
        <v>17.431928319910746</v>
      </c>
    </row>
    <row r="89" spans="3:7" ht="12" customHeight="1">
      <c r="C89" s="120">
        <v>821600</v>
      </c>
      <c r="D89" s="110" t="s">
        <v>106</v>
      </c>
      <c r="E89" s="117">
        <f>'18'!G40</f>
        <v>1080000</v>
      </c>
      <c r="F89" s="117">
        <f>'18'!H40</f>
        <v>600000</v>
      </c>
      <c r="G89" s="173">
        <f t="shared" si="1"/>
        <v>55.555555555555557</v>
      </c>
    </row>
    <row r="90" spans="3:7" ht="12" customHeight="1">
      <c r="C90" s="36"/>
      <c r="D90" s="15"/>
      <c r="E90" s="43"/>
      <c r="F90" s="43"/>
      <c r="G90" s="173" t="str">
        <f t="shared" si="1"/>
        <v/>
      </c>
    </row>
    <row r="91" spans="3:7" ht="12" customHeight="1">
      <c r="C91" s="36"/>
      <c r="D91" s="26"/>
      <c r="E91" s="44"/>
      <c r="F91" s="44"/>
      <c r="G91" s="173" t="str">
        <f t="shared" si="1"/>
        <v/>
      </c>
    </row>
    <row r="92" spans="3:7" ht="12" customHeight="1">
      <c r="C92" s="8">
        <v>823000</v>
      </c>
      <c r="D92" s="12" t="s">
        <v>216</v>
      </c>
      <c r="E92" s="20">
        <f>SUM(E93:E94)</f>
        <v>1458750</v>
      </c>
      <c r="F92" s="20">
        <f>SUM(F93:F94)</f>
        <v>1459620</v>
      </c>
      <c r="G92" s="168">
        <f t="shared" si="1"/>
        <v>100.05964010282777</v>
      </c>
    </row>
    <row r="93" spans="3:7" ht="12" customHeight="1">
      <c r="C93" s="36">
        <v>823300</v>
      </c>
      <c r="D93" s="26" t="s">
        <v>228</v>
      </c>
      <c r="E93" s="43">
        <f>'20'!G51</f>
        <v>74130</v>
      </c>
      <c r="F93" s="43">
        <f>'20'!H51</f>
        <v>75000</v>
      </c>
      <c r="G93" s="173">
        <f t="shared" si="1"/>
        <v>101.17361392148926</v>
      </c>
    </row>
    <row r="94" spans="3:7" ht="12" customHeight="1">
      <c r="C94" s="36">
        <v>823300</v>
      </c>
      <c r="D94" s="26" t="s">
        <v>336</v>
      </c>
      <c r="E94" s="44">
        <f>'16'!G48</f>
        <v>1384620</v>
      </c>
      <c r="F94" s="44">
        <f>'16'!H48</f>
        <v>1384620</v>
      </c>
      <c r="G94" s="173">
        <f t="shared" si="1"/>
        <v>100</v>
      </c>
    </row>
    <row r="95" spans="3:7" ht="12" customHeight="1">
      <c r="C95" s="36"/>
      <c r="D95" s="15"/>
      <c r="E95" s="43"/>
      <c r="F95" s="43"/>
      <c r="G95" s="154" t="str">
        <f t="shared" si="1"/>
        <v/>
      </c>
    </row>
    <row r="96" spans="3:7" ht="12" customHeight="1">
      <c r="C96" s="36"/>
      <c r="D96" s="15"/>
      <c r="E96" s="43"/>
      <c r="F96" s="43"/>
      <c r="G96" s="154" t="str">
        <f t="shared" si="1"/>
        <v/>
      </c>
    </row>
    <row r="97" spans="3:7" ht="12" customHeight="1">
      <c r="C97" s="8"/>
      <c r="D97" s="12" t="s">
        <v>95</v>
      </c>
      <c r="E97" s="395" t="s">
        <v>729</v>
      </c>
      <c r="F97" s="134" t="s">
        <v>722</v>
      </c>
      <c r="G97" s="170"/>
    </row>
    <row r="98" spans="3:7" ht="12" customHeight="1">
      <c r="C98" s="8"/>
      <c r="D98" s="12" t="s">
        <v>115</v>
      </c>
      <c r="E98" s="20">
        <f>'1'!G42+'2'!G42+'3'!G56+'4'!G43+'5'!G42+'6'!G42+'7'!G42+'8'!G42+'9'!G42+'10'!G42+'11'!G42+'12'!G42+'13'!G42+'14'!G42+'15'!G38+'16'!G51+'17'!G40+'18'!G43+'19'!G41+'20'!G55+'21'!G42+'22'!G42+'23'!G42+'24'!G42+'25'!G42+'26'!G42+'27'!G42+'28'!G42+'29'!G42+'30'!G42+'31'!G39+'32'!G41+'33'!G40+'34'!G42+'35'!G42+'36'!G42+'37'!G42</f>
        <v>39753660</v>
      </c>
      <c r="F98" s="20">
        <f>'1'!H42+'2'!H42+'3'!H56+'4'!H43+'5'!H42+'6'!H42+'7'!H42+'8'!H42+'9'!H42+'10'!H42+'11'!H42+'12'!H42+'13'!H42+'14'!H42+'15'!H38+'16'!H51+'17'!H40+'18'!H43+'19'!H41+'20'!H55+'21'!H42+'22'!H42+'23'!H42+'24'!H42+'25'!H42+'26'!H42+'27'!H42+'28'!H42+'29'!H42+'30'!H42+'31'!H39+'32'!H41+'33'!H40+'34'!H42+'35'!H42+'36'!H42+'37'!H42</f>
        <v>39940550</v>
      </c>
      <c r="G98" s="155">
        <f t="shared" si="1"/>
        <v>100.47012023547015</v>
      </c>
    </row>
    <row r="99" spans="3:7" ht="12" customHeight="1" thickBot="1">
      <c r="C99" s="40"/>
      <c r="D99" s="22"/>
      <c r="E99" s="35"/>
      <c r="F99" s="22"/>
      <c r="G99" s="156"/>
    </row>
    <row r="100" spans="3:7" ht="12" customHeight="1" thickBot="1">
      <c r="C100" s="77"/>
      <c r="D100" s="78"/>
      <c r="E100" s="78"/>
      <c r="F100" s="78"/>
      <c r="G100" s="144"/>
    </row>
    <row r="102" spans="3:7" ht="12" customHeight="1">
      <c r="C102" s="104"/>
      <c r="E102" s="90"/>
      <c r="F102" s="90"/>
    </row>
    <row r="103" spans="3:7" ht="12" customHeight="1">
      <c r="C103" s="46"/>
    </row>
    <row r="104" spans="3:7" ht="12" customHeight="1">
      <c r="C104" s="105" t="s">
        <v>231</v>
      </c>
    </row>
    <row r="105" spans="3:7" ht="12" customHeight="1">
      <c r="C105" s="106"/>
    </row>
    <row r="106" spans="3:7" ht="12" customHeight="1">
      <c r="C106" s="446"/>
      <c r="D106" s="446"/>
      <c r="E106" s="446"/>
      <c r="F106" s="446"/>
      <c r="G106" s="446"/>
    </row>
    <row r="107" spans="3:7" ht="12" customHeight="1">
      <c r="C107" s="446" t="s">
        <v>232</v>
      </c>
      <c r="D107" s="446"/>
      <c r="E107" s="47"/>
      <c r="F107" s="47"/>
      <c r="G107" s="145"/>
    </row>
    <row r="108" spans="3:7" ht="12" customHeight="1">
      <c r="C108" s="106"/>
    </row>
    <row r="109" spans="3:7" ht="27" customHeight="1">
      <c r="C109" s="447" t="str">
        <f>CONCATENATE("     Rashodi i izdaci u Proračunu u iznosu od ",TEXT(F98,"#.##0")," KM raspoređuju se po korisnicima proračuna u Posebnom dijelu Proračuna kako slijedi:")</f>
        <v xml:space="preserve">     Rashodi i izdaci u Proračunu u iznosu od 39.940.550 KM raspoređuju se po korisnicima proračuna u Posebnom dijelu Proračuna kako slijedi:</v>
      </c>
      <c r="D109" s="447"/>
      <c r="E109" s="447"/>
      <c r="F109" s="447"/>
      <c r="G109" s="447"/>
    </row>
  </sheetData>
  <mergeCells count="5">
    <mergeCell ref="F3:G3"/>
    <mergeCell ref="C3:D3"/>
    <mergeCell ref="C106:G106"/>
    <mergeCell ref="C107:D107"/>
    <mergeCell ref="C109:G109"/>
  </mergeCells>
  <phoneticPr fontId="2" type="noConversion"/>
  <pageMargins left="0.6692913385826772" right="0.15748031496062992" top="0.55118110236220474" bottom="0.78740157480314965" header="0.51181102362204722" footer="0.39370078740157483"/>
  <pageSetup paperSize="9" scale="88" firstPageNumber="6" orientation="portrait" useFirstPageNumber="1" r:id="rId1"/>
  <headerFooter alignWithMargins="0">
    <oddFooter>&amp;R&amp;P</oddFooter>
  </headerFooter>
  <rowBreaks count="1" manualBreakCount="1">
    <brk id="57" min="2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B2:L47"/>
  <sheetViews>
    <sheetView topLeftCell="B4" workbookViewId="0">
      <selection activeCell="M28" sqref="M28"/>
    </sheetView>
  </sheetViews>
  <sheetFormatPr defaultRowHeight="12.75"/>
  <cols>
    <col min="1" max="1" width="1.5703125" style="13" customWidth="1"/>
    <col min="2" max="4" width="5.7109375" style="13" bestFit="1" customWidth="1"/>
    <col min="5" max="5" width="11.28515625" style="24" customWidth="1"/>
    <col min="6" max="6" width="43.7109375" style="13" customWidth="1"/>
    <col min="7" max="8" width="15.7109375" style="13" customWidth="1"/>
    <col min="9" max="9" width="8.7109375" style="140" customWidth="1"/>
    <col min="10" max="10" width="9.140625" style="13"/>
    <col min="11" max="11" width="9.5703125" style="13" bestFit="1" customWidth="1"/>
    <col min="12" max="16384" width="9.140625" style="13"/>
  </cols>
  <sheetData>
    <row r="2" spans="2:11" ht="15" customHeight="1">
      <c r="B2" s="448" t="s">
        <v>119</v>
      </c>
      <c r="C2" s="448"/>
      <c r="D2" s="448"/>
      <c r="E2" s="448"/>
      <c r="F2" s="448"/>
      <c r="G2" s="448"/>
      <c r="H2" s="448"/>
      <c r="I2" s="448"/>
    </row>
    <row r="3" spans="2:11" s="1" customFormat="1" ht="16.5" thickBot="1">
      <c r="E3" s="2"/>
      <c r="F3" s="449"/>
      <c r="G3" s="449"/>
      <c r="H3" s="181"/>
      <c r="I3" s="182"/>
    </row>
    <row r="4" spans="2:11" s="1" customFormat="1" ht="76.5" customHeight="1">
      <c r="B4" s="3" t="s">
        <v>79</v>
      </c>
      <c r="C4" s="4" t="s">
        <v>80</v>
      </c>
      <c r="D4" s="5" t="s">
        <v>112</v>
      </c>
      <c r="E4" s="6" t="s">
        <v>81</v>
      </c>
      <c r="F4" s="7" t="s">
        <v>82</v>
      </c>
      <c r="G4" s="67" t="s">
        <v>557</v>
      </c>
      <c r="H4" s="67" t="s">
        <v>683</v>
      </c>
      <c r="I4" s="149" t="s">
        <v>497</v>
      </c>
    </row>
    <row r="5" spans="2:11" s="2" customFormat="1" ht="12.7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34">
        <v>6</v>
      </c>
      <c r="H5" s="9">
        <v>7</v>
      </c>
      <c r="I5" s="150">
        <v>8</v>
      </c>
    </row>
    <row r="6" spans="2:11" s="2" customFormat="1" ht="12.95" customHeight="1">
      <c r="B6" s="10">
        <v>10</v>
      </c>
      <c r="C6" s="11" t="s">
        <v>83</v>
      </c>
      <c r="D6" s="11" t="s">
        <v>84</v>
      </c>
      <c r="E6" s="9"/>
      <c r="F6" s="9"/>
      <c r="G6" s="34"/>
      <c r="H6" s="9"/>
      <c r="I6" s="151"/>
    </row>
    <row r="7" spans="2:11" s="1" customFormat="1" ht="12.95" customHeight="1">
      <c r="B7" s="17"/>
      <c r="C7" s="12"/>
      <c r="D7" s="12"/>
      <c r="E7" s="9">
        <v>611000</v>
      </c>
      <c r="F7" s="12" t="s">
        <v>167</v>
      </c>
      <c r="G7" s="20">
        <f>SUM(G8:G10)</f>
        <v>415800</v>
      </c>
      <c r="H7" s="392">
        <f>SUM(H8:H10)</f>
        <v>403370</v>
      </c>
      <c r="I7" s="152">
        <f>IF(G7=0,"",H7/G7*100)</f>
        <v>97.010582010582013</v>
      </c>
      <c r="K7" s="89"/>
    </row>
    <row r="8" spans="2:11" ht="12.95" customHeight="1">
      <c r="B8" s="14"/>
      <c r="C8" s="15"/>
      <c r="D8" s="15"/>
      <c r="E8" s="16">
        <v>611100</v>
      </c>
      <c r="F8" s="26" t="s">
        <v>210</v>
      </c>
      <c r="G8" s="82">
        <f>314000+4500</f>
        <v>318500</v>
      </c>
      <c r="H8" s="391">
        <f>318200+15770</f>
        <v>333970</v>
      </c>
      <c r="I8" s="153">
        <f t="shared" ref="I8:I42" si="0">IF(G8=0,"",H8/G8*100)</f>
        <v>104.85714285714285</v>
      </c>
      <c r="J8" s="81"/>
      <c r="K8" s="89"/>
    </row>
    <row r="9" spans="2:11" ht="12.95" customHeight="1">
      <c r="B9" s="14"/>
      <c r="C9" s="15"/>
      <c r="D9" s="15"/>
      <c r="E9" s="16">
        <v>611200</v>
      </c>
      <c r="F9" s="26" t="s">
        <v>211</v>
      </c>
      <c r="G9" s="82">
        <f>72100+15*240</f>
        <v>75700</v>
      </c>
      <c r="H9" s="391">
        <v>69400</v>
      </c>
      <c r="I9" s="153">
        <f t="shared" si="0"/>
        <v>91.677675033025096</v>
      </c>
      <c r="K9" s="89"/>
    </row>
    <row r="10" spans="2:11" ht="12.95" customHeight="1">
      <c r="B10" s="14"/>
      <c r="C10" s="15"/>
      <c r="D10" s="15"/>
      <c r="E10" s="16">
        <v>611200</v>
      </c>
      <c r="F10" s="363" t="s">
        <v>699</v>
      </c>
      <c r="G10" s="82">
        <v>21600</v>
      </c>
      <c r="H10" s="391">
        <v>0</v>
      </c>
      <c r="I10" s="153">
        <f t="shared" si="0"/>
        <v>0</v>
      </c>
      <c r="K10" s="89"/>
    </row>
    <row r="11" spans="2:11" ht="12.95" customHeight="1">
      <c r="B11" s="14"/>
      <c r="C11" s="15"/>
      <c r="D11" s="15"/>
      <c r="E11" s="16"/>
      <c r="F11" s="15"/>
      <c r="G11" s="43"/>
      <c r="H11" s="391"/>
      <c r="I11" s="152" t="str">
        <f t="shared" si="0"/>
        <v/>
      </c>
      <c r="K11" s="89"/>
    </row>
    <row r="12" spans="2:11" ht="12.95" customHeight="1">
      <c r="B12" s="17"/>
      <c r="C12" s="12"/>
      <c r="D12" s="12"/>
      <c r="E12" s="9">
        <v>612000</v>
      </c>
      <c r="F12" s="12" t="s">
        <v>166</v>
      </c>
      <c r="G12" s="20">
        <f>G13+G14</f>
        <v>34100</v>
      </c>
      <c r="H12" s="392">
        <f>H13+H14</f>
        <v>35790</v>
      </c>
      <c r="I12" s="152">
        <f t="shared" si="0"/>
        <v>104.95601173020528</v>
      </c>
      <c r="K12" s="89"/>
    </row>
    <row r="13" spans="2:11" s="1" customFormat="1" ht="12.95" customHeight="1">
      <c r="B13" s="14"/>
      <c r="C13" s="15"/>
      <c r="D13" s="15"/>
      <c r="E13" s="16">
        <v>612100</v>
      </c>
      <c r="F13" s="18" t="s">
        <v>85</v>
      </c>
      <c r="G13" s="82">
        <f>33600+500</f>
        <v>34100</v>
      </c>
      <c r="H13" s="391">
        <f>34100+1690</f>
        <v>35790</v>
      </c>
      <c r="I13" s="153">
        <f t="shared" si="0"/>
        <v>104.95601173020528</v>
      </c>
      <c r="K13" s="89"/>
    </row>
    <row r="14" spans="2:11" ht="12.95" customHeight="1">
      <c r="B14" s="14"/>
      <c r="C14" s="15"/>
      <c r="D14" s="15"/>
      <c r="E14" s="16"/>
      <c r="F14" s="15"/>
      <c r="G14" s="43"/>
      <c r="H14" s="43"/>
      <c r="I14" s="152" t="str">
        <f t="shared" si="0"/>
        <v/>
      </c>
      <c r="K14" s="89"/>
    </row>
    <row r="15" spans="2:11" ht="12.95" customHeight="1">
      <c r="B15" s="14"/>
      <c r="C15" s="15"/>
      <c r="D15" s="15"/>
      <c r="E15" s="16"/>
      <c r="F15" s="15"/>
      <c r="G15" s="43"/>
      <c r="H15" s="43"/>
      <c r="I15" s="152" t="str">
        <f t="shared" si="0"/>
        <v/>
      </c>
      <c r="K15" s="89"/>
    </row>
    <row r="16" spans="2:11" ht="12.95" customHeight="1">
      <c r="B16" s="17"/>
      <c r="C16" s="12"/>
      <c r="D16" s="12"/>
      <c r="E16" s="9">
        <v>613000</v>
      </c>
      <c r="F16" s="12" t="s">
        <v>168</v>
      </c>
      <c r="G16" s="49">
        <f>SUM(G17:G26)</f>
        <v>288840</v>
      </c>
      <c r="H16" s="49">
        <f>SUM(H17:H26)</f>
        <v>270740</v>
      </c>
      <c r="I16" s="152">
        <f t="shared" si="0"/>
        <v>93.733554909292337</v>
      </c>
      <c r="K16" s="89"/>
    </row>
    <row r="17" spans="2:12" s="1" customFormat="1" ht="12.95" customHeight="1">
      <c r="B17" s="14"/>
      <c r="C17" s="15"/>
      <c r="D17" s="15"/>
      <c r="E17" s="16">
        <v>613100</v>
      </c>
      <c r="F17" s="15" t="s">
        <v>86</v>
      </c>
      <c r="G17" s="43">
        <v>6000</v>
      </c>
      <c r="H17" s="43">
        <v>6000</v>
      </c>
      <c r="I17" s="153">
        <f t="shared" si="0"/>
        <v>100</v>
      </c>
      <c r="K17" s="89"/>
    </row>
    <row r="18" spans="2:12" ht="12.95" customHeight="1">
      <c r="B18" s="14"/>
      <c r="C18" s="15"/>
      <c r="D18" s="15"/>
      <c r="E18" s="16">
        <v>613200</v>
      </c>
      <c r="F18" s="15" t="s">
        <v>87</v>
      </c>
      <c r="G18" s="43">
        <v>13600</v>
      </c>
      <c r="H18" s="43">
        <v>13600</v>
      </c>
      <c r="I18" s="153">
        <f t="shared" si="0"/>
        <v>100</v>
      </c>
      <c r="K18" s="89"/>
    </row>
    <row r="19" spans="2:12" ht="12.95" customHeight="1">
      <c r="B19" s="14"/>
      <c r="C19" s="15"/>
      <c r="D19" s="15"/>
      <c r="E19" s="16">
        <v>613300</v>
      </c>
      <c r="F19" s="26" t="s">
        <v>212</v>
      </c>
      <c r="G19" s="43">
        <v>7300</v>
      </c>
      <c r="H19" s="43">
        <v>7300</v>
      </c>
      <c r="I19" s="153">
        <f t="shared" si="0"/>
        <v>100</v>
      </c>
      <c r="K19" s="89"/>
    </row>
    <row r="20" spans="2:12" ht="12.95" customHeight="1">
      <c r="B20" s="14"/>
      <c r="C20" s="15"/>
      <c r="D20" s="15"/>
      <c r="E20" s="16">
        <v>613400</v>
      </c>
      <c r="F20" s="26" t="s">
        <v>169</v>
      </c>
      <c r="G20" s="82">
        <v>5500</v>
      </c>
      <c r="H20" s="82">
        <v>5500</v>
      </c>
      <c r="I20" s="153">
        <f t="shared" si="0"/>
        <v>100</v>
      </c>
      <c r="K20" s="89"/>
    </row>
    <row r="21" spans="2:12" ht="12.95" customHeight="1">
      <c r="B21" s="14"/>
      <c r="C21" s="15"/>
      <c r="D21" s="15"/>
      <c r="E21" s="16">
        <v>613500</v>
      </c>
      <c r="F21" s="15" t="s">
        <v>88</v>
      </c>
      <c r="G21" s="82">
        <v>10000</v>
      </c>
      <c r="H21" s="82">
        <v>10000</v>
      </c>
      <c r="I21" s="153">
        <f t="shared" si="0"/>
        <v>100</v>
      </c>
      <c r="K21" s="89"/>
    </row>
    <row r="22" spans="2:12" ht="12.95" customHeight="1">
      <c r="B22" s="14"/>
      <c r="C22" s="15"/>
      <c r="D22" s="15"/>
      <c r="E22" s="16">
        <v>613600</v>
      </c>
      <c r="F22" s="26" t="s">
        <v>213</v>
      </c>
      <c r="G22" s="43">
        <v>0</v>
      </c>
      <c r="H22" s="43">
        <v>0</v>
      </c>
      <c r="I22" s="153" t="str">
        <f t="shared" si="0"/>
        <v/>
      </c>
      <c r="K22" s="89"/>
    </row>
    <row r="23" spans="2:12" ht="12.95" customHeight="1">
      <c r="B23" s="14"/>
      <c r="C23" s="15"/>
      <c r="D23" s="15"/>
      <c r="E23" s="16">
        <v>613700</v>
      </c>
      <c r="F23" s="15" t="s">
        <v>89</v>
      </c>
      <c r="G23" s="43">
        <v>8000</v>
      </c>
      <c r="H23" s="43">
        <v>8000</v>
      </c>
      <c r="I23" s="153">
        <f t="shared" si="0"/>
        <v>100</v>
      </c>
      <c r="K23" s="89"/>
    </row>
    <row r="24" spans="2:12" ht="12.95" customHeight="1">
      <c r="B24" s="14"/>
      <c r="C24" s="15"/>
      <c r="D24" s="15"/>
      <c r="E24" s="16">
        <v>613800</v>
      </c>
      <c r="F24" s="26" t="s">
        <v>170</v>
      </c>
      <c r="G24" s="43">
        <v>340</v>
      </c>
      <c r="H24" s="43">
        <v>340</v>
      </c>
      <c r="I24" s="153">
        <f t="shared" si="0"/>
        <v>100</v>
      </c>
      <c r="K24" s="133"/>
    </row>
    <row r="25" spans="2:12" ht="12.95" customHeight="1">
      <c r="B25" s="14"/>
      <c r="C25" s="15"/>
      <c r="D25" s="15"/>
      <c r="E25" s="16">
        <v>613900</v>
      </c>
      <c r="F25" s="26" t="s">
        <v>171</v>
      </c>
      <c r="G25" s="82">
        <v>215400</v>
      </c>
      <c r="H25" s="82">
        <v>220000</v>
      </c>
      <c r="I25" s="153">
        <f t="shared" si="0"/>
        <v>102.1355617455896</v>
      </c>
      <c r="J25" s="107"/>
      <c r="K25" s="132"/>
    </row>
    <row r="26" spans="2:12" ht="12.95" customHeight="1">
      <c r="B26" s="14"/>
      <c r="C26" s="15"/>
      <c r="D26" s="15"/>
      <c r="E26" s="16">
        <v>613900</v>
      </c>
      <c r="F26" s="363" t="s">
        <v>701</v>
      </c>
      <c r="G26" s="43">
        <v>22700</v>
      </c>
      <c r="H26" s="43">
        <v>0</v>
      </c>
      <c r="I26" s="153">
        <f t="shared" si="0"/>
        <v>0</v>
      </c>
      <c r="K26" s="89"/>
      <c r="L26" s="81"/>
    </row>
    <row r="27" spans="2:12" ht="12.95" customHeight="1">
      <c r="B27" s="14"/>
      <c r="C27" s="15"/>
      <c r="D27" s="15"/>
      <c r="E27" s="16"/>
      <c r="F27" s="15"/>
      <c r="G27" s="43"/>
      <c r="H27" s="43"/>
      <c r="I27" s="152" t="str">
        <f t="shared" si="0"/>
        <v/>
      </c>
      <c r="K27" s="89"/>
    </row>
    <row r="28" spans="2:12" ht="12.95" customHeight="1">
      <c r="B28" s="17"/>
      <c r="C28" s="12"/>
      <c r="D28" s="12"/>
      <c r="E28" s="9"/>
      <c r="F28" s="12"/>
      <c r="G28" s="20"/>
      <c r="H28" s="20"/>
      <c r="I28" s="152" t="str">
        <f t="shared" si="0"/>
        <v/>
      </c>
      <c r="K28" s="89"/>
    </row>
    <row r="29" spans="2:12" s="1" customFormat="1" ht="12.95" customHeight="1">
      <c r="B29" s="14"/>
      <c r="C29" s="15"/>
      <c r="D29" s="15"/>
      <c r="E29" s="16"/>
      <c r="F29" s="26"/>
      <c r="G29" s="43"/>
      <c r="H29" s="43"/>
      <c r="I29" s="153" t="str">
        <f t="shared" si="0"/>
        <v/>
      </c>
      <c r="K29" s="89"/>
    </row>
    <row r="30" spans="2:12" ht="12.95" customHeight="1">
      <c r="B30" s="14"/>
      <c r="C30" s="15"/>
      <c r="D30" s="15"/>
      <c r="E30" s="16"/>
      <c r="F30" s="26"/>
      <c r="G30" s="43"/>
      <c r="H30" s="43"/>
      <c r="I30" s="152" t="str">
        <f t="shared" si="0"/>
        <v/>
      </c>
      <c r="K30" s="89"/>
    </row>
    <row r="31" spans="2:12" ht="12.95" customHeight="1">
      <c r="B31" s="14"/>
      <c r="C31" s="15"/>
      <c r="D31" s="15"/>
      <c r="E31" s="16"/>
      <c r="F31" s="15"/>
      <c r="G31" s="43"/>
      <c r="H31" s="43"/>
      <c r="I31" s="152" t="str">
        <f t="shared" si="0"/>
        <v/>
      </c>
      <c r="K31" s="89"/>
    </row>
    <row r="32" spans="2:12" ht="12.95" customHeight="1">
      <c r="B32" s="14"/>
      <c r="C32" s="15"/>
      <c r="D32" s="15"/>
      <c r="E32" s="16"/>
      <c r="F32" s="15"/>
      <c r="G32" s="43"/>
      <c r="H32" s="43"/>
      <c r="I32" s="152" t="str">
        <f t="shared" si="0"/>
        <v/>
      </c>
      <c r="K32" s="89"/>
    </row>
    <row r="33" spans="2:11" ht="12.95" customHeight="1">
      <c r="B33" s="14"/>
      <c r="C33" s="15"/>
      <c r="D33" s="15"/>
      <c r="E33" s="16"/>
      <c r="F33" s="15"/>
      <c r="G33" s="43"/>
      <c r="H33" s="43"/>
      <c r="I33" s="152" t="str">
        <f t="shared" si="0"/>
        <v/>
      </c>
      <c r="K33" s="89"/>
    </row>
    <row r="34" spans="2:11" ht="12.95" customHeight="1">
      <c r="B34" s="14"/>
      <c r="C34" s="15"/>
      <c r="D34" s="15"/>
      <c r="E34" s="16"/>
      <c r="F34" s="19"/>
      <c r="G34" s="43"/>
      <c r="H34" s="43"/>
      <c r="I34" s="152" t="str">
        <f t="shared" si="0"/>
        <v/>
      </c>
      <c r="K34" s="89"/>
    </row>
    <row r="35" spans="2:11" ht="12.95" customHeight="1">
      <c r="B35" s="14"/>
      <c r="C35" s="15"/>
      <c r="D35" s="15"/>
      <c r="E35" s="16"/>
      <c r="F35" s="15"/>
      <c r="G35" s="43"/>
      <c r="H35" s="43"/>
      <c r="I35" s="152" t="str">
        <f t="shared" si="0"/>
        <v/>
      </c>
      <c r="K35" s="89"/>
    </row>
    <row r="36" spans="2:11" ht="12.95" customHeight="1">
      <c r="B36" s="17"/>
      <c r="C36" s="12"/>
      <c r="D36" s="12"/>
      <c r="E36" s="9">
        <v>821000</v>
      </c>
      <c r="F36" s="12" t="s">
        <v>92</v>
      </c>
      <c r="G36" s="20">
        <f>SUM(G37:G38)</f>
        <v>4000</v>
      </c>
      <c r="H36" s="20">
        <f>SUM(H37:H38)</f>
        <v>57000</v>
      </c>
      <c r="I36" s="152">
        <f t="shared" si="0"/>
        <v>1425</v>
      </c>
      <c r="K36" s="89"/>
    </row>
    <row r="37" spans="2:11" s="1" customFormat="1" ht="12.95" customHeight="1">
      <c r="B37" s="14"/>
      <c r="C37" s="15"/>
      <c r="D37" s="15"/>
      <c r="E37" s="16">
        <v>821200</v>
      </c>
      <c r="F37" s="15" t="s">
        <v>93</v>
      </c>
      <c r="G37" s="82">
        <v>2000</v>
      </c>
      <c r="H37" s="82">
        <v>2000</v>
      </c>
      <c r="I37" s="153">
        <f t="shared" si="0"/>
        <v>100</v>
      </c>
      <c r="K37" s="89"/>
    </row>
    <row r="38" spans="2:11" ht="12.95" customHeight="1">
      <c r="B38" s="14"/>
      <c r="C38" s="15"/>
      <c r="D38" s="15"/>
      <c r="E38" s="16">
        <v>821300</v>
      </c>
      <c r="F38" s="15" t="s">
        <v>94</v>
      </c>
      <c r="G38" s="82">
        <v>2000</v>
      </c>
      <c r="H38" s="82">
        <v>55000</v>
      </c>
      <c r="I38" s="153">
        <f t="shared" si="0"/>
        <v>2750</v>
      </c>
      <c r="J38" s="81"/>
      <c r="K38" s="89"/>
    </row>
    <row r="39" spans="2:11" ht="12.95" customHeight="1">
      <c r="B39" s="14"/>
      <c r="C39" s="15"/>
      <c r="D39" s="15"/>
      <c r="E39" s="16"/>
      <c r="F39" s="15"/>
      <c r="G39" s="43"/>
      <c r="H39" s="43"/>
      <c r="I39" s="153" t="str">
        <f t="shared" si="0"/>
        <v/>
      </c>
      <c r="K39" s="89"/>
    </row>
    <row r="40" spans="2:11" ht="12.95" customHeight="1">
      <c r="B40" s="14"/>
      <c r="C40" s="15"/>
      <c r="D40" s="15"/>
      <c r="E40" s="16"/>
      <c r="F40" s="15"/>
      <c r="G40" s="43"/>
      <c r="H40" s="43"/>
      <c r="I40" s="153" t="str">
        <f t="shared" si="0"/>
        <v/>
      </c>
      <c r="K40" s="89"/>
    </row>
    <row r="41" spans="2:11" ht="12.95" customHeight="1">
      <c r="B41" s="17"/>
      <c r="C41" s="12"/>
      <c r="D41" s="12"/>
      <c r="E41" s="9"/>
      <c r="F41" s="12" t="s">
        <v>95</v>
      </c>
      <c r="G41" s="108">
        <v>15</v>
      </c>
      <c r="H41" s="108">
        <v>15</v>
      </c>
      <c r="I41" s="153"/>
      <c r="K41" s="89"/>
    </row>
    <row r="42" spans="2:11" s="1" customFormat="1" ht="12.95" customHeight="1">
      <c r="B42" s="17"/>
      <c r="C42" s="12"/>
      <c r="D42" s="12"/>
      <c r="E42" s="9"/>
      <c r="F42" s="12" t="s">
        <v>115</v>
      </c>
      <c r="G42" s="20">
        <f>G7+G12+G16+G28+G36</f>
        <v>742740</v>
      </c>
      <c r="H42" s="20">
        <f>H7+H12+H16+H28+H36</f>
        <v>766900</v>
      </c>
      <c r="I42" s="152">
        <f t="shared" si="0"/>
        <v>103.25282063710046</v>
      </c>
      <c r="K42" s="89"/>
    </row>
    <row r="43" spans="2:11" s="1" customFormat="1" ht="12.95" customHeight="1">
      <c r="B43" s="17"/>
      <c r="C43" s="12"/>
      <c r="D43" s="12"/>
      <c r="E43" s="9"/>
      <c r="F43" s="12" t="s">
        <v>96</v>
      </c>
      <c r="G43" s="20"/>
      <c r="H43" s="20"/>
      <c r="I43" s="155"/>
    </row>
    <row r="44" spans="2:11" s="1" customFormat="1" ht="12.95" customHeight="1">
      <c r="B44" s="17"/>
      <c r="C44" s="12"/>
      <c r="D44" s="12"/>
      <c r="E44" s="9"/>
      <c r="F44" s="12" t="s">
        <v>97</v>
      </c>
      <c r="G44" s="20"/>
      <c r="H44" s="20"/>
      <c r="I44" s="155"/>
    </row>
    <row r="45" spans="2:11" s="1" customFormat="1" ht="12.95" customHeight="1" thickBot="1">
      <c r="B45" s="21"/>
      <c r="C45" s="22"/>
      <c r="D45" s="22"/>
      <c r="E45" s="23"/>
      <c r="F45" s="22"/>
      <c r="G45" s="48"/>
      <c r="H45" s="45"/>
      <c r="I45" s="156"/>
    </row>
    <row r="46" spans="2:11" ht="12.95" customHeight="1"/>
    <row r="47" spans="2:11">
      <c r="B47" s="81"/>
    </row>
  </sheetData>
  <mergeCells count="2">
    <mergeCell ref="B2:I2"/>
    <mergeCell ref="F3:G3"/>
  </mergeCells>
  <phoneticPr fontId="2" type="noConversion"/>
  <pageMargins left="0.27559055118110237" right="0.27559055118110237" top="0.59055118110236227" bottom="0.59055118110236227" header="0.51181102362204722" footer="0.51181102362204722"/>
  <pageSetup paperSize="9" scale="88" orientation="portrait" horizontalDpi="180" verticalDpi="180" r:id="rId1"/>
  <headerFooter alignWithMargins="0">
    <oddFooter>&amp;R8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B2:K47"/>
  <sheetViews>
    <sheetView topLeftCell="A10" workbookViewId="0">
      <selection activeCell="G7" sqref="G7:G41"/>
    </sheetView>
  </sheetViews>
  <sheetFormatPr defaultRowHeight="12.75"/>
  <cols>
    <col min="1" max="1" width="1.5703125" style="13" customWidth="1"/>
    <col min="2" max="4" width="5.7109375" style="13" bestFit="1" customWidth="1"/>
    <col min="5" max="5" width="10.85546875" style="24" customWidth="1"/>
    <col min="6" max="6" width="43.7109375" style="13" customWidth="1"/>
    <col min="7" max="8" width="15.7109375" style="13" customWidth="1"/>
    <col min="9" max="9" width="8.7109375" style="140" customWidth="1"/>
    <col min="10" max="16384" width="9.140625" style="13"/>
  </cols>
  <sheetData>
    <row r="2" spans="2:11" ht="15" customHeight="1">
      <c r="B2" s="450" t="s">
        <v>120</v>
      </c>
      <c r="C2" s="450"/>
      <c r="D2" s="450"/>
      <c r="E2" s="450"/>
      <c r="F2" s="450"/>
      <c r="G2" s="450"/>
      <c r="H2" s="450"/>
      <c r="I2" s="147"/>
    </row>
    <row r="3" spans="2:11" s="1" customFormat="1" ht="16.5" thickBot="1">
      <c r="E3" s="2"/>
      <c r="F3" s="449"/>
      <c r="G3" s="449"/>
      <c r="H3" s="181"/>
      <c r="I3" s="182"/>
    </row>
    <row r="4" spans="2:11" s="1" customFormat="1" ht="76.5" customHeight="1">
      <c r="B4" s="3" t="s">
        <v>79</v>
      </c>
      <c r="C4" s="4" t="s">
        <v>80</v>
      </c>
      <c r="D4" s="5" t="s">
        <v>112</v>
      </c>
      <c r="E4" s="6" t="s">
        <v>81</v>
      </c>
      <c r="F4" s="7" t="s">
        <v>82</v>
      </c>
      <c r="G4" s="316" t="s">
        <v>557</v>
      </c>
      <c r="H4" s="316" t="s">
        <v>683</v>
      </c>
      <c r="I4" s="149" t="s">
        <v>497</v>
      </c>
    </row>
    <row r="5" spans="2:11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34">
        <v>6</v>
      </c>
      <c r="H5" s="9">
        <v>7</v>
      </c>
      <c r="I5" s="150">
        <v>8</v>
      </c>
    </row>
    <row r="6" spans="2:11" s="2" customFormat="1" ht="12.95" customHeight="1">
      <c r="B6" s="10">
        <v>10</v>
      </c>
      <c r="C6" s="11" t="s">
        <v>83</v>
      </c>
      <c r="D6" s="11" t="s">
        <v>121</v>
      </c>
      <c r="E6" s="9"/>
      <c r="F6" s="9"/>
      <c r="G6" s="34"/>
      <c r="H6" s="9"/>
      <c r="I6" s="151"/>
    </row>
    <row r="7" spans="2:11" s="1" customFormat="1" ht="12.95" customHeight="1">
      <c r="B7" s="17"/>
      <c r="C7" s="12"/>
      <c r="D7" s="12"/>
      <c r="E7" s="9">
        <v>611000</v>
      </c>
      <c r="F7" s="12" t="s">
        <v>167</v>
      </c>
      <c r="G7" s="20">
        <f>SUM(G8:G11)</f>
        <v>40820</v>
      </c>
      <c r="H7" s="392">
        <f>SUM(H8:H11)</f>
        <v>57480</v>
      </c>
      <c r="I7" s="152">
        <f t="shared" ref="I7:I44" si="0">IF(G7=0,"",H7/G7*100)</f>
        <v>140.81332680058796</v>
      </c>
    </row>
    <row r="8" spans="2:11" ht="12.95" customHeight="1">
      <c r="B8" s="14"/>
      <c r="C8" s="15"/>
      <c r="D8" s="15"/>
      <c r="E8" s="16">
        <v>611100</v>
      </c>
      <c r="F8" s="26" t="s">
        <v>210</v>
      </c>
      <c r="G8" s="82">
        <v>30500</v>
      </c>
      <c r="H8" s="391">
        <f>42600+2080</f>
        <v>44680</v>
      </c>
      <c r="I8" s="153">
        <f t="shared" si="0"/>
        <v>146.49180327868851</v>
      </c>
    </row>
    <row r="9" spans="2:11" ht="12.95" customHeight="1">
      <c r="B9" s="14"/>
      <c r="C9" s="15"/>
      <c r="D9" s="15"/>
      <c r="E9" s="16">
        <v>611200</v>
      </c>
      <c r="F9" s="15" t="s">
        <v>211</v>
      </c>
      <c r="G9" s="82">
        <f>9600+3*240</f>
        <v>10320</v>
      </c>
      <c r="H9" s="391">
        <v>12800</v>
      </c>
      <c r="I9" s="153">
        <f t="shared" si="0"/>
        <v>124.03100775193798</v>
      </c>
    </row>
    <row r="10" spans="2:11" ht="12.95" customHeight="1">
      <c r="B10" s="14"/>
      <c r="C10" s="15"/>
      <c r="D10" s="15"/>
      <c r="E10" s="16">
        <v>611200</v>
      </c>
      <c r="F10" s="363" t="s">
        <v>699</v>
      </c>
      <c r="G10" s="82">
        <v>0</v>
      </c>
      <c r="H10" s="391">
        <v>0</v>
      </c>
      <c r="I10" s="153" t="str">
        <f t="shared" si="0"/>
        <v/>
      </c>
      <c r="K10" s="89"/>
    </row>
    <row r="11" spans="2:11" ht="12.95" customHeight="1">
      <c r="B11" s="14"/>
      <c r="C11" s="15"/>
      <c r="D11" s="15"/>
      <c r="E11" s="16"/>
      <c r="F11" s="26"/>
      <c r="G11" s="82"/>
      <c r="H11" s="391"/>
      <c r="I11" s="152" t="str">
        <f t="shared" si="0"/>
        <v/>
      </c>
    </row>
    <row r="12" spans="2:11" ht="12.95" customHeight="1">
      <c r="B12" s="14"/>
      <c r="C12" s="15"/>
      <c r="D12" s="15"/>
      <c r="E12" s="16"/>
      <c r="F12" s="15"/>
      <c r="G12" s="108"/>
      <c r="H12" s="392"/>
      <c r="I12" s="152" t="str">
        <f t="shared" si="0"/>
        <v/>
      </c>
    </row>
    <row r="13" spans="2:11" s="1" customFormat="1" ht="12.95" customHeight="1">
      <c r="B13" s="17"/>
      <c r="C13" s="12"/>
      <c r="D13" s="12"/>
      <c r="E13" s="9">
        <v>612000</v>
      </c>
      <c r="F13" s="12" t="s">
        <v>166</v>
      </c>
      <c r="G13" s="108">
        <f>G14</f>
        <v>3400</v>
      </c>
      <c r="H13" s="392">
        <f>H14</f>
        <v>5030</v>
      </c>
      <c r="I13" s="152">
        <f t="shared" si="0"/>
        <v>147.94117647058823</v>
      </c>
    </row>
    <row r="14" spans="2:11" ht="12.95" customHeight="1">
      <c r="B14" s="14"/>
      <c r="C14" s="15"/>
      <c r="D14" s="15"/>
      <c r="E14" s="16">
        <v>612100</v>
      </c>
      <c r="F14" s="18" t="s">
        <v>85</v>
      </c>
      <c r="G14" s="82">
        <v>3400</v>
      </c>
      <c r="H14" s="391">
        <f>4800+230</f>
        <v>5030</v>
      </c>
      <c r="I14" s="153">
        <f t="shared" si="0"/>
        <v>147.94117647058823</v>
      </c>
    </row>
    <row r="15" spans="2:11" ht="12.95" customHeight="1">
      <c r="B15" s="14"/>
      <c r="C15" s="15"/>
      <c r="D15" s="15"/>
      <c r="E15" s="16"/>
      <c r="F15" s="15"/>
      <c r="G15" s="43"/>
      <c r="H15" s="43"/>
      <c r="I15" s="152" t="str">
        <f t="shared" si="0"/>
        <v/>
      </c>
    </row>
    <row r="16" spans="2:11" ht="12.95" customHeight="1">
      <c r="B16" s="14"/>
      <c r="C16" s="15"/>
      <c r="D16" s="15"/>
      <c r="E16" s="16"/>
      <c r="F16" s="15"/>
      <c r="G16" s="49"/>
      <c r="H16" s="49"/>
      <c r="I16" s="152" t="str">
        <f t="shared" si="0"/>
        <v/>
      </c>
    </row>
    <row r="17" spans="2:9" s="1" customFormat="1" ht="12.95" customHeight="1">
      <c r="B17" s="17"/>
      <c r="C17" s="12"/>
      <c r="D17" s="12"/>
      <c r="E17" s="9">
        <v>613000</v>
      </c>
      <c r="F17" s="12" t="s">
        <v>168</v>
      </c>
      <c r="G17" s="49">
        <f>SUM(G18:G27)</f>
        <v>1050</v>
      </c>
      <c r="H17" s="49">
        <f>SUM(H18:H27)</f>
        <v>1050</v>
      </c>
      <c r="I17" s="152">
        <f t="shared" si="0"/>
        <v>100</v>
      </c>
    </row>
    <row r="18" spans="2:9" ht="12.95" customHeight="1">
      <c r="B18" s="14"/>
      <c r="C18" s="15"/>
      <c r="D18" s="15"/>
      <c r="E18" s="16">
        <v>613100</v>
      </c>
      <c r="F18" s="15" t="s">
        <v>86</v>
      </c>
      <c r="G18" s="43">
        <v>500</v>
      </c>
      <c r="H18" s="43">
        <v>500</v>
      </c>
      <c r="I18" s="153">
        <f t="shared" si="0"/>
        <v>100</v>
      </c>
    </row>
    <row r="19" spans="2:9" ht="12.95" customHeight="1">
      <c r="B19" s="14"/>
      <c r="C19" s="15"/>
      <c r="D19" s="15"/>
      <c r="E19" s="16">
        <v>613200</v>
      </c>
      <c r="F19" s="15" t="s">
        <v>87</v>
      </c>
      <c r="G19" s="43">
        <v>0</v>
      </c>
      <c r="H19" s="43">
        <v>0</v>
      </c>
      <c r="I19" s="153" t="str">
        <f t="shared" si="0"/>
        <v/>
      </c>
    </row>
    <row r="20" spans="2:9" ht="12.95" customHeight="1">
      <c r="B20" s="14"/>
      <c r="C20" s="15"/>
      <c r="D20" s="15"/>
      <c r="E20" s="16">
        <v>613300</v>
      </c>
      <c r="F20" s="26" t="s">
        <v>212</v>
      </c>
      <c r="G20" s="43">
        <v>0</v>
      </c>
      <c r="H20" s="43">
        <v>0</v>
      </c>
      <c r="I20" s="153" t="str">
        <f t="shared" si="0"/>
        <v/>
      </c>
    </row>
    <row r="21" spans="2:9" ht="12.95" customHeight="1">
      <c r="B21" s="14"/>
      <c r="C21" s="15"/>
      <c r="D21" s="15"/>
      <c r="E21" s="16">
        <v>613400</v>
      </c>
      <c r="F21" s="15" t="s">
        <v>169</v>
      </c>
      <c r="G21" s="43">
        <v>0</v>
      </c>
      <c r="H21" s="43">
        <v>0</v>
      </c>
      <c r="I21" s="153" t="str">
        <f t="shared" si="0"/>
        <v/>
      </c>
    </row>
    <row r="22" spans="2:9" ht="12.95" customHeight="1">
      <c r="B22" s="14"/>
      <c r="C22" s="15"/>
      <c r="D22" s="15"/>
      <c r="E22" s="16">
        <v>613500</v>
      </c>
      <c r="F22" s="15" t="s">
        <v>88</v>
      </c>
      <c r="G22" s="43">
        <v>0</v>
      </c>
      <c r="H22" s="43">
        <v>0</v>
      </c>
      <c r="I22" s="153" t="str">
        <f t="shared" si="0"/>
        <v/>
      </c>
    </row>
    <row r="23" spans="2:9" ht="12.95" customHeight="1">
      <c r="B23" s="14"/>
      <c r="C23" s="15"/>
      <c r="D23" s="15"/>
      <c r="E23" s="16">
        <v>613600</v>
      </c>
      <c r="F23" s="26" t="s">
        <v>213</v>
      </c>
      <c r="G23" s="43">
        <v>0</v>
      </c>
      <c r="H23" s="43">
        <v>0</v>
      </c>
      <c r="I23" s="153" t="str">
        <f t="shared" si="0"/>
        <v/>
      </c>
    </row>
    <row r="24" spans="2:9" ht="12.95" customHeight="1">
      <c r="B24" s="14"/>
      <c r="C24" s="15"/>
      <c r="D24" s="15"/>
      <c r="E24" s="16">
        <v>613700</v>
      </c>
      <c r="F24" s="15" t="s">
        <v>89</v>
      </c>
      <c r="G24" s="43">
        <v>0</v>
      </c>
      <c r="H24" s="43">
        <v>0</v>
      </c>
      <c r="I24" s="153" t="str">
        <f t="shared" si="0"/>
        <v/>
      </c>
    </row>
    <row r="25" spans="2:9" ht="12.95" customHeight="1">
      <c r="B25" s="14"/>
      <c r="C25" s="15"/>
      <c r="D25" s="15"/>
      <c r="E25" s="16">
        <v>613800</v>
      </c>
      <c r="F25" s="15" t="s">
        <v>170</v>
      </c>
      <c r="G25" s="43">
        <v>0</v>
      </c>
      <c r="H25" s="43">
        <v>0</v>
      </c>
      <c r="I25" s="153" t="str">
        <f t="shared" si="0"/>
        <v/>
      </c>
    </row>
    <row r="26" spans="2:9" ht="12.95" customHeight="1">
      <c r="B26" s="14"/>
      <c r="C26" s="15"/>
      <c r="D26" s="15"/>
      <c r="E26" s="16">
        <v>613900</v>
      </c>
      <c r="F26" s="15" t="s">
        <v>171</v>
      </c>
      <c r="G26" s="43">
        <v>550</v>
      </c>
      <c r="H26" s="43">
        <v>550</v>
      </c>
      <c r="I26" s="153">
        <f t="shared" si="0"/>
        <v>100</v>
      </c>
    </row>
    <row r="27" spans="2:9" ht="12.95" customHeight="1">
      <c r="B27" s="14"/>
      <c r="C27" s="15"/>
      <c r="D27" s="15"/>
      <c r="E27" s="16">
        <v>613900</v>
      </c>
      <c r="F27" s="363" t="s">
        <v>701</v>
      </c>
      <c r="G27" s="44">
        <v>0</v>
      </c>
      <c r="H27" s="44">
        <v>0</v>
      </c>
      <c r="I27" s="153" t="str">
        <f t="shared" si="0"/>
        <v/>
      </c>
    </row>
    <row r="28" spans="2:9" s="1" customFormat="1" ht="12.95" customHeight="1">
      <c r="B28" s="17"/>
      <c r="C28" s="12"/>
      <c r="D28" s="12"/>
      <c r="E28" s="9"/>
      <c r="F28" s="12"/>
      <c r="G28" s="43"/>
      <c r="H28" s="43"/>
      <c r="I28" s="152" t="str">
        <f t="shared" si="0"/>
        <v/>
      </c>
    </row>
    <row r="29" spans="2:9" ht="12.95" customHeight="1">
      <c r="B29" s="14"/>
      <c r="C29" s="15"/>
      <c r="D29" s="15"/>
      <c r="E29" s="16"/>
      <c r="F29" s="26"/>
      <c r="G29" s="43"/>
      <c r="H29" s="43"/>
      <c r="I29" s="152" t="str">
        <f t="shared" si="0"/>
        <v/>
      </c>
    </row>
    <row r="30" spans="2:9" ht="12.95" customHeight="1">
      <c r="B30" s="14"/>
      <c r="C30" s="15"/>
      <c r="D30" s="15"/>
      <c r="E30" s="16"/>
      <c r="F30" s="15"/>
      <c r="G30" s="43"/>
      <c r="H30" s="43"/>
      <c r="I30" s="152" t="str">
        <f t="shared" si="0"/>
        <v/>
      </c>
    </row>
    <row r="31" spans="2:9" ht="12.95" customHeight="1">
      <c r="B31" s="14"/>
      <c r="C31" s="15"/>
      <c r="D31" s="15"/>
      <c r="E31" s="16"/>
      <c r="F31" s="15"/>
      <c r="G31" s="43"/>
      <c r="H31" s="43"/>
      <c r="I31" s="152" t="str">
        <f t="shared" si="0"/>
        <v/>
      </c>
    </row>
    <row r="32" spans="2:9" ht="12.95" customHeight="1">
      <c r="B32" s="14"/>
      <c r="C32" s="15"/>
      <c r="D32" s="15"/>
      <c r="E32" s="16"/>
      <c r="F32" s="15"/>
      <c r="G32" s="43"/>
      <c r="H32" s="43"/>
      <c r="I32" s="152" t="str">
        <f t="shared" si="0"/>
        <v/>
      </c>
    </row>
    <row r="33" spans="2:9" ht="12.95" customHeight="1">
      <c r="B33" s="14"/>
      <c r="C33" s="15"/>
      <c r="D33" s="15"/>
      <c r="E33" s="16"/>
      <c r="F33" s="15"/>
      <c r="G33" s="43"/>
      <c r="H33" s="43"/>
      <c r="I33" s="152" t="str">
        <f t="shared" si="0"/>
        <v/>
      </c>
    </row>
    <row r="34" spans="2:9" ht="12.95" customHeight="1">
      <c r="B34" s="14"/>
      <c r="C34" s="15"/>
      <c r="D34" s="15"/>
      <c r="E34" s="16"/>
      <c r="F34" s="19"/>
      <c r="G34" s="43"/>
      <c r="H34" s="43"/>
      <c r="I34" s="152" t="str">
        <f t="shared" si="0"/>
        <v/>
      </c>
    </row>
    <row r="35" spans="2:9" ht="12.95" customHeight="1">
      <c r="B35" s="14"/>
      <c r="C35" s="15"/>
      <c r="D35" s="15"/>
      <c r="E35" s="16"/>
      <c r="F35" s="15"/>
      <c r="G35" s="20"/>
      <c r="H35" s="20"/>
      <c r="I35" s="152" t="str">
        <f t="shared" si="0"/>
        <v/>
      </c>
    </row>
    <row r="36" spans="2:9" s="1" customFormat="1" ht="12.95" customHeight="1">
      <c r="B36" s="17"/>
      <c r="C36" s="12"/>
      <c r="D36" s="12"/>
      <c r="E36" s="9">
        <v>821000</v>
      </c>
      <c r="F36" s="12" t="s">
        <v>92</v>
      </c>
      <c r="G36" s="20">
        <f>SUM(G37:G38)</f>
        <v>0</v>
      </c>
      <c r="H36" s="20">
        <f>SUM(H37:H38)</f>
        <v>0</v>
      </c>
      <c r="I36" s="152" t="str">
        <f t="shared" si="0"/>
        <v/>
      </c>
    </row>
    <row r="37" spans="2:9" ht="12.95" customHeight="1">
      <c r="B37" s="14"/>
      <c r="C37" s="15"/>
      <c r="D37" s="15"/>
      <c r="E37" s="16">
        <v>821200</v>
      </c>
      <c r="F37" s="15" t="s">
        <v>93</v>
      </c>
      <c r="G37" s="82">
        <v>0</v>
      </c>
      <c r="H37" s="82">
        <v>0</v>
      </c>
      <c r="I37" s="153" t="str">
        <f t="shared" si="0"/>
        <v/>
      </c>
    </row>
    <row r="38" spans="2:9" ht="12.95" customHeight="1">
      <c r="B38" s="14"/>
      <c r="C38" s="15"/>
      <c r="D38" s="15"/>
      <c r="E38" s="16">
        <v>821300</v>
      </c>
      <c r="F38" s="15" t="s">
        <v>94</v>
      </c>
      <c r="G38" s="43">
        <v>0</v>
      </c>
      <c r="H38" s="43">
        <v>0</v>
      </c>
      <c r="I38" s="153" t="str">
        <f t="shared" si="0"/>
        <v/>
      </c>
    </row>
    <row r="39" spans="2:9" ht="12.95" customHeight="1">
      <c r="B39" s="14"/>
      <c r="C39" s="15"/>
      <c r="D39" s="15"/>
      <c r="E39" s="16"/>
      <c r="F39" s="15"/>
      <c r="G39" s="43"/>
      <c r="H39" s="43"/>
      <c r="I39" s="153" t="str">
        <f t="shared" si="0"/>
        <v/>
      </c>
    </row>
    <row r="40" spans="2:9" ht="12.95" customHeight="1">
      <c r="B40" s="14"/>
      <c r="C40" s="15"/>
      <c r="D40" s="15"/>
      <c r="E40" s="16"/>
      <c r="F40" s="15"/>
      <c r="G40" s="20"/>
      <c r="H40" s="20"/>
      <c r="I40" s="153" t="str">
        <f t="shared" si="0"/>
        <v/>
      </c>
    </row>
    <row r="41" spans="2:9" s="1" customFormat="1" ht="12.95" customHeight="1">
      <c r="B41" s="17"/>
      <c r="C41" s="12"/>
      <c r="D41" s="12"/>
      <c r="E41" s="9"/>
      <c r="F41" s="12" t="s">
        <v>95</v>
      </c>
      <c r="G41" s="20">
        <v>3</v>
      </c>
      <c r="H41" s="20">
        <v>3</v>
      </c>
      <c r="I41" s="153"/>
    </row>
    <row r="42" spans="2:9" s="1" customFormat="1" ht="12.95" customHeight="1">
      <c r="B42" s="17"/>
      <c r="C42" s="12"/>
      <c r="D42" s="12"/>
      <c r="E42" s="9"/>
      <c r="F42" s="12" t="s">
        <v>115</v>
      </c>
      <c r="G42" s="20">
        <f>G7+G13+G17+G36</f>
        <v>45270</v>
      </c>
      <c r="H42" s="20">
        <f>H7+H13+H17+H36</f>
        <v>63560</v>
      </c>
      <c r="I42" s="152">
        <f t="shared" si="0"/>
        <v>140.40203225093882</v>
      </c>
    </row>
    <row r="43" spans="2:9" s="1" customFormat="1" ht="12.95" customHeight="1">
      <c r="B43" s="17"/>
      <c r="C43" s="12"/>
      <c r="D43" s="12"/>
      <c r="E43" s="9"/>
      <c r="F43" s="12" t="s">
        <v>96</v>
      </c>
      <c r="G43" s="20">
        <f>G42+'1'!G42</f>
        <v>788010</v>
      </c>
      <c r="H43" s="20">
        <f>H42+'1'!H42</f>
        <v>830460</v>
      </c>
      <c r="I43" s="152">
        <f t="shared" si="0"/>
        <v>105.38698747477824</v>
      </c>
    </row>
    <row r="44" spans="2:9" s="1" customFormat="1" ht="12.95" customHeight="1">
      <c r="B44" s="17"/>
      <c r="C44" s="12"/>
      <c r="D44" s="12"/>
      <c r="E44" s="9"/>
      <c r="F44" s="12" t="s">
        <v>97</v>
      </c>
      <c r="G44" s="20">
        <f>G43+'1'!G43</f>
        <v>788010</v>
      </c>
      <c r="H44" s="20">
        <f>H43+'1'!H43</f>
        <v>830460</v>
      </c>
      <c r="I44" s="152">
        <f t="shared" si="0"/>
        <v>105.38698747477824</v>
      </c>
    </row>
    <row r="45" spans="2:9" ht="12.95" customHeight="1" thickBot="1">
      <c r="B45" s="21"/>
      <c r="C45" s="22"/>
      <c r="D45" s="22"/>
      <c r="E45" s="23"/>
      <c r="F45" s="22"/>
      <c r="G45" s="48"/>
      <c r="H45" s="22"/>
      <c r="I45" s="156"/>
    </row>
    <row r="47" spans="2:9">
      <c r="B47" s="81"/>
    </row>
  </sheetData>
  <mergeCells count="2">
    <mergeCell ref="B2:H2"/>
    <mergeCell ref="F3:G3"/>
  </mergeCells>
  <phoneticPr fontId="2" type="noConversion"/>
  <pageMargins left="0.27559055118110237" right="0.27559055118110237" top="0.59055118110236227" bottom="0.59055118110236227" header="0.51181102362204722" footer="0.51181102362204722"/>
  <pageSetup paperSize="9" scale="88" orientation="portrait" horizontalDpi="180" verticalDpi="180" r:id="rId1"/>
  <headerFooter alignWithMargins="0">
    <oddFooter>&amp;R9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B2:M63"/>
  <sheetViews>
    <sheetView topLeftCell="B19" workbookViewId="0">
      <selection activeCell="G7" sqref="G7:G55"/>
    </sheetView>
  </sheetViews>
  <sheetFormatPr defaultRowHeight="12.75"/>
  <cols>
    <col min="1" max="1" width="1.5703125" style="13" customWidth="1"/>
    <col min="2" max="4" width="5.7109375" style="13" bestFit="1" customWidth="1"/>
    <col min="5" max="5" width="10.5703125" style="24" customWidth="1"/>
    <col min="6" max="6" width="43.7109375" style="13" customWidth="1"/>
    <col min="7" max="8" width="15.7109375" style="13" customWidth="1"/>
    <col min="9" max="9" width="8.7109375" style="140" customWidth="1"/>
    <col min="10" max="16384" width="9.140625" style="13"/>
  </cols>
  <sheetData>
    <row r="2" spans="2:11" ht="15" customHeight="1">
      <c r="B2" s="450" t="s">
        <v>122</v>
      </c>
      <c r="C2" s="450"/>
      <c r="D2" s="450"/>
      <c r="E2" s="450"/>
      <c r="F2" s="450"/>
      <c r="G2" s="450"/>
      <c r="H2" s="450"/>
      <c r="I2" s="147"/>
    </row>
    <row r="3" spans="2:11" s="1" customFormat="1" ht="16.5" thickBot="1">
      <c r="E3" s="2"/>
      <c r="F3" s="449"/>
      <c r="G3" s="449"/>
      <c r="H3" s="181"/>
      <c r="I3" s="182"/>
    </row>
    <row r="4" spans="2:11" s="1" customFormat="1" ht="76.5" customHeight="1">
      <c r="B4" s="3" t="s">
        <v>79</v>
      </c>
      <c r="C4" s="4" t="s">
        <v>80</v>
      </c>
      <c r="D4" s="5" t="s">
        <v>112</v>
      </c>
      <c r="E4" s="6" t="s">
        <v>81</v>
      </c>
      <c r="F4" s="7" t="s">
        <v>82</v>
      </c>
      <c r="G4" s="316" t="s">
        <v>557</v>
      </c>
      <c r="H4" s="316" t="s">
        <v>683</v>
      </c>
      <c r="I4" s="149" t="s">
        <v>497</v>
      </c>
    </row>
    <row r="5" spans="2:11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34">
        <v>6</v>
      </c>
      <c r="H5" s="9">
        <v>7</v>
      </c>
      <c r="I5" s="150">
        <v>8</v>
      </c>
    </row>
    <row r="6" spans="2:11" s="2" customFormat="1" ht="12.95" customHeight="1">
      <c r="B6" s="10" t="s">
        <v>123</v>
      </c>
      <c r="C6" s="11" t="s">
        <v>83</v>
      </c>
      <c r="D6" s="11" t="s">
        <v>84</v>
      </c>
      <c r="E6" s="9"/>
      <c r="F6" s="9"/>
      <c r="G6" s="9"/>
      <c r="H6" s="161"/>
      <c r="I6" s="151"/>
    </row>
    <row r="7" spans="2:11" s="2" customFormat="1" ht="12.95" customHeight="1">
      <c r="B7" s="10"/>
      <c r="C7" s="11"/>
      <c r="D7" s="11"/>
      <c r="E7" s="9">
        <v>600000</v>
      </c>
      <c r="F7" s="27" t="s">
        <v>124</v>
      </c>
      <c r="G7" s="162">
        <f>G8+G9+G10</f>
        <v>945000</v>
      </c>
      <c r="H7" s="162">
        <f>H8+H9+H10</f>
        <v>495000</v>
      </c>
      <c r="I7" s="200">
        <f t="shared" ref="I7:I56" si="0">IF(G7=0,"",H7/G7*100)</f>
        <v>52.380952380952387</v>
      </c>
    </row>
    <row r="8" spans="2:11" s="2" customFormat="1" ht="12.95" customHeight="1">
      <c r="B8" s="10"/>
      <c r="C8" s="11"/>
      <c r="D8" s="11"/>
      <c r="E8" s="56">
        <v>600000</v>
      </c>
      <c r="F8" s="57" t="s">
        <v>99</v>
      </c>
      <c r="G8" s="160">
        <v>900000</v>
      </c>
      <c r="H8" s="160">
        <v>450000</v>
      </c>
      <c r="I8" s="153">
        <f t="shared" si="0"/>
        <v>50</v>
      </c>
    </row>
    <row r="9" spans="2:11" s="2" customFormat="1" ht="12.95" customHeight="1">
      <c r="B9" s="10"/>
      <c r="C9" s="11"/>
      <c r="D9" s="11"/>
      <c r="E9" s="56">
        <v>600000</v>
      </c>
      <c r="F9" s="57" t="s">
        <v>100</v>
      </c>
      <c r="G9" s="160">
        <v>30000</v>
      </c>
      <c r="H9" s="160">
        <v>30000</v>
      </c>
      <c r="I9" s="153">
        <f t="shared" si="0"/>
        <v>100</v>
      </c>
    </row>
    <row r="10" spans="2:11" s="2" customFormat="1" ht="12.95" customHeight="1">
      <c r="B10" s="10"/>
      <c r="C10" s="11"/>
      <c r="D10" s="11"/>
      <c r="E10" s="56">
        <v>600000</v>
      </c>
      <c r="F10" s="57" t="s">
        <v>125</v>
      </c>
      <c r="G10" s="160">
        <v>15000</v>
      </c>
      <c r="H10" s="160">
        <v>15000</v>
      </c>
      <c r="I10" s="153">
        <f t="shared" si="0"/>
        <v>100</v>
      </c>
    </row>
    <row r="11" spans="2:11" s="2" customFormat="1" ht="12.95" customHeight="1">
      <c r="B11" s="10"/>
      <c r="C11" s="11"/>
      <c r="D11" s="11"/>
      <c r="E11" s="9"/>
      <c r="F11" s="9"/>
      <c r="G11" s="163"/>
      <c r="H11" s="163"/>
      <c r="I11" s="153" t="str">
        <f t="shared" si="0"/>
        <v/>
      </c>
    </row>
    <row r="12" spans="2:11" s="1" customFormat="1" ht="12.95" customHeight="1">
      <c r="B12" s="17"/>
      <c r="C12" s="12"/>
      <c r="D12" s="12"/>
      <c r="E12" s="9">
        <v>611000</v>
      </c>
      <c r="F12" s="12" t="s">
        <v>167</v>
      </c>
      <c r="G12" s="163">
        <f>SUM(G13:G16)</f>
        <v>136800</v>
      </c>
      <c r="H12" s="399">
        <f>SUM(H13:H16)</f>
        <v>342050</v>
      </c>
      <c r="I12" s="200">
        <f t="shared" si="0"/>
        <v>250.03654970760235</v>
      </c>
    </row>
    <row r="13" spans="2:11" ht="12.95" customHeight="1">
      <c r="B13" s="14"/>
      <c r="C13" s="15"/>
      <c r="D13" s="15"/>
      <c r="E13" s="16">
        <v>611100</v>
      </c>
      <c r="F13" s="26" t="s">
        <v>210</v>
      </c>
      <c r="G13" s="157">
        <v>109100</v>
      </c>
      <c r="H13" s="393">
        <f>104200+16900+5100+850</f>
        <v>127050</v>
      </c>
      <c r="I13" s="153">
        <f t="shared" si="0"/>
        <v>116.45279560036663</v>
      </c>
    </row>
    <row r="14" spans="2:11" ht="12.95" customHeight="1">
      <c r="B14" s="14"/>
      <c r="C14" s="15"/>
      <c r="D14" s="15"/>
      <c r="E14" s="16">
        <v>611200</v>
      </c>
      <c r="F14" s="15" t="s">
        <v>211</v>
      </c>
      <c r="G14" s="157">
        <f>23100+5*240</f>
        <v>24300</v>
      </c>
      <c r="H14" s="393">
        <f>22900+3100</f>
        <v>26000</v>
      </c>
      <c r="I14" s="153">
        <f t="shared" si="0"/>
        <v>106.99588477366255</v>
      </c>
    </row>
    <row r="15" spans="2:11" ht="12.95" customHeight="1">
      <c r="B15" s="14"/>
      <c r="C15" s="15"/>
      <c r="D15" s="15"/>
      <c r="E15" s="16">
        <v>611200</v>
      </c>
      <c r="F15" s="363" t="s">
        <v>714</v>
      </c>
      <c r="G15" s="160">
        <v>3400</v>
      </c>
      <c r="H15" s="393">
        <v>189000</v>
      </c>
      <c r="I15" s="153">
        <f t="shared" si="0"/>
        <v>5558.8235294117649</v>
      </c>
      <c r="K15" s="89"/>
    </row>
    <row r="16" spans="2:11" ht="12.95" customHeight="1">
      <c r="B16" s="14"/>
      <c r="C16" s="15"/>
      <c r="D16" s="15"/>
      <c r="E16" s="16"/>
      <c r="F16" s="26"/>
      <c r="G16" s="158"/>
      <c r="H16" s="399"/>
      <c r="I16" s="153" t="str">
        <f t="shared" si="0"/>
        <v/>
      </c>
    </row>
    <row r="17" spans="2:10" ht="12.95" customHeight="1">
      <c r="B17" s="14"/>
      <c r="C17" s="15"/>
      <c r="D17" s="15"/>
      <c r="E17" s="16"/>
      <c r="F17" s="15"/>
      <c r="G17" s="157"/>
      <c r="H17" s="393"/>
      <c r="I17" s="153" t="str">
        <f t="shared" si="0"/>
        <v/>
      </c>
    </row>
    <row r="18" spans="2:10" s="1" customFormat="1" ht="12.95" customHeight="1">
      <c r="B18" s="17"/>
      <c r="C18" s="12"/>
      <c r="D18" s="12"/>
      <c r="E18" s="9">
        <v>612000</v>
      </c>
      <c r="F18" s="12" t="s">
        <v>166</v>
      </c>
      <c r="G18" s="163">
        <f>G19+G20</f>
        <v>11900</v>
      </c>
      <c r="H18" s="399">
        <f>H19+H20</f>
        <v>14010</v>
      </c>
      <c r="I18" s="200">
        <f t="shared" si="0"/>
        <v>117.73109243697479</v>
      </c>
    </row>
    <row r="19" spans="2:10" ht="12.95" customHeight="1">
      <c r="B19" s="14"/>
      <c r="C19" s="15"/>
      <c r="D19" s="15"/>
      <c r="E19" s="16">
        <v>612100</v>
      </c>
      <c r="F19" s="18" t="s">
        <v>85</v>
      </c>
      <c r="G19" s="157">
        <v>11900</v>
      </c>
      <c r="H19" s="393">
        <f>11500+1860+550+100</f>
        <v>14010</v>
      </c>
      <c r="I19" s="153">
        <f t="shared" si="0"/>
        <v>117.73109243697479</v>
      </c>
    </row>
    <row r="20" spans="2:10" ht="12.95" customHeight="1">
      <c r="B20" s="14"/>
      <c r="C20" s="15"/>
      <c r="D20" s="15"/>
      <c r="E20" s="16"/>
      <c r="F20" s="15"/>
      <c r="G20" s="157"/>
      <c r="H20" s="157"/>
      <c r="I20" s="153" t="str">
        <f t="shared" si="0"/>
        <v/>
      </c>
    </row>
    <row r="21" spans="2:10" ht="12.95" customHeight="1">
      <c r="B21" s="14"/>
      <c r="C21" s="15"/>
      <c r="D21" s="15"/>
      <c r="E21" s="16"/>
      <c r="F21" s="15"/>
      <c r="G21" s="157"/>
      <c r="H21" s="157"/>
      <c r="I21" s="153" t="str">
        <f t="shared" si="0"/>
        <v/>
      </c>
    </row>
    <row r="22" spans="2:10" s="1" customFormat="1" ht="12.95" customHeight="1">
      <c r="B22" s="17"/>
      <c r="C22" s="12"/>
      <c r="D22" s="12"/>
      <c r="E22" s="9">
        <v>613000</v>
      </c>
      <c r="F22" s="12" t="s">
        <v>168</v>
      </c>
      <c r="G22" s="158">
        <f>SUM(G23:G33)</f>
        <v>209500</v>
      </c>
      <c r="H22" s="158">
        <f>SUM(H23:H33)</f>
        <v>398600</v>
      </c>
      <c r="I22" s="200">
        <f t="shared" si="0"/>
        <v>190.26252983293557</v>
      </c>
    </row>
    <row r="23" spans="2:10" ht="12.95" customHeight="1">
      <c r="B23" s="14"/>
      <c r="C23" s="15"/>
      <c r="D23" s="15"/>
      <c r="E23" s="16">
        <v>613100</v>
      </c>
      <c r="F23" s="15" t="s">
        <v>86</v>
      </c>
      <c r="G23" s="157">
        <v>14000</v>
      </c>
      <c r="H23" s="157">
        <v>14000</v>
      </c>
      <c r="I23" s="153">
        <f t="shared" si="0"/>
        <v>100</v>
      </c>
    </row>
    <row r="24" spans="2:10" ht="12.95" customHeight="1">
      <c r="B24" s="14"/>
      <c r="C24" s="15"/>
      <c r="D24" s="15"/>
      <c r="E24" s="16">
        <v>613200</v>
      </c>
      <c r="F24" s="15" t="s">
        <v>87</v>
      </c>
      <c r="G24" s="157">
        <v>0</v>
      </c>
      <c r="H24" s="157">
        <v>0</v>
      </c>
      <c r="I24" s="153" t="str">
        <f t="shared" si="0"/>
        <v/>
      </c>
    </row>
    <row r="25" spans="2:10" ht="12.95" customHeight="1">
      <c r="B25" s="14"/>
      <c r="C25" s="15"/>
      <c r="D25" s="15"/>
      <c r="E25" s="16">
        <v>613300</v>
      </c>
      <c r="F25" s="26" t="s">
        <v>212</v>
      </c>
      <c r="G25" s="157">
        <v>5500</v>
      </c>
      <c r="H25" s="157">
        <v>5500</v>
      </c>
      <c r="I25" s="153">
        <f t="shared" si="0"/>
        <v>100</v>
      </c>
    </row>
    <row r="26" spans="2:10" ht="12.95" customHeight="1">
      <c r="B26" s="14"/>
      <c r="C26" s="15"/>
      <c r="D26" s="15"/>
      <c r="E26" s="16">
        <v>613400</v>
      </c>
      <c r="F26" s="15" t="s">
        <v>169</v>
      </c>
      <c r="G26" s="157">
        <v>1500</v>
      </c>
      <c r="H26" s="157">
        <v>1500</v>
      </c>
      <c r="I26" s="153">
        <f t="shared" si="0"/>
        <v>100</v>
      </c>
    </row>
    <row r="27" spans="2:10" ht="12.95" customHeight="1">
      <c r="B27" s="14"/>
      <c r="C27" s="15"/>
      <c r="D27" s="15"/>
      <c r="E27" s="16">
        <v>613500</v>
      </c>
      <c r="F27" s="15" t="s">
        <v>88</v>
      </c>
      <c r="G27" s="159">
        <v>1500</v>
      </c>
      <c r="H27" s="159">
        <v>1500</v>
      </c>
      <c r="I27" s="153">
        <f t="shared" si="0"/>
        <v>100</v>
      </c>
    </row>
    <row r="28" spans="2:10" ht="12.95" customHeight="1">
      <c r="B28" s="14"/>
      <c r="C28" s="15"/>
      <c r="D28" s="15"/>
      <c r="E28" s="16">
        <v>613600</v>
      </c>
      <c r="F28" s="26" t="s">
        <v>213</v>
      </c>
      <c r="G28" s="157">
        <v>0</v>
      </c>
      <c r="H28" s="157">
        <v>0</v>
      </c>
      <c r="I28" s="153" t="str">
        <f t="shared" si="0"/>
        <v/>
      </c>
    </row>
    <row r="29" spans="2:10" ht="12.95" customHeight="1">
      <c r="B29" s="14"/>
      <c r="C29" s="15"/>
      <c r="D29" s="15"/>
      <c r="E29" s="16">
        <v>613700</v>
      </c>
      <c r="F29" s="15" t="s">
        <v>89</v>
      </c>
      <c r="G29" s="157">
        <v>7000</v>
      </c>
      <c r="H29" s="157">
        <v>7000</v>
      </c>
      <c r="I29" s="153">
        <f t="shared" si="0"/>
        <v>100</v>
      </c>
    </row>
    <row r="30" spans="2:10" ht="12.95" customHeight="1">
      <c r="B30" s="14"/>
      <c r="C30" s="15"/>
      <c r="D30" s="15"/>
      <c r="E30" s="16">
        <v>613800</v>
      </c>
      <c r="F30" s="15" t="s">
        <v>170</v>
      </c>
      <c r="G30" s="160">
        <v>2600</v>
      </c>
      <c r="H30" s="160">
        <v>4500</v>
      </c>
      <c r="I30" s="153">
        <f t="shared" si="0"/>
        <v>173.07692307692309</v>
      </c>
    </row>
    <row r="31" spans="2:10" ht="12.95" customHeight="1">
      <c r="B31" s="14"/>
      <c r="C31" s="15"/>
      <c r="D31" s="15"/>
      <c r="E31" s="119">
        <v>613900</v>
      </c>
      <c r="F31" s="19" t="s">
        <v>171</v>
      </c>
      <c r="G31" s="160">
        <v>138100</v>
      </c>
      <c r="H31" s="160">
        <v>138100</v>
      </c>
      <c r="I31" s="153">
        <f t="shared" si="0"/>
        <v>100</v>
      </c>
      <c r="J31" s="81"/>
    </row>
    <row r="32" spans="2:10" ht="12.95" customHeight="1">
      <c r="B32" s="14"/>
      <c r="C32" s="15"/>
      <c r="D32" s="15"/>
      <c r="E32" s="16">
        <v>613900</v>
      </c>
      <c r="F32" s="26" t="s">
        <v>219</v>
      </c>
      <c r="G32" s="160">
        <v>36000</v>
      </c>
      <c r="H32" s="160">
        <v>36000</v>
      </c>
      <c r="I32" s="153">
        <f t="shared" si="0"/>
        <v>100</v>
      </c>
    </row>
    <row r="33" spans="2:13" ht="12.95" customHeight="1">
      <c r="B33" s="14"/>
      <c r="C33" s="15"/>
      <c r="D33" s="15"/>
      <c r="E33" s="16">
        <v>613900</v>
      </c>
      <c r="F33" s="363" t="s">
        <v>715</v>
      </c>
      <c r="G33" s="157">
        <v>3300</v>
      </c>
      <c r="H33" s="157">
        <v>190500</v>
      </c>
      <c r="I33" s="153">
        <f t="shared" si="0"/>
        <v>5772.727272727273</v>
      </c>
    </row>
    <row r="34" spans="2:13" ht="12.95" customHeight="1">
      <c r="B34" s="14"/>
      <c r="C34" s="15"/>
      <c r="D34" s="15"/>
      <c r="E34" s="16"/>
      <c r="F34" s="15"/>
      <c r="G34" s="157"/>
      <c r="H34" s="157"/>
      <c r="I34" s="153" t="str">
        <f t="shared" si="0"/>
        <v/>
      </c>
    </row>
    <row r="35" spans="2:13" s="1" customFormat="1" ht="12.95" customHeight="1">
      <c r="B35" s="17"/>
      <c r="C35" s="12"/>
      <c r="D35" s="12"/>
      <c r="E35" s="9">
        <v>614000</v>
      </c>
      <c r="F35" s="12" t="s">
        <v>214</v>
      </c>
      <c r="G35" s="163">
        <f>SUM(G36:G45)</f>
        <v>950000</v>
      </c>
      <c r="H35" s="163">
        <f>SUM(H36:H45)</f>
        <v>850000</v>
      </c>
      <c r="I35" s="200">
        <f t="shared" si="0"/>
        <v>89.473684210526315</v>
      </c>
    </row>
    <row r="36" spans="2:13" s="95" customFormat="1" ht="12.95" customHeight="1">
      <c r="B36" s="96"/>
      <c r="C36" s="18"/>
      <c r="D36" s="18"/>
      <c r="E36" s="56">
        <v>614100</v>
      </c>
      <c r="F36" s="18" t="s">
        <v>338</v>
      </c>
      <c r="G36" s="159">
        <v>290000</v>
      </c>
      <c r="H36" s="159">
        <v>200000</v>
      </c>
      <c r="I36" s="153">
        <f t="shared" si="0"/>
        <v>68.965517241379317</v>
      </c>
    </row>
    <row r="37" spans="2:13" s="95" customFormat="1" ht="12.95" customHeight="1">
      <c r="B37" s="96"/>
      <c r="C37" s="18"/>
      <c r="D37" s="18"/>
      <c r="E37" s="56">
        <v>614100</v>
      </c>
      <c r="F37" s="116" t="s">
        <v>339</v>
      </c>
      <c r="G37" s="159">
        <v>200000</v>
      </c>
      <c r="H37" s="159">
        <v>200000</v>
      </c>
      <c r="I37" s="153">
        <f t="shared" si="0"/>
        <v>100</v>
      </c>
    </row>
    <row r="38" spans="2:13" s="198" customFormat="1" ht="26.25" customHeight="1">
      <c r="B38" s="193"/>
      <c r="C38" s="194"/>
      <c r="D38" s="194"/>
      <c r="E38" s="195">
        <v>614200</v>
      </c>
      <c r="F38" s="196" t="s">
        <v>340</v>
      </c>
      <c r="G38" s="197">
        <v>100000</v>
      </c>
      <c r="H38" s="197">
        <v>100000</v>
      </c>
      <c r="I38" s="189">
        <f t="shared" si="0"/>
        <v>100</v>
      </c>
      <c r="M38" s="199"/>
    </row>
    <row r="39" spans="2:13" ht="24.75" customHeight="1">
      <c r="B39" s="14"/>
      <c r="C39" s="15"/>
      <c r="D39" s="15"/>
      <c r="E39" s="16">
        <v>614300</v>
      </c>
      <c r="F39" s="397" t="s">
        <v>708</v>
      </c>
      <c r="G39" s="164">
        <v>105000</v>
      </c>
      <c r="H39" s="164">
        <v>70000</v>
      </c>
      <c r="I39" s="153">
        <f t="shared" si="0"/>
        <v>66.666666666666657</v>
      </c>
    </row>
    <row r="40" spans="2:13" ht="12.95" customHeight="1">
      <c r="B40" s="14"/>
      <c r="C40" s="15"/>
      <c r="D40" s="15"/>
      <c r="E40" s="16">
        <v>614300</v>
      </c>
      <c r="F40" s="110" t="s">
        <v>238</v>
      </c>
      <c r="G40" s="164">
        <v>30000</v>
      </c>
      <c r="H40" s="164">
        <v>30000</v>
      </c>
      <c r="I40" s="153">
        <f t="shared" si="0"/>
        <v>100</v>
      </c>
    </row>
    <row r="41" spans="2:13" ht="12.95" customHeight="1">
      <c r="B41" s="14"/>
      <c r="C41" s="15"/>
      <c r="D41" s="15"/>
      <c r="E41" s="16">
        <v>614300</v>
      </c>
      <c r="F41" s="110" t="s">
        <v>325</v>
      </c>
      <c r="G41" s="164">
        <v>15000</v>
      </c>
      <c r="H41" s="164">
        <v>25000</v>
      </c>
      <c r="I41" s="153">
        <f t="shared" si="0"/>
        <v>166.66666666666669</v>
      </c>
    </row>
    <row r="42" spans="2:13" ht="12.95" customHeight="1">
      <c r="B42" s="14"/>
      <c r="C42" s="15"/>
      <c r="D42" s="15"/>
      <c r="E42" s="16">
        <v>614300</v>
      </c>
      <c r="F42" s="110" t="s">
        <v>723</v>
      </c>
      <c r="G42" s="164">
        <v>15000</v>
      </c>
      <c r="H42" s="164">
        <v>25000</v>
      </c>
      <c r="I42" s="153">
        <f t="shared" si="0"/>
        <v>166.66666666666669</v>
      </c>
    </row>
    <row r="43" spans="2:13" ht="24.75" customHeight="1">
      <c r="B43" s="14"/>
      <c r="C43" s="15"/>
      <c r="D43" s="15"/>
      <c r="E43" s="16">
        <v>614300</v>
      </c>
      <c r="F43" s="318" t="s">
        <v>639</v>
      </c>
      <c r="G43" s="164">
        <v>5000</v>
      </c>
      <c r="H43" s="164">
        <v>10000</v>
      </c>
      <c r="I43" s="153">
        <f t="shared" si="0"/>
        <v>200</v>
      </c>
    </row>
    <row r="44" spans="2:13" ht="12.95" customHeight="1">
      <c r="B44" s="14"/>
      <c r="C44" s="15"/>
      <c r="D44" s="15"/>
      <c r="E44" s="16">
        <v>614300</v>
      </c>
      <c r="F44" s="110" t="s">
        <v>240</v>
      </c>
      <c r="G44" s="164">
        <v>30000</v>
      </c>
      <c r="H44" s="164">
        <v>30000</v>
      </c>
      <c r="I44" s="153">
        <f t="shared" si="0"/>
        <v>100</v>
      </c>
    </row>
    <row r="45" spans="2:13" ht="12.95" customHeight="1">
      <c r="B45" s="14"/>
      <c r="C45" s="15"/>
      <c r="D45" s="15"/>
      <c r="E45" s="16">
        <v>614300</v>
      </c>
      <c r="F45" s="317" t="s">
        <v>98</v>
      </c>
      <c r="G45" s="164">
        <v>160000</v>
      </c>
      <c r="H45" s="164">
        <v>160000</v>
      </c>
      <c r="I45" s="153">
        <f t="shared" si="0"/>
        <v>100</v>
      </c>
    </row>
    <row r="46" spans="2:13" ht="12.95" customHeight="1">
      <c r="B46" s="14"/>
      <c r="C46" s="15"/>
      <c r="D46" s="15"/>
      <c r="E46" s="16"/>
      <c r="F46" s="110"/>
      <c r="G46" s="164"/>
      <c r="H46" s="164"/>
      <c r="I46" s="153" t="str">
        <f t="shared" si="0"/>
        <v/>
      </c>
    </row>
    <row r="47" spans="2:13" ht="12.95" customHeight="1">
      <c r="B47" s="14"/>
      <c r="C47" s="15"/>
      <c r="D47" s="15"/>
      <c r="E47" s="9">
        <v>615000</v>
      </c>
      <c r="F47" s="12" t="s">
        <v>91</v>
      </c>
      <c r="G47" s="163">
        <f>G48</f>
        <v>500000</v>
      </c>
      <c r="H47" s="163">
        <f>H48</f>
        <v>400000</v>
      </c>
      <c r="I47" s="200">
        <f t="shared" si="0"/>
        <v>80</v>
      </c>
    </row>
    <row r="48" spans="2:13" ht="12.95" customHeight="1">
      <c r="B48" s="14"/>
      <c r="C48" s="15"/>
      <c r="D48" s="15"/>
      <c r="E48" s="56">
        <v>615100</v>
      </c>
      <c r="F48" s="18" t="s">
        <v>91</v>
      </c>
      <c r="G48" s="159">
        <v>500000</v>
      </c>
      <c r="H48" s="159">
        <v>400000</v>
      </c>
      <c r="I48" s="153">
        <f t="shared" si="0"/>
        <v>80</v>
      </c>
    </row>
    <row r="49" spans="2:9" ht="12.95" customHeight="1">
      <c r="B49" s="14"/>
      <c r="C49" s="15"/>
      <c r="D49" s="15"/>
      <c r="E49" s="16"/>
      <c r="F49" s="19"/>
      <c r="G49" s="160"/>
      <c r="H49" s="160"/>
      <c r="I49" s="153" t="str">
        <f t="shared" si="0"/>
        <v/>
      </c>
    </row>
    <row r="50" spans="2:9" ht="12.95" customHeight="1">
      <c r="B50" s="17"/>
      <c r="C50" s="12"/>
      <c r="D50" s="12"/>
      <c r="E50" s="9">
        <v>821000</v>
      </c>
      <c r="F50" s="12" t="s">
        <v>92</v>
      </c>
      <c r="G50" s="20">
        <f>SUM(G51:G53)</f>
        <v>354830</v>
      </c>
      <c r="H50" s="20">
        <f>SUM(H51:H53)</f>
        <v>55000</v>
      </c>
      <c r="I50" s="200">
        <f t="shared" si="0"/>
        <v>15.500380463884115</v>
      </c>
    </row>
    <row r="51" spans="2:9" ht="12.95" customHeight="1">
      <c r="B51" s="14"/>
      <c r="C51" s="15"/>
      <c r="D51" s="15"/>
      <c r="E51" s="16">
        <v>821200</v>
      </c>
      <c r="F51" s="15" t="s">
        <v>93</v>
      </c>
      <c r="G51" s="43">
        <v>8800</v>
      </c>
      <c r="H51" s="82">
        <v>0</v>
      </c>
      <c r="I51" s="153">
        <f t="shared" si="0"/>
        <v>0</v>
      </c>
    </row>
    <row r="52" spans="2:9" ht="12.95" customHeight="1">
      <c r="B52" s="14"/>
      <c r="C52" s="15"/>
      <c r="D52" s="15"/>
      <c r="E52" s="16">
        <v>821300</v>
      </c>
      <c r="F52" s="15" t="s">
        <v>94</v>
      </c>
      <c r="G52" s="44">
        <v>59200</v>
      </c>
      <c r="H52" s="117">
        <v>5000</v>
      </c>
      <c r="I52" s="153">
        <f t="shared" si="0"/>
        <v>8.4459459459459456</v>
      </c>
    </row>
    <row r="53" spans="2:9" ht="12.95" customHeight="1">
      <c r="B53" s="14"/>
      <c r="C53" s="15"/>
      <c r="D53" s="15"/>
      <c r="E53" s="16">
        <v>821500</v>
      </c>
      <c r="F53" s="15" t="s">
        <v>642</v>
      </c>
      <c r="G53" s="166">
        <v>286830</v>
      </c>
      <c r="H53" s="169">
        <v>50000</v>
      </c>
      <c r="I53" s="153">
        <f t="shared" si="0"/>
        <v>17.431928319910746</v>
      </c>
    </row>
    <row r="54" spans="2:9" s="1" customFormat="1" ht="12.95" customHeight="1">
      <c r="B54" s="14"/>
      <c r="C54" s="15"/>
      <c r="D54" s="15"/>
      <c r="E54" s="16"/>
      <c r="F54" s="15"/>
      <c r="G54" s="20"/>
      <c r="H54" s="20"/>
      <c r="I54" s="153" t="str">
        <f t="shared" si="0"/>
        <v/>
      </c>
    </row>
    <row r="55" spans="2:9" ht="12.95" customHeight="1">
      <c r="B55" s="17"/>
      <c r="C55" s="12"/>
      <c r="D55" s="12"/>
      <c r="E55" s="9"/>
      <c r="F55" s="12" t="s">
        <v>95</v>
      </c>
      <c r="G55" s="20">
        <v>5</v>
      </c>
      <c r="H55" s="20">
        <v>6</v>
      </c>
      <c r="I55" s="153"/>
    </row>
    <row r="56" spans="2:9" ht="12.95" customHeight="1">
      <c r="B56" s="17"/>
      <c r="C56" s="12"/>
      <c r="D56" s="12"/>
      <c r="E56" s="9"/>
      <c r="F56" s="12" t="s">
        <v>115</v>
      </c>
      <c r="G56" s="20">
        <f>G7+G12+G18+G22+G35+G47+G50</f>
        <v>3108030</v>
      </c>
      <c r="H56" s="20">
        <f>H7+H12+H18+H22+H35+H47+H50</f>
        <v>2554660</v>
      </c>
      <c r="I56" s="200">
        <f t="shared" si="0"/>
        <v>82.195474303658585</v>
      </c>
    </row>
    <row r="57" spans="2:9" ht="12.95" customHeight="1">
      <c r="B57" s="17"/>
      <c r="C57" s="12"/>
      <c r="D57" s="12"/>
      <c r="E57" s="9"/>
      <c r="F57" s="12" t="s">
        <v>96</v>
      </c>
      <c r="G57" s="20"/>
      <c r="H57" s="15"/>
      <c r="I57" s="154"/>
    </row>
    <row r="58" spans="2:9" ht="12.95" customHeight="1">
      <c r="B58" s="17"/>
      <c r="C58" s="12"/>
      <c r="D58" s="12"/>
      <c r="E58" s="9"/>
      <c r="F58" s="12" t="s">
        <v>97</v>
      </c>
      <c r="G58" s="20"/>
      <c r="H58" s="15"/>
      <c r="I58" s="154"/>
    </row>
    <row r="59" spans="2:9" s="1" customFormat="1" ht="12.95" customHeight="1" thickBot="1">
      <c r="B59" s="21"/>
      <c r="C59" s="22"/>
      <c r="D59" s="22"/>
      <c r="E59" s="23"/>
      <c r="F59" s="22"/>
      <c r="G59" s="45"/>
      <c r="H59" s="22"/>
      <c r="I59" s="156"/>
    </row>
    <row r="60" spans="2:9" s="1" customFormat="1" ht="12.95" customHeight="1">
      <c r="B60" s="13"/>
      <c r="C60" s="13"/>
      <c r="D60" s="13"/>
      <c r="E60" s="24"/>
      <c r="F60" s="13"/>
      <c r="G60" s="13"/>
      <c r="H60" s="13"/>
      <c r="I60" s="140"/>
    </row>
    <row r="61" spans="2:9" s="1" customFormat="1" ht="12.95" customHeight="1">
      <c r="B61" s="13"/>
      <c r="C61" s="13"/>
      <c r="D61" s="13"/>
      <c r="E61" s="24"/>
      <c r="F61" s="13"/>
      <c r="G61" s="13"/>
      <c r="H61" s="13"/>
      <c r="I61" s="140"/>
    </row>
    <row r="62" spans="2:9" s="1" customFormat="1" ht="12.95" customHeight="1">
      <c r="B62" s="13"/>
      <c r="C62" s="13"/>
      <c r="D62" s="13"/>
      <c r="E62" s="24"/>
      <c r="F62" s="13"/>
      <c r="G62" s="13"/>
      <c r="H62" s="13"/>
      <c r="I62" s="140"/>
    </row>
    <row r="63" spans="2:9" ht="12.95" customHeight="1"/>
  </sheetData>
  <mergeCells count="2">
    <mergeCell ref="B2:H2"/>
    <mergeCell ref="F3:G3"/>
  </mergeCells>
  <phoneticPr fontId="2" type="noConversion"/>
  <pageMargins left="0.19685039370078741" right="0.19685039370078741" top="0.59055118110236227" bottom="0.59055118110236227" header="0.51181102362204722" footer="0.51181102362204722"/>
  <pageSetup paperSize="9" scale="88" firstPageNumber="10" orientation="portrait" useFirstPageNumber="1" horizontalDpi="180" verticalDpi="180" r:id="rId1"/>
  <headerFooter alignWithMargins="0">
    <oddFooter>&amp;R10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B2:L48"/>
  <sheetViews>
    <sheetView workbookViewId="0">
      <selection activeCell="G7" sqref="G7:G42"/>
    </sheetView>
  </sheetViews>
  <sheetFormatPr defaultRowHeight="12.75"/>
  <cols>
    <col min="1" max="1" width="1.5703125" style="13" customWidth="1"/>
    <col min="2" max="4" width="5.7109375" style="13" bestFit="1" customWidth="1"/>
    <col min="5" max="5" width="10.42578125" style="24" customWidth="1"/>
    <col min="6" max="6" width="43.7109375" style="13" customWidth="1"/>
    <col min="7" max="8" width="15.7109375" style="13" customWidth="1"/>
    <col min="9" max="9" width="8.7109375" style="140" customWidth="1"/>
    <col min="10" max="16384" width="9.140625" style="13"/>
  </cols>
  <sheetData>
    <row r="2" spans="2:12" s="112" customFormat="1" ht="15" customHeight="1">
      <c r="B2" s="450" t="s">
        <v>126</v>
      </c>
      <c r="C2" s="450"/>
      <c r="D2" s="450"/>
      <c r="E2" s="450"/>
      <c r="F2" s="450"/>
      <c r="G2" s="450"/>
      <c r="H2" s="450"/>
      <c r="I2" s="147"/>
    </row>
    <row r="3" spans="2:12" s="1" customFormat="1" ht="16.5" thickBot="1">
      <c r="E3" s="2"/>
      <c r="F3" s="449"/>
      <c r="G3" s="449"/>
      <c r="H3" s="181"/>
      <c r="I3" s="182"/>
    </row>
    <row r="4" spans="2:12" s="1" customFormat="1" ht="76.5" customHeight="1">
      <c r="B4" s="3" t="s">
        <v>79</v>
      </c>
      <c r="C4" s="4" t="s">
        <v>80</v>
      </c>
      <c r="D4" s="5" t="s">
        <v>112</v>
      </c>
      <c r="E4" s="6" t="s">
        <v>81</v>
      </c>
      <c r="F4" s="7" t="s">
        <v>82</v>
      </c>
      <c r="G4" s="316" t="s">
        <v>557</v>
      </c>
      <c r="H4" s="316" t="s">
        <v>683</v>
      </c>
      <c r="I4" s="149" t="s">
        <v>497</v>
      </c>
    </row>
    <row r="5" spans="2:12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34">
        <v>6</v>
      </c>
      <c r="H5" s="9">
        <v>7</v>
      </c>
      <c r="I5" s="150">
        <v>8</v>
      </c>
    </row>
    <row r="6" spans="2:12" s="2" customFormat="1" ht="12.95" customHeight="1">
      <c r="B6" s="10" t="s">
        <v>123</v>
      </c>
      <c r="C6" s="11" t="s">
        <v>83</v>
      </c>
      <c r="D6" s="11" t="s">
        <v>121</v>
      </c>
      <c r="E6" s="9"/>
      <c r="F6" s="9"/>
      <c r="G6" s="34"/>
      <c r="H6" s="9"/>
      <c r="I6" s="151"/>
    </row>
    <row r="7" spans="2:12" s="1" customFormat="1" ht="12.95" customHeight="1">
      <c r="B7" s="17"/>
      <c r="C7" s="12"/>
      <c r="D7" s="12"/>
      <c r="E7" s="9">
        <v>611000</v>
      </c>
      <c r="F7" s="12" t="s">
        <v>167</v>
      </c>
      <c r="G7" s="20">
        <f>SUM(G8:G11)</f>
        <v>6240</v>
      </c>
      <c r="H7" s="392">
        <f>SUM(H8:H11)</f>
        <v>33080</v>
      </c>
      <c r="I7" s="200">
        <f t="shared" ref="I7:I43" si="0">IF(G7=0,"",H7/G7*100)</f>
        <v>530.12820512820508</v>
      </c>
    </row>
    <row r="8" spans="2:12" ht="12.95" customHeight="1">
      <c r="B8" s="14"/>
      <c r="C8" s="15"/>
      <c r="D8" s="15"/>
      <c r="E8" s="16">
        <v>611100</v>
      </c>
      <c r="F8" s="26" t="s">
        <v>210</v>
      </c>
      <c r="G8" s="82">
        <v>2000</v>
      </c>
      <c r="H8" s="391">
        <f>16700+8800+840+440</f>
        <v>26780</v>
      </c>
      <c r="I8" s="153">
        <f t="shared" si="0"/>
        <v>1339</v>
      </c>
    </row>
    <row r="9" spans="2:12" ht="12.95" customHeight="1">
      <c r="B9" s="14"/>
      <c r="C9" s="15"/>
      <c r="D9" s="15"/>
      <c r="E9" s="16">
        <v>611200</v>
      </c>
      <c r="F9" s="15" t="s">
        <v>211</v>
      </c>
      <c r="G9" s="82">
        <f>600+240</f>
        <v>840</v>
      </c>
      <c r="H9" s="391">
        <f>10*21*11+210*4+400+2750</f>
        <v>6300</v>
      </c>
      <c r="I9" s="153">
        <f t="shared" si="0"/>
        <v>750</v>
      </c>
    </row>
    <row r="10" spans="2:12" ht="12.95" customHeight="1">
      <c r="B10" s="14"/>
      <c r="C10" s="15"/>
      <c r="D10" s="15"/>
      <c r="E10" s="16">
        <v>611200</v>
      </c>
      <c r="F10" s="363" t="s">
        <v>699</v>
      </c>
      <c r="G10" s="82">
        <v>3400</v>
      </c>
      <c r="H10" s="391">
        <v>0</v>
      </c>
      <c r="I10" s="153">
        <f t="shared" si="0"/>
        <v>0</v>
      </c>
      <c r="K10" s="89"/>
    </row>
    <row r="11" spans="2:12" ht="12.95" customHeight="1">
      <c r="B11" s="14"/>
      <c r="C11" s="15"/>
      <c r="D11" s="15"/>
      <c r="E11" s="16"/>
      <c r="F11" s="26"/>
      <c r="G11" s="43"/>
      <c r="H11" s="391"/>
      <c r="I11" s="153" t="str">
        <f t="shared" si="0"/>
        <v/>
      </c>
    </row>
    <row r="12" spans="2:12" ht="12.95" customHeight="1">
      <c r="B12" s="14"/>
      <c r="C12" s="15"/>
      <c r="D12" s="15"/>
      <c r="E12" s="16"/>
      <c r="F12" s="15"/>
      <c r="G12" s="20"/>
      <c r="H12" s="392"/>
      <c r="I12" s="153" t="str">
        <f t="shared" si="0"/>
        <v/>
      </c>
    </row>
    <row r="13" spans="2:12" s="1" customFormat="1" ht="12.95" customHeight="1">
      <c r="B13" s="17"/>
      <c r="C13" s="12"/>
      <c r="D13" s="12"/>
      <c r="E13" s="9">
        <v>612000</v>
      </c>
      <c r="F13" s="12" t="s">
        <v>166</v>
      </c>
      <c r="G13" s="20">
        <f>G14</f>
        <v>300</v>
      </c>
      <c r="H13" s="392">
        <f>H14</f>
        <v>3110</v>
      </c>
      <c r="I13" s="153">
        <f t="shared" si="0"/>
        <v>1036.6666666666667</v>
      </c>
      <c r="L13" s="95"/>
    </row>
    <row r="14" spans="2:12" ht="12.95" customHeight="1">
      <c r="B14" s="14"/>
      <c r="C14" s="15"/>
      <c r="D14" s="15"/>
      <c r="E14" s="16">
        <v>612100</v>
      </c>
      <c r="F14" s="18" t="s">
        <v>85</v>
      </c>
      <c r="G14" s="82">
        <v>300</v>
      </c>
      <c r="H14" s="391">
        <f>2000+960+100+50</f>
        <v>3110</v>
      </c>
      <c r="I14" s="153">
        <f t="shared" si="0"/>
        <v>1036.6666666666667</v>
      </c>
      <c r="L14" s="81"/>
    </row>
    <row r="15" spans="2:12" ht="12.95" customHeight="1">
      <c r="B15" s="14"/>
      <c r="C15" s="15"/>
      <c r="D15" s="15"/>
      <c r="E15" s="16"/>
      <c r="F15" s="15"/>
      <c r="G15" s="43"/>
      <c r="H15" s="43"/>
      <c r="I15" s="153" t="str">
        <f t="shared" si="0"/>
        <v/>
      </c>
    </row>
    <row r="16" spans="2:12" ht="12.95" customHeight="1">
      <c r="B16" s="14"/>
      <c r="C16" s="15"/>
      <c r="D16" s="15"/>
      <c r="E16" s="16"/>
      <c r="F16" s="15"/>
      <c r="G16" s="49"/>
      <c r="H16" s="49"/>
      <c r="I16" s="153" t="str">
        <f t="shared" si="0"/>
        <v/>
      </c>
    </row>
    <row r="17" spans="2:10" s="1" customFormat="1" ht="12.95" customHeight="1">
      <c r="B17" s="17"/>
      <c r="C17" s="12"/>
      <c r="D17" s="12"/>
      <c r="E17" s="9">
        <v>613000</v>
      </c>
      <c r="F17" s="12" t="s">
        <v>168</v>
      </c>
      <c r="G17" s="49">
        <f>SUM(G18:G27)</f>
        <v>14100</v>
      </c>
      <c r="H17" s="49">
        <f>SUM(H18:H27)</f>
        <v>12000</v>
      </c>
      <c r="I17" s="200">
        <f t="shared" si="0"/>
        <v>85.106382978723403</v>
      </c>
    </row>
    <row r="18" spans="2:10" ht="12.95" customHeight="1">
      <c r="B18" s="14"/>
      <c r="C18" s="15"/>
      <c r="D18" s="15"/>
      <c r="E18" s="16">
        <v>613100</v>
      </c>
      <c r="F18" s="15" t="s">
        <v>86</v>
      </c>
      <c r="G18" s="43">
        <v>300</v>
      </c>
      <c r="H18" s="43">
        <v>500</v>
      </c>
      <c r="I18" s="153">
        <f t="shared" si="0"/>
        <v>166.66666666666669</v>
      </c>
    </row>
    <row r="19" spans="2:10" ht="12.95" customHeight="1">
      <c r="B19" s="14"/>
      <c r="C19" s="15"/>
      <c r="D19" s="15"/>
      <c r="E19" s="16">
        <v>613200</v>
      </c>
      <c r="F19" s="15" t="s">
        <v>87</v>
      </c>
      <c r="G19" s="43">
        <v>0</v>
      </c>
      <c r="H19" s="43">
        <v>0</v>
      </c>
      <c r="I19" s="153" t="str">
        <f t="shared" si="0"/>
        <v/>
      </c>
    </row>
    <row r="20" spans="2:10" ht="12.95" customHeight="1">
      <c r="B20" s="14"/>
      <c r="C20" s="15"/>
      <c r="D20" s="15"/>
      <c r="E20" s="16">
        <v>613300</v>
      </c>
      <c r="F20" s="26" t="s">
        <v>212</v>
      </c>
      <c r="G20" s="43">
        <v>1100</v>
      </c>
      <c r="H20" s="43">
        <v>1100</v>
      </c>
      <c r="I20" s="153">
        <f t="shared" si="0"/>
        <v>100</v>
      </c>
    </row>
    <row r="21" spans="2:10" ht="12.95" customHeight="1">
      <c r="B21" s="14"/>
      <c r="C21" s="15"/>
      <c r="D21" s="15"/>
      <c r="E21" s="16">
        <v>613400</v>
      </c>
      <c r="F21" s="15" t="s">
        <v>169</v>
      </c>
      <c r="G21" s="43">
        <v>0</v>
      </c>
      <c r="H21" s="43">
        <v>0</v>
      </c>
      <c r="I21" s="153" t="str">
        <f t="shared" si="0"/>
        <v/>
      </c>
    </row>
    <row r="22" spans="2:10" ht="12.95" customHeight="1">
      <c r="B22" s="14"/>
      <c r="C22" s="15"/>
      <c r="D22" s="15"/>
      <c r="E22" s="16">
        <v>613500</v>
      </c>
      <c r="F22" s="15" t="s">
        <v>88</v>
      </c>
      <c r="G22" s="43">
        <v>0</v>
      </c>
      <c r="H22" s="43">
        <v>0</v>
      </c>
      <c r="I22" s="153" t="str">
        <f t="shared" si="0"/>
        <v/>
      </c>
    </row>
    <row r="23" spans="2:10" ht="12.95" customHeight="1">
      <c r="B23" s="14"/>
      <c r="C23" s="15"/>
      <c r="D23" s="15"/>
      <c r="E23" s="16">
        <v>613600</v>
      </c>
      <c r="F23" s="26" t="s">
        <v>213</v>
      </c>
      <c r="G23" s="43">
        <v>0</v>
      </c>
      <c r="H23" s="43">
        <v>0</v>
      </c>
      <c r="I23" s="153" t="str">
        <f t="shared" si="0"/>
        <v/>
      </c>
    </row>
    <row r="24" spans="2:10" ht="12.95" customHeight="1">
      <c r="B24" s="14"/>
      <c r="C24" s="15"/>
      <c r="D24" s="15"/>
      <c r="E24" s="16">
        <v>613700</v>
      </c>
      <c r="F24" s="15" t="s">
        <v>89</v>
      </c>
      <c r="G24" s="43">
        <v>400</v>
      </c>
      <c r="H24" s="43">
        <v>400</v>
      </c>
      <c r="I24" s="153">
        <f t="shared" si="0"/>
        <v>100</v>
      </c>
    </row>
    <row r="25" spans="2:10" ht="12.95" customHeight="1">
      <c r="B25" s="14"/>
      <c r="C25" s="15"/>
      <c r="D25" s="15"/>
      <c r="E25" s="16">
        <v>613800</v>
      </c>
      <c r="F25" s="15" t="s">
        <v>170</v>
      </c>
      <c r="G25" s="43">
        <v>0</v>
      </c>
      <c r="H25" s="43">
        <v>0</v>
      </c>
      <c r="I25" s="153" t="str">
        <f t="shared" si="0"/>
        <v/>
      </c>
      <c r="J25" s="81"/>
    </row>
    <row r="26" spans="2:10" ht="12.95" customHeight="1">
      <c r="B26" s="14"/>
      <c r="C26" s="15"/>
      <c r="D26" s="15"/>
      <c r="E26" s="16">
        <v>613900</v>
      </c>
      <c r="F26" s="15" t="s">
        <v>171</v>
      </c>
      <c r="G26" s="82">
        <v>9000</v>
      </c>
      <c r="H26" s="82">
        <v>10000</v>
      </c>
      <c r="I26" s="153">
        <f t="shared" si="0"/>
        <v>111.11111111111111</v>
      </c>
    </row>
    <row r="27" spans="2:10" ht="12.95" customHeight="1">
      <c r="B27" s="14"/>
      <c r="C27" s="15"/>
      <c r="D27" s="15"/>
      <c r="E27" s="16">
        <v>613900</v>
      </c>
      <c r="F27" s="363" t="s">
        <v>701</v>
      </c>
      <c r="G27" s="43">
        <v>3300</v>
      </c>
      <c r="H27" s="43">
        <v>0</v>
      </c>
      <c r="I27" s="153">
        <f t="shared" si="0"/>
        <v>0</v>
      </c>
    </row>
    <row r="28" spans="2:10" ht="12.95" customHeight="1">
      <c r="B28" s="14"/>
      <c r="C28" s="15"/>
      <c r="D28" s="15"/>
      <c r="E28" s="16"/>
      <c r="F28" s="15"/>
      <c r="G28" s="20"/>
      <c r="H28" s="20"/>
      <c r="I28" s="153" t="str">
        <f t="shared" si="0"/>
        <v/>
      </c>
    </row>
    <row r="29" spans="2:10" s="1" customFormat="1" ht="12.95" customHeight="1">
      <c r="B29" s="17"/>
      <c r="C29" s="12"/>
      <c r="D29" s="12"/>
      <c r="E29" s="59">
        <v>614000</v>
      </c>
      <c r="F29" s="12" t="s">
        <v>214</v>
      </c>
      <c r="G29" s="20">
        <f>G30</f>
        <v>12000</v>
      </c>
      <c r="H29" s="20">
        <f>H30</f>
        <v>15000</v>
      </c>
      <c r="I29" s="200">
        <f t="shared" si="0"/>
        <v>125</v>
      </c>
    </row>
    <row r="30" spans="2:10" ht="12.95" customHeight="1">
      <c r="B30" s="14"/>
      <c r="C30" s="15"/>
      <c r="D30" s="30"/>
      <c r="E30" s="61">
        <v>614200</v>
      </c>
      <c r="F30" s="58" t="s">
        <v>101</v>
      </c>
      <c r="G30" s="82">
        <v>12000</v>
      </c>
      <c r="H30" s="82">
        <v>15000</v>
      </c>
      <c r="I30" s="153">
        <f t="shared" si="0"/>
        <v>125</v>
      </c>
    </row>
    <row r="31" spans="2:10" ht="12.95" customHeight="1">
      <c r="B31" s="14"/>
      <c r="C31" s="15"/>
      <c r="D31" s="15"/>
      <c r="E31" s="60"/>
      <c r="F31" s="15"/>
      <c r="G31" s="43"/>
      <c r="H31" s="43"/>
      <c r="I31" s="153" t="str">
        <f t="shared" si="0"/>
        <v/>
      </c>
    </row>
    <row r="32" spans="2:10" ht="12.95" customHeight="1">
      <c r="B32" s="14"/>
      <c r="C32" s="15"/>
      <c r="D32" s="15"/>
      <c r="E32" s="16"/>
      <c r="F32" s="15"/>
      <c r="G32" s="43"/>
      <c r="H32" s="43"/>
      <c r="I32" s="153" t="str">
        <f t="shared" si="0"/>
        <v/>
      </c>
    </row>
    <row r="33" spans="2:9" ht="12.95" customHeight="1">
      <c r="B33" s="14"/>
      <c r="C33" s="15"/>
      <c r="D33" s="15"/>
      <c r="E33" s="16"/>
      <c r="F33" s="15"/>
      <c r="G33" s="43"/>
      <c r="H33" s="43"/>
      <c r="I33" s="153" t="str">
        <f t="shared" si="0"/>
        <v/>
      </c>
    </row>
    <row r="34" spans="2:9" ht="12.95" customHeight="1">
      <c r="B34" s="14"/>
      <c r="C34" s="15"/>
      <c r="D34" s="15"/>
      <c r="E34" s="16"/>
      <c r="F34" s="15"/>
      <c r="G34" s="43"/>
      <c r="H34" s="43"/>
      <c r="I34" s="153" t="str">
        <f t="shared" si="0"/>
        <v/>
      </c>
    </row>
    <row r="35" spans="2:9" ht="12.95" customHeight="1">
      <c r="B35" s="14"/>
      <c r="C35" s="15"/>
      <c r="D35" s="15"/>
      <c r="E35" s="16"/>
      <c r="F35" s="19"/>
      <c r="G35" s="43"/>
      <c r="H35" s="43"/>
      <c r="I35" s="153" t="str">
        <f t="shared" si="0"/>
        <v/>
      </c>
    </row>
    <row r="36" spans="2:9" ht="12.95" customHeight="1">
      <c r="B36" s="14"/>
      <c r="C36" s="15"/>
      <c r="D36" s="15"/>
      <c r="E36" s="16"/>
      <c r="F36" s="15"/>
      <c r="G36" s="20"/>
      <c r="H36" s="20"/>
      <c r="I36" s="153" t="str">
        <f t="shared" si="0"/>
        <v/>
      </c>
    </row>
    <row r="37" spans="2:9" s="1" customFormat="1" ht="12.95" customHeight="1">
      <c r="B37" s="17"/>
      <c r="C37" s="12"/>
      <c r="D37" s="12"/>
      <c r="E37" s="9">
        <v>821000</v>
      </c>
      <c r="F37" s="12" t="s">
        <v>92</v>
      </c>
      <c r="G37" s="20">
        <f>SUM(G38:G39)</f>
        <v>1000</v>
      </c>
      <c r="H37" s="20">
        <f>SUM(H38:H39)</f>
        <v>1000</v>
      </c>
      <c r="I37" s="153">
        <f t="shared" si="0"/>
        <v>100</v>
      </c>
    </row>
    <row r="38" spans="2:9" ht="12.95" customHeight="1">
      <c r="B38" s="14"/>
      <c r="C38" s="15"/>
      <c r="D38" s="15"/>
      <c r="E38" s="16">
        <v>821200</v>
      </c>
      <c r="F38" s="15" t="s">
        <v>93</v>
      </c>
      <c r="G38" s="82">
        <v>0</v>
      </c>
      <c r="H38" s="82">
        <v>0</v>
      </c>
      <c r="I38" s="153" t="str">
        <f t="shared" si="0"/>
        <v/>
      </c>
    </row>
    <row r="39" spans="2:9" ht="12.95" customHeight="1">
      <c r="B39" s="14"/>
      <c r="C39" s="15"/>
      <c r="D39" s="15"/>
      <c r="E39" s="16">
        <v>821300</v>
      </c>
      <c r="F39" s="15" t="s">
        <v>94</v>
      </c>
      <c r="G39" s="43">
        <v>1000</v>
      </c>
      <c r="H39" s="43">
        <v>1000</v>
      </c>
      <c r="I39" s="153">
        <f t="shared" si="0"/>
        <v>100</v>
      </c>
    </row>
    <row r="40" spans="2:9" ht="12.95" customHeight="1">
      <c r="B40" s="14"/>
      <c r="C40" s="15"/>
      <c r="D40" s="15"/>
      <c r="E40" s="16"/>
      <c r="F40" s="15"/>
      <c r="G40" s="43"/>
      <c r="H40" s="43"/>
      <c r="I40" s="153" t="str">
        <f t="shared" si="0"/>
        <v/>
      </c>
    </row>
    <row r="41" spans="2:9" ht="12.95" customHeight="1">
      <c r="B41" s="14"/>
      <c r="C41" s="15"/>
      <c r="D41" s="15"/>
      <c r="E41" s="16"/>
      <c r="F41" s="15"/>
      <c r="G41" s="20"/>
      <c r="H41" s="20"/>
      <c r="I41" s="153" t="str">
        <f t="shared" si="0"/>
        <v/>
      </c>
    </row>
    <row r="42" spans="2:9" s="1" customFormat="1" ht="12.95" customHeight="1">
      <c r="B42" s="17"/>
      <c r="C42" s="12"/>
      <c r="D42" s="12"/>
      <c r="E42" s="9"/>
      <c r="F42" s="12" t="s">
        <v>95</v>
      </c>
      <c r="G42" s="108">
        <v>1</v>
      </c>
      <c r="H42" s="108">
        <v>2</v>
      </c>
      <c r="I42" s="153"/>
    </row>
    <row r="43" spans="2:9" s="1" customFormat="1" ht="12.95" customHeight="1">
      <c r="B43" s="17"/>
      <c r="C43" s="12"/>
      <c r="D43" s="12"/>
      <c r="E43" s="9"/>
      <c r="F43" s="12" t="s">
        <v>115</v>
      </c>
      <c r="G43" s="20">
        <f>G37+G29+G17+G13+G7</f>
        <v>33640</v>
      </c>
      <c r="H43" s="20">
        <f>H37+H29+H17+H13+H7</f>
        <v>64190</v>
      </c>
      <c r="I43" s="200">
        <f t="shared" si="0"/>
        <v>190.81450653983353</v>
      </c>
    </row>
    <row r="44" spans="2:9" s="1" customFormat="1" ht="12.95" customHeight="1">
      <c r="B44" s="17"/>
      <c r="C44" s="12"/>
      <c r="D44" s="12"/>
      <c r="E44" s="9"/>
      <c r="F44" s="12" t="s">
        <v>96</v>
      </c>
      <c r="G44" s="20"/>
      <c r="H44" s="20"/>
      <c r="I44" s="155"/>
    </row>
    <row r="45" spans="2:9" s="1" customFormat="1" ht="12.95" customHeight="1">
      <c r="B45" s="17"/>
      <c r="C45" s="12"/>
      <c r="D45" s="12"/>
      <c r="E45" s="9"/>
      <c r="F45" s="12" t="s">
        <v>97</v>
      </c>
      <c r="G45" s="20"/>
      <c r="H45" s="43"/>
      <c r="I45" s="154"/>
    </row>
    <row r="46" spans="2:9" ht="12.95" customHeight="1" thickBot="1">
      <c r="B46" s="21"/>
      <c r="C46" s="22"/>
      <c r="D46" s="22"/>
      <c r="E46" s="23"/>
      <c r="F46" s="22"/>
      <c r="G46" s="48"/>
      <c r="H46" s="22"/>
      <c r="I46" s="156"/>
    </row>
    <row r="48" spans="2:9">
      <c r="B48" s="81"/>
    </row>
  </sheetData>
  <mergeCells count="2">
    <mergeCell ref="B2:H2"/>
    <mergeCell ref="F3:G3"/>
  </mergeCells>
  <phoneticPr fontId="2" type="noConversion"/>
  <pageMargins left="0.19685039370078741" right="0.19685039370078741" top="0.59055118110236227" bottom="0.59055118110236227" header="0.51181102362204722" footer="0.51181102362204722"/>
  <pageSetup paperSize="9" scale="88" firstPageNumber="10" orientation="portrait" useFirstPageNumber="1" horizontalDpi="180" verticalDpi="180" r:id="rId1"/>
  <headerFooter alignWithMargins="0">
    <oddFooter>&amp;R11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46</vt:i4>
      </vt:variant>
      <vt:variant>
        <vt:lpstr>Imenovani rasponi</vt:lpstr>
      </vt:variant>
      <vt:variant>
        <vt:i4>12</vt:i4>
      </vt:variant>
    </vt:vector>
  </HeadingPairs>
  <TitlesOfParts>
    <vt:vector size="58" baseType="lpstr">
      <vt:lpstr>Naslovnica</vt:lpstr>
      <vt:lpstr>Sadrzaj</vt:lpstr>
      <vt:lpstr>Uvod</vt:lpstr>
      <vt:lpstr>Prihodi</vt:lpstr>
      <vt:lpstr>Rashodi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Sumarno</vt:lpstr>
      <vt:lpstr>Funkcijska</vt:lpstr>
      <vt:lpstr>Kap.pror.</vt:lpstr>
      <vt:lpstr>Kraj</vt:lpstr>
      <vt:lpstr>Funkcijska!Ispis_naslova</vt:lpstr>
      <vt:lpstr>Prihodi!Ispis_naslova</vt:lpstr>
      <vt:lpstr>Rashodi!Ispis_naslova</vt:lpstr>
      <vt:lpstr>'15'!Podrucje_ispisa</vt:lpstr>
      <vt:lpstr>'16'!Podrucje_ispisa</vt:lpstr>
      <vt:lpstr>'17'!Podrucje_ispisa</vt:lpstr>
      <vt:lpstr>'21'!Podrucje_ispisa</vt:lpstr>
      <vt:lpstr>Funkcijska!Podrucje_ispisa</vt:lpstr>
      <vt:lpstr>Prihodi!Podrucje_ispisa</vt:lpstr>
      <vt:lpstr>Rashodi!Podrucje_ispisa</vt:lpstr>
      <vt:lpstr>Sadrzaj!Podrucje_ispisa</vt:lpstr>
      <vt:lpstr>Uvod!Podrucje_ispisa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operater</dc:creator>
  <cp:lastModifiedBy>Elvis Živković</cp:lastModifiedBy>
  <cp:lastPrinted>2017-01-09T09:18:32Z</cp:lastPrinted>
  <dcterms:created xsi:type="dcterms:W3CDTF">2004-07-23T11:14:23Z</dcterms:created>
  <dcterms:modified xsi:type="dcterms:W3CDTF">2017-02-13T13:02:02Z</dcterms:modified>
</cp:coreProperties>
</file>