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1660" windowHeight="4785" tabRatio="964" firstSheet="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  <sheet name="10" sheetId="10" r:id="rId10"/>
    <sheet name="11" sheetId="11" r:id="rId11"/>
    <sheet name="12" sheetId="12" r:id="rId12"/>
    <sheet name="13" sheetId="13" r:id="rId13"/>
    <sheet name="14" sheetId="14" r:id="rId14"/>
    <sheet name="15" sheetId="15" r:id="rId15"/>
    <sheet name="16" sheetId="16" r:id="rId16"/>
    <sheet name="17" sheetId="17" r:id="rId17"/>
    <sheet name="18" sheetId="18" r:id="rId18"/>
    <sheet name="19" sheetId="19" r:id="rId19"/>
    <sheet name="20" sheetId="20" r:id="rId20"/>
    <sheet name="21" sheetId="21" r:id="rId21"/>
    <sheet name="22" sheetId="22" r:id="rId22"/>
    <sheet name="23" sheetId="23" r:id="rId23"/>
    <sheet name="24" sheetId="24" r:id="rId24"/>
    <sheet name="25" sheetId="25" r:id="rId25"/>
    <sheet name="26" sheetId="26" r:id="rId26"/>
    <sheet name="27" sheetId="27" r:id="rId27"/>
    <sheet name="28" sheetId="28" r:id="rId28"/>
    <sheet name="29" sheetId="29" r:id="rId29"/>
    <sheet name="30" sheetId="30" r:id="rId30"/>
    <sheet name="31" sheetId="31" r:id="rId31"/>
    <sheet name="32" sheetId="32" r:id="rId32"/>
    <sheet name="33" sheetId="33" r:id="rId33"/>
    <sheet name="34" sheetId="34" r:id="rId34"/>
    <sheet name="35" sheetId="35" r:id="rId35"/>
    <sheet name="36" sheetId="36" r:id="rId36"/>
    <sheet name="37" sheetId="37" r:id="rId37"/>
  </sheets>
  <definedNames>
    <definedName name="ACCOUNTEDPERIODTYPE1">#REF!</definedName>
    <definedName name="APPSUSERNAME1">#REF!</definedName>
    <definedName name="BUDGETORGID1">#REF!</definedName>
    <definedName name="BUDGETORGNAME1">#REF!</definedName>
    <definedName name="CHARTOFACCOUNTSID1">#REF!</definedName>
    <definedName name="CONNECTSTRING1">#REF!</definedName>
    <definedName name="CREATESUMMARYJNLS1">#REF!</definedName>
    <definedName name="CRITERIACOLUMN1">#REF!</definedName>
    <definedName name="DBNAME1">#REF!</definedName>
    <definedName name="DBUSERNAME1">#REF!</definedName>
    <definedName name="DELETELOGICTYPE1">#REF!</definedName>
    <definedName name="FFAPPCOLNAME1_1">#REF!</definedName>
    <definedName name="FFAPPCOLNAME2_1">#REF!</definedName>
    <definedName name="FFAPPCOLNAME3_1">#REF!</definedName>
    <definedName name="FFAPPCOLNAME4_1">#REF!</definedName>
    <definedName name="FFAPPCOLNAME5_1">#REF!</definedName>
    <definedName name="FFAPPCOLNAME6_1">#REF!</definedName>
    <definedName name="FFSEGMENT1_1">#REF!</definedName>
    <definedName name="FFSEGMENT2_1">#REF!</definedName>
    <definedName name="FFSEGMENT3_1">#REF!</definedName>
    <definedName name="FFSEGMENT4_1">#REF!</definedName>
    <definedName name="FFSEGMENT5_1">#REF!</definedName>
    <definedName name="FFSEGMENT6_1">#REF!</definedName>
    <definedName name="FFSEGSEPARATOR1">#REF!</definedName>
    <definedName name="FIELDNAMECOLUMN1">#REF!</definedName>
    <definedName name="FIELDNAMEROW1">#REF!</definedName>
    <definedName name="FIRSTDATAROW1">#REF!</definedName>
    <definedName name="FNDNAM1">#REF!</definedName>
    <definedName name="FNDUSERID1">#REF!</definedName>
    <definedName name="FUNCTIONALCURRENCY1">#REF!</definedName>
    <definedName name="GWYUID1">#REF!</definedName>
    <definedName name="IMPORTDFF1">#REF!</definedName>
    <definedName name="LABELTEXTCOLUMN1">#REF!</definedName>
    <definedName name="LABELTEXTROW1">#REF!</definedName>
    <definedName name="NOOFFFSEGMENTS1">#REF!</definedName>
    <definedName name="NUMBEROFDETAILFIELDS1">#REF!</definedName>
    <definedName name="NUMBEROFHEADERFIELDS1">#REF!</definedName>
    <definedName name="PERIODSETNAME1">#REF!</definedName>
    <definedName name="_xlnm.Print_Area" localSheetId="14">'15'!$B$1:$I$43</definedName>
    <definedName name="_xlnm.Print_Area" localSheetId="15">'16'!$A$1:$I$57</definedName>
    <definedName name="_xlnm.Print_Area" localSheetId="16">'17'!$A$1:$I$50</definedName>
    <definedName name="_xlnm.Print_Area" localSheetId="20">'21'!$A$1:$I$45</definedName>
    <definedName name="POSTERRORSTOSUSP1">#REF!</definedName>
    <definedName name="RESPONSIBILITYAPPLICATIONID1">#REF!</definedName>
    <definedName name="RESPONSIBILITYID1">#REF!</definedName>
    <definedName name="RESPONSIBILITYNAME1">#REF!</definedName>
    <definedName name="ROWSTOUPLOAD1">#REF!</definedName>
    <definedName name="SETOFBOOKSID1">#REF!</definedName>
    <definedName name="SETOFBOOKSNAME1">#REF!</definedName>
    <definedName name="STARTJOURNALIMPORT1">#REF!</definedName>
    <definedName name="TEMPLATENUMBER1">#REF!</definedName>
    <definedName name="TEMPLATESTYLE1">#REF!</definedName>
    <definedName name="TEMPLATETYPE1">#REF!</definedName>
  </definedNames>
  <calcPr fullCalcOnLoad="1"/>
</workbook>
</file>

<file path=xl/sharedStrings.xml><?xml version="1.0" encoding="utf-8"?>
<sst xmlns="http://schemas.openxmlformats.org/spreadsheetml/2006/main" count="1414" uniqueCount="169">
  <si>
    <t>Ministarstvo
(razdjel)</t>
  </si>
  <si>
    <t>Proračunska
institucija</t>
  </si>
  <si>
    <t>Ekonomski 
kod</t>
  </si>
  <si>
    <t>OPIS</t>
  </si>
  <si>
    <t>01</t>
  </si>
  <si>
    <t>0001</t>
  </si>
  <si>
    <t xml:space="preserve"> Doprinosi poslodavca</t>
  </si>
  <si>
    <t xml:space="preserve"> Putni troškovi</t>
  </si>
  <si>
    <t xml:space="preserve"> Izdaci za energiju</t>
  </si>
  <si>
    <t xml:space="preserve"> Izdaci za usluge prijevoza i goriva</t>
  </si>
  <si>
    <t xml:space="preserve"> Izdaci za tekuće održavanje</t>
  </si>
  <si>
    <t xml:space="preserve"> Tekuće održavanje cesta</t>
  </si>
  <si>
    <t xml:space="preserve"> Kapitalni grantovi</t>
  </si>
  <si>
    <t xml:space="preserve"> Izdaci za nabavku stalnih sredstava</t>
  </si>
  <si>
    <t xml:space="preserve"> Nabavka građevina</t>
  </si>
  <si>
    <t xml:space="preserve"> Nabavka opreme</t>
  </si>
  <si>
    <t xml:space="preserve"> Ukupan broj zaposlenih:</t>
  </si>
  <si>
    <t xml:space="preserve"> Ukupno za proračunsku instituciju:</t>
  </si>
  <si>
    <t xml:space="preserve"> Ukupno za ministarstvo (razdjel):</t>
  </si>
  <si>
    <t xml:space="preserve"> Grantovi političkim strankama</t>
  </si>
  <si>
    <t xml:space="preserve"> Tekuća pričuva Vlade</t>
  </si>
  <si>
    <t xml:space="preserve"> Tekuća pričuva predsjednika Vlade</t>
  </si>
  <si>
    <t xml:space="preserve"> Grantovi za povratak raseljenih osoba</t>
  </si>
  <si>
    <t xml:space="preserve"> Grantovi za šport i kulturu</t>
  </si>
  <si>
    <t xml:space="preserve"> Grantovi za informiranje</t>
  </si>
  <si>
    <t xml:space="preserve"> Grantovi za financiranje vjerskih zajednica</t>
  </si>
  <si>
    <t xml:space="preserve"> Rekonstrukcija i investicijsko održavanje</t>
  </si>
  <si>
    <t xml:space="preserve"> Grantovi za zdravstvene i socijalne potrebe</t>
  </si>
  <si>
    <t xml:space="preserve"> Tekuća pričuva ministra financija</t>
  </si>
  <si>
    <t>Potrošačka
jedinica</t>
  </si>
  <si>
    <t xml:space="preserve"> Ostali grantovi-povrat i drugo</t>
  </si>
  <si>
    <t xml:space="preserve"> Isplate stipendija</t>
  </si>
  <si>
    <t xml:space="preserve"> Ukupno za potrošačku jedinicu:</t>
  </si>
  <si>
    <t xml:space="preserve"> Grant za razvoj poduzetništva i obrta</t>
  </si>
  <si>
    <t xml:space="preserve"> Grantovi za branitelje i stradalnike dom. rata</t>
  </si>
  <si>
    <t xml:space="preserve"> Grant za zaštitu od prirodnih i drugih nesreća</t>
  </si>
  <si>
    <t>SKUPŠTINA ŽUPANIJE POSAVSKE</t>
  </si>
  <si>
    <t>STRUČNA SLUŽBA SKUPŠTINE ŽUPANIJE POSAVSKE</t>
  </si>
  <si>
    <t>0002</t>
  </si>
  <si>
    <t>VLADA ŽUPANIJE POSAVSKE</t>
  </si>
  <si>
    <t>11</t>
  </si>
  <si>
    <t xml:space="preserve"> Rashodi - Tekuća pričuva</t>
  </si>
  <si>
    <t xml:space="preserve"> Tekuća pričuva zamjenika pred. Vlade</t>
  </si>
  <si>
    <t>URED ZA RASELJENE</t>
  </si>
  <si>
    <t>URED ZA ZAKONODAVSTVO</t>
  </si>
  <si>
    <t>0003</t>
  </si>
  <si>
    <t>0004</t>
  </si>
  <si>
    <t>ZAJEDNIČKA SLUŽBA VLADE</t>
  </si>
  <si>
    <t>12</t>
  </si>
  <si>
    <t>MINISTARSTVO UNUTARNJIH POSLOVA ŽUPANIJE POSAVSKE</t>
  </si>
  <si>
    <t>13</t>
  </si>
  <si>
    <t>MINISTARSTVO PRAVOSUĐA I UPRAVE</t>
  </si>
  <si>
    <t>14</t>
  </si>
  <si>
    <t>02</t>
  </si>
  <si>
    <t>05</t>
  </si>
  <si>
    <t>15</t>
  </si>
  <si>
    <t>16</t>
  </si>
  <si>
    <t>MINISTARSTVO FINANCIJA</t>
  </si>
  <si>
    <t>MINISTARSTVO ZDRAVSTVA, RADA I SOCIJALNE POLITIKE</t>
  </si>
  <si>
    <t>17</t>
  </si>
  <si>
    <t>18</t>
  </si>
  <si>
    <t>MINISTARSTVO POLJOPRIVREDE, VODOPRIVREDE I ŠUMARSTVA</t>
  </si>
  <si>
    <t>19</t>
  </si>
  <si>
    <t>MINISTARSTVO PROSVJETE, ZNANOSTI, KULTURE I ŠPORTA</t>
  </si>
  <si>
    <t>20</t>
  </si>
  <si>
    <t>MINISTARSTVO PROSVJETE - OSNOVNA ŠKOLA ORAŠJE</t>
  </si>
  <si>
    <t>03</t>
  </si>
  <si>
    <t>0005</t>
  </si>
  <si>
    <t>0006</t>
  </si>
  <si>
    <t>0007</t>
  </si>
  <si>
    <t>21</t>
  </si>
  <si>
    <t>22</t>
  </si>
  <si>
    <t>AGENCIJA ZA PRIVATIZACIJU</t>
  </si>
  <si>
    <t>UPRAVA ZA CIVILNU ZAŠTITU ŽUPANIJE POSAVSKE</t>
  </si>
  <si>
    <t>23</t>
  </si>
  <si>
    <t>KANTONALNI SUD ODŽAK</t>
  </si>
  <si>
    <t>24</t>
  </si>
  <si>
    <t>26</t>
  </si>
  <si>
    <t>27</t>
  </si>
  <si>
    <t>KANTONALNO TUŽITELJSTVO</t>
  </si>
  <si>
    <t>SLUŽBA ZA ODNOSE S JAVNOŠĆU</t>
  </si>
  <si>
    <t xml:space="preserve"> Grantovi za šumarstvo</t>
  </si>
  <si>
    <t xml:space="preserve"> Doprinosi poslodavca i ostali doprinosi</t>
  </si>
  <si>
    <t xml:space="preserve"> Plaće i naknade troškova zaposlenih</t>
  </si>
  <si>
    <t xml:space="preserve"> Izdaci za materijal, sitan inv. i usluge</t>
  </si>
  <si>
    <t xml:space="preserve"> Nabavka materijala i sitnog inventara</t>
  </si>
  <si>
    <t xml:space="preserve"> Izdaci osiguranja, bank. usluga i usluga p.p.</t>
  </si>
  <si>
    <t xml:space="preserve"> Ugovorene i druge posebne usluge</t>
  </si>
  <si>
    <t>MINISTARSTVO PROSVJETE - SREDNJA ŠKOLA PERE ZEČEVIĆA ODŽAK</t>
  </si>
  <si>
    <t>MINISTARSTVO PROSVJETE - OSNOVNA ŠKOLA VLADIMIRA NAZORA ODŽAK</t>
  </si>
  <si>
    <t>MINISTARSTVO PROSVJETE - OSNOVNA ŠKOLA RUĐERA BOŠKOVIĆA DONJA MAHALA</t>
  </si>
  <si>
    <t>MINISTARSTVO PROSVJETE - OSNOVNA ŠKOLA FRA ILIJE STARČEVIĆA TOLISA</t>
  </si>
  <si>
    <t>MINISTARSTVO PROSVJETE - OSNOVNA ŠKOLA STJEPANA RADIĆA OŠTRA LUKA-BOK</t>
  </si>
  <si>
    <t>MINISTARSTVO PROSVJETE - OSNOVNA ŠKOLA A.G. MATOŠA VIDOVICE</t>
  </si>
  <si>
    <t>MINISTARSTVO PROSVJETE - OSNOVNA ŠKOLA BRAĆE RADIĆA DOMALJEVAC</t>
  </si>
  <si>
    <t xml:space="preserve"> </t>
  </si>
  <si>
    <t xml:space="preserve"> Grant za zaštitu okoliša</t>
  </si>
  <si>
    <t>MINISTARSTVO GOSPODARSTVA I PROSTORNOG UREĐENJA</t>
  </si>
  <si>
    <t>MINISTARSTVO PROMETA, VEZA, TURIZMA I ZAŠTITE OKOLIŠA</t>
  </si>
  <si>
    <t>MINISTARSTVO BRANITELJA</t>
  </si>
  <si>
    <t xml:space="preserve"> Vozački ispiti-vlastiti prihodi</t>
  </si>
  <si>
    <t>28</t>
  </si>
  <si>
    <t>ŽUPANIJSKA UPRAVA ZA INSPEKCIJSKE POSLOVE</t>
  </si>
  <si>
    <t xml:space="preserve"> Otplate domaćeg pozajmljivanja</t>
  </si>
  <si>
    <t xml:space="preserve"> Izdaci za negativne tečajne razlike</t>
  </si>
  <si>
    <t xml:space="preserve"> MINISTARSTVO PRAVOSUĐA I UPRAVE - OPĆINSKI SUD ORAŠJE</t>
  </si>
  <si>
    <t>MINISTARSTVO PRAVOSUĐA I UPRAVE - ZAVOD ZA PRUŽANJE PRAVNE POMOĆI</t>
  </si>
  <si>
    <t>06</t>
  </si>
  <si>
    <t xml:space="preserve"> Bruto plaće i naknade plaća</t>
  </si>
  <si>
    <t xml:space="preserve"> Naknade troškova zaposlenih</t>
  </si>
  <si>
    <t xml:space="preserve"> Izdaci za komunikaciju i komunalne usluge</t>
  </si>
  <si>
    <t xml:space="preserve"> Unajmljivanje imovine, opreme i nemat.imovine</t>
  </si>
  <si>
    <t xml:space="preserve"> Tekući grantovi i drugi tekući rashodi</t>
  </si>
  <si>
    <t xml:space="preserve"> Izdaci za kamate </t>
  </si>
  <si>
    <t xml:space="preserve"> Izdaci za otplate dugova</t>
  </si>
  <si>
    <t xml:space="preserve"> Izdaci za kamate</t>
  </si>
  <si>
    <t xml:space="preserve"> Agencija za državnu službu ŽP</t>
  </si>
  <si>
    <t>Ekonom. 
kod</t>
  </si>
  <si>
    <t xml:space="preserve"> Kamate na domaće pozajmljivanje-Koreja</t>
  </si>
  <si>
    <t>Izdaci za otplate dugova</t>
  </si>
  <si>
    <t xml:space="preserve"> Kamate na domaće pozajmljivanje-OPEC</t>
  </si>
  <si>
    <t xml:space="preserve"> Transfer za zdravstvene institucije i centre za soc.rad</t>
  </si>
  <si>
    <t xml:space="preserve"> Kamate na domaće pozajmljivanje-Austrija</t>
  </si>
  <si>
    <t xml:space="preserve"> Grant za razvoj turizma</t>
  </si>
  <si>
    <t>MINISTARSTVO PRAVOSUĐA I UPRAVE - OPĆINSKO PRAVOBRANITELJSTVO ODŽAK</t>
  </si>
  <si>
    <t>MINISTARSTVO PRAVOSUĐA I UPRAVE - OPĆINSKO PRAVOBRANITELJSTVO ORAŠJE</t>
  </si>
  <si>
    <t xml:space="preserve"> Grantovi za financiranje višeg i visokog obrazovanja    
 i Zavoda za školstvo</t>
  </si>
  <si>
    <t xml:space="preserve"> Grant za Crveni križ Županije Posavske</t>
  </si>
  <si>
    <t>ŽUPANIJSKO PRAVOBRANITELJSTVO</t>
  </si>
  <si>
    <t xml:space="preserve"> Grant za Gospodarsku komoru ŽP</t>
  </si>
  <si>
    <t xml:space="preserve"> Grant za Kuću nade Odžak</t>
  </si>
  <si>
    <t>MINISTARSTVO PROSVJETE - ŠKOLSKI CENTAR FRA MARTINA NEDIĆA ORAŠJE</t>
  </si>
  <si>
    <t>MINISTARSTVO PROSVJETE - SREDNJA STRUKOVNA ŠKOLA ORAŠJE</t>
  </si>
  <si>
    <t>Otplate domaćeg pozajmljivanja-MMF</t>
  </si>
  <si>
    <t xml:space="preserve"> Grant za sufinanciranje osn.i srednjeg obrazovanja
 djece s posebnim potrebama</t>
  </si>
  <si>
    <t xml:space="preserve"> Kamate na domaće pozajmljivanje-MMF</t>
  </si>
  <si>
    <t xml:space="preserve"> Grant za sanaciju šteta uzrokovanih poplavom</t>
  </si>
  <si>
    <t xml:space="preserve"> Grant za Sveučilište u Mostaru</t>
  </si>
  <si>
    <t xml:space="preserve"> Grant za sufinanciranje nabavke udžbenika 
 učenicima</t>
  </si>
  <si>
    <t xml:space="preserve"> Grantovi nižim razinama vlasti</t>
  </si>
  <si>
    <t>INDEKS 7/6</t>
  </si>
  <si>
    <t xml:space="preserve"> Grantovi za poljoprivredu</t>
  </si>
  <si>
    <t xml:space="preserve"> Grantovi za vodoprivredu</t>
  </si>
  <si>
    <t xml:space="preserve"> Grant za uređenje poljoprivrednog zemljišta</t>
  </si>
  <si>
    <t xml:space="preserve"> Transfer za sufinanciranje prijevoza učenika</t>
  </si>
  <si>
    <t xml:space="preserve"> Grant za Udr.roditelja djece s pos.potrebama 
 Angelus Domaljevac</t>
  </si>
  <si>
    <t xml:space="preserve"> Ostali grantovi-izvršenje sudskih presuda i rješenja o izvršenju</t>
  </si>
  <si>
    <t xml:space="preserve"> Nabavka stalnih sredstava u obliku prava</t>
  </si>
  <si>
    <t>PRORAČUN za 2017.</t>
  </si>
  <si>
    <t xml:space="preserve"> Naknade troškova zaposlenih - volonteri ()</t>
  </si>
  <si>
    <t xml:space="preserve"> Ugovorene i druge posebne usluge-volonteri ()</t>
  </si>
  <si>
    <t xml:space="preserve"> Potpora riznici</t>
  </si>
  <si>
    <t xml:space="preserve"> Grantovi neprofitnim organizacijama i udrugama 
 građana</t>
  </si>
  <si>
    <t>54 (61)</t>
  </si>
  <si>
    <t>45 (53)</t>
  </si>
  <si>
    <t>46 (47)</t>
  </si>
  <si>
    <t>21 (21)</t>
  </si>
  <si>
    <t>32 (32)</t>
  </si>
  <si>
    <t xml:space="preserve"> Naknade troškova zaposlenih - volonteri (60)</t>
  </si>
  <si>
    <t xml:space="preserve"> Ugovorene i druge posebne usluge-volonteri (60)</t>
  </si>
  <si>
    <t>54 (55)</t>
  </si>
  <si>
    <t>108 (114)</t>
  </si>
  <si>
    <t>45 (45)</t>
  </si>
  <si>
    <t>57 (58)</t>
  </si>
  <si>
    <t xml:space="preserve"> Grant za Udr.roditelja djece s pos.potreb.Orašje</t>
  </si>
  <si>
    <t>Izmjene i dopune Proračuna za 2017. (zahtjev)</t>
  </si>
  <si>
    <t>0 (3)</t>
  </si>
  <si>
    <t>15 (18)</t>
  </si>
  <si>
    <t>URED ZA RAZVOJ I EUROPSKE INTEGRACIJE ŽUPANIJE POSAVSKE</t>
  </si>
</sst>
</file>

<file path=xl/styles.xml><?xml version="1.0" encoding="utf-8"?>
<styleSheet xmlns="http://schemas.openxmlformats.org/spreadsheetml/2006/main">
  <numFmts count="5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&quot;L.&quot;\ #,##0;\-&quot;L.&quot;\ #,##0"/>
    <numFmt numFmtId="191" formatCode="&quot;L.&quot;\ #,##0;[Red]\-&quot;L.&quot;\ #,##0"/>
    <numFmt numFmtId="192" formatCode="&quot;L.&quot;\ #,##0.00;\-&quot;L.&quot;\ #,##0.00"/>
    <numFmt numFmtId="193" formatCode="&quot;L.&quot;\ #,##0.00;[Red]\-&quot;L.&quot;\ #,##0.00"/>
    <numFmt numFmtId="194" formatCode="_-&quot;L.&quot;\ * #,##0_-;\-&quot;L.&quot;\ * #,##0_-;_-&quot;L.&quot;\ * &quot;-&quot;_-;_-@_-"/>
    <numFmt numFmtId="195" formatCode="_-&quot;L.&quot;\ * #,##0.00_-;\-&quot;L.&quot;\ * #,##0.00_-;_-&quot;L.&quot;\ * &quot;-&quot;??_-;_-@_-"/>
    <numFmt numFmtId="196" formatCode="_-* #,##0_-;\-* #,##0_-;_-* &quot;-&quot;??_-;_-@_-"/>
    <numFmt numFmtId="197" formatCode="_-* #,##0.0_-;\-* #,##0.0_-;_-* &quot;-&quot;??_-;_-@_-"/>
    <numFmt numFmtId="198" formatCode="_-* #,##0.000_-;\-* #,##0.000_-;_-* &quot;-&quot;??_-;_-@_-"/>
    <numFmt numFmtId="199" formatCode="_-* #,##0.0000_-;\-* #,##0.0000_-;_-* &quot;-&quot;??_-;_-@_-"/>
    <numFmt numFmtId="200" formatCode="0.000"/>
    <numFmt numFmtId="201" formatCode="0.00000"/>
    <numFmt numFmtId="202" formatCode="0.0000"/>
    <numFmt numFmtId="203" formatCode="_-* #,##0.00000_-;\-* #,##0.00000_-;_-* &quot;-&quot;??_-;_-@_-"/>
    <numFmt numFmtId="204" formatCode="0.000000"/>
    <numFmt numFmtId="205" formatCode="_-* #,##0.0_-;\-* #,##0.0_-;_-* &quot;-&quot;_-;_-@_-"/>
    <numFmt numFmtId="206" formatCode="_-* #,##0.00_-;\-* #,##0.00_-;_-* &quot;-&quot;_-;_-@_-"/>
    <numFmt numFmtId="207" formatCode="#,##0;[Red]#,##0"/>
    <numFmt numFmtId="208" formatCode="#,##0.000"/>
    <numFmt numFmtId="209" formatCode="000"/>
    <numFmt numFmtId="210" formatCode="#,##0.0000"/>
    <numFmt numFmtId="211" formatCode="0.0%"/>
    <numFmt numFmtId="212" formatCode="0.000%"/>
  </numFmts>
  <fonts count="4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1" applyNumberFormat="0" applyFont="0" applyAlignment="0" applyProtection="0"/>
    <xf numFmtId="179" fontId="0" fillId="0" borderId="0" applyFont="0" applyFill="0" applyBorder="0" applyAlignment="0" applyProtection="0"/>
    <xf numFmtId="0" fontId="25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6" fillId="28" borderId="2" applyNumberFormat="0" applyAlignment="0" applyProtection="0"/>
    <xf numFmtId="0" fontId="27" fillId="28" borderId="3" applyNumberFormat="0" applyAlignment="0" applyProtection="0"/>
    <xf numFmtId="0" fontId="28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5" fillId="31" borderId="8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52" applyFont="1">
      <alignment/>
      <protection/>
    </xf>
    <xf numFmtId="0" fontId="1" fillId="0" borderId="0" xfId="52" applyFont="1" applyAlignment="1">
      <alignment horizontal="center"/>
      <protection/>
    </xf>
    <xf numFmtId="0" fontId="1" fillId="0" borderId="10" xfId="52" applyFont="1" applyBorder="1" applyAlignment="1">
      <alignment horizontal="center" vertical="center" textRotation="90" wrapText="1"/>
      <protection/>
    </xf>
    <xf numFmtId="0" fontId="1" fillId="0" borderId="11" xfId="52" applyFont="1" applyBorder="1" applyAlignment="1">
      <alignment horizontal="center" vertical="center" textRotation="90" wrapText="1"/>
      <protection/>
    </xf>
    <xf numFmtId="0" fontId="1" fillId="0" borderId="11" xfId="52" applyFont="1" applyFill="1" applyBorder="1" applyAlignment="1">
      <alignment horizontal="center" vertical="center" textRotation="90" wrapText="1"/>
      <protection/>
    </xf>
    <xf numFmtId="0" fontId="1" fillId="0" borderId="11" xfId="52" applyFont="1" applyBorder="1" applyAlignment="1">
      <alignment horizontal="center" vertical="center" wrapText="1"/>
      <protection/>
    </xf>
    <xf numFmtId="0" fontId="1" fillId="0" borderId="11" xfId="52" applyFont="1" applyBorder="1" applyAlignment="1">
      <alignment horizontal="center" vertical="center"/>
      <protection/>
    </xf>
    <xf numFmtId="0" fontId="1" fillId="0" borderId="12" xfId="52" applyFont="1" applyBorder="1" applyAlignment="1">
      <alignment horizontal="center"/>
      <protection/>
    </xf>
    <xf numFmtId="0" fontId="1" fillId="0" borderId="13" xfId="52" applyFont="1" applyBorder="1" applyAlignment="1">
      <alignment horizontal="center"/>
      <protection/>
    </xf>
    <xf numFmtId="49" fontId="1" fillId="0" borderId="12" xfId="52" applyNumberFormat="1" applyFont="1" applyBorder="1" applyAlignment="1">
      <alignment horizontal="center"/>
      <protection/>
    </xf>
    <xf numFmtId="49" fontId="1" fillId="0" borderId="13" xfId="52" applyNumberFormat="1" applyFont="1" applyBorder="1" applyAlignment="1">
      <alignment horizontal="center"/>
      <protection/>
    </xf>
    <xf numFmtId="0" fontId="1" fillId="0" borderId="13" xfId="52" applyFont="1" applyBorder="1">
      <alignment/>
      <protection/>
    </xf>
    <xf numFmtId="0" fontId="0" fillId="0" borderId="0" xfId="52">
      <alignment/>
      <protection/>
    </xf>
    <xf numFmtId="0" fontId="0" fillId="0" borderId="12" xfId="52" applyBorder="1">
      <alignment/>
      <protection/>
    </xf>
    <xf numFmtId="0" fontId="0" fillId="0" borderId="13" xfId="52" applyBorder="1">
      <alignment/>
      <protection/>
    </xf>
    <xf numFmtId="0" fontId="0" fillId="0" borderId="13" xfId="52" applyBorder="1" applyAlignment="1">
      <alignment horizontal="center"/>
      <protection/>
    </xf>
    <xf numFmtId="0" fontId="1" fillId="0" borderId="12" xfId="52" applyFont="1" applyBorder="1">
      <alignment/>
      <protection/>
    </xf>
    <xf numFmtId="0" fontId="0" fillId="0" borderId="13" xfId="52" applyFont="1" applyBorder="1">
      <alignment/>
      <protection/>
    </xf>
    <xf numFmtId="0" fontId="0" fillId="0" borderId="13" xfId="52" applyFill="1" applyBorder="1">
      <alignment/>
      <protection/>
    </xf>
    <xf numFmtId="3" fontId="1" fillId="0" borderId="13" xfId="52" applyNumberFormat="1" applyFont="1" applyBorder="1">
      <alignment/>
      <protection/>
    </xf>
    <xf numFmtId="0" fontId="0" fillId="0" borderId="14" xfId="52" applyBorder="1">
      <alignment/>
      <protection/>
    </xf>
    <xf numFmtId="0" fontId="0" fillId="0" borderId="15" xfId="52" applyBorder="1">
      <alignment/>
      <protection/>
    </xf>
    <xf numFmtId="0" fontId="0" fillId="0" borderId="15" xfId="52" applyBorder="1" applyAlignment="1">
      <alignment horizontal="center"/>
      <protection/>
    </xf>
    <xf numFmtId="0" fontId="0" fillId="0" borderId="0" xfId="52" applyAlignment="1">
      <alignment horizontal="center"/>
      <protection/>
    </xf>
    <xf numFmtId="3" fontId="1" fillId="0" borderId="13" xfId="52" applyNumberFormat="1" applyFont="1" applyBorder="1" applyAlignment="1">
      <alignment horizontal="right"/>
      <protection/>
    </xf>
    <xf numFmtId="0" fontId="0" fillId="0" borderId="13" xfId="52" applyFont="1" applyBorder="1">
      <alignment/>
      <protection/>
    </xf>
    <xf numFmtId="0" fontId="1" fillId="0" borderId="13" xfId="52" applyFont="1" applyBorder="1" applyAlignment="1">
      <alignment horizontal="left"/>
      <protection/>
    </xf>
    <xf numFmtId="0" fontId="0" fillId="0" borderId="13" xfId="0" applyBorder="1" applyAlignment="1">
      <alignment/>
    </xf>
    <xf numFmtId="0" fontId="0" fillId="0" borderId="16" xfId="52" applyBorder="1">
      <alignment/>
      <protection/>
    </xf>
    <xf numFmtId="0" fontId="1" fillId="0" borderId="16" xfId="52" applyFont="1" applyBorder="1">
      <alignment/>
      <protection/>
    </xf>
    <xf numFmtId="0" fontId="1" fillId="0" borderId="13" xfId="0" applyFont="1" applyBorder="1" applyAlignment="1">
      <alignment/>
    </xf>
    <xf numFmtId="3" fontId="0" fillId="0" borderId="13" xfId="52" applyNumberFormat="1" applyBorder="1">
      <alignment/>
      <protection/>
    </xf>
    <xf numFmtId="3" fontId="0" fillId="0" borderId="13" xfId="52" applyNumberFormat="1" applyFont="1" applyBorder="1">
      <alignment/>
      <protection/>
    </xf>
    <xf numFmtId="3" fontId="0" fillId="0" borderId="15" xfId="52" applyNumberFormat="1" applyBorder="1">
      <alignment/>
      <protection/>
    </xf>
    <xf numFmtId="3" fontId="1" fillId="33" borderId="13" xfId="52" applyNumberFormat="1" applyFont="1" applyFill="1" applyBorder="1">
      <alignment/>
      <protection/>
    </xf>
    <xf numFmtId="0" fontId="0" fillId="0" borderId="13" xfId="52" applyFont="1" applyBorder="1" applyAlignment="1">
      <alignment horizontal="center"/>
      <protection/>
    </xf>
    <xf numFmtId="0" fontId="0" fillId="0" borderId="13" xfId="52" applyFont="1" applyBorder="1" applyAlignment="1">
      <alignment horizontal="left"/>
      <protection/>
    </xf>
    <xf numFmtId="0" fontId="0" fillId="0" borderId="17" xfId="0" applyBorder="1" applyAlignment="1">
      <alignment/>
    </xf>
    <xf numFmtId="0" fontId="1" fillId="0" borderId="18" xfId="52" applyFont="1" applyBorder="1" applyAlignment="1">
      <alignment horizontal="center"/>
      <protection/>
    </xf>
    <xf numFmtId="0" fontId="0" fillId="0" borderId="19" xfId="52" applyBorder="1" applyAlignment="1">
      <alignment horizontal="center"/>
      <protection/>
    </xf>
    <xf numFmtId="49" fontId="0" fillId="0" borderId="13" xfId="0" applyNumberFormat="1" applyBorder="1" applyAlignment="1">
      <alignment horizontal="center"/>
    </xf>
    <xf numFmtId="0" fontId="0" fillId="0" borderId="17" xfId="52" applyFill="1" applyBorder="1">
      <alignment/>
      <protection/>
    </xf>
    <xf numFmtId="0" fontId="0" fillId="0" borderId="18" xfId="52" applyBorder="1" applyAlignment="1">
      <alignment horizontal="center"/>
      <protection/>
    </xf>
    <xf numFmtId="0" fontId="0" fillId="0" borderId="13" xfId="0" applyFont="1" applyBorder="1" applyAlignment="1">
      <alignment/>
    </xf>
    <xf numFmtId="0" fontId="1" fillId="0" borderId="11" xfId="52" applyFont="1" applyFill="1" applyBorder="1" applyAlignment="1">
      <alignment horizontal="center" vertical="center" wrapText="1"/>
      <protection/>
    </xf>
    <xf numFmtId="0" fontId="0" fillId="0" borderId="19" xfId="52" applyFont="1" applyBorder="1">
      <alignment/>
      <protection/>
    </xf>
    <xf numFmtId="0" fontId="1" fillId="0" borderId="19" xfId="52" applyFont="1" applyBorder="1">
      <alignment/>
      <protection/>
    </xf>
    <xf numFmtId="0" fontId="0" fillId="0" borderId="17" xfId="52" applyBorder="1" applyAlignment="1">
      <alignment horizontal="center"/>
      <protection/>
    </xf>
    <xf numFmtId="0" fontId="0" fillId="0" borderId="0" xfId="52" applyFont="1">
      <alignment/>
      <protection/>
    </xf>
    <xf numFmtId="3" fontId="0" fillId="0" borderId="13" xfId="52" applyNumberFormat="1" applyFill="1" applyBorder="1">
      <alignment/>
      <protection/>
    </xf>
    <xf numFmtId="3" fontId="0" fillId="0" borderId="20" xfId="52" applyNumberFormat="1" applyBorder="1">
      <alignment/>
      <protection/>
    </xf>
    <xf numFmtId="2" fontId="1" fillId="0" borderId="0" xfId="52" applyNumberFormat="1" applyFont="1">
      <alignment/>
      <protection/>
    </xf>
    <xf numFmtId="3" fontId="0" fillId="0" borderId="0" xfId="52" applyNumberFormat="1">
      <alignment/>
      <protection/>
    </xf>
    <xf numFmtId="3" fontId="1" fillId="0" borderId="0" xfId="52" applyNumberFormat="1" applyFont="1">
      <alignment/>
      <protection/>
    </xf>
    <xf numFmtId="3" fontId="0" fillId="0" borderId="0" xfId="52" applyNumberFormat="1" applyFont="1">
      <alignment/>
      <protection/>
    </xf>
    <xf numFmtId="0" fontId="0" fillId="0" borderId="0" xfId="52" applyFont="1">
      <alignment/>
      <protection/>
    </xf>
    <xf numFmtId="0" fontId="0" fillId="0" borderId="12" xfId="52" applyFont="1" applyBorder="1">
      <alignment/>
      <protection/>
    </xf>
    <xf numFmtId="0" fontId="1" fillId="0" borderId="21" xfId="52" applyFont="1" applyBorder="1" applyAlignment="1">
      <alignment horizontal="center"/>
      <protection/>
    </xf>
    <xf numFmtId="49" fontId="0" fillId="0" borderId="19" xfId="0" applyNumberFormat="1" applyBorder="1" applyAlignment="1">
      <alignment horizontal="center"/>
    </xf>
    <xf numFmtId="0" fontId="0" fillId="0" borderId="0" xfId="52" applyFont="1">
      <alignment/>
      <protection/>
    </xf>
    <xf numFmtId="3" fontId="1" fillId="0" borderId="13" xfId="52" applyNumberFormat="1" applyFont="1" applyFill="1" applyBorder="1">
      <alignment/>
      <protection/>
    </xf>
    <xf numFmtId="3" fontId="0" fillId="0" borderId="13" xfId="52" applyNumberFormat="1" applyFont="1" applyBorder="1">
      <alignment/>
      <protection/>
    </xf>
    <xf numFmtId="0" fontId="0" fillId="0" borderId="13" xfId="52" applyFont="1" applyFill="1" applyBorder="1">
      <alignment/>
      <protection/>
    </xf>
    <xf numFmtId="0" fontId="0" fillId="0" borderId="0" xfId="52" applyFont="1" applyFill="1">
      <alignment/>
      <protection/>
    </xf>
    <xf numFmtId="0" fontId="0" fillId="0" borderId="0" xfId="52" applyFill="1">
      <alignment/>
      <protection/>
    </xf>
    <xf numFmtId="0" fontId="1" fillId="0" borderId="0" xfId="52" applyFont="1" applyFill="1">
      <alignment/>
      <protection/>
    </xf>
    <xf numFmtId="0" fontId="0" fillId="0" borderId="13" xfId="0" applyFill="1" applyBorder="1" applyAlignment="1">
      <alignment/>
    </xf>
    <xf numFmtId="0" fontId="0" fillId="0" borderId="13" xfId="52" applyFont="1" applyFill="1" applyBorder="1">
      <alignment/>
      <protection/>
    </xf>
    <xf numFmtId="3" fontId="0" fillId="0" borderId="13" xfId="52" applyNumberFormat="1" applyFont="1" applyFill="1" applyBorder="1">
      <alignment/>
      <protection/>
    </xf>
    <xf numFmtId="0" fontId="0" fillId="0" borderId="19" xfId="52" applyFill="1" applyBorder="1" applyAlignment="1">
      <alignment horizontal="center"/>
      <protection/>
    </xf>
    <xf numFmtId="0" fontId="0" fillId="0" borderId="13" xfId="52" applyFill="1" applyBorder="1" applyAlignment="1">
      <alignment horizontal="center"/>
      <protection/>
    </xf>
    <xf numFmtId="0" fontId="0" fillId="0" borderId="19" xfId="52" applyFont="1" applyFill="1" applyBorder="1" applyAlignment="1">
      <alignment horizontal="center"/>
      <protection/>
    </xf>
    <xf numFmtId="1" fontId="0" fillId="0" borderId="0" xfId="52" applyNumberFormat="1" applyFont="1">
      <alignment/>
      <protection/>
    </xf>
    <xf numFmtId="2" fontId="0" fillId="0" borderId="0" xfId="52" applyNumberFormat="1" applyFont="1">
      <alignment/>
      <protection/>
    </xf>
    <xf numFmtId="3" fontId="1" fillId="0" borderId="13" xfId="52" applyNumberFormat="1" applyFont="1" applyFill="1" applyBorder="1" applyAlignment="1">
      <alignment horizontal="right"/>
      <protection/>
    </xf>
    <xf numFmtId="49" fontId="1" fillId="0" borderId="12" xfId="52" applyNumberFormat="1" applyFont="1" applyFill="1" applyBorder="1" applyAlignment="1">
      <alignment horizontal="center"/>
      <protection/>
    </xf>
    <xf numFmtId="49" fontId="1" fillId="0" borderId="13" xfId="52" applyNumberFormat="1" applyFont="1" applyFill="1" applyBorder="1" applyAlignment="1">
      <alignment horizontal="center"/>
      <protection/>
    </xf>
    <xf numFmtId="4" fontId="0" fillId="0" borderId="0" xfId="52" applyNumberFormat="1">
      <alignment/>
      <protection/>
    </xf>
    <xf numFmtId="4" fontId="0" fillId="0" borderId="22" xfId="52" applyNumberFormat="1" applyBorder="1">
      <alignment/>
      <protection/>
    </xf>
    <xf numFmtId="4" fontId="1" fillId="0" borderId="22" xfId="52" applyNumberFormat="1" applyFont="1" applyBorder="1">
      <alignment/>
      <protection/>
    </xf>
    <xf numFmtId="4" fontId="1" fillId="0" borderId="0" xfId="52" applyNumberFormat="1" applyFont="1" applyAlignment="1">
      <alignment horizontal="left"/>
      <protection/>
    </xf>
    <xf numFmtId="4" fontId="1" fillId="0" borderId="0" xfId="52" applyNumberFormat="1" applyFont="1" applyFill="1" applyAlignment="1">
      <alignment horizontal="left"/>
      <protection/>
    </xf>
    <xf numFmtId="4" fontId="0" fillId="0" borderId="20" xfId="52" applyNumberFormat="1" applyBorder="1">
      <alignment/>
      <protection/>
    </xf>
    <xf numFmtId="4" fontId="1" fillId="0" borderId="23" xfId="52" applyNumberFormat="1" applyFont="1" applyFill="1" applyBorder="1" applyAlignment="1">
      <alignment horizontal="center" vertical="center" wrapText="1"/>
      <protection/>
    </xf>
    <xf numFmtId="0" fontId="1" fillId="0" borderId="24" xfId="52" applyFont="1" applyBorder="1" applyAlignment="1">
      <alignment horizontal="center"/>
      <protection/>
    </xf>
    <xf numFmtId="4" fontId="1" fillId="0" borderId="24" xfId="52" applyNumberFormat="1" applyFont="1" applyBorder="1" applyAlignment="1">
      <alignment horizontal="center"/>
      <protection/>
    </xf>
    <xf numFmtId="4" fontId="1" fillId="0" borderId="24" xfId="52" applyNumberFormat="1" applyFont="1" applyFill="1" applyBorder="1">
      <alignment/>
      <protection/>
    </xf>
    <xf numFmtId="4" fontId="0" fillId="0" borderId="24" xfId="52" applyNumberFormat="1" applyFont="1" applyFill="1" applyBorder="1">
      <alignment/>
      <protection/>
    </xf>
    <xf numFmtId="4" fontId="0" fillId="0" borderId="24" xfId="52" applyNumberFormat="1" applyBorder="1">
      <alignment/>
      <protection/>
    </xf>
    <xf numFmtId="4" fontId="1" fillId="0" borderId="24" xfId="52" applyNumberFormat="1" applyFont="1" applyBorder="1">
      <alignment/>
      <protection/>
    </xf>
    <xf numFmtId="4" fontId="0" fillId="0" borderId="25" xfId="52" applyNumberFormat="1" applyBorder="1">
      <alignment/>
      <protection/>
    </xf>
    <xf numFmtId="3" fontId="0" fillId="0" borderId="17" xfId="52" applyNumberFormat="1" applyBorder="1">
      <alignment/>
      <protection/>
    </xf>
    <xf numFmtId="3" fontId="1" fillId="33" borderId="17" xfId="52" applyNumberFormat="1" applyFont="1" applyFill="1" applyBorder="1">
      <alignment/>
      <protection/>
    </xf>
    <xf numFmtId="3" fontId="0" fillId="0" borderId="17" xfId="52" applyNumberFormat="1" applyFont="1" applyBorder="1">
      <alignment/>
      <protection/>
    </xf>
    <xf numFmtId="3" fontId="0" fillId="0" borderId="17" xfId="52" applyNumberFormat="1" applyFill="1" applyBorder="1">
      <alignment/>
      <protection/>
    </xf>
    <xf numFmtId="0" fontId="1" fillId="0" borderId="17" xfId="52" applyFont="1" applyBorder="1" applyAlignment="1">
      <alignment horizontal="center"/>
      <protection/>
    </xf>
    <xf numFmtId="3" fontId="1" fillId="0" borderId="17" xfId="52" applyNumberFormat="1" applyFont="1" applyFill="1" applyBorder="1" applyAlignment="1">
      <alignment horizontal="right"/>
      <protection/>
    </xf>
    <xf numFmtId="3" fontId="1" fillId="0" borderId="17" xfId="52" applyNumberFormat="1" applyFont="1" applyBorder="1">
      <alignment/>
      <protection/>
    </xf>
    <xf numFmtId="3" fontId="0" fillId="0" borderId="17" xfId="52" applyNumberFormat="1" applyFont="1" applyFill="1" applyBorder="1">
      <alignment/>
      <protection/>
    </xf>
    <xf numFmtId="3" fontId="1" fillId="0" borderId="13" xfId="52" applyNumberFormat="1" applyFont="1" applyBorder="1" applyAlignment="1">
      <alignment horizontal="center"/>
      <protection/>
    </xf>
    <xf numFmtId="3" fontId="0" fillId="0" borderId="13" xfId="52" applyNumberFormat="1" applyFont="1" applyFill="1" applyBorder="1">
      <alignment/>
      <protection/>
    </xf>
    <xf numFmtId="3" fontId="1" fillId="0" borderId="13" xfId="52" applyNumberFormat="1" applyFont="1" applyFill="1" applyBorder="1">
      <alignment/>
      <protection/>
    </xf>
    <xf numFmtId="3" fontId="0" fillId="0" borderId="13" xfId="52" applyNumberFormat="1" applyFont="1" applyFill="1" applyBorder="1">
      <alignment/>
      <protection/>
    </xf>
    <xf numFmtId="4" fontId="1" fillId="0" borderId="25" xfId="52" applyNumberFormat="1" applyFont="1" applyBorder="1">
      <alignment/>
      <protection/>
    </xf>
    <xf numFmtId="3" fontId="1" fillId="0" borderId="15" xfId="52" applyNumberFormat="1" applyFont="1" applyBorder="1">
      <alignment/>
      <protection/>
    </xf>
    <xf numFmtId="164" fontId="4" fillId="0" borderId="26" xfId="52" applyNumberFormat="1" applyFont="1" applyBorder="1" applyAlignment="1">
      <alignment/>
      <protection/>
    </xf>
    <xf numFmtId="164" fontId="5" fillId="0" borderId="26" xfId="0" applyNumberFormat="1" applyFont="1" applyBorder="1" applyAlignment="1">
      <alignment/>
    </xf>
    <xf numFmtId="0" fontId="0" fillId="0" borderId="12" xfId="52" applyBorder="1" applyAlignment="1">
      <alignment vertical="center"/>
      <protection/>
    </xf>
    <xf numFmtId="0" fontId="0" fillId="0" borderId="13" xfId="52" applyBorder="1" applyAlignment="1">
      <alignment vertical="center"/>
      <protection/>
    </xf>
    <xf numFmtId="0" fontId="0" fillId="0" borderId="16" xfId="52" applyBorder="1" applyAlignment="1">
      <alignment vertical="center"/>
      <protection/>
    </xf>
    <xf numFmtId="0" fontId="0" fillId="0" borderId="13" xfId="52" applyBorder="1" applyAlignment="1">
      <alignment horizontal="center" vertical="center"/>
      <protection/>
    </xf>
    <xf numFmtId="0" fontId="0" fillId="0" borderId="13" xfId="0" applyFill="1" applyBorder="1" applyAlignment="1">
      <alignment vertical="center" wrapText="1"/>
    </xf>
    <xf numFmtId="3" fontId="0" fillId="0" borderId="13" xfId="52" applyNumberFormat="1" applyFont="1" applyFill="1" applyBorder="1" applyAlignment="1">
      <alignment vertical="center"/>
      <protection/>
    </xf>
    <xf numFmtId="4" fontId="0" fillId="0" borderId="24" xfId="52" applyNumberFormat="1" applyFont="1" applyFill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Alignment="1">
      <alignment vertical="center"/>
      <protection/>
    </xf>
    <xf numFmtId="0" fontId="0" fillId="0" borderId="13" xfId="0" applyBorder="1" applyAlignment="1">
      <alignment vertical="center" wrapText="1"/>
    </xf>
    <xf numFmtId="0" fontId="0" fillId="0" borderId="12" xfId="52" applyFont="1" applyBorder="1" applyAlignment="1">
      <alignment vertical="center"/>
      <protection/>
    </xf>
    <xf numFmtId="0" fontId="0" fillId="0" borderId="13" xfId="52" applyFont="1" applyBorder="1" applyAlignment="1">
      <alignment vertical="center"/>
      <protection/>
    </xf>
    <xf numFmtId="0" fontId="0" fillId="0" borderId="13" xfId="52" applyFont="1" applyBorder="1" applyAlignment="1">
      <alignment horizontal="center" vertical="center"/>
      <protection/>
    </xf>
    <xf numFmtId="0" fontId="0" fillId="0" borderId="13" xfId="52" applyFont="1" applyFill="1" applyBorder="1" applyAlignment="1">
      <alignment vertical="center" wrapText="1"/>
      <protection/>
    </xf>
    <xf numFmtId="3" fontId="0" fillId="0" borderId="17" xfId="52" applyNumberFormat="1" applyFont="1" applyBorder="1" applyAlignment="1">
      <alignment vertical="center"/>
      <protection/>
    </xf>
    <xf numFmtId="0" fontId="0" fillId="0" borderId="0" xfId="52" applyFont="1" applyAlignment="1">
      <alignment vertical="center"/>
      <protection/>
    </xf>
    <xf numFmtId="3" fontId="0" fillId="0" borderId="0" xfId="52" applyNumberFormat="1" applyFont="1" applyAlignment="1">
      <alignment vertical="center"/>
      <protection/>
    </xf>
    <xf numFmtId="4" fontId="1" fillId="0" borderId="24" xfId="52" applyNumberFormat="1" applyFont="1" applyFill="1" applyBorder="1">
      <alignment/>
      <protection/>
    </xf>
    <xf numFmtId="4" fontId="0" fillId="0" borderId="0" xfId="52" applyNumberFormat="1" applyFont="1">
      <alignment/>
      <protection/>
    </xf>
    <xf numFmtId="3" fontId="0" fillId="0" borderId="0" xfId="52" applyNumberFormat="1" applyFill="1">
      <alignment/>
      <protection/>
    </xf>
    <xf numFmtId="4" fontId="0" fillId="0" borderId="0" xfId="52" applyNumberFormat="1" applyFill="1">
      <alignment/>
      <protection/>
    </xf>
    <xf numFmtId="0" fontId="1" fillId="0" borderId="11" xfId="52" applyFont="1" applyFill="1" applyBorder="1" applyAlignment="1">
      <alignment horizontal="center" vertical="center" wrapText="1"/>
      <protection/>
    </xf>
    <xf numFmtId="0" fontId="0" fillId="0" borderId="13" xfId="52" applyFont="1" applyFill="1" applyBorder="1">
      <alignment/>
      <protection/>
    </xf>
    <xf numFmtId="0" fontId="0" fillId="0" borderId="13" xfId="52" applyFont="1" applyFill="1" applyBorder="1" applyAlignment="1">
      <alignment wrapText="1"/>
      <protection/>
    </xf>
    <xf numFmtId="0" fontId="0" fillId="0" borderId="13" xfId="52" applyFont="1" applyBorder="1">
      <alignment/>
      <protection/>
    </xf>
    <xf numFmtId="3" fontId="0" fillId="0" borderId="13" xfId="53" applyNumberFormat="1" applyFill="1" applyBorder="1">
      <alignment/>
      <protection/>
    </xf>
    <xf numFmtId="3" fontId="1" fillId="0" borderId="13" xfId="53" applyNumberFormat="1" applyFont="1" applyFill="1" applyBorder="1">
      <alignment/>
      <protection/>
    </xf>
    <xf numFmtId="3" fontId="0" fillId="0" borderId="17" xfId="53" applyNumberFormat="1" applyFill="1" applyBorder="1">
      <alignment/>
      <protection/>
    </xf>
    <xf numFmtId="3" fontId="0" fillId="0" borderId="13" xfId="53" applyNumberFormat="1" applyFont="1" applyFill="1" applyBorder="1">
      <alignment/>
      <protection/>
    </xf>
    <xf numFmtId="3" fontId="0" fillId="0" borderId="13" xfId="53" applyNumberFormat="1" applyFont="1" applyFill="1" applyBorder="1">
      <alignment/>
      <protection/>
    </xf>
    <xf numFmtId="0" fontId="0" fillId="33" borderId="13" xfId="52" applyFont="1" applyFill="1" applyBorder="1" applyAlignment="1">
      <alignment wrapText="1"/>
      <protection/>
    </xf>
    <xf numFmtId="0" fontId="1" fillId="0" borderId="13" xfId="52" applyFont="1" applyFill="1" applyBorder="1">
      <alignment/>
      <protection/>
    </xf>
    <xf numFmtId="3" fontId="1" fillId="0" borderId="17" xfId="53" applyNumberFormat="1" applyFont="1" applyFill="1" applyBorder="1">
      <alignment/>
      <protection/>
    </xf>
    <xf numFmtId="3" fontId="0" fillId="0" borderId="13" xfId="53" applyNumberFormat="1" applyFont="1" applyFill="1" applyBorder="1">
      <alignment/>
      <protection/>
    </xf>
    <xf numFmtId="0" fontId="1" fillId="0" borderId="0" xfId="52" applyFont="1" applyAlignment="1">
      <alignment horizontal="left"/>
      <protection/>
    </xf>
    <xf numFmtId="0" fontId="1" fillId="0" borderId="26" xfId="52" applyFont="1" applyBorder="1" applyAlignment="1">
      <alignment horizontal="right"/>
      <protection/>
    </xf>
    <xf numFmtId="0" fontId="1" fillId="0" borderId="0" xfId="52" applyFont="1" applyFill="1" applyAlignment="1">
      <alignment horizontal="left"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_izvrsenje300903-s planom 2" xfId="34"/>
    <cellStyle name="Dobro" xfId="35"/>
    <cellStyle name="Hyperlink" xfId="36"/>
    <cellStyle name="Isticanje1" xfId="37"/>
    <cellStyle name="Isticanje2" xfId="38"/>
    <cellStyle name="Isticanje3" xfId="39"/>
    <cellStyle name="Isticanje4" xfId="40"/>
    <cellStyle name="Isticanje5" xfId="41"/>
    <cellStyle name="Isticanje6" xfId="42"/>
    <cellStyle name="Izlaz" xfId="43"/>
    <cellStyle name="Izračun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_sablon1-230704" xfId="52"/>
    <cellStyle name="Normal_sablon1-230704 2" xfId="53"/>
    <cellStyle name="Percent" xfId="54"/>
    <cellStyle name="Povezana ćelija" xfId="55"/>
    <cellStyle name="Followed Hyperlink" xfId="56"/>
    <cellStyle name="Provjera ćelije" xfId="57"/>
    <cellStyle name="Tekst objašnjenja" xfId="58"/>
    <cellStyle name="Tekst upozorenja" xfId="59"/>
    <cellStyle name="Ukupni zbroj" xfId="60"/>
    <cellStyle name="Unos" xfId="61"/>
    <cellStyle name="Currency" xfId="62"/>
    <cellStyle name="Currency [0]" xfId="63"/>
    <cellStyle name="Comma" xfId="64"/>
    <cellStyle name="Comma [0]" xfId="65"/>
    <cellStyle name="Zarez 2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2:L47"/>
  <sheetViews>
    <sheetView tabSelected="1" workbookViewId="0" topLeftCell="B1">
      <selection activeCell="J11" sqref="J1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28125" style="24" customWidth="1"/>
    <col min="6" max="6" width="43.7109375" style="13" customWidth="1"/>
    <col min="7" max="8" width="15.7109375" style="13" customWidth="1"/>
    <col min="9" max="9" width="8.7109375" style="78" customWidth="1"/>
    <col min="10" max="10" width="9.140625" style="13" customWidth="1"/>
    <col min="11" max="11" width="9.57421875" style="13" bestFit="1" customWidth="1"/>
    <col min="12" max="16384" width="9.140625" style="13" customWidth="1"/>
  </cols>
  <sheetData>
    <row r="2" spans="2:9" ht="15" customHeight="1">
      <c r="B2" s="142" t="s">
        <v>36</v>
      </c>
      <c r="C2" s="142"/>
      <c r="D2" s="142"/>
      <c r="E2" s="142"/>
      <c r="F2" s="142"/>
      <c r="G2" s="142"/>
      <c r="H2" s="142"/>
      <c r="I2" s="14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45" t="s">
        <v>148</v>
      </c>
      <c r="H4" s="45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>
        <v>10</v>
      </c>
      <c r="C6" s="11" t="s">
        <v>4</v>
      </c>
      <c r="D6" s="11" t="s">
        <v>5</v>
      </c>
      <c r="E6" s="9"/>
      <c r="F6" s="9"/>
      <c r="G6" s="9"/>
      <c r="H6" s="9"/>
      <c r="I6" s="86"/>
    </row>
    <row r="7" spans="2:11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SUM(G8:G10)</f>
        <v>456437</v>
      </c>
      <c r="H7" s="134">
        <f>SUM(H8:H10)</f>
        <v>0</v>
      </c>
      <c r="I7" s="87">
        <f>IF(G7=0,"",H7/G7*100)</f>
        <v>0</v>
      </c>
      <c r="K7" s="52"/>
    </row>
    <row r="8" spans="2:11" ht="12.75" customHeight="1">
      <c r="B8" s="14"/>
      <c r="C8" s="15"/>
      <c r="D8" s="15"/>
      <c r="E8" s="16">
        <v>611100</v>
      </c>
      <c r="F8" s="26" t="s">
        <v>108</v>
      </c>
      <c r="G8" s="141">
        <f>318200+15770+41212</f>
        <v>375182</v>
      </c>
      <c r="H8" s="133"/>
      <c r="I8" s="88">
        <f aca="true" t="shared" si="0" ref="I8:I42">IF(G8=0,"",H8/G8*100)</f>
        <v>0</v>
      </c>
      <c r="J8" s="49"/>
      <c r="K8" s="52"/>
    </row>
    <row r="9" spans="2:11" ht="12.75" customHeight="1">
      <c r="B9" s="14"/>
      <c r="C9" s="15"/>
      <c r="D9" s="15"/>
      <c r="E9" s="16">
        <v>611200</v>
      </c>
      <c r="F9" s="26" t="s">
        <v>109</v>
      </c>
      <c r="G9" s="141">
        <f>69400+11855</f>
        <v>81255</v>
      </c>
      <c r="H9" s="133"/>
      <c r="I9" s="88">
        <f t="shared" si="0"/>
        <v>0</v>
      </c>
      <c r="K9" s="52"/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41">
        <v>0</v>
      </c>
      <c r="H10" s="133"/>
      <c r="I10" s="88">
        <f t="shared" si="0"/>
      </c>
      <c r="K10" s="52"/>
    </row>
    <row r="11" spans="2:11" ht="12.75" customHeight="1">
      <c r="B11" s="14"/>
      <c r="C11" s="15"/>
      <c r="D11" s="15"/>
      <c r="E11" s="16"/>
      <c r="F11" s="15"/>
      <c r="G11" s="141"/>
      <c r="H11" s="133"/>
      <c r="I11" s="87">
        <f t="shared" si="0"/>
      </c>
      <c r="K11" s="52"/>
    </row>
    <row r="12" spans="2:11" ht="12.75" customHeight="1">
      <c r="B12" s="17"/>
      <c r="C12" s="12"/>
      <c r="D12" s="12"/>
      <c r="E12" s="9">
        <v>612000</v>
      </c>
      <c r="F12" s="12" t="s">
        <v>82</v>
      </c>
      <c r="G12" s="134">
        <f>G13+G14</f>
        <v>40446</v>
      </c>
      <c r="H12" s="134">
        <f>H13+H14</f>
        <v>0</v>
      </c>
      <c r="I12" s="87">
        <f t="shared" si="0"/>
        <v>0</v>
      </c>
      <c r="K12" s="52"/>
    </row>
    <row r="13" spans="2:11" s="1" customFormat="1" ht="12.75" customHeight="1">
      <c r="B13" s="14"/>
      <c r="C13" s="15"/>
      <c r="D13" s="15"/>
      <c r="E13" s="16">
        <v>612100</v>
      </c>
      <c r="F13" s="18" t="s">
        <v>6</v>
      </c>
      <c r="G13" s="141">
        <f>34100+1690+4656</f>
        <v>40446</v>
      </c>
      <c r="H13" s="133"/>
      <c r="I13" s="88">
        <f t="shared" si="0"/>
        <v>0</v>
      </c>
      <c r="K13" s="52"/>
    </row>
    <row r="14" spans="2:11" ht="12.75" customHeight="1">
      <c r="B14" s="14"/>
      <c r="C14" s="15"/>
      <c r="D14" s="15"/>
      <c r="E14" s="16"/>
      <c r="F14" s="15"/>
      <c r="G14" s="32"/>
      <c r="H14" s="32"/>
      <c r="I14" s="87">
        <f t="shared" si="0"/>
      </c>
      <c r="K14" s="52"/>
    </row>
    <row r="15" spans="2:11" ht="12.75" customHeight="1">
      <c r="B15" s="14"/>
      <c r="C15" s="15"/>
      <c r="D15" s="15"/>
      <c r="E15" s="16"/>
      <c r="F15" s="15"/>
      <c r="G15" s="32"/>
      <c r="H15" s="32"/>
      <c r="I15" s="87">
        <f t="shared" si="0"/>
      </c>
      <c r="K15" s="52"/>
    </row>
    <row r="16" spans="2:11" ht="12.75" customHeight="1">
      <c r="B16" s="17"/>
      <c r="C16" s="12"/>
      <c r="D16" s="12"/>
      <c r="E16" s="9">
        <v>613000</v>
      </c>
      <c r="F16" s="12" t="s">
        <v>84</v>
      </c>
      <c r="G16" s="35">
        <f>SUM(G17:G26)</f>
        <v>271778</v>
      </c>
      <c r="H16" s="35">
        <f>SUM(H17:H26)</f>
        <v>0</v>
      </c>
      <c r="I16" s="87">
        <f t="shared" si="0"/>
        <v>0</v>
      </c>
      <c r="K16" s="52"/>
    </row>
    <row r="17" spans="2:11" s="1" customFormat="1" ht="12.75" customHeight="1">
      <c r="B17" s="14"/>
      <c r="C17" s="15"/>
      <c r="D17" s="15"/>
      <c r="E17" s="16">
        <v>613100</v>
      </c>
      <c r="F17" s="15" t="s">
        <v>7</v>
      </c>
      <c r="G17" s="32">
        <f>6000+500</f>
        <v>6500</v>
      </c>
      <c r="H17" s="32"/>
      <c r="I17" s="88">
        <f t="shared" si="0"/>
        <v>0</v>
      </c>
      <c r="K17" s="52"/>
    </row>
    <row r="18" spans="2:11" ht="12.75" customHeight="1">
      <c r="B18" s="14"/>
      <c r="C18" s="15"/>
      <c r="D18" s="15"/>
      <c r="E18" s="16">
        <v>613200</v>
      </c>
      <c r="F18" s="15" t="s">
        <v>8</v>
      </c>
      <c r="G18" s="32">
        <v>13600</v>
      </c>
      <c r="H18" s="32"/>
      <c r="I18" s="88">
        <f t="shared" si="0"/>
        <v>0</v>
      </c>
      <c r="K18" s="52"/>
    </row>
    <row r="19" spans="2:11" ht="12.75" customHeight="1">
      <c r="B19" s="14"/>
      <c r="C19" s="15"/>
      <c r="D19" s="15"/>
      <c r="E19" s="16">
        <v>613300</v>
      </c>
      <c r="F19" s="26" t="s">
        <v>110</v>
      </c>
      <c r="G19" s="32">
        <v>7300</v>
      </c>
      <c r="H19" s="32"/>
      <c r="I19" s="88">
        <f t="shared" si="0"/>
        <v>0</v>
      </c>
      <c r="K19" s="52"/>
    </row>
    <row r="20" spans="2:11" ht="12.75" customHeight="1">
      <c r="B20" s="14"/>
      <c r="C20" s="15"/>
      <c r="D20" s="15"/>
      <c r="E20" s="16">
        <v>613400</v>
      </c>
      <c r="F20" s="26" t="s">
        <v>85</v>
      </c>
      <c r="G20" s="50">
        <v>5500</v>
      </c>
      <c r="H20" s="50"/>
      <c r="I20" s="88">
        <f t="shared" si="0"/>
        <v>0</v>
      </c>
      <c r="K20" s="52"/>
    </row>
    <row r="21" spans="2:11" ht="12.75" customHeight="1">
      <c r="B21" s="14"/>
      <c r="C21" s="15"/>
      <c r="D21" s="15"/>
      <c r="E21" s="16">
        <v>613500</v>
      </c>
      <c r="F21" s="15" t="s">
        <v>9</v>
      </c>
      <c r="G21" s="50">
        <v>10000</v>
      </c>
      <c r="H21" s="50"/>
      <c r="I21" s="88">
        <f t="shared" si="0"/>
        <v>0</v>
      </c>
      <c r="K21" s="52"/>
    </row>
    <row r="22" spans="2:11" ht="12.75" customHeight="1">
      <c r="B22" s="14"/>
      <c r="C22" s="15"/>
      <c r="D22" s="15"/>
      <c r="E22" s="16">
        <v>613600</v>
      </c>
      <c r="F22" s="26" t="s">
        <v>111</v>
      </c>
      <c r="G22" s="32">
        <v>0</v>
      </c>
      <c r="H22" s="32"/>
      <c r="I22" s="88">
        <f t="shared" si="0"/>
      </c>
      <c r="K22" s="52"/>
    </row>
    <row r="23" spans="2:11" ht="12.75" customHeight="1">
      <c r="B23" s="14"/>
      <c r="C23" s="15"/>
      <c r="D23" s="15"/>
      <c r="E23" s="16">
        <v>613700</v>
      </c>
      <c r="F23" s="15" t="s">
        <v>10</v>
      </c>
      <c r="G23" s="32">
        <v>5900</v>
      </c>
      <c r="H23" s="32"/>
      <c r="I23" s="88">
        <f t="shared" si="0"/>
        <v>0</v>
      </c>
      <c r="K23" s="52"/>
    </row>
    <row r="24" spans="2:11" ht="12.75" customHeight="1">
      <c r="B24" s="14"/>
      <c r="C24" s="15"/>
      <c r="D24" s="15"/>
      <c r="E24" s="16">
        <v>613800</v>
      </c>
      <c r="F24" s="26" t="s">
        <v>86</v>
      </c>
      <c r="G24" s="32">
        <v>2440</v>
      </c>
      <c r="H24" s="32"/>
      <c r="I24" s="88">
        <f t="shared" si="0"/>
        <v>0</v>
      </c>
      <c r="K24" s="74"/>
    </row>
    <row r="25" spans="2:11" ht="12.75" customHeight="1">
      <c r="B25" s="14"/>
      <c r="C25" s="15"/>
      <c r="D25" s="15"/>
      <c r="E25" s="16">
        <v>613900</v>
      </c>
      <c r="F25" s="26" t="s">
        <v>87</v>
      </c>
      <c r="G25" s="50">
        <f>220000+538</f>
        <v>220538</v>
      </c>
      <c r="H25" s="50"/>
      <c r="I25" s="88">
        <f t="shared" si="0"/>
        <v>0</v>
      </c>
      <c r="J25" s="60"/>
      <c r="K25" s="73"/>
    </row>
    <row r="26" spans="2:12" ht="12.75" customHeight="1">
      <c r="B26" s="14"/>
      <c r="C26" s="15"/>
      <c r="D26" s="15"/>
      <c r="E26" s="16">
        <v>613900</v>
      </c>
      <c r="F26" s="132" t="s">
        <v>150</v>
      </c>
      <c r="G26" s="32">
        <v>0</v>
      </c>
      <c r="H26" s="32"/>
      <c r="I26" s="88">
        <f t="shared" si="0"/>
      </c>
      <c r="K26" s="52"/>
      <c r="L26" s="49"/>
    </row>
    <row r="27" spans="2:11" ht="12.75" customHeight="1">
      <c r="B27" s="14"/>
      <c r="C27" s="15"/>
      <c r="D27" s="15"/>
      <c r="E27" s="16"/>
      <c r="F27" s="15"/>
      <c r="G27" s="32"/>
      <c r="H27" s="32"/>
      <c r="I27" s="87">
        <f t="shared" si="0"/>
      </c>
      <c r="K27" s="52"/>
    </row>
    <row r="28" spans="2:11" ht="12.75" customHeight="1">
      <c r="B28" s="17"/>
      <c r="C28" s="12"/>
      <c r="D28" s="12"/>
      <c r="E28" s="9"/>
      <c r="F28" s="12"/>
      <c r="G28" s="20"/>
      <c r="H28" s="20"/>
      <c r="I28" s="87">
        <f t="shared" si="0"/>
      </c>
      <c r="K28" s="52"/>
    </row>
    <row r="29" spans="2:11" s="1" customFormat="1" ht="12.75" customHeight="1">
      <c r="B29" s="14"/>
      <c r="C29" s="15"/>
      <c r="D29" s="15"/>
      <c r="E29" s="16"/>
      <c r="F29" s="26"/>
      <c r="G29" s="32"/>
      <c r="H29" s="32"/>
      <c r="I29" s="88">
        <f t="shared" si="0"/>
      </c>
      <c r="K29" s="52"/>
    </row>
    <row r="30" spans="2:11" ht="12.75" customHeight="1">
      <c r="B30" s="14"/>
      <c r="C30" s="15"/>
      <c r="D30" s="15"/>
      <c r="E30" s="16"/>
      <c r="F30" s="26"/>
      <c r="G30" s="32"/>
      <c r="H30" s="32"/>
      <c r="I30" s="87">
        <f t="shared" si="0"/>
      </c>
      <c r="K30" s="52"/>
    </row>
    <row r="31" spans="2:11" ht="12.75" customHeight="1">
      <c r="B31" s="14"/>
      <c r="C31" s="15"/>
      <c r="D31" s="15"/>
      <c r="E31" s="16"/>
      <c r="F31" s="15"/>
      <c r="G31" s="32"/>
      <c r="H31" s="32"/>
      <c r="I31" s="87">
        <f t="shared" si="0"/>
      </c>
      <c r="K31" s="52"/>
    </row>
    <row r="32" spans="2:11" ht="12.75" customHeight="1">
      <c r="B32" s="14"/>
      <c r="C32" s="15"/>
      <c r="D32" s="15"/>
      <c r="E32" s="16"/>
      <c r="F32" s="15"/>
      <c r="G32" s="32"/>
      <c r="H32" s="32"/>
      <c r="I32" s="87">
        <f t="shared" si="0"/>
      </c>
      <c r="K32" s="52"/>
    </row>
    <row r="33" spans="2:11" ht="12.75" customHeight="1">
      <c r="B33" s="14"/>
      <c r="C33" s="15"/>
      <c r="D33" s="15"/>
      <c r="E33" s="16"/>
      <c r="F33" s="15"/>
      <c r="G33" s="32"/>
      <c r="H33" s="32"/>
      <c r="I33" s="87">
        <f t="shared" si="0"/>
      </c>
      <c r="K33" s="52"/>
    </row>
    <row r="34" spans="2:11" ht="12.75" customHeight="1">
      <c r="B34" s="14"/>
      <c r="C34" s="15"/>
      <c r="D34" s="15"/>
      <c r="E34" s="16"/>
      <c r="F34" s="19"/>
      <c r="G34" s="32"/>
      <c r="H34" s="32"/>
      <c r="I34" s="87">
        <f t="shared" si="0"/>
      </c>
      <c r="K34" s="52"/>
    </row>
    <row r="35" spans="2:11" ht="12.75" customHeight="1">
      <c r="B35" s="14"/>
      <c r="C35" s="15"/>
      <c r="D35" s="15"/>
      <c r="E35" s="16"/>
      <c r="F35" s="15"/>
      <c r="G35" s="32"/>
      <c r="H35" s="32"/>
      <c r="I35" s="87">
        <f t="shared" si="0"/>
      </c>
      <c r="K35" s="52"/>
    </row>
    <row r="36" spans="2:1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57000</v>
      </c>
      <c r="H36" s="20">
        <f>SUM(H37:H38)</f>
        <v>0</v>
      </c>
      <c r="I36" s="87">
        <f t="shared" si="0"/>
        <v>0</v>
      </c>
      <c r="K36" s="52"/>
    </row>
    <row r="37" spans="2:11" s="1" customFormat="1" ht="12.75" customHeight="1">
      <c r="B37" s="14"/>
      <c r="C37" s="15"/>
      <c r="D37" s="15"/>
      <c r="E37" s="16">
        <v>821200</v>
      </c>
      <c r="F37" s="15" t="s">
        <v>14</v>
      </c>
      <c r="G37" s="50">
        <v>2000</v>
      </c>
      <c r="H37" s="50"/>
      <c r="I37" s="88">
        <f t="shared" si="0"/>
        <v>0</v>
      </c>
      <c r="K37" s="52"/>
    </row>
    <row r="38" spans="2:11" ht="12.75" customHeight="1">
      <c r="B38" s="14"/>
      <c r="C38" s="15"/>
      <c r="D38" s="15"/>
      <c r="E38" s="16">
        <v>821300</v>
      </c>
      <c r="F38" s="15" t="s">
        <v>15</v>
      </c>
      <c r="G38" s="50">
        <v>55000</v>
      </c>
      <c r="H38" s="50"/>
      <c r="I38" s="88">
        <f t="shared" si="0"/>
        <v>0</v>
      </c>
      <c r="J38" s="49"/>
      <c r="K38" s="52"/>
    </row>
    <row r="39" spans="2:11" ht="12.75" customHeight="1">
      <c r="B39" s="14"/>
      <c r="C39" s="15"/>
      <c r="D39" s="15"/>
      <c r="E39" s="16"/>
      <c r="F39" s="15"/>
      <c r="G39" s="32"/>
      <c r="H39" s="32"/>
      <c r="I39" s="88">
        <f t="shared" si="0"/>
      </c>
      <c r="K39" s="52"/>
    </row>
    <row r="40" spans="2:11" ht="12.75" customHeight="1">
      <c r="B40" s="14"/>
      <c r="C40" s="15"/>
      <c r="D40" s="15"/>
      <c r="E40" s="16"/>
      <c r="F40" s="15"/>
      <c r="G40" s="32"/>
      <c r="H40" s="32"/>
      <c r="I40" s="88">
        <f t="shared" si="0"/>
      </c>
      <c r="K40" s="52"/>
    </row>
    <row r="41" spans="2:11" ht="12.75" customHeight="1">
      <c r="B41" s="17"/>
      <c r="C41" s="12"/>
      <c r="D41" s="12"/>
      <c r="E41" s="9"/>
      <c r="F41" s="12" t="s">
        <v>16</v>
      </c>
      <c r="G41" s="75" t="s">
        <v>167</v>
      </c>
      <c r="H41" s="61"/>
      <c r="I41" s="88"/>
      <c r="K41" s="52"/>
    </row>
    <row r="42" spans="2:11" s="1" customFormat="1" ht="12.75" customHeight="1">
      <c r="B42" s="17"/>
      <c r="C42" s="12"/>
      <c r="D42" s="12"/>
      <c r="E42" s="9"/>
      <c r="F42" s="12" t="s">
        <v>32</v>
      </c>
      <c r="G42" s="20">
        <f>G7+G12+G16+G28+G36</f>
        <v>825661</v>
      </c>
      <c r="H42" s="20">
        <f>H7+H12+H16+H28+H36</f>
        <v>0</v>
      </c>
      <c r="I42" s="87">
        <f t="shared" si="0"/>
        <v>0</v>
      </c>
      <c r="K42" s="52"/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0"/>
    </row>
    <row r="44" spans="2:9" s="1" customFormat="1" ht="12.75" customHeight="1">
      <c r="B44" s="17"/>
      <c r="C44" s="12"/>
      <c r="D44" s="12"/>
      <c r="E44" s="9"/>
      <c r="F44" s="12" t="s">
        <v>18</v>
      </c>
      <c r="G44" s="20"/>
      <c r="H44" s="20"/>
      <c r="I44" s="90"/>
    </row>
    <row r="45" spans="2:9" s="1" customFormat="1" ht="12.75" customHeight="1" thickBot="1">
      <c r="B45" s="21"/>
      <c r="C45" s="22"/>
      <c r="D45" s="22"/>
      <c r="E45" s="23"/>
      <c r="F45" s="22"/>
      <c r="G45" s="34"/>
      <c r="H45" s="34"/>
      <c r="I45" s="91"/>
    </row>
    <row r="46" ht="12.75" customHeight="1"/>
    <row r="47" ht="12.75">
      <c r="B47" s="49"/>
    </row>
  </sheetData>
  <sheetProtection/>
  <mergeCells count="2">
    <mergeCell ref="B2:I2"/>
    <mergeCell ref="F3:G3"/>
  </mergeCells>
  <printOptions/>
  <pageMargins left="0.2755905511811024" right="0.2755905511811024" top="0.5905511811023623" bottom="0.5905511811023623" header="0.5118110236220472" footer="0.5118110236220472"/>
  <pageSetup fitToHeight="1" fitToWidth="1" horizontalDpi="180" verticalDpi="180" orientation="portrait" paperSize="9" scale="88" r:id="rId1"/>
  <headerFooter alignWithMargins="0">
    <oddFooter>&amp;R8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3"/>
  <dimension ref="B2:K45"/>
  <sheetViews>
    <sheetView workbookViewId="0" topLeftCell="A10">
      <selection activeCell="G31" sqref="G3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9" s="65" customFormat="1" ht="15" customHeight="1">
      <c r="B2" s="144" t="s">
        <v>51</v>
      </c>
      <c r="C2" s="144"/>
      <c r="D2" s="144"/>
      <c r="E2" s="144"/>
      <c r="F2" s="144"/>
      <c r="G2" s="144"/>
      <c r="H2" s="127"/>
      <c r="I2" s="128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52</v>
      </c>
      <c r="C6" s="11" t="s">
        <v>4</v>
      </c>
      <c r="D6" s="11" t="s">
        <v>5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76250</v>
      </c>
      <c r="H7" s="134">
        <f>SUM(H8:H11)</f>
        <v>0</v>
      </c>
      <c r="I7" s="87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62400+3050</f>
        <v>65450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v>10800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7330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7000+330</f>
        <v>7330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45600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0">
        <v>3000</v>
      </c>
      <c r="H18" s="50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50">
        <v>0</v>
      </c>
      <c r="H19" s="50"/>
      <c r="I19" s="88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50">
        <v>3000</v>
      </c>
      <c r="H20" s="50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50">
        <v>2200</v>
      </c>
      <c r="H21" s="50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0">
        <v>0</v>
      </c>
      <c r="H22" s="50"/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50">
        <v>0</v>
      </c>
      <c r="H23" s="50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0">
        <v>1400</v>
      </c>
      <c r="H24" s="50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50">
        <v>0</v>
      </c>
      <c r="H25" s="50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50">
        <v>36000</v>
      </c>
      <c r="H26" s="50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103">
        <v>0</v>
      </c>
      <c r="H27" s="103"/>
      <c r="I27" s="88">
        <f t="shared" si="0"/>
      </c>
    </row>
    <row r="28" spans="2:9" s="1" customFormat="1" ht="12.75" customHeight="1">
      <c r="B28" s="17"/>
      <c r="C28" s="12"/>
      <c r="D28" s="12"/>
      <c r="E28" s="39"/>
      <c r="F28" s="12"/>
      <c r="G28" s="33"/>
      <c r="H28" s="33"/>
      <c r="I28" s="88">
        <f t="shared" si="0"/>
      </c>
    </row>
    <row r="29" spans="2:9" ht="12.75" customHeight="1">
      <c r="B29" s="14"/>
      <c r="C29" s="15"/>
      <c r="D29" s="29"/>
      <c r="E29" s="41"/>
      <c r="F29" s="38"/>
      <c r="G29" s="33"/>
      <c r="H29" s="33"/>
      <c r="I29" s="88">
        <f t="shared" si="0"/>
      </c>
    </row>
    <row r="30" spans="2:9" ht="12.75" customHeight="1">
      <c r="B30" s="14"/>
      <c r="C30" s="15"/>
      <c r="D30" s="15"/>
      <c r="E30" s="40"/>
      <c r="F30" s="15"/>
      <c r="G30" s="33"/>
      <c r="H30" s="33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33"/>
      <c r="H31" s="33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33"/>
      <c r="H32" s="33"/>
      <c r="I32" s="88">
        <f t="shared" si="0"/>
      </c>
    </row>
    <row r="33" spans="2:9" ht="12.75" customHeight="1">
      <c r="B33" s="14"/>
      <c r="C33" s="15"/>
      <c r="D33" s="15"/>
      <c r="E33" s="16"/>
      <c r="F33" s="15"/>
      <c r="G33" s="33"/>
      <c r="H33" s="33"/>
      <c r="I33" s="88">
        <f t="shared" si="0"/>
      </c>
    </row>
    <row r="34" spans="2:9" ht="12.75" customHeight="1">
      <c r="B34" s="14"/>
      <c r="C34" s="15"/>
      <c r="D34" s="15"/>
      <c r="E34" s="16"/>
      <c r="F34" s="19"/>
      <c r="G34" s="33"/>
      <c r="H34" s="33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3000</v>
      </c>
      <c r="H36" s="20">
        <f>SUM(H37:H38)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33">
        <v>0</v>
      </c>
      <c r="H37" s="33"/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33">
        <v>3000</v>
      </c>
      <c r="H38" s="33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3</v>
      </c>
      <c r="H41" s="20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132180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0"/>
    </row>
    <row r="44" spans="2:9" s="1" customFormat="1" ht="12.75" customHeight="1">
      <c r="B44" s="17"/>
      <c r="C44" s="12"/>
      <c r="D44" s="12"/>
      <c r="E44" s="9"/>
      <c r="F44" s="12" t="s">
        <v>18</v>
      </c>
      <c r="G44" s="32"/>
      <c r="H44" s="32"/>
      <c r="I44" s="89"/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4"/>
  <dimension ref="B2:M53"/>
  <sheetViews>
    <sheetView workbookViewId="0" topLeftCell="A1">
      <selection activeCell="J12" sqref="J1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9" s="65" customFormat="1" ht="15" customHeight="1">
      <c r="B2" s="144" t="s">
        <v>105</v>
      </c>
      <c r="C2" s="144"/>
      <c r="D2" s="144"/>
      <c r="E2" s="144"/>
      <c r="F2" s="144"/>
      <c r="G2" s="144"/>
      <c r="H2" s="127"/>
      <c r="I2" s="128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52</v>
      </c>
      <c r="C6" s="11" t="s">
        <v>53</v>
      </c>
      <c r="D6" s="11" t="s">
        <v>45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1167310</v>
      </c>
      <c r="H7" s="134">
        <f>SUM(H8:H11)</f>
        <v>0</v>
      </c>
      <c r="I7" s="87">
        <f aca="true" t="shared" si="0" ref="I7:I43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955300+22610</f>
        <v>977910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184100+5300</f>
        <v>189400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105990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103500+2490</f>
        <v>105990</v>
      </c>
      <c r="H14" s="136"/>
      <c r="I14" s="88">
        <f t="shared" si="0"/>
        <v>0</v>
      </c>
    </row>
    <row r="15" spans="2:13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  <c r="M15" s="53"/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338500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6500</v>
      </c>
      <c r="H18" s="33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17000</v>
      </c>
      <c r="H19" s="33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3">
        <v>130000</v>
      </c>
      <c r="H20" s="33"/>
      <c r="I20" s="88">
        <f t="shared" si="0"/>
        <v>0</v>
      </c>
    </row>
    <row r="21" spans="2:10" ht="12.75" customHeight="1">
      <c r="B21" s="14"/>
      <c r="C21" s="15"/>
      <c r="D21" s="15"/>
      <c r="E21" s="16">
        <v>613400</v>
      </c>
      <c r="F21" s="15" t="s">
        <v>85</v>
      </c>
      <c r="G21" s="69">
        <v>35000</v>
      </c>
      <c r="H21" s="69"/>
      <c r="I21" s="88">
        <f t="shared" si="0"/>
        <v>0</v>
      </c>
      <c r="J21" s="49"/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12000</v>
      </c>
      <c r="H22" s="33"/>
      <c r="I22" s="88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69">
        <v>0</v>
      </c>
      <c r="H23" s="69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69">
        <v>14000</v>
      </c>
      <c r="H24" s="69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69">
        <v>4000</v>
      </c>
      <c r="H25" s="69"/>
      <c r="I25" s="88">
        <f t="shared" si="0"/>
        <v>0</v>
      </c>
    </row>
    <row r="26" spans="2:10" ht="12.75" customHeight="1">
      <c r="B26" s="14"/>
      <c r="C26" s="15"/>
      <c r="D26" s="15"/>
      <c r="E26" s="16">
        <v>613900</v>
      </c>
      <c r="F26" s="15" t="s">
        <v>87</v>
      </c>
      <c r="G26" s="69">
        <v>120000</v>
      </c>
      <c r="H26" s="69"/>
      <c r="I26" s="88">
        <f t="shared" si="0"/>
        <v>0</v>
      </c>
      <c r="J26" s="60"/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69">
        <v>0</v>
      </c>
      <c r="H27" s="69"/>
      <c r="I27" s="88">
        <f t="shared" si="0"/>
      </c>
    </row>
    <row r="28" spans="2:9" s="1" customFormat="1" ht="12.75" customHeight="1">
      <c r="B28" s="17"/>
      <c r="C28" s="12"/>
      <c r="D28" s="12"/>
      <c r="E28" s="39"/>
      <c r="F28" s="12"/>
      <c r="G28" s="69"/>
      <c r="H28" s="69"/>
      <c r="I28" s="88">
        <f t="shared" si="0"/>
      </c>
    </row>
    <row r="29" spans="2:9" ht="12.75" customHeight="1">
      <c r="B29" s="14"/>
      <c r="C29" s="15"/>
      <c r="D29" s="29"/>
      <c r="E29" s="41"/>
      <c r="F29" s="38"/>
      <c r="G29" s="69"/>
      <c r="H29" s="69"/>
      <c r="I29" s="88">
        <f t="shared" si="0"/>
      </c>
    </row>
    <row r="30" spans="2:9" ht="12.75" customHeight="1">
      <c r="B30" s="14"/>
      <c r="C30" s="15"/>
      <c r="D30" s="15"/>
      <c r="E30" s="40"/>
      <c r="F30" s="15"/>
      <c r="G30" s="69"/>
      <c r="H30" s="69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69"/>
      <c r="H31" s="69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69"/>
      <c r="H32" s="69"/>
      <c r="I32" s="88">
        <f t="shared" si="0"/>
      </c>
    </row>
    <row r="33" spans="2:9" ht="12.75" customHeight="1">
      <c r="B33" s="14"/>
      <c r="C33" s="15"/>
      <c r="D33" s="15"/>
      <c r="E33" s="16"/>
      <c r="F33" s="15"/>
      <c r="G33" s="69"/>
      <c r="H33" s="69"/>
      <c r="I33" s="88">
        <f t="shared" si="0"/>
      </c>
    </row>
    <row r="34" spans="2:9" ht="12.75" customHeight="1">
      <c r="B34" s="14"/>
      <c r="C34" s="15"/>
      <c r="D34" s="15"/>
      <c r="E34" s="16"/>
      <c r="F34" s="19"/>
      <c r="G34" s="69"/>
      <c r="H34" s="69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G37+G38</f>
        <v>30000</v>
      </c>
      <c r="H36" s="61">
        <f>H37+H38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69">
        <v>5000</v>
      </c>
      <c r="H37" s="69"/>
      <c r="I37" s="88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69">
        <v>25000</v>
      </c>
      <c r="H38" s="69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75">
        <v>45</v>
      </c>
      <c r="H41" s="75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1641800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1641800</v>
      </c>
      <c r="H43" s="20">
        <f>H42</f>
        <v>0</v>
      </c>
      <c r="I43" s="8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32"/>
      <c r="H44" s="32"/>
      <c r="I44" s="89"/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6" ht="12.75">
      <c r="I46" s="126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&amp;R18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B2:K48"/>
  <sheetViews>
    <sheetView workbookViewId="0" topLeftCell="A7">
      <selection activeCell="J12" sqref="J1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9" s="65" customFormat="1" ht="15" customHeight="1">
      <c r="B2" s="144" t="s">
        <v>125</v>
      </c>
      <c r="C2" s="144"/>
      <c r="D2" s="144"/>
      <c r="E2" s="144"/>
      <c r="F2" s="144"/>
      <c r="G2" s="144"/>
      <c r="H2" s="127"/>
      <c r="I2" s="128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52</v>
      </c>
      <c r="C6" s="11" t="s">
        <v>54</v>
      </c>
      <c r="D6" s="11" t="s">
        <v>5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33600</v>
      </c>
      <c r="H7" s="134">
        <f>SUM(H8:H11)</f>
        <v>0</v>
      </c>
      <c r="I7" s="87">
        <f aca="true" t="shared" si="0" ref="I7:I43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26900+1300</f>
        <v>28200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3900+1500</f>
        <v>5400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3240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3100+140</f>
        <v>3240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4200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500</v>
      </c>
      <c r="H18" s="33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88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3">
        <v>1000</v>
      </c>
      <c r="H20" s="33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3">
        <v>1000</v>
      </c>
      <c r="H21" s="33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0</v>
      </c>
      <c r="H22" s="33"/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3">
        <v>0</v>
      </c>
      <c r="H23" s="33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0</v>
      </c>
      <c r="H24" s="33"/>
      <c r="I24" s="88">
        <f t="shared" si="0"/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33">
        <v>0</v>
      </c>
      <c r="H25" s="33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33">
        <v>1700</v>
      </c>
      <c r="H26" s="33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33">
        <v>0</v>
      </c>
      <c r="H27" s="33"/>
      <c r="I27" s="88">
        <f t="shared" si="0"/>
      </c>
    </row>
    <row r="28" spans="2:9" s="1" customFormat="1" ht="12.75" customHeight="1">
      <c r="B28" s="17"/>
      <c r="C28" s="12"/>
      <c r="D28" s="12"/>
      <c r="E28" s="39"/>
      <c r="F28" s="12"/>
      <c r="G28" s="33"/>
      <c r="H28" s="33"/>
      <c r="I28" s="88">
        <f t="shared" si="0"/>
      </c>
    </row>
    <row r="29" spans="2:9" ht="12.75" customHeight="1">
      <c r="B29" s="14"/>
      <c r="C29" s="15"/>
      <c r="D29" s="29"/>
      <c r="E29" s="41"/>
      <c r="F29" s="38"/>
      <c r="G29" s="33"/>
      <c r="H29" s="33"/>
      <c r="I29" s="88">
        <f t="shared" si="0"/>
      </c>
    </row>
    <row r="30" spans="2:9" ht="12.75" customHeight="1">
      <c r="B30" s="14"/>
      <c r="C30" s="15"/>
      <c r="D30" s="15"/>
      <c r="E30" s="40"/>
      <c r="F30" s="15"/>
      <c r="G30" s="33"/>
      <c r="H30" s="33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33"/>
      <c r="H31" s="33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33"/>
      <c r="H32" s="33"/>
      <c r="I32" s="88">
        <f t="shared" si="0"/>
      </c>
    </row>
    <row r="33" spans="2:9" ht="12.75" customHeight="1">
      <c r="B33" s="14"/>
      <c r="C33" s="15"/>
      <c r="D33" s="15"/>
      <c r="E33" s="16"/>
      <c r="F33" s="15"/>
      <c r="G33" s="33"/>
      <c r="H33" s="33"/>
      <c r="I33" s="88">
        <f t="shared" si="0"/>
      </c>
    </row>
    <row r="34" spans="2:9" ht="12.75" customHeight="1">
      <c r="B34" s="14"/>
      <c r="C34" s="15"/>
      <c r="D34" s="15"/>
      <c r="E34" s="16"/>
      <c r="F34" s="19"/>
      <c r="G34" s="33"/>
      <c r="H34" s="33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500</v>
      </c>
      <c r="H36" s="20">
        <f>SUM(H37:H38)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33">
        <v>0</v>
      </c>
      <c r="H37" s="33"/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33">
        <v>500</v>
      </c>
      <c r="H38" s="33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1">
        <v>1</v>
      </c>
      <c r="H41" s="61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41540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41540</v>
      </c>
      <c r="H43" s="20">
        <f>H42</f>
        <v>0</v>
      </c>
      <c r="I43" s="8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32"/>
      <c r="H44" s="32"/>
      <c r="I44" s="89"/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7" ht="12.75">
      <c r="B47" s="49"/>
    </row>
    <row r="48" ht="12.75">
      <c r="B48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&amp;R19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43"/>
  <dimension ref="B2:K47"/>
  <sheetViews>
    <sheetView workbookViewId="0" topLeftCell="C7">
      <selection activeCell="G33" sqref="G3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7" ht="15" customHeight="1">
      <c r="B2" s="142" t="s">
        <v>124</v>
      </c>
      <c r="C2" s="142"/>
      <c r="D2" s="142"/>
      <c r="E2" s="142"/>
      <c r="F2" s="142"/>
      <c r="G2" s="14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52</v>
      </c>
      <c r="C6" s="11" t="s">
        <v>54</v>
      </c>
      <c r="D6" s="11" t="s">
        <v>38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33370</v>
      </c>
      <c r="H7" s="134">
        <f>SUM(H8:H11)</f>
        <v>0</v>
      </c>
      <c r="I7" s="87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12500+11300+600+570</f>
        <v>24970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3200+1950</f>
        <v>5150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3250</v>
      </c>
      <c r="H10" s="133"/>
      <c r="I10" s="88">
        <f t="shared" si="0"/>
        <v>0</v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3180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1800+1250+70+60</f>
        <v>3180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5850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500</v>
      </c>
      <c r="H18" s="33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88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3">
        <v>950</v>
      </c>
      <c r="H20" s="33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3">
        <v>500</v>
      </c>
      <c r="H21" s="33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0</v>
      </c>
      <c r="H22" s="33"/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3">
        <v>0</v>
      </c>
      <c r="H23" s="33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0</v>
      </c>
      <c r="H24" s="33"/>
      <c r="I24" s="88">
        <f t="shared" si="0"/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33">
        <v>0</v>
      </c>
      <c r="H25" s="33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69">
        <v>500</v>
      </c>
      <c r="H26" s="69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33">
        <v>3400</v>
      </c>
      <c r="H27" s="33"/>
      <c r="I27" s="88">
        <f t="shared" si="0"/>
        <v>0</v>
      </c>
    </row>
    <row r="28" spans="2:9" s="1" customFormat="1" ht="12.75" customHeight="1">
      <c r="B28" s="17"/>
      <c r="C28" s="12"/>
      <c r="D28" s="12"/>
      <c r="E28" s="39"/>
      <c r="F28" s="12"/>
      <c r="G28" s="33"/>
      <c r="H28" s="33"/>
      <c r="I28" s="88">
        <f t="shared" si="0"/>
      </c>
    </row>
    <row r="29" spans="2:9" ht="12.75" customHeight="1">
      <c r="B29" s="14"/>
      <c r="C29" s="15"/>
      <c r="D29" s="29"/>
      <c r="E29" s="41"/>
      <c r="F29" s="38"/>
      <c r="G29" s="33"/>
      <c r="H29" s="33"/>
      <c r="I29" s="88">
        <f t="shared" si="0"/>
      </c>
    </row>
    <row r="30" spans="2:9" ht="12.75" customHeight="1">
      <c r="B30" s="14"/>
      <c r="C30" s="15"/>
      <c r="D30" s="15"/>
      <c r="E30" s="40"/>
      <c r="F30" s="15"/>
      <c r="G30" s="33"/>
      <c r="H30" s="33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33"/>
      <c r="H31" s="33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33"/>
      <c r="H32" s="33"/>
      <c r="I32" s="88">
        <f t="shared" si="0"/>
      </c>
    </row>
    <row r="33" spans="2:9" ht="12.75" customHeight="1">
      <c r="B33" s="14"/>
      <c r="C33" s="15"/>
      <c r="D33" s="15"/>
      <c r="E33" s="16"/>
      <c r="F33" s="15"/>
      <c r="G33" s="33"/>
      <c r="H33" s="33"/>
      <c r="I33" s="88">
        <f t="shared" si="0"/>
      </c>
    </row>
    <row r="34" spans="2:9" ht="12.75" customHeight="1">
      <c r="B34" s="14"/>
      <c r="C34" s="15"/>
      <c r="D34" s="15"/>
      <c r="E34" s="16"/>
      <c r="F34" s="19"/>
      <c r="G34" s="33"/>
      <c r="H34" s="33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1000</v>
      </c>
      <c r="H36" s="20">
        <f>SUM(H37:H38)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33">
        <v>0</v>
      </c>
      <c r="H37" s="33"/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33">
        <v>1000</v>
      </c>
      <c r="H38" s="33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1">
        <v>2</v>
      </c>
      <c r="H41" s="61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43400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43400</v>
      </c>
      <c r="H43" s="20">
        <f>H42</f>
        <v>0</v>
      </c>
      <c r="I43" s="8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G43+'12'!G43+'11'!G43+'10'!G42</f>
        <v>1858920</v>
      </c>
      <c r="H44" s="20">
        <f>H43+'12'!H43+'11'!H43+'10'!H42</f>
        <v>0</v>
      </c>
      <c r="I44" s="87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7" ht="12.75">
      <c r="B47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&amp;R20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45"/>
  <dimension ref="B2:K48"/>
  <sheetViews>
    <sheetView workbookViewId="0" topLeftCell="A7">
      <selection activeCell="J12" sqref="J1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7" ht="15" customHeight="1">
      <c r="B2" s="142" t="s">
        <v>106</v>
      </c>
      <c r="C2" s="142"/>
      <c r="D2" s="142"/>
      <c r="E2" s="142"/>
      <c r="F2" s="142"/>
      <c r="G2" s="14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52</v>
      </c>
      <c r="C6" s="11" t="s">
        <v>107</v>
      </c>
      <c r="D6" s="11" t="s">
        <v>5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58660</v>
      </c>
      <c r="H7" s="134">
        <f>SUM(H8:H11)</f>
        <v>0</v>
      </c>
      <c r="I7" s="87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50200+2460</f>
        <v>52660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6000</f>
        <v>6000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5970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5700+270</f>
        <v>5970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5800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1900</v>
      </c>
      <c r="H18" s="33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88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3">
        <v>1600</v>
      </c>
      <c r="H20" s="33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3">
        <v>900</v>
      </c>
      <c r="H21" s="33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0</v>
      </c>
      <c r="H22" s="33"/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3">
        <v>0</v>
      </c>
      <c r="H23" s="33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400</v>
      </c>
      <c r="H24" s="33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33">
        <v>0</v>
      </c>
      <c r="H25" s="33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69">
        <v>1000</v>
      </c>
      <c r="H26" s="69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69">
        <v>0</v>
      </c>
      <c r="H27" s="69"/>
      <c r="I27" s="88">
        <f t="shared" si="0"/>
      </c>
    </row>
    <row r="28" spans="2:9" s="1" customFormat="1" ht="12.75" customHeight="1">
      <c r="B28" s="17"/>
      <c r="C28" s="12"/>
      <c r="D28" s="12"/>
      <c r="E28" s="39"/>
      <c r="F28" s="12"/>
      <c r="G28" s="33"/>
      <c r="H28" s="33"/>
      <c r="I28" s="88">
        <f t="shared" si="0"/>
      </c>
    </row>
    <row r="29" spans="2:9" ht="12.75" customHeight="1">
      <c r="B29" s="14"/>
      <c r="C29" s="15"/>
      <c r="D29" s="29"/>
      <c r="E29" s="41"/>
      <c r="F29" s="38"/>
      <c r="G29" s="33"/>
      <c r="H29" s="33"/>
      <c r="I29" s="88">
        <f t="shared" si="0"/>
      </c>
    </row>
    <row r="30" spans="2:9" ht="12.75" customHeight="1">
      <c r="B30" s="14"/>
      <c r="C30" s="15"/>
      <c r="D30" s="15"/>
      <c r="E30" s="40"/>
      <c r="F30" s="15"/>
      <c r="G30" s="33"/>
      <c r="H30" s="33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33"/>
      <c r="H31" s="33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33"/>
      <c r="H32" s="33"/>
      <c r="I32" s="88">
        <f t="shared" si="0"/>
      </c>
    </row>
    <row r="33" spans="2:9" ht="12.75" customHeight="1">
      <c r="B33" s="14"/>
      <c r="C33" s="15"/>
      <c r="D33" s="15"/>
      <c r="E33" s="16"/>
      <c r="F33" s="15"/>
      <c r="G33" s="33"/>
      <c r="H33" s="33"/>
      <c r="I33" s="88">
        <f t="shared" si="0"/>
      </c>
    </row>
    <row r="34" spans="2:9" ht="12.75" customHeight="1">
      <c r="B34" s="14"/>
      <c r="C34" s="15"/>
      <c r="D34" s="15"/>
      <c r="E34" s="16"/>
      <c r="F34" s="19"/>
      <c r="G34" s="33"/>
      <c r="H34" s="33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G37+G38</f>
        <v>0</v>
      </c>
      <c r="H36" s="20">
        <f>H37+H38</f>
        <v>0</v>
      </c>
      <c r="I36" s="87">
        <f t="shared" si="0"/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33">
        <v>0</v>
      </c>
      <c r="H37" s="33"/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69">
        <v>0</v>
      </c>
      <c r="H38" s="69"/>
      <c r="I38" s="88">
        <f t="shared" si="0"/>
      </c>
    </row>
    <row r="39" spans="2:9" ht="12.75" customHeight="1">
      <c r="B39" s="14"/>
      <c r="C39" s="15"/>
      <c r="D39" s="15"/>
      <c r="E39" s="16"/>
      <c r="F39" s="15"/>
      <c r="G39" s="33"/>
      <c r="H39" s="33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2</v>
      </c>
      <c r="H41" s="20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70430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70430</v>
      </c>
      <c r="H43" s="20">
        <f>H42</f>
        <v>0</v>
      </c>
      <c r="I43" s="8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G43+'13'!G43+'12'!G43+'11'!G43+'10'!G42</f>
        <v>1929350</v>
      </c>
      <c r="H44" s="20">
        <f>H43+'13'!H43+'12'!H43+'11'!H43+'10'!H42</f>
        <v>0</v>
      </c>
      <c r="I44" s="87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7" ht="12.75">
      <c r="B47" s="49"/>
    </row>
    <row r="48" ht="12.75">
      <c r="B48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&amp;R21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8"/>
  <dimension ref="B2:K46"/>
  <sheetViews>
    <sheetView workbookViewId="0" topLeftCell="B1">
      <selection activeCell="G38" sqref="G38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9" s="65" customFormat="1" ht="15" customHeight="1">
      <c r="B2" s="144" t="s">
        <v>97</v>
      </c>
      <c r="C2" s="144"/>
      <c r="D2" s="144"/>
      <c r="E2" s="144"/>
      <c r="F2" s="144"/>
      <c r="G2" s="144"/>
      <c r="H2" s="127"/>
      <c r="I2" s="128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117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55</v>
      </c>
      <c r="C6" s="11" t="s">
        <v>4</v>
      </c>
      <c r="D6" s="11" t="s">
        <v>5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172860</v>
      </c>
      <c r="H7" s="134">
        <f>SUM(H8:H11)</f>
        <v>0</v>
      </c>
      <c r="I7" s="87">
        <f aca="true" t="shared" si="0" ref="I7:I40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137200+6760</f>
        <v>143960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28900</f>
        <v>28900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16630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15900+730</f>
        <v>16630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69"/>
      <c r="H15" s="69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24600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5000</v>
      </c>
      <c r="H18" s="33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88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3">
        <v>3500</v>
      </c>
      <c r="H20" s="33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3">
        <v>100</v>
      </c>
      <c r="H21" s="33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0</v>
      </c>
      <c r="H22" s="33"/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3">
        <v>0</v>
      </c>
      <c r="H23" s="33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2300</v>
      </c>
      <c r="H24" s="33"/>
      <c r="I24" s="88">
        <f t="shared" si="0"/>
        <v>0</v>
      </c>
    </row>
    <row r="25" spans="2:11" ht="12.75" customHeight="1">
      <c r="B25" s="14"/>
      <c r="C25" s="15"/>
      <c r="D25" s="15"/>
      <c r="E25" s="16">
        <v>613800</v>
      </c>
      <c r="F25" s="15" t="s">
        <v>86</v>
      </c>
      <c r="G25" s="33">
        <v>0</v>
      </c>
      <c r="H25" s="33"/>
      <c r="I25" s="88">
        <f t="shared" si="0"/>
      </c>
      <c r="K25" s="49"/>
    </row>
    <row r="26" spans="2:11" ht="12.75" customHeight="1">
      <c r="B26" s="14"/>
      <c r="C26" s="15"/>
      <c r="D26" s="15"/>
      <c r="E26" s="16">
        <v>613900</v>
      </c>
      <c r="F26" s="15" t="s">
        <v>87</v>
      </c>
      <c r="G26" s="69">
        <v>13700</v>
      </c>
      <c r="H26" s="69"/>
      <c r="I26" s="88">
        <f t="shared" si="0"/>
        <v>0</v>
      </c>
      <c r="K26" s="49"/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33">
        <v>0</v>
      </c>
      <c r="H27" s="33"/>
      <c r="I27" s="88">
        <f t="shared" si="0"/>
      </c>
    </row>
    <row r="28" spans="2:9" ht="12.75" customHeight="1">
      <c r="B28" s="14"/>
      <c r="C28" s="15"/>
      <c r="D28" s="15"/>
      <c r="E28" s="16"/>
      <c r="F28" s="15"/>
      <c r="G28" s="20"/>
      <c r="H28" s="20"/>
      <c r="I28" s="88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112</v>
      </c>
      <c r="G29" s="20">
        <f>SUM(G30:G30)</f>
        <v>900000</v>
      </c>
      <c r="H29" s="20">
        <f>SUM(H30:H30)</f>
        <v>0</v>
      </c>
      <c r="I29" s="87">
        <f t="shared" si="0"/>
        <v>0</v>
      </c>
    </row>
    <row r="30" spans="2:9" s="1" customFormat="1" ht="12.75" customHeight="1">
      <c r="B30" s="17"/>
      <c r="C30" s="12"/>
      <c r="D30" s="47"/>
      <c r="E30" s="72">
        <v>614500</v>
      </c>
      <c r="F30" s="67" t="s">
        <v>33</v>
      </c>
      <c r="G30" s="69">
        <v>900000</v>
      </c>
      <c r="H30" s="69"/>
      <c r="I30" s="88">
        <f t="shared" si="0"/>
        <v>0</v>
      </c>
    </row>
    <row r="31" spans="2:9" ht="12.75" customHeight="1">
      <c r="B31" s="14"/>
      <c r="C31" s="15"/>
      <c r="D31" s="15"/>
      <c r="E31" s="16"/>
      <c r="F31" s="26"/>
      <c r="G31" s="69"/>
      <c r="H31" s="69"/>
      <c r="I31" s="88">
        <f t="shared" si="0"/>
      </c>
    </row>
    <row r="32" spans="2:9" ht="12.75" customHeight="1">
      <c r="B32" s="17"/>
      <c r="C32" s="12"/>
      <c r="D32" s="12"/>
      <c r="E32" s="9">
        <v>821000</v>
      </c>
      <c r="F32" s="12" t="s">
        <v>13</v>
      </c>
      <c r="G32" s="61">
        <f>SUM(G33:G34)</f>
        <v>2000</v>
      </c>
      <c r="H32" s="61">
        <f>SUM(H33:H34)</f>
        <v>0</v>
      </c>
      <c r="I32" s="87">
        <f t="shared" si="0"/>
        <v>0</v>
      </c>
    </row>
    <row r="33" spans="2:9" ht="12.75" customHeight="1">
      <c r="B33" s="14"/>
      <c r="C33" s="15"/>
      <c r="D33" s="15"/>
      <c r="E33" s="16">
        <v>821200</v>
      </c>
      <c r="F33" s="15" t="s">
        <v>14</v>
      </c>
      <c r="G33" s="69">
        <v>0</v>
      </c>
      <c r="H33" s="69"/>
      <c r="I33" s="88">
        <f t="shared" si="0"/>
      </c>
    </row>
    <row r="34" spans="2:9" ht="12.75" customHeight="1">
      <c r="B34" s="14"/>
      <c r="C34" s="15"/>
      <c r="D34" s="15"/>
      <c r="E34" s="16">
        <v>821300</v>
      </c>
      <c r="F34" s="15" t="s">
        <v>15</v>
      </c>
      <c r="G34" s="69">
        <v>2000</v>
      </c>
      <c r="H34" s="69"/>
      <c r="I34" s="88">
        <f t="shared" si="0"/>
        <v>0</v>
      </c>
    </row>
    <row r="35" spans="2:9" s="1" customFormat="1" ht="12.75" customHeight="1">
      <c r="B35" s="14"/>
      <c r="C35" s="15"/>
      <c r="D35" s="15"/>
      <c r="E35" s="16"/>
      <c r="F35" s="15"/>
      <c r="G35" s="33"/>
      <c r="H35" s="33"/>
      <c r="I35" s="88">
        <f t="shared" si="0"/>
      </c>
    </row>
    <row r="36" spans="2:9" ht="12.75" customHeight="1">
      <c r="B36" s="14"/>
      <c r="C36" s="15"/>
      <c r="D36" s="15"/>
      <c r="E36" s="16"/>
      <c r="F36" s="15"/>
      <c r="G36" s="33"/>
      <c r="H36" s="33"/>
      <c r="I36" s="88">
        <f t="shared" si="0"/>
      </c>
    </row>
    <row r="37" spans="2:9" ht="12.75" customHeight="1">
      <c r="B37" s="17"/>
      <c r="C37" s="12"/>
      <c r="D37" s="12"/>
      <c r="E37" s="9"/>
      <c r="F37" s="12" t="s">
        <v>16</v>
      </c>
      <c r="G37" s="61">
        <v>7</v>
      </c>
      <c r="H37" s="61"/>
      <c r="I37" s="88"/>
    </row>
    <row r="38" spans="2:9" ht="12.75" customHeight="1">
      <c r="B38" s="17"/>
      <c r="C38" s="12"/>
      <c r="D38" s="12"/>
      <c r="E38" s="9"/>
      <c r="F38" s="12" t="s">
        <v>32</v>
      </c>
      <c r="G38" s="20">
        <f>G7+G13+G17+G29+G32</f>
        <v>1116090</v>
      </c>
      <c r="H38" s="20">
        <f>H7+H13+H17+H29+H32</f>
        <v>0</v>
      </c>
      <c r="I38" s="87">
        <f t="shared" si="0"/>
        <v>0</v>
      </c>
    </row>
    <row r="39" spans="2:9" ht="12.75" customHeight="1">
      <c r="B39" s="17"/>
      <c r="C39" s="12"/>
      <c r="D39" s="12"/>
      <c r="E39" s="9"/>
      <c r="F39" s="12" t="s">
        <v>17</v>
      </c>
      <c r="G39" s="20">
        <f>G38</f>
        <v>1116090</v>
      </c>
      <c r="H39" s="20">
        <f>H38</f>
        <v>0</v>
      </c>
      <c r="I39" s="87">
        <f t="shared" si="0"/>
        <v>0</v>
      </c>
    </row>
    <row r="40" spans="2:9" s="1" customFormat="1" ht="12.75" customHeight="1">
      <c r="B40" s="17"/>
      <c r="C40" s="12"/>
      <c r="D40" s="12"/>
      <c r="E40" s="9"/>
      <c r="F40" s="12" t="s">
        <v>18</v>
      </c>
      <c r="G40" s="20">
        <f>G39</f>
        <v>1116090</v>
      </c>
      <c r="H40" s="20">
        <f>H39</f>
        <v>0</v>
      </c>
      <c r="I40" s="87">
        <f t="shared" si="0"/>
        <v>0</v>
      </c>
    </row>
    <row r="41" spans="2:9" s="1" customFormat="1" ht="12.75" customHeight="1" thickBot="1">
      <c r="B41" s="21"/>
      <c r="C41" s="22"/>
      <c r="D41" s="22"/>
      <c r="E41" s="23"/>
      <c r="F41" s="22"/>
      <c r="G41" s="34"/>
      <c r="H41" s="34"/>
      <c r="I41" s="91"/>
    </row>
    <row r="42" spans="2:9" s="1" customFormat="1" ht="12.75" customHeight="1">
      <c r="B42" s="13"/>
      <c r="C42" s="13"/>
      <c r="D42" s="13"/>
      <c r="E42" s="24"/>
      <c r="F42" s="49"/>
      <c r="G42" s="53"/>
      <c r="H42" s="53"/>
      <c r="I42" s="78"/>
    </row>
    <row r="43" spans="2:9" s="1" customFormat="1" ht="12.75" customHeight="1">
      <c r="B43" s="49"/>
      <c r="C43" s="13"/>
      <c r="D43" s="13"/>
      <c r="E43" s="24"/>
      <c r="F43" s="13"/>
      <c r="G43" s="53"/>
      <c r="H43" s="53"/>
      <c r="I43" s="78"/>
    </row>
    <row r="44" ht="12.75" customHeight="1">
      <c r="B44" s="49"/>
    </row>
    <row r="45" ht="12.75">
      <c r="B45" s="49"/>
    </row>
    <row r="46" ht="12.75">
      <c r="B46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&amp;R22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9"/>
  <dimension ref="B2:K55"/>
  <sheetViews>
    <sheetView workbookViewId="0" topLeftCell="A11">
      <selection activeCell="G56" sqref="G56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9" ht="15" customHeight="1">
      <c r="B2" s="144" t="s">
        <v>57</v>
      </c>
      <c r="C2" s="144"/>
      <c r="D2" s="144"/>
      <c r="E2" s="144"/>
      <c r="F2" s="144"/>
      <c r="G2" s="144"/>
      <c r="H2" s="144"/>
      <c r="I2" s="8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56</v>
      </c>
      <c r="C6" s="11" t="s">
        <v>4</v>
      </c>
      <c r="D6" s="11" t="s">
        <v>5</v>
      </c>
      <c r="E6" s="9"/>
      <c r="F6" s="9"/>
      <c r="G6" s="9"/>
      <c r="H6" s="9"/>
      <c r="I6" s="86"/>
    </row>
    <row r="7" spans="2:9" s="2" customFormat="1" ht="12.75" customHeight="1">
      <c r="B7" s="10"/>
      <c r="C7" s="11"/>
      <c r="D7" s="11"/>
      <c r="E7" s="9">
        <v>600000</v>
      </c>
      <c r="F7" s="27" t="s">
        <v>41</v>
      </c>
      <c r="G7" s="25">
        <f>G8</f>
        <v>15000</v>
      </c>
      <c r="H7" s="25">
        <f>H8</f>
        <v>0</v>
      </c>
      <c r="I7" s="87">
        <f aca="true" t="shared" si="0" ref="I7:I53">IF(G7=0,"",H7/G7*100)</f>
        <v>0</v>
      </c>
    </row>
    <row r="8" spans="2:9" s="2" customFormat="1" ht="12.75" customHeight="1">
      <c r="B8" s="10"/>
      <c r="C8" s="11"/>
      <c r="D8" s="11"/>
      <c r="E8" s="36">
        <v>600000</v>
      </c>
      <c r="F8" s="37" t="s">
        <v>28</v>
      </c>
      <c r="G8" s="50">
        <v>15000</v>
      </c>
      <c r="H8" s="50"/>
      <c r="I8" s="88">
        <f t="shared" si="0"/>
        <v>0</v>
      </c>
    </row>
    <row r="9" spans="2:9" s="2" customFormat="1" ht="12.75" customHeight="1">
      <c r="B9" s="10"/>
      <c r="C9" s="11"/>
      <c r="D9" s="11"/>
      <c r="E9" s="9"/>
      <c r="F9" s="9"/>
      <c r="G9" s="50"/>
      <c r="H9" s="50"/>
      <c r="I9" s="88">
        <f t="shared" si="0"/>
      </c>
    </row>
    <row r="10" spans="2:9" s="1" customFormat="1" ht="12.75" customHeight="1">
      <c r="B10" s="17"/>
      <c r="C10" s="12"/>
      <c r="D10" s="12"/>
      <c r="E10" s="9">
        <v>611000</v>
      </c>
      <c r="F10" s="12" t="s">
        <v>83</v>
      </c>
      <c r="G10" s="134">
        <f>SUM(G11:G13)</f>
        <v>369600</v>
      </c>
      <c r="H10" s="134">
        <f>SUM(H11:H13)</f>
        <v>0</v>
      </c>
      <c r="I10" s="87">
        <f t="shared" si="0"/>
        <v>0</v>
      </c>
    </row>
    <row r="11" spans="2:9" ht="12.75" customHeight="1">
      <c r="B11" s="14"/>
      <c r="C11" s="15"/>
      <c r="D11" s="15"/>
      <c r="E11" s="16">
        <v>611100</v>
      </c>
      <c r="F11" s="26" t="s">
        <v>108</v>
      </c>
      <c r="G11" s="136">
        <f>287800+14300</f>
        <v>302100</v>
      </c>
      <c r="H11" s="136"/>
      <c r="I11" s="88">
        <f t="shared" si="0"/>
        <v>0</v>
      </c>
    </row>
    <row r="12" spans="2:9" ht="12.75" customHeight="1">
      <c r="B12" s="14"/>
      <c r="C12" s="15"/>
      <c r="D12" s="15"/>
      <c r="E12" s="16">
        <v>611200</v>
      </c>
      <c r="F12" s="15" t="s">
        <v>109</v>
      </c>
      <c r="G12" s="133">
        <f>64500+3000</f>
        <v>67500</v>
      </c>
      <c r="H12" s="133"/>
      <c r="I12" s="88">
        <f t="shared" si="0"/>
        <v>0</v>
      </c>
    </row>
    <row r="13" spans="2:11" ht="12.75" customHeight="1">
      <c r="B13" s="14"/>
      <c r="C13" s="15"/>
      <c r="D13" s="15"/>
      <c r="E13" s="16">
        <v>611200</v>
      </c>
      <c r="F13" s="132" t="s">
        <v>149</v>
      </c>
      <c r="G13" s="133">
        <v>0</v>
      </c>
      <c r="H13" s="133"/>
      <c r="I13" s="88">
        <f t="shared" si="0"/>
      </c>
      <c r="K13" s="52"/>
    </row>
    <row r="14" spans="2:9" ht="12.75" customHeight="1">
      <c r="B14" s="14"/>
      <c r="C14" s="15"/>
      <c r="D14" s="15"/>
      <c r="E14" s="16"/>
      <c r="F14" s="26"/>
      <c r="G14" s="133"/>
      <c r="H14" s="133"/>
      <c r="I14" s="88">
        <f t="shared" si="0"/>
      </c>
    </row>
    <row r="15" spans="2:9" ht="12.75" customHeight="1">
      <c r="B15" s="14"/>
      <c r="C15" s="15"/>
      <c r="D15" s="15"/>
      <c r="E15" s="16"/>
      <c r="F15" s="15"/>
      <c r="G15" s="133"/>
      <c r="H15" s="133"/>
      <c r="I15" s="88">
        <f t="shared" si="0"/>
      </c>
    </row>
    <row r="16" spans="2:9" s="1" customFormat="1" ht="12.75" customHeight="1">
      <c r="B16" s="17"/>
      <c r="C16" s="12"/>
      <c r="D16" s="12"/>
      <c r="E16" s="9">
        <v>612000</v>
      </c>
      <c r="F16" s="12" t="s">
        <v>82</v>
      </c>
      <c r="G16" s="134">
        <f>G17+G18</f>
        <v>33330</v>
      </c>
      <c r="H16" s="134">
        <f>H17+H18</f>
        <v>0</v>
      </c>
      <c r="I16" s="87">
        <f t="shared" si="0"/>
        <v>0</v>
      </c>
    </row>
    <row r="17" spans="2:9" ht="12.75" customHeight="1">
      <c r="B17" s="14"/>
      <c r="C17" s="15"/>
      <c r="D17" s="15"/>
      <c r="E17" s="16">
        <v>612100</v>
      </c>
      <c r="F17" s="18" t="s">
        <v>6</v>
      </c>
      <c r="G17" s="133">
        <f>31800+1530</f>
        <v>33330</v>
      </c>
      <c r="H17" s="133"/>
      <c r="I17" s="88">
        <f t="shared" si="0"/>
        <v>0</v>
      </c>
    </row>
    <row r="18" spans="2:9" ht="12.75" customHeight="1">
      <c r="B18" s="14"/>
      <c r="C18" s="15"/>
      <c r="D18" s="15"/>
      <c r="E18" s="16"/>
      <c r="F18" s="15"/>
      <c r="G18" s="32"/>
      <c r="H18" s="32"/>
      <c r="I18" s="88">
        <f t="shared" si="0"/>
      </c>
    </row>
    <row r="19" spans="2:9" ht="12.75" customHeight="1">
      <c r="B19" s="14"/>
      <c r="C19" s="15"/>
      <c r="D19" s="15"/>
      <c r="E19" s="16"/>
      <c r="F19" s="15"/>
      <c r="G19" s="32"/>
      <c r="H19" s="32"/>
      <c r="I19" s="88">
        <f t="shared" si="0"/>
      </c>
    </row>
    <row r="20" spans="2:9" s="1" customFormat="1" ht="12.75" customHeight="1">
      <c r="B20" s="17"/>
      <c r="C20" s="12"/>
      <c r="D20" s="12"/>
      <c r="E20" s="9">
        <v>613000</v>
      </c>
      <c r="F20" s="12" t="s">
        <v>84</v>
      </c>
      <c r="G20" s="35">
        <f>SUM(G21:G31)</f>
        <v>117600</v>
      </c>
      <c r="H20" s="35">
        <f>SUM(H21:H31)</f>
        <v>0</v>
      </c>
      <c r="I20" s="87">
        <f t="shared" si="0"/>
        <v>0</v>
      </c>
    </row>
    <row r="21" spans="2:9" ht="12.75" customHeight="1">
      <c r="B21" s="14"/>
      <c r="C21" s="15"/>
      <c r="D21" s="15"/>
      <c r="E21" s="16">
        <v>613100</v>
      </c>
      <c r="F21" s="15" t="s">
        <v>7</v>
      </c>
      <c r="G21" s="32">
        <v>4500</v>
      </c>
      <c r="H21" s="32"/>
      <c r="I21" s="88">
        <f t="shared" si="0"/>
        <v>0</v>
      </c>
    </row>
    <row r="22" spans="2:9" ht="12.75" customHeight="1">
      <c r="B22" s="14"/>
      <c r="C22" s="15"/>
      <c r="D22" s="15"/>
      <c r="E22" s="16">
        <v>613200</v>
      </c>
      <c r="F22" s="15" t="s">
        <v>8</v>
      </c>
      <c r="G22" s="32">
        <v>0</v>
      </c>
      <c r="H22" s="32"/>
      <c r="I22" s="88">
        <f t="shared" si="0"/>
      </c>
    </row>
    <row r="23" spans="2:9" ht="12.75" customHeight="1">
      <c r="B23" s="14"/>
      <c r="C23" s="15"/>
      <c r="D23" s="15"/>
      <c r="E23" s="16">
        <v>613300</v>
      </c>
      <c r="F23" s="26" t="s">
        <v>110</v>
      </c>
      <c r="G23" s="32">
        <v>5900</v>
      </c>
      <c r="H23" s="32"/>
      <c r="I23" s="88">
        <f t="shared" si="0"/>
        <v>0</v>
      </c>
    </row>
    <row r="24" spans="2:9" ht="12.75" customHeight="1">
      <c r="B24" s="14"/>
      <c r="C24" s="15"/>
      <c r="D24" s="15"/>
      <c r="E24" s="16">
        <v>613400</v>
      </c>
      <c r="F24" s="15" t="s">
        <v>85</v>
      </c>
      <c r="G24" s="32">
        <v>3000</v>
      </c>
      <c r="H24" s="32"/>
      <c r="I24" s="88">
        <f t="shared" si="0"/>
        <v>0</v>
      </c>
    </row>
    <row r="25" spans="2:9" ht="12.75" customHeight="1">
      <c r="B25" s="14"/>
      <c r="C25" s="15"/>
      <c r="D25" s="15"/>
      <c r="E25" s="16">
        <v>613500</v>
      </c>
      <c r="F25" s="15" t="s">
        <v>9</v>
      </c>
      <c r="G25" s="50">
        <v>0</v>
      </c>
      <c r="H25" s="50"/>
      <c r="I25" s="88">
        <f t="shared" si="0"/>
      </c>
    </row>
    <row r="26" spans="2:9" ht="12.75" customHeight="1">
      <c r="B26" s="14"/>
      <c r="C26" s="15"/>
      <c r="D26" s="15"/>
      <c r="E26" s="16">
        <v>613600</v>
      </c>
      <c r="F26" s="26" t="s">
        <v>111</v>
      </c>
      <c r="G26" s="50">
        <v>0</v>
      </c>
      <c r="H26" s="50"/>
      <c r="I26" s="88">
        <f t="shared" si="0"/>
      </c>
    </row>
    <row r="27" spans="2:9" ht="12.75" customHeight="1">
      <c r="B27" s="14"/>
      <c r="C27" s="15"/>
      <c r="D27" s="15"/>
      <c r="E27" s="16">
        <v>613700</v>
      </c>
      <c r="F27" s="15" t="s">
        <v>10</v>
      </c>
      <c r="G27" s="69">
        <v>2000</v>
      </c>
      <c r="H27" s="69"/>
      <c r="I27" s="88">
        <f t="shared" si="0"/>
        <v>0</v>
      </c>
    </row>
    <row r="28" spans="2:9" ht="12.75" customHeight="1">
      <c r="B28" s="14"/>
      <c r="C28" s="15"/>
      <c r="D28" s="15"/>
      <c r="E28" s="16">
        <v>613800</v>
      </c>
      <c r="F28" s="15" t="s">
        <v>86</v>
      </c>
      <c r="G28" s="50">
        <v>7200</v>
      </c>
      <c r="H28" s="50"/>
      <c r="I28" s="88">
        <f t="shared" si="0"/>
        <v>0</v>
      </c>
    </row>
    <row r="29" spans="2:9" ht="12.75" customHeight="1">
      <c r="B29" s="14"/>
      <c r="C29" s="15"/>
      <c r="D29" s="15"/>
      <c r="E29" s="16">
        <v>613900</v>
      </c>
      <c r="F29" s="15" t="s">
        <v>87</v>
      </c>
      <c r="G29" s="101">
        <v>21500</v>
      </c>
      <c r="H29" s="101"/>
      <c r="I29" s="88">
        <f t="shared" si="0"/>
        <v>0</v>
      </c>
    </row>
    <row r="30" spans="2:9" ht="12.75" customHeight="1">
      <c r="B30" s="14"/>
      <c r="C30" s="15"/>
      <c r="D30" s="15"/>
      <c r="E30" s="43">
        <v>613900</v>
      </c>
      <c r="F30" s="26" t="s">
        <v>151</v>
      </c>
      <c r="G30" s="50">
        <v>73500</v>
      </c>
      <c r="H30" s="50"/>
      <c r="I30" s="88">
        <f t="shared" si="0"/>
        <v>0</v>
      </c>
    </row>
    <row r="31" spans="2:9" ht="12.75" customHeight="1">
      <c r="B31" s="14"/>
      <c r="C31" s="15"/>
      <c r="D31" s="15"/>
      <c r="E31" s="16">
        <v>613900</v>
      </c>
      <c r="F31" s="132" t="s">
        <v>150</v>
      </c>
      <c r="G31" s="50">
        <v>0</v>
      </c>
      <c r="H31" s="50"/>
      <c r="I31" s="88">
        <f t="shared" si="0"/>
      </c>
    </row>
    <row r="32" spans="2:9" ht="12.75" customHeight="1">
      <c r="B32" s="14"/>
      <c r="C32" s="15"/>
      <c r="D32" s="15"/>
      <c r="E32" s="43"/>
      <c r="F32" s="15"/>
      <c r="G32" s="50"/>
      <c r="H32" s="50"/>
      <c r="I32" s="88">
        <f t="shared" si="0"/>
      </c>
    </row>
    <row r="33" spans="2:9" s="1" customFormat="1" ht="12.75" customHeight="1">
      <c r="B33" s="17"/>
      <c r="C33" s="12"/>
      <c r="D33" s="30"/>
      <c r="E33" s="9">
        <v>614000</v>
      </c>
      <c r="F33" s="12" t="s">
        <v>112</v>
      </c>
      <c r="G33" s="61">
        <f>SUM(G34:G36)</f>
        <v>330000</v>
      </c>
      <c r="H33" s="61">
        <f>SUM(H34:H36)</f>
        <v>0</v>
      </c>
      <c r="I33" s="87">
        <f t="shared" si="0"/>
        <v>0</v>
      </c>
    </row>
    <row r="34" spans="2:11" ht="12.75" customHeight="1">
      <c r="B34" s="14"/>
      <c r="C34" s="15"/>
      <c r="D34" s="29"/>
      <c r="E34" s="16">
        <v>614100</v>
      </c>
      <c r="F34" s="38" t="s">
        <v>139</v>
      </c>
      <c r="G34" s="50">
        <v>250000</v>
      </c>
      <c r="H34" s="50"/>
      <c r="I34" s="88">
        <f t="shared" si="0"/>
        <v>0</v>
      </c>
      <c r="J34" s="60"/>
      <c r="K34" s="49"/>
    </row>
    <row r="35" spans="2:10" ht="12.75" customHeight="1">
      <c r="B35" s="14"/>
      <c r="C35" s="15"/>
      <c r="D35" s="29"/>
      <c r="E35" s="41">
        <v>614800</v>
      </c>
      <c r="F35" s="38" t="s">
        <v>30</v>
      </c>
      <c r="G35" s="50">
        <v>50000</v>
      </c>
      <c r="H35" s="50"/>
      <c r="I35" s="88">
        <f t="shared" si="0"/>
        <v>0</v>
      </c>
      <c r="J35" s="49"/>
    </row>
    <row r="36" spans="2:10" ht="12.75" customHeight="1">
      <c r="B36" s="14"/>
      <c r="C36" s="15"/>
      <c r="D36" s="29"/>
      <c r="E36" s="41">
        <v>614800</v>
      </c>
      <c r="F36" s="38" t="s">
        <v>146</v>
      </c>
      <c r="G36" s="50">
        <v>30000</v>
      </c>
      <c r="H36" s="50"/>
      <c r="I36" s="88">
        <f t="shared" si="0"/>
        <v>0</v>
      </c>
      <c r="J36" s="49"/>
    </row>
    <row r="37" spans="2:9" ht="12.75" customHeight="1">
      <c r="B37" s="14"/>
      <c r="C37" s="15"/>
      <c r="D37" s="29"/>
      <c r="E37" s="59"/>
      <c r="F37" s="38"/>
      <c r="G37" s="50"/>
      <c r="H37" s="50"/>
      <c r="I37" s="88">
        <f t="shared" si="0"/>
      </c>
    </row>
    <row r="38" spans="2:9" ht="12.75" customHeight="1">
      <c r="B38" s="14"/>
      <c r="C38" s="15"/>
      <c r="D38" s="15"/>
      <c r="E38" s="58">
        <v>616000</v>
      </c>
      <c r="F38" s="31" t="s">
        <v>115</v>
      </c>
      <c r="G38" s="102">
        <f>SUM(G39:G41)</f>
        <v>80500</v>
      </c>
      <c r="H38" s="102">
        <f>SUM(H39:H41)</f>
        <v>0</v>
      </c>
      <c r="I38" s="87">
        <f t="shared" si="0"/>
        <v>0</v>
      </c>
    </row>
    <row r="39" spans="2:11" ht="12.75" customHeight="1">
      <c r="B39" s="14"/>
      <c r="C39" s="15"/>
      <c r="D39" s="15"/>
      <c r="E39" s="48">
        <v>616300</v>
      </c>
      <c r="F39" s="44" t="s">
        <v>135</v>
      </c>
      <c r="G39" s="50">
        <v>11000</v>
      </c>
      <c r="H39" s="50"/>
      <c r="I39" s="88">
        <f t="shared" si="0"/>
        <v>0</v>
      </c>
      <c r="K39" s="53"/>
    </row>
    <row r="40" spans="2:9" ht="12.75" customHeight="1">
      <c r="B40" s="14"/>
      <c r="C40" s="15"/>
      <c r="D40" s="15"/>
      <c r="E40" s="48">
        <v>616300</v>
      </c>
      <c r="F40" s="44" t="s">
        <v>118</v>
      </c>
      <c r="G40" s="50">
        <v>25000</v>
      </c>
      <c r="H40" s="50"/>
      <c r="I40" s="88">
        <f t="shared" si="0"/>
        <v>0</v>
      </c>
    </row>
    <row r="41" spans="2:9" ht="12.75" customHeight="1">
      <c r="B41" s="14"/>
      <c r="C41" s="15"/>
      <c r="D41" s="15"/>
      <c r="E41" s="48">
        <v>616300</v>
      </c>
      <c r="F41" s="44" t="s">
        <v>122</v>
      </c>
      <c r="G41" s="50">
        <v>44500</v>
      </c>
      <c r="H41" s="50"/>
      <c r="I41" s="88">
        <f t="shared" si="0"/>
        <v>0</v>
      </c>
    </row>
    <row r="42" spans="2:9" ht="12.75" customHeight="1">
      <c r="B42" s="14"/>
      <c r="C42" s="15"/>
      <c r="D42" s="15"/>
      <c r="E42" s="16"/>
      <c r="F42" s="15"/>
      <c r="G42" s="61"/>
      <c r="H42" s="61"/>
      <c r="I42" s="88">
        <f t="shared" si="0"/>
      </c>
    </row>
    <row r="43" spans="2:9" ht="12.75" customHeight="1">
      <c r="B43" s="17"/>
      <c r="C43" s="12"/>
      <c r="D43" s="12"/>
      <c r="E43" s="9">
        <v>821000</v>
      </c>
      <c r="F43" s="12" t="s">
        <v>13</v>
      </c>
      <c r="G43" s="61">
        <f>SUM(G44:G45)</f>
        <v>5000</v>
      </c>
      <c r="H43" s="61">
        <f>SUM(H44:H45)</f>
        <v>0</v>
      </c>
      <c r="I43" s="87">
        <f t="shared" si="0"/>
        <v>0</v>
      </c>
    </row>
    <row r="44" spans="2:9" ht="12.75" customHeight="1">
      <c r="B44" s="14"/>
      <c r="C44" s="15"/>
      <c r="D44" s="15"/>
      <c r="E44" s="16">
        <v>821200</v>
      </c>
      <c r="F44" s="15" t="s">
        <v>14</v>
      </c>
      <c r="G44" s="69">
        <v>0</v>
      </c>
      <c r="H44" s="69"/>
      <c r="I44" s="88">
        <f t="shared" si="0"/>
      </c>
    </row>
    <row r="45" spans="2:9" s="1" customFormat="1" ht="12.75" customHeight="1">
      <c r="B45" s="14"/>
      <c r="C45" s="15"/>
      <c r="D45" s="15"/>
      <c r="E45" s="16">
        <v>821300</v>
      </c>
      <c r="F45" s="15" t="s">
        <v>15</v>
      </c>
      <c r="G45" s="69">
        <v>5000</v>
      </c>
      <c r="H45" s="69"/>
      <c r="I45" s="88">
        <f t="shared" si="0"/>
        <v>0</v>
      </c>
    </row>
    <row r="46" spans="2:9" ht="12.75" customHeight="1">
      <c r="B46" s="14"/>
      <c r="C46" s="15"/>
      <c r="D46" s="15"/>
      <c r="E46" s="16"/>
      <c r="F46" s="15"/>
      <c r="G46" s="50"/>
      <c r="H46" s="50"/>
      <c r="I46" s="88">
        <f t="shared" si="0"/>
      </c>
    </row>
    <row r="47" spans="2:9" ht="12.75" customHeight="1">
      <c r="B47" s="17"/>
      <c r="C47" s="12"/>
      <c r="D47" s="12"/>
      <c r="E47" s="9">
        <v>823000</v>
      </c>
      <c r="F47" s="12" t="s">
        <v>119</v>
      </c>
      <c r="G47" s="61">
        <f>SUM(G48:G48)</f>
        <v>1384620</v>
      </c>
      <c r="H47" s="61">
        <f>SUM(H48:H48)</f>
        <v>0</v>
      </c>
      <c r="I47" s="87">
        <f t="shared" si="0"/>
        <v>0</v>
      </c>
    </row>
    <row r="48" spans="2:9" ht="12.75" customHeight="1">
      <c r="B48" s="14"/>
      <c r="C48" s="15"/>
      <c r="D48" s="15"/>
      <c r="E48" s="16">
        <v>823300</v>
      </c>
      <c r="F48" s="26" t="s">
        <v>133</v>
      </c>
      <c r="G48" s="69">
        <v>1384620</v>
      </c>
      <c r="H48" s="69"/>
      <c r="I48" s="88">
        <f t="shared" si="0"/>
        <v>0</v>
      </c>
    </row>
    <row r="49" spans="2:9" ht="12.75" customHeight="1">
      <c r="B49" s="14"/>
      <c r="C49" s="15"/>
      <c r="D49" s="15"/>
      <c r="E49" s="16"/>
      <c r="F49" s="15"/>
      <c r="G49" s="15"/>
      <c r="H49" s="15"/>
      <c r="I49" s="88">
        <f t="shared" si="0"/>
      </c>
    </row>
    <row r="50" spans="2:9" ht="12.75" customHeight="1">
      <c r="B50" s="17"/>
      <c r="C50" s="12"/>
      <c r="D50" s="12"/>
      <c r="E50" s="9"/>
      <c r="F50" s="12" t="s">
        <v>16</v>
      </c>
      <c r="G50" s="139">
        <v>15</v>
      </c>
      <c r="H50" s="139"/>
      <c r="I50" s="88"/>
    </row>
    <row r="51" spans="2:9" ht="12.75" customHeight="1">
      <c r="B51" s="17"/>
      <c r="C51" s="12"/>
      <c r="D51" s="12"/>
      <c r="E51" s="9"/>
      <c r="F51" s="12" t="s">
        <v>32</v>
      </c>
      <c r="G51" s="20">
        <f>G7+G10+G16+G20+G33+G38+G43+G47</f>
        <v>2335650</v>
      </c>
      <c r="H51" s="20">
        <f>H7+H10+H16+H20+H33+H38+H43+H47</f>
        <v>0</v>
      </c>
      <c r="I51" s="87">
        <f t="shared" si="0"/>
        <v>0</v>
      </c>
    </row>
    <row r="52" spans="2:9" s="1" customFormat="1" ht="12.75" customHeight="1">
      <c r="B52" s="17"/>
      <c r="C52" s="12"/>
      <c r="D52" s="12"/>
      <c r="E52" s="9"/>
      <c r="F52" s="12" t="s">
        <v>17</v>
      </c>
      <c r="G52" s="20">
        <f>G51</f>
        <v>2335650</v>
      </c>
      <c r="H52" s="20">
        <f>H51</f>
        <v>0</v>
      </c>
      <c r="I52" s="87">
        <f t="shared" si="0"/>
        <v>0</v>
      </c>
    </row>
    <row r="53" spans="2:9" s="1" customFormat="1" ht="12.75" customHeight="1">
      <c r="B53" s="17"/>
      <c r="C53" s="12"/>
      <c r="D53" s="12"/>
      <c r="E53" s="9"/>
      <c r="F53" s="12" t="s">
        <v>18</v>
      </c>
      <c r="G53" s="20">
        <f>G52</f>
        <v>2335650</v>
      </c>
      <c r="H53" s="20">
        <f>H52</f>
        <v>0</v>
      </c>
      <c r="I53" s="87">
        <f t="shared" si="0"/>
        <v>0</v>
      </c>
    </row>
    <row r="54" spans="2:9" s="1" customFormat="1" ht="12.75" customHeight="1" thickBot="1">
      <c r="B54" s="21"/>
      <c r="C54" s="22"/>
      <c r="D54" s="22"/>
      <c r="E54" s="23"/>
      <c r="F54" s="22"/>
      <c r="G54" s="22"/>
      <c r="H54" s="22"/>
      <c r="I54" s="91"/>
    </row>
    <row r="55" spans="2:9" s="1" customFormat="1" ht="12.75" customHeight="1">
      <c r="B55" s="13"/>
      <c r="C55" s="13"/>
      <c r="D55" s="13"/>
      <c r="E55" s="24"/>
      <c r="F55" s="13"/>
      <c r="G55" s="13"/>
      <c r="H55" s="13"/>
      <c r="I55" s="78"/>
    </row>
    <row r="56" ht="12.75" customHeight="1"/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&amp;R23</oddFooter>
  </headerFooter>
  <colBreaks count="1" manualBreakCount="1">
    <brk id="9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0"/>
  <dimension ref="B2:K50"/>
  <sheetViews>
    <sheetView zoomScaleSheetLayoutView="130" workbookViewId="0" topLeftCell="C7">
      <selection activeCell="J12" sqref="J1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9" ht="15" customHeight="1">
      <c r="B2" s="142" t="s">
        <v>58</v>
      </c>
      <c r="C2" s="142"/>
      <c r="D2" s="142"/>
      <c r="E2" s="142"/>
      <c r="F2" s="142"/>
      <c r="G2" s="142"/>
      <c r="H2" s="142"/>
      <c r="I2" s="81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59</v>
      </c>
      <c r="C6" s="11" t="s">
        <v>4</v>
      </c>
      <c r="D6" s="11" t="s">
        <v>5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231460</v>
      </c>
      <c r="H7" s="134">
        <f>SUM(H8:H11)</f>
        <v>0</v>
      </c>
      <c r="I7" s="87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3">
        <f>148400+35100+7400+1760</f>
        <v>192660</v>
      </c>
      <c r="H8" s="133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3">
        <f>31900+6900</f>
        <v>38800</v>
      </c>
      <c r="H9" s="133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3"/>
      <c r="H11" s="133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21580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3">
        <f>16700+3900+780+200</f>
        <v>21580</v>
      </c>
      <c r="H14" s="133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2"/>
      <c r="H15" s="32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35"/>
      <c r="H16" s="35"/>
      <c r="I16" s="88">
        <f t="shared" si="0"/>
      </c>
    </row>
    <row r="17" spans="2:11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92610</v>
      </c>
      <c r="H17" s="35">
        <f>SUM(H18:H27)</f>
        <v>0</v>
      </c>
      <c r="I17" s="87">
        <f t="shared" si="0"/>
        <v>0</v>
      </c>
      <c r="K17" s="54"/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2">
        <v>3510</v>
      </c>
      <c r="H18" s="32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2">
        <v>0</v>
      </c>
      <c r="H19" s="32"/>
      <c r="I19" s="88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2">
        <v>15000</v>
      </c>
      <c r="H20" s="32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50">
        <v>600</v>
      </c>
      <c r="H21" s="50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0">
        <v>0</v>
      </c>
      <c r="H22" s="50"/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50">
        <v>0</v>
      </c>
      <c r="H23" s="50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0">
        <v>3500</v>
      </c>
      <c r="H24" s="50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50">
        <v>0</v>
      </c>
      <c r="H25" s="50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69">
        <v>70000</v>
      </c>
      <c r="H26" s="69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50">
        <v>0</v>
      </c>
      <c r="H27" s="50"/>
      <c r="I27" s="88">
        <f t="shared" si="0"/>
      </c>
    </row>
    <row r="28" spans="2:9" ht="12.75" customHeight="1">
      <c r="B28" s="14"/>
      <c r="C28" s="15"/>
      <c r="D28" s="15"/>
      <c r="E28" s="16"/>
      <c r="F28" s="15"/>
      <c r="G28" s="61"/>
      <c r="H28" s="61"/>
      <c r="I28" s="88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112</v>
      </c>
      <c r="G29" s="61">
        <f>SUM(G30:G31)</f>
        <v>3000000</v>
      </c>
      <c r="H29" s="61">
        <f>SUM(H30:H31)</f>
        <v>0</v>
      </c>
      <c r="I29" s="87">
        <f t="shared" si="0"/>
        <v>0</v>
      </c>
    </row>
    <row r="30" spans="2:9" ht="12.75" customHeight="1">
      <c r="B30" s="14"/>
      <c r="C30" s="15"/>
      <c r="D30" s="29"/>
      <c r="E30" s="16">
        <v>614100</v>
      </c>
      <c r="F30" s="26" t="s">
        <v>121</v>
      </c>
      <c r="G30" s="69">
        <v>300000</v>
      </c>
      <c r="H30" s="69"/>
      <c r="I30" s="88">
        <f t="shared" si="0"/>
        <v>0</v>
      </c>
    </row>
    <row r="31" spans="2:9" ht="12.75" customHeight="1">
      <c r="B31" s="14"/>
      <c r="C31" s="15"/>
      <c r="D31" s="15"/>
      <c r="E31" s="16">
        <v>614200</v>
      </c>
      <c r="F31" s="26" t="s">
        <v>27</v>
      </c>
      <c r="G31" s="69">
        <v>2700000</v>
      </c>
      <c r="H31" s="69"/>
      <c r="I31" s="88">
        <f t="shared" si="0"/>
        <v>0</v>
      </c>
    </row>
    <row r="32" spans="2:9" ht="12.75" customHeight="1">
      <c r="B32" s="14"/>
      <c r="C32" s="15"/>
      <c r="D32" s="15"/>
      <c r="E32" s="16"/>
      <c r="F32" s="15"/>
      <c r="G32" s="50"/>
      <c r="H32" s="50"/>
      <c r="I32" s="88">
        <f t="shared" si="0"/>
      </c>
    </row>
    <row r="33" spans="2:9" ht="12.75" customHeight="1">
      <c r="B33" s="14"/>
      <c r="C33" s="15"/>
      <c r="D33" s="15"/>
      <c r="E33" s="16"/>
      <c r="F33" s="15"/>
      <c r="G33" s="61"/>
      <c r="H33" s="61"/>
      <c r="I33" s="88">
        <f t="shared" si="0"/>
      </c>
    </row>
    <row r="34" spans="2:9" ht="12.75" customHeight="1">
      <c r="B34" s="17"/>
      <c r="C34" s="12"/>
      <c r="D34" s="12"/>
      <c r="E34" s="9">
        <v>821000</v>
      </c>
      <c r="F34" s="12" t="s">
        <v>13</v>
      </c>
      <c r="G34" s="61">
        <f>G35+G36</f>
        <v>1500</v>
      </c>
      <c r="H34" s="61">
        <f>H35+H36</f>
        <v>0</v>
      </c>
      <c r="I34" s="87">
        <f t="shared" si="0"/>
        <v>0</v>
      </c>
    </row>
    <row r="35" spans="2:10" s="1" customFormat="1" ht="12.75" customHeight="1">
      <c r="B35" s="14"/>
      <c r="C35" s="15"/>
      <c r="D35" s="15"/>
      <c r="E35" s="16">
        <v>821200</v>
      </c>
      <c r="F35" s="15" t="s">
        <v>14</v>
      </c>
      <c r="G35" s="50">
        <v>0</v>
      </c>
      <c r="H35" s="50"/>
      <c r="I35" s="88">
        <f t="shared" si="0"/>
      </c>
      <c r="J35" s="1" t="s">
        <v>95</v>
      </c>
    </row>
    <row r="36" spans="2:9" ht="12.75" customHeight="1">
      <c r="B36" s="14"/>
      <c r="C36" s="15"/>
      <c r="D36" s="15"/>
      <c r="E36" s="16">
        <v>821300</v>
      </c>
      <c r="F36" s="15" t="s">
        <v>15</v>
      </c>
      <c r="G36" s="50">
        <v>1500</v>
      </c>
      <c r="H36" s="50"/>
      <c r="I36" s="88">
        <f t="shared" si="0"/>
        <v>0</v>
      </c>
    </row>
    <row r="37" spans="2:9" ht="12.75" customHeight="1">
      <c r="B37" s="14"/>
      <c r="C37" s="15"/>
      <c r="D37" s="15"/>
      <c r="E37" s="16"/>
      <c r="F37" s="15"/>
      <c r="G37" s="50"/>
      <c r="H37" s="50"/>
      <c r="I37" s="88">
        <f t="shared" si="0"/>
      </c>
    </row>
    <row r="38" spans="2:9" ht="12.75" customHeight="1">
      <c r="B38" s="14"/>
      <c r="C38" s="15"/>
      <c r="D38" s="15"/>
      <c r="E38" s="16"/>
      <c r="F38" s="15"/>
      <c r="G38" s="20"/>
      <c r="H38" s="20"/>
      <c r="I38" s="88">
        <f t="shared" si="0"/>
      </c>
    </row>
    <row r="39" spans="2:9" ht="12.75" customHeight="1">
      <c r="B39" s="17"/>
      <c r="C39" s="12"/>
      <c r="D39" s="12"/>
      <c r="E39" s="9"/>
      <c r="F39" s="12" t="s">
        <v>16</v>
      </c>
      <c r="G39" s="61">
        <v>10</v>
      </c>
      <c r="H39" s="61"/>
      <c r="I39" s="88"/>
    </row>
    <row r="40" spans="2:9" s="1" customFormat="1" ht="12.75" customHeight="1">
      <c r="B40" s="17"/>
      <c r="C40" s="12"/>
      <c r="D40" s="12"/>
      <c r="E40" s="9"/>
      <c r="F40" s="12" t="s">
        <v>32</v>
      </c>
      <c r="G40" s="20">
        <f>G7+G13+G17+G29+G34</f>
        <v>3347150</v>
      </c>
      <c r="H40" s="20">
        <f>H7+H13+H17+H29+H34</f>
        <v>0</v>
      </c>
      <c r="I40" s="87">
        <f t="shared" si="0"/>
        <v>0</v>
      </c>
    </row>
    <row r="41" spans="2:9" s="1" customFormat="1" ht="12.75" customHeight="1">
      <c r="B41" s="17"/>
      <c r="C41" s="12"/>
      <c r="D41" s="12"/>
      <c r="E41" s="9"/>
      <c r="F41" s="12" t="s">
        <v>17</v>
      </c>
      <c r="G41" s="20">
        <f>G40</f>
        <v>3347150</v>
      </c>
      <c r="H41" s="20">
        <f>H40</f>
        <v>0</v>
      </c>
      <c r="I41" s="87">
        <f t="shared" si="0"/>
        <v>0</v>
      </c>
    </row>
    <row r="42" spans="2:9" s="1" customFormat="1" ht="12.75" customHeight="1">
      <c r="B42" s="17"/>
      <c r="C42" s="12"/>
      <c r="D42" s="12"/>
      <c r="E42" s="9"/>
      <c r="F42" s="12" t="s">
        <v>18</v>
      </c>
      <c r="G42" s="20">
        <f>G41</f>
        <v>3347150</v>
      </c>
      <c r="H42" s="20">
        <f>H41</f>
        <v>0</v>
      </c>
      <c r="I42" s="87">
        <f t="shared" si="0"/>
        <v>0</v>
      </c>
    </row>
    <row r="43" spans="2:9" s="1" customFormat="1" ht="12.75" customHeight="1" thickBot="1">
      <c r="B43" s="21"/>
      <c r="C43" s="22"/>
      <c r="D43" s="22"/>
      <c r="E43" s="23"/>
      <c r="F43" s="22"/>
      <c r="G43" s="22"/>
      <c r="H43" s="22"/>
      <c r="I43" s="91"/>
    </row>
    <row r="44" ht="12.75" customHeight="1"/>
    <row r="46" ht="12.75">
      <c r="B46" s="49"/>
    </row>
    <row r="47" ht="12.75">
      <c r="B47" s="49"/>
    </row>
    <row r="48" ht="12.75">
      <c r="B48" s="49"/>
    </row>
    <row r="49" ht="12.75">
      <c r="B49" s="49"/>
    </row>
    <row r="50" ht="12.75">
      <c r="B50" s="49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&amp;R24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1"/>
  <dimension ref="B2:K50"/>
  <sheetViews>
    <sheetView zoomScaleSheetLayoutView="100" workbookViewId="0" topLeftCell="C1">
      <selection activeCell="G40" sqref="G4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7" ht="15" customHeight="1">
      <c r="B2" s="142" t="s">
        <v>98</v>
      </c>
      <c r="C2" s="142"/>
      <c r="D2" s="142"/>
      <c r="E2" s="142"/>
      <c r="F2" s="142"/>
      <c r="G2" s="14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60</v>
      </c>
      <c r="C6" s="11" t="s">
        <v>4</v>
      </c>
      <c r="D6" s="11" t="s">
        <v>5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221810</v>
      </c>
      <c r="H7" s="134">
        <f>SUM(H8:H11)</f>
        <v>0</v>
      </c>
      <c r="I7" s="87">
        <f aca="true" t="shared" si="0" ref="I7:I45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174200+8610</f>
        <v>182810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37500+1500</f>
        <v>39000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20330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19400+930</f>
        <v>20330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SUM(G18:G28)</f>
        <v>317800</v>
      </c>
      <c r="H17" s="35">
        <f>SUM(H18:H28)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1800</v>
      </c>
      <c r="H18" s="33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0</v>
      </c>
      <c r="H19" s="33"/>
      <c r="I19" s="88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3">
        <v>5000</v>
      </c>
      <c r="H20" s="33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3">
        <v>0</v>
      </c>
      <c r="H21" s="33"/>
      <c r="I21" s="88">
        <f t="shared" si="0"/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69">
        <v>0</v>
      </c>
      <c r="H22" s="69"/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69">
        <v>0</v>
      </c>
      <c r="H23" s="69"/>
      <c r="I23" s="88">
        <f t="shared" si="0"/>
      </c>
    </row>
    <row r="24" spans="2:9" ht="12.75" customHeight="1">
      <c r="B24" s="14"/>
      <c r="C24" s="15"/>
      <c r="D24" s="15"/>
      <c r="E24" s="43">
        <v>613700</v>
      </c>
      <c r="F24" s="15" t="s">
        <v>10</v>
      </c>
      <c r="G24" s="69">
        <v>4750</v>
      </c>
      <c r="H24" s="69"/>
      <c r="I24" s="88">
        <f t="shared" si="0"/>
        <v>0</v>
      </c>
    </row>
    <row r="25" spans="2:9" ht="12.75" customHeight="1">
      <c r="B25" s="14"/>
      <c r="C25" s="15"/>
      <c r="D25" s="29"/>
      <c r="E25" s="16">
        <v>613700</v>
      </c>
      <c r="F25" s="42" t="s">
        <v>11</v>
      </c>
      <c r="G25" s="69">
        <v>296250</v>
      </c>
      <c r="H25" s="69"/>
      <c r="I25" s="88">
        <f t="shared" si="0"/>
        <v>0</v>
      </c>
    </row>
    <row r="26" spans="2:9" ht="12.75" customHeight="1">
      <c r="B26" s="14"/>
      <c r="C26" s="15"/>
      <c r="D26" s="15"/>
      <c r="E26" s="40">
        <v>613800</v>
      </c>
      <c r="F26" s="15" t="s">
        <v>86</v>
      </c>
      <c r="G26" s="69">
        <v>0</v>
      </c>
      <c r="H26" s="69"/>
      <c r="I26" s="88">
        <f t="shared" si="0"/>
      </c>
    </row>
    <row r="27" spans="2:10" ht="12.75" customHeight="1">
      <c r="B27" s="14"/>
      <c r="C27" s="15"/>
      <c r="D27" s="15"/>
      <c r="E27" s="16">
        <v>613900</v>
      </c>
      <c r="F27" s="15" t="s">
        <v>87</v>
      </c>
      <c r="G27" s="69">
        <v>10000</v>
      </c>
      <c r="H27" s="69"/>
      <c r="I27" s="88">
        <f t="shared" si="0"/>
        <v>0</v>
      </c>
      <c r="J27" s="60"/>
    </row>
    <row r="28" spans="2:9" ht="12.75" customHeight="1">
      <c r="B28" s="14"/>
      <c r="C28" s="15"/>
      <c r="D28" s="15"/>
      <c r="E28" s="16">
        <v>613900</v>
      </c>
      <c r="F28" s="132" t="s">
        <v>150</v>
      </c>
      <c r="G28" s="69">
        <v>0</v>
      </c>
      <c r="H28" s="69"/>
      <c r="I28" s="88">
        <f t="shared" si="0"/>
      </c>
    </row>
    <row r="29" spans="2:9" ht="12.75" customHeight="1">
      <c r="B29" s="14"/>
      <c r="C29" s="15"/>
      <c r="D29" s="15"/>
      <c r="E29" s="16"/>
      <c r="F29" s="15"/>
      <c r="G29" s="69"/>
      <c r="H29" s="69"/>
      <c r="I29" s="88">
        <f t="shared" si="0"/>
      </c>
    </row>
    <row r="30" spans="2:9" s="1" customFormat="1" ht="12.75" customHeight="1">
      <c r="B30" s="17"/>
      <c r="C30" s="12"/>
      <c r="D30" s="12"/>
      <c r="E30" s="9">
        <v>614000</v>
      </c>
      <c r="F30" s="12" t="s">
        <v>112</v>
      </c>
      <c r="G30" s="61">
        <f>SUM(G31:G32)</f>
        <v>160000</v>
      </c>
      <c r="H30" s="61">
        <f>SUM(H31:H32)</f>
        <v>0</v>
      </c>
      <c r="I30" s="87">
        <f t="shared" si="0"/>
        <v>0</v>
      </c>
    </row>
    <row r="31" spans="2:9" ht="12.75" customHeight="1">
      <c r="B31" s="14"/>
      <c r="C31" s="15"/>
      <c r="D31" s="29"/>
      <c r="E31" s="40">
        <v>614100</v>
      </c>
      <c r="F31" s="46" t="s">
        <v>96</v>
      </c>
      <c r="G31" s="69">
        <v>140000</v>
      </c>
      <c r="H31" s="69"/>
      <c r="I31" s="88">
        <f t="shared" si="0"/>
        <v>0</v>
      </c>
    </row>
    <row r="32" spans="2:9" ht="12.75" customHeight="1">
      <c r="B32" s="14"/>
      <c r="C32" s="15"/>
      <c r="D32" s="15"/>
      <c r="E32" s="16">
        <v>614100</v>
      </c>
      <c r="F32" s="26" t="s">
        <v>123</v>
      </c>
      <c r="G32" s="69">
        <v>20000</v>
      </c>
      <c r="H32" s="69"/>
      <c r="I32" s="88">
        <f t="shared" si="0"/>
        <v>0</v>
      </c>
    </row>
    <row r="33" spans="2:9" ht="12.75" customHeight="1">
      <c r="B33" s="14"/>
      <c r="C33" s="15"/>
      <c r="D33" s="15"/>
      <c r="E33" s="16"/>
      <c r="F33" s="15"/>
      <c r="G33" s="69"/>
      <c r="H33" s="69"/>
      <c r="I33" s="88">
        <f t="shared" si="0"/>
      </c>
    </row>
    <row r="34" spans="2:9" ht="12.75" customHeight="1">
      <c r="B34" s="14"/>
      <c r="C34" s="15"/>
      <c r="D34" s="15"/>
      <c r="E34" s="9"/>
      <c r="F34" s="12"/>
      <c r="G34" s="61"/>
      <c r="H34" s="61"/>
      <c r="I34" s="88">
        <f t="shared" si="0"/>
      </c>
    </row>
    <row r="35" spans="2:9" ht="12.75" customHeight="1">
      <c r="B35" s="14"/>
      <c r="C35" s="15"/>
      <c r="D35" s="15"/>
      <c r="E35" s="16"/>
      <c r="F35" s="26"/>
      <c r="G35" s="69"/>
      <c r="H35" s="69"/>
      <c r="I35" s="88">
        <f t="shared" si="0"/>
      </c>
    </row>
    <row r="36" spans="2:9" ht="12.75" customHeight="1">
      <c r="B36" s="14"/>
      <c r="C36" s="15"/>
      <c r="D36" s="15"/>
      <c r="E36" s="16"/>
      <c r="F36" s="15"/>
      <c r="G36" s="69"/>
      <c r="H36" s="69"/>
      <c r="I36" s="88">
        <f t="shared" si="0"/>
      </c>
    </row>
    <row r="37" spans="2:9" s="1" customFormat="1" ht="12.75" customHeight="1">
      <c r="B37" s="17"/>
      <c r="C37" s="12"/>
      <c r="D37" s="12"/>
      <c r="E37" s="9">
        <v>821000</v>
      </c>
      <c r="F37" s="12" t="s">
        <v>13</v>
      </c>
      <c r="G37" s="61">
        <f>SUM(G38:G40)</f>
        <v>603000</v>
      </c>
      <c r="H37" s="61">
        <f>SUM(H38:H40)</f>
        <v>0</v>
      </c>
      <c r="I37" s="87">
        <f t="shared" si="0"/>
        <v>0</v>
      </c>
    </row>
    <row r="38" spans="2:9" ht="12.75" customHeight="1">
      <c r="B38" s="14"/>
      <c r="C38" s="15"/>
      <c r="D38" s="15"/>
      <c r="E38" s="16">
        <v>821200</v>
      </c>
      <c r="F38" s="15" t="s">
        <v>14</v>
      </c>
      <c r="G38" s="69">
        <v>0</v>
      </c>
      <c r="H38" s="69"/>
      <c r="I38" s="88">
        <f t="shared" si="0"/>
      </c>
    </row>
    <row r="39" spans="2:9" ht="12.75" customHeight="1">
      <c r="B39" s="14"/>
      <c r="C39" s="15"/>
      <c r="D39" s="15"/>
      <c r="E39" s="16">
        <v>821300</v>
      </c>
      <c r="F39" s="15" t="s">
        <v>15</v>
      </c>
      <c r="G39" s="69">
        <v>3000</v>
      </c>
      <c r="H39" s="69"/>
      <c r="I39" s="88">
        <f t="shared" si="0"/>
        <v>0</v>
      </c>
    </row>
    <row r="40" spans="2:11" ht="12.75" customHeight="1">
      <c r="B40" s="14"/>
      <c r="C40" s="15"/>
      <c r="D40" s="15"/>
      <c r="E40" s="71">
        <v>821600</v>
      </c>
      <c r="F40" s="63" t="s">
        <v>26</v>
      </c>
      <c r="G40" s="69">
        <v>600000</v>
      </c>
      <c r="H40" s="69"/>
      <c r="I40" s="88">
        <f t="shared" si="0"/>
        <v>0</v>
      </c>
      <c r="K40" s="53"/>
    </row>
    <row r="41" spans="2:9" ht="12.75" customHeight="1">
      <c r="B41" s="14"/>
      <c r="C41" s="15"/>
      <c r="D41" s="15"/>
      <c r="E41" s="16"/>
      <c r="F41" s="15"/>
      <c r="G41" s="61"/>
      <c r="H41" s="61"/>
      <c r="I41" s="88">
        <f t="shared" si="0"/>
      </c>
    </row>
    <row r="42" spans="2:9" s="1" customFormat="1" ht="12.75" customHeight="1">
      <c r="B42" s="17"/>
      <c r="C42" s="12"/>
      <c r="D42" s="12"/>
      <c r="E42" s="9"/>
      <c r="F42" s="12" t="s">
        <v>16</v>
      </c>
      <c r="G42" s="61">
        <v>9</v>
      </c>
      <c r="H42" s="61"/>
      <c r="I42" s="88"/>
    </row>
    <row r="43" spans="2:9" s="1" customFormat="1" ht="12.75" customHeight="1">
      <c r="B43" s="17"/>
      <c r="C43" s="12"/>
      <c r="D43" s="12"/>
      <c r="E43" s="9"/>
      <c r="F43" s="12" t="s">
        <v>32</v>
      </c>
      <c r="G43" s="20">
        <f>G7+G13+G17+G30+G37</f>
        <v>1322940</v>
      </c>
      <c r="H43" s="20">
        <f>H7+H13+H17+H30+H37</f>
        <v>0</v>
      </c>
      <c r="I43" s="8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17</v>
      </c>
      <c r="G44" s="20">
        <f>G43</f>
        <v>1322940</v>
      </c>
      <c r="H44" s="20">
        <f>H43</f>
        <v>0</v>
      </c>
      <c r="I44" s="87">
        <f t="shared" si="0"/>
        <v>0</v>
      </c>
    </row>
    <row r="45" spans="2:9" s="1" customFormat="1" ht="12.75" customHeight="1">
      <c r="B45" s="17"/>
      <c r="C45" s="12"/>
      <c r="D45" s="12"/>
      <c r="E45" s="9"/>
      <c r="F45" s="12" t="s">
        <v>18</v>
      </c>
      <c r="G45" s="20">
        <f>G44</f>
        <v>1322940</v>
      </c>
      <c r="H45" s="20">
        <f>H44</f>
        <v>0</v>
      </c>
      <c r="I45" s="87">
        <f t="shared" si="0"/>
        <v>0</v>
      </c>
    </row>
    <row r="46" spans="2:9" ht="12.75" customHeight="1" thickBot="1">
      <c r="B46" s="21"/>
      <c r="C46" s="22"/>
      <c r="D46" s="22"/>
      <c r="E46" s="23"/>
      <c r="F46" s="22"/>
      <c r="G46" s="34"/>
      <c r="H46" s="34"/>
      <c r="I46" s="91"/>
    </row>
    <row r="48" ht="12.75">
      <c r="B48" s="49"/>
    </row>
    <row r="49" ht="12.75">
      <c r="B49" s="49"/>
    </row>
    <row r="50" ht="12.75">
      <c r="B50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&amp;R25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/>
  <dimension ref="B2:K48"/>
  <sheetViews>
    <sheetView zoomScaleSheetLayoutView="100" workbookViewId="0" topLeftCell="C1">
      <selection activeCell="G39" sqref="G39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9" ht="15" customHeight="1">
      <c r="B2" s="144" t="s">
        <v>61</v>
      </c>
      <c r="C2" s="144"/>
      <c r="D2" s="144"/>
      <c r="E2" s="144"/>
      <c r="F2" s="144"/>
      <c r="G2" s="144"/>
      <c r="H2" s="144"/>
      <c r="I2" s="8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62</v>
      </c>
      <c r="C6" s="11" t="s">
        <v>4</v>
      </c>
      <c r="D6" s="11" t="s">
        <v>5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529540</v>
      </c>
      <c r="H7" s="134">
        <f>SUM(H8:H11)</f>
        <v>0</v>
      </c>
      <c r="I7" s="87">
        <f aca="true" t="shared" si="0" ref="I7:I43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3">
        <f>405900+11700+20150+590</f>
        <v>438340</v>
      </c>
      <c r="H8" s="133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7">
        <f>88300+2900</f>
        <v>91200</v>
      </c>
      <c r="H9" s="137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3"/>
      <c r="H11" s="133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48530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3">
        <f>45000+1300+2160+70</f>
        <v>48530</v>
      </c>
      <c r="H14" s="133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2"/>
      <c r="H15" s="32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35"/>
      <c r="H16" s="35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77171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0">
        <v>10500</v>
      </c>
      <c r="H18" s="50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50">
        <v>0</v>
      </c>
      <c r="H19" s="50"/>
      <c r="I19" s="88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50">
        <v>6500</v>
      </c>
      <c r="H20" s="50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50">
        <v>2100</v>
      </c>
      <c r="H21" s="50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0">
        <v>1890</v>
      </c>
      <c r="H22" s="50"/>
      <c r="I22" s="88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50">
        <v>5500</v>
      </c>
      <c r="H23" s="50"/>
      <c r="I23" s="88">
        <f t="shared" si="0"/>
        <v>0</v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0">
        <v>7500</v>
      </c>
      <c r="H24" s="50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50">
        <v>0</v>
      </c>
      <c r="H25" s="50"/>
      <c r="I25" s="88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87</v>
      </c>
      <c r="G26" s="50">
        <v>43181</v>
      </c>
      <c r="H26" s="50"/>
      <c r="I26" s="88">
        <f t="shared" si="0"/>
        <v>0</v>
      </c>
      <c r="J26" s="60"/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50">
        <v>0</v>
      </c>
      <c r="H27" s="50"/>
      <c r="I27" s="88">
        <f t="shared" si="0"/>
      </c>
    </row>
    <row r="28" spans="2:9" ht="12.75" customHeight="1">
      <c r="B28" s="14"/>
      <c r="C28" s="15"/>
      <c r="D28" s="15"/>
      <c r="E28" s="16"/>
      <c r="F28" s="15"/>
      <c r="G28" s="61"/>
      <c r="H28" s="61"/>
      <c r="I28" s="88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112</v>
      </c>
      <c r="G29" s="61">
        <f>SUM(G30:G33)</f>
        <v>1865000</v>
      </c>
      <c r="H29" s="61">
        <f>SUM(H30:H33)</f>
        <v>0</v>
      </c>
      <c r="I29" s="87">
        <f t="shared" si="0"/>
        <v>0</v>
      </c>
    </row>
    <row r="30" spans="2:9" s="1" customFormat="1" ht="12.75" customHeight="1">
      <c r="B30" s="17"/>
      <c r="C30" s="12"/>
      <c r="D30" s="30"/>
      <c r="E30" s="36">
        <v>614100</v>
      </c>
      <c r="F30" s="18" t="s">
        <v>81</v>
      </c>
      <c r="G30" s="69">
        <v>150000</v>
      </c>
      <c r="H30" s="69"/>
      <c r="I30" s="88">
        <f t="shared" si="0"/>
        <v>0</v>
      </c>
    </row>
    <row r="31" spans="2:9" ht="12.75" customHeight="1">
      <c r="B31" s="14"/>
      <c r="C31" s="15"/>
      <c r="D31" s="15"/>
      <c r="E31" s="16">
        <v>614500</v>
      </c>
      <c r="F31" s="28" t="s">
        <v>141</v>
      </c>
      <c r="G31" s="69">
        <v>900000</v>
      </c>
      <c r="H31" s="69"/>
      <c r="I31" s="88">
        <f t="shared" si="0"/>
        <v>0</v>
      </c>
    </row>
    <row r="32" spans="2:9" ht="12.75" customHeight="1">
      <c r="B32" s="14"/>
      <c r="C32" s="15"/>
      <c r="D32" s="15"/>
      <c r="E32" s="16">
        <v>614500</v>
      </c>
      <c r="F32" s="28" t="s">
        <v>142</v>
      </c>
      <c r="G32" s="69">
        <v>400000</v>
      </c>
      <c r="H32" s="69"/>
      <c r="I32" s="88">
        <f t="shared" si="0"/>
        <v>0</v>
      </c>
    </row>
    <row r="33" spans="2:9" ht="12.75" customHeight="1">
      <c r="B33" s="14"/>
      <c r="C33" s="15"/>
      <c r="D33" s="15"/>
      <c r="E33" s="36">
        <v>614500</v>
      </c>
      <c r="F33" s="28" t="s">
        <v>143</v>
      </c>
      <c r="G33" s="69">
        <v>415000</v>
      </c>
      <c r="H33" s="69"/>
      <c r="I33" s="88">
        <f t="shared" si="0"/>
        <v>0</v>
      </c>
    </row>
    <row r="34" spans="2:9" ht="12.75" customHeight="1">
      <c r="B34" s="14"/>
      <c r="C34" s="15"/>
      <c r="D34" s="15"/>
      <c r="E34" s="16"/>
      <c r="F34" s="26"/>
      <c r="G34" s="50"/>
      <c r="H34" s="50"/>
      <c r="I34" s="88">
        <f t="shared" si="0"/>
      </c>
    </row>
    <row r="35" spans="2:9" s="1" customFormat="1" ht="12.75" customHeight="1">
      <c r="B35" s="17"/>
      <c r="C35" s="12"/>
      <c r="D35" s="12"/>
      <c r="E35" s="9">
        <v>821000</v>
      </c>
      <c r="F35" s="12" t="s">
        <v>13</v>
      </c>
      <c r="G35" s="61">
        <f>SUM(G36:G38)</f>
        <v>13000</v>
      </c>
      <c r="H35" s="61">
        <f>SUM(H36:H38)</f>
        <v>0</v>
      </c>
      <c r="I35" s="87">
        <f t="shared" si="0"/>
        <v>0</v>
      </c>
    </row>
    <row r="36" spans="2:9" ht="12.75" customHeight="1">
      <c r="B36" s="14"/>
      <c r="C36" s="15"/>
      <c r="D36" s="15"/>
      <c r="E36" s="16">
        <v>821200</v>
      </c>
      <c r="F36" s="15" t="s">
        <v>14</v>
      </c>
      <c r="G36" s="50">
        <v>0</v>
      </c>
      <c r="H36" s="50"/>
      <c r="I36" s="88">
        <f t="shared" si="0"/>
      </c>
    </row>
    <row r="37" spans="2:9" ht="12.75" customHeight="1">
      <c r="B37" s="14"/>
      <c r="C37" s="15"/>
      <c r="D37" s="15"/>
      <c r="E37" s="16">
        <v>821300</v>
      </c>
      <c r="F37" s="15" t="s">
        <v>15</v>
      </c>
      <c r="G37" s="50">
        <v>13000</v>
      </c>
      <c r="H37" s="50"/>
      <c r="I37" s="88">
        <f t="shared" si="0"/>
        <v>0</v>
      </c>
    </row>
    <row r="38" spans="2:9" ht="12.75" customHeight="1">
      <c r="B38" s="14"/>
      <c r="C38" s="15"/>
      <c r="D38" s="15"/>
      <c r="E38" s="16"/>
      <c r="F38" s="26"/>
      <c r="G38" s="50"/>
      <c r="H38" s="50"/>
      <c r="I38" s="88">
        <f t="shared" si="0"/>
      </c>
    </row>
    <row r="39" spans="2:9" ht="12.75" customHeight="1">
      <c r="B39" s="14"/>
      <c r="C39" s="15"/>
      <c r="D39" s="15"/>
      <c r="E39" s="16"/>
      <c r="F39" s="15"/>
      <c r="G39" s="32"/>
      <c r="H39" s="32"/>
      <c r="I39" s="88">
        <f t="shared" si="0"/>
      </c>
    </row>
    <row r="40" spans="2:9" s="1" customFormat="1" ht="12.75" customHeight="1">
      <c r="B40" s="17"/>
      <c r="C40" s="12"/>
      <c r="D40" s="12"/>
      <c r="E40" s="9"/>
      <c r="F40" s="12" t="s">
        <v>16</v>
      </c>
      <c r="G40" s="20">
        <v>22</v>
      </c>
      <c r="H40" s="20"/>
      <c r="I40" s="88"/>
    </row>
    <row r="41" spans="2:9" s="1" customFormat="1" ht="12.75" customHeight="1">
      <c r="B41" s="17"/>
      <c r="C41" s="12"/>
      <c r="D41" s="12"/>
      <c r="E41" s="9"/>
      <c r="F41" s="12" t="s">
        <v>32</v>
      </c>
      <c r="G41" s="20">
        <f>G7+G13+G17+G29+G35</f>
        <v>2533241</v>
      </c>
      <c r="H41" s="20">
        <f>H7+H13+H17+H29+H35</f>
        <v>0</v>
      </c>
      <c r="I41" s="87">
        <f t="shared" si="0"/>
        <v>0</v>
      </c>
    </row>
    <row r="42" spans="2:9" s="1" customFormat="1" ht="12.75" customHeight="1">
      <c r="B42" s="17"/>
      <c r="C42" s="12"/>
      <c r="D42" s="12"/>
      <c r="E42" s="9"/>
      <c r="F42" s="12" t="s">
        <v>17</v>
      </c>
      <c r="G42" s="20">
        <f>G41</f>
        <v>2533241</v>
      </c>
      <c r="H42" s="20">
        <f>H41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18</v>
      </c>
      <c r="G43" s="20">
        <f>G42</f>
        <v>2533241</v>
      </c>
      <c r="H43" s="20">
        <f>H42</f>
        <v>0</v>
      </c>
      <c r="I43" s="87">
        <f t="shared" si="0"/>
        <v>0</v>
      </c>
    </row>
    <row r="44" spans="2:9" ht="12.75" customHeight="1" thickBot="1">
      <c r="B44" s="21"/>
      <c r="C44" s="22"/>
      <c r="D44" s="22"/>
      <c r="E44" s="23"/>
      <c r="F44" s="22"/>
      <c r="G44" s="34"/>
      <c r="H44" s="34"/>
      <c r="I44" s="91"/>
    </row>
    <row r="46" ht="12.75">
      <c r="B46" s="49"/>
    </row>
    <row r="47" ht="12.75">
      <c r="B47" s="49"/>
    </row>
    <row r="48" ht="12.75">
      <c r="B48" s="49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B2:K47"/>
  <sheetViews>
    <sheetView workbookViewId="0" topLeftCell="A7">
      <selection activeCell="M41" sqref="M41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9" ht="15" customHeight="1">
      <c r="B2" s="144" t="s">
        <v>37</v>
      </c>
      <c r="C2" s="144"/>
      <c r="D2" s="144"/>
      <c r="E2" s="144"/>
      <c r="F2" s="144"/>
      <c r="G2" s="144"/>
      <c r="H2" s="144"/>
      <c r="I2" s="8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>
        <v>10</v>
      </c>
      <c r="C6" s="11" t="s">
        <v>4</v>
      </c>
      <c r="D6" s="11" t="s">
        <v>38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4413</v>
      </c>
      <c r="H7" s="134">
        <f>SUM(H8:H11)</f>
        <v>4412</v>
      </c>
      <c r="I7" s="87">
        <f aca="true" t="shared" si="0" ref="I7:I44">IF(G7=0,"",H7/G7*100)</f>
        <v>99.97733967822343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41">
        <v>3468</v>
      </c>
      <c r="H8" s="141">
        <v>3467</v>
      </c>
      <c r="I8" s="88">
        <f t="shared" si="0"/>
        <v>99.97116493656286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41">
        <v>945</v>
      </c>
      <c r="H9" s="141">
        <v>945</v>
      </c>
      <c r="I9" s="88">
        <f t="shared" si="0"/>
        <v>100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41">
        <v>0</v>
      </c>
      <c r="H10" s="141">
        <v>0</v>
      </c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41"/>
      <c r="H11" s="141"/>
      <c r="I11" s="87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7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374</v>
      </c>
      <c r="H13" s="134">
        <f>H14</f>
        <v>374</v>
      </c>
      <c r="I13" s="87">
        <f t="shared" si="0"/>
        <v>100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41">
        <v>374</v>
      </c>
      <c r="H14" s="141">
        <v>374</v>
      </c>
      <c r="I14" s="88">
        <f t="shared" si="0"/>
        <v>100</v>
      </c>
    </row>
    <row r="15" spans="2:9" ht="12.75" customHeight="1">
      <c r="B15" s="14"/>
      <c r="C15" s="15"/>
      <c r="D15" s="15"/>
      <c r="E15" s="16"/>
      <c r="F15" s="15"/>
      <c r="G15" s="32"/>
      <c r="H15" s="32"/>
      <c r="I15" s="87">
        <f t="shared" si="0"/>
      </c>
    </row>
    <row r="16" spans="2:9" ht="12.75" customHeight="1">
      <c r="B16" s="14"/>
      <c r="C16" s="15"/>
      <c r="D16" s="15"/>
      <c r="E16" s="16"/>
      <c r="F16" s="15"/>
      <c r="G16" s="35"/>
      <c r="H16" s="35"/>
      <c r="I16" s="87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12</v>
      </c>
      <c r="H17" s="35">
        <f>SUM(H18:H27)</f>
        <v>12</v>
      </c>
      <c r="I17" s="87">
        <f t="shared" si="0"/>
        <v>100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2">
        <v>0</v>
      </c>
      <c r="H18" s="32">
        <v>0</v>
      </c>
      <c r="I18" s="88">
        <f t="shared" si="0"/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2">
        <v>0</v>
      </c>
      <c r="H19" s="32">
        <v>0</v>
      </c>
      <c r="I19" s="88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2">
        <v>0</v>
      </c>
      <c r="H20" s="32">
        <v>0</v>
      </c>
      <c r="I20" s="88">
        <f t="shared" si="0"/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2">
        <v>0</v>
      </c>
      <c r="H21" s="32">
        <v>0</v>
      </c>
      <c r="I21" s="88">
        <f t="shared" si="0"/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2">
        <v>0</v>
      </c>
      <c r="H22" s="32">
        <v>0</v>
      </c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2">
        <v>0</v>
      </c>
      <c r="H23" s="32">
        <v>0</v>
      </c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2">
        <v>0</v>
      </c>
      <c r="H24" s="32">
        <v>0</v>
      </c>
      <c r="I24" s="88">
        <f t="shared" si="0"/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32">
        <v>0</v>
      </c>
      <c r="H25" s="32">
        <v>0</v>
      </c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32">
        <v>12</v>
      </c>
      <c r="H26" s="32">
        <v>12</v>
      </c>
      <c r="I26" s="88">
        <f t="shared" si="0"/>
        <v>100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33">
        <v>0</v>
      </c>
      <c r="H27" s="33">
        <v>0</v>
      </c>
      <c r="I27" s="88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32"/>
      <c r="H28" s="32"/>
      <c r="I28" s="87">
        <f t="shared" si="0"/>
      </c>
    </row>
    <row r="29" spans="2:9" ht="12.75" customHeight="1">
      <c r="B29" s="14"/>
      <c r="C29" s="15"/>
      <c r="D29" s="15"/>
      <c r="E29" s="16"/>
      <c r="F29" s="26"/>
      <c r="G29" s="32"/>
      <c r="H29" s="32"/>
      <c r="I29" s="87">
        <f t="shared" si="0"/>
      </c>
    </row>
    <row r="30" spans="2:9" ht="12.75" customHeight="1">
      <c r="B30" s="14"/>
      <c r="C30" s="15"/>
      <c r="D30" s="15"/>
      <c r="E30" s="16"/>
      <c r="F30" s="15"/>
      <c r="G30" s="32"/>
      <c r="H30" s="32"/>
      <c r="I30" s="87">
        <f t="shared" si="0"/>
      </c>
    </row>
    <row r="31" spans="2:9" ht="12.75" customHeight="1">
      <c r="B31" s="14"/>
      <c r="C31" s="15"/>
      <c r="D31" s="15"/>
      <c r="E31" s="16"/>
      <c r="F31" s="15"/>
      <c r="G31" s="32"/>
      <c r="H31" s="32"/>
      <c r="I31" s="87">
        <f t="shared" si="0"/>
      </c>
    </row>
    <row r="32" spans="2:9" ht="12.75" customHeight="1">
      <c r="B32" s="14"/>
      <c r="C32" s="15"/>
      <c r="D32" s="15"/>
      <c r="E32" s="16"/>
      <c r="F32" s="15"/>
      <c r="G32" s="32"/>
      <c r="H32" s="32"/>
      <c r="I32" s="87">
        <f t="shared" si="0"/>
      </c>
    </row>
    <row r="33" spans="2:9" ht="12.75" customHeight="1">
      <c r="B33" s="14"/>
      <c r="C33" s="15"/>
      <c r="D33" s="15"/>
      <c r="E33" s="16"/>
      <c r="F33" s="15"/>
      <c r="G33" s="32"/>
      <c r="H33" s="32"/>
      <c r="I33" s="87">
        <f t="shared" si="0"/>
      </c>
    </row>
    <row r="34" spans="2:9" ht="12.75" customHeight="1">
      <c r="B34" s="14"/>
      <c r="C34" s="15"/>
      <c r="D34" s="15"/>
      <c r="E34" s="16"/>
      <c r="F34" s="19"/>
      <c r="G34" s="32"/>
      <c r="H34" s="32"/>
      <c r="I34" s="87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87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0</v>
      </c>
      <c r="H36" s="20">
        <f>SUM(H37:H38)</f>
        <v>0</v>
      </c>
      <c r="I36" s="87">
        <f t="shared" si="0"/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0">
        <v>0</v>
      </c>
      <c r="H37" s="50">
        <v>0</v>
      </c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32">
        <v>0</v>
      </c>
      <c r="H38" s="32">
        <v>0</v>
      </c>
      <c r="I38" s="88">
        <f t="shared" si="0"/>
      </c>
    </row>
    <row r="39" spans="2:9" ht="12.75" customHeight="1">
      <c r="B39" s="14"/>
      <c r="C39" s="15"/>
      <c r="D39" s="15"/>
      <c r="E39" s="16"/>
      <c r="F39" s="15"/>
      <c r="G39" s="32"/>
      <c r="H39" s="32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3</v>
      </c>
      <c r="H41" s="25" t="s">
        <v>166</v>
      </c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4799</v>
      </c>
      <c r="H42" s="20">
        <f>H7+H13+H17+H36</f>
        <v>4798</v>
      </c>
      <c r="I42" s="87">
        <f t="shared" si="0"/>
        <v>99.97916232548447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G42+1!G42</f>
        <v>830460</v>
      </c>
      <c r="H43" s="20">
        <f>H42+1!H42</f>
        <v>4798</v>
      </c>
      <c r="I43" s="87">
        <f t="shared" si="0"/>
        <v>0.5777520892035739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G43+1!G43</f>
        <v>830460</v>
      </c>
      <c r="H44" s="20">
        <f>H43+1!H43</f>
        <v>4798</v>
      </c>
      <c r="I44" s="87">
        <f t="shared" si="0"/>
        <v>0.5777520892035739</v>
      </c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1"/>
    </row>
    <row r="47" ht="12.75">
      <c r="B47" s="49"/>
    </row>
  </sheetData>
  <sheetProtection/>
  <mergeCells count="2">
    <mergeCell ref="B2:H2"/>
    <mergeCell ref="F3:G3"/>
  </mergeCells>
  <printOptions/>
  <pageMargins left="0.2755905511811024" right="0.2755905511811024" top="0.5905511811023623" bottom="0.5905511811023623" header="0.5118110236220472" footer="0.5118110236220472"/>
  <pageSetup fitToHeight="1" fitToWidth="1" horizontalDpi="180" verticalDpi="180" orientation="portrait" paperSize="9" scale="88" r:id="rId1"/>
  <headerFooter alignWithMargins="0">
    <oddFooter>&amp;R9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B2:K64"/>
  <sheetViews>
    <sheetView zoomScaleSheetLayoutView="100" workbookViewId="0" topLeftCell="A13">
      <selection activeCell="G53" sqref="G5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7" ht="15" customHeight="1">
      <c r="B2" s="144" t="s">
        <v>63</v>
      </c>
      <c r="C2" s="144"/>
      <c r="D2" s="144"/>
      <c r="E2" s="144"/>
      <c r="F2" s="144"/>
      <c r="G2" s="144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64</v>
      </c>
      <c r="C6" s="11" t="s">
        <v>4</v>
      </c>
      <c r="D6" s="11" t="s">
        <v>5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271280</v>
      </c>
      <c r="H7" s="134">
        <f>SUM(H8:H11)</f>
        <v>0</v>
      </c>
      <c r="I7" s="87">
        <f aca="true" t="shared" si="0" ref="I7:I55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221300+10580</f>
        <v>231880</v>
      </c>
      <c r="H8" s="136"/>
      <c r="I8" s="88">
        <f t="shared" si="0"/>
        <v>0</v>
      </c>
    </row>
    <row r="9" spans="2:11" ht="12.75" customHeight="1">
      <c r="B9" s="14"/>
      <c r="C9" s="15"/>
      <c r="D9" s="15"/>
      <c r="E9" s="16">
        <v>611200</v>
      </c>
      <c r="F9" s="15" t="s">
        <v>109</v>
      </c>
      <c r="G9" s="136">
        <f>37900+1500</f>
        <v>39400</v>
      </c>
      <c r="H9" s="136"/>
      <c r="I9" s="88">
        <f t="shared" si="0"/>
        <v>0</v>
      </c>
      <c r="K9" s="53"/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24730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23600+1130</f>
        <v>24730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69"/>
      <c r="H15" s="69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61"/>
      <c r="H16" s="61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61">
        <f>SUM(G18:G29)</f>
        <v>101900</v>
      </c>
      <c r="H17" s="61">
        <f>SUM(H18:H29)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69">
        <v>4500</v>
      </c>
      <c r="H18" s="69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69">
        <v>0</v>
      </c>
      <c r="H19" s="69"/>
      <c r="I19" s="88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69">
        <v>4100</v>
      </c>
      <c r="H20" s="69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69">
        <v>16300</v>
      </c>
      <c r="H21" s="69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69">
        <v>0</v>
      </c>
      <c r="H22" s="69"/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69">
        <v>0</v>
      </c>
      <c r="H23" s="69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69">
        <v>3000</v>
      </c>
      <c r="H24" s="69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69">
        <v>0</v>
      </c>
      <c r="H25" s="69"/>
      <c r="I25" s="88">
        <f t="shared" si="0"/>
      </c>
    </row>
    <row r="26" spans="2:9" ht="12.75" customHeight="1">
      <c r="B26" s="14"/>
      <c r="C26" s="15"/>
      <c r="D26" s="15"/>
      <c r="E26" s="16">
        <v>613800</v>
      </c>
      <c r="F26" s="26" t="s">
        <v>104</v>
      </c>
      <c r="G26" s="69">
        <v>0</v>
      </c>
      <c r="H26" s="69"/>
      <c r="I26" s="88">
        <f t="shared" si="0"/>
      </c>
    </row>
    <row r="27" spans="2:9" ht="12.75" customHeight="1">
      <c r="B27" s="14"/>
      <c r="C27" s="15"/>
      <c r="D27" s="15"/>
      <c r="E27" s="16">
        <v>613900</v>
      </c>
      <c r="F27" s="26" t="s">
        <v>87</v>
      </c>
      <c r="G27" s="69">
        <v>19000</v>
      </c>
      <c r="H27" s="69"/>
      <c r="I27" s="88">
        <f t="shared" si="0"/>
        <v>0</v>
      </c>
    </row>
    <row r="28" spans="2:9" ht="12.75" customHeight="1">
      <c r="B28" s="14"/>
      <c r="C28" s="15"/>
      <c r="D28" s="15"/>
      <c r="E28" s="16">
        <v>613900</v>
      </c>
      <c r="F28" s="26" t="s">
        <v>100</v>
      </c>
      <c r="G28" s="69">
        <v>55000</v>
      </c>
      <c r="H28" s="69"/>
      <c r="I28" s="88">
        <f t="shared" si="0"/>
        <v>0</v>
      </c>
    </row>
    <row r="29" spans="2:9" ht="12.75" customHeight="1">
      <c r="B29" s="14"/>
      <c r="C29" s="15"/>
      <c r="D29" s="15"/>
      <c r="E29" s="16">
        <v>613900</v>
      </c>
      <c r="F29" s="132" t="s">
        <v>150</v>
      </c>
      <c r="G29" s="69">
        <v>0</v>
      </c>
      <c r="H29" s="69"/>
      <c r="I29" s="88">
        <f t="shared" si="0"/>
      </c>
    </row>
    <row r="30" spans="2:9" ht="12.75" customHeight="1">
      <c r="B30" s="14"/>
      <c r="C30" s="15"/>
      <c r="D30" s="15"/>
      <c r="E30" s="16"/>
      <c r="F30" s="15"/>
      <c r="G30" s="69"/>
      <c r="H30" s="69"/>
      <c r="I30" s="88">
        <f t="shared" si="0"/>
      </c>
    </row>
    <row r="31" spans="2:9" s="1" customFormat="1" ht="12.75" customHeight="1">
      <c r="B31" s="17"/>
      <c r="C31" s="12"/>
      <c r="D31" s="12"/>
      <c r="E31" s="9">
        <v>614000</v>
      </c>
      <c r="F31" s="12" t="s">
        <v>112</v>
      </c>
      <c r="G31" s="61">
        <f>SUM(G32:G38)</f>
        <v>1070000</v>
      </c>
      <c r="H31" s="61">
        <f>SUM(H32:H38)</f>
        <v>0</v>
      </c>
      <c r="I31" s="87">
        <f t="shared" si="0"/>
        <v>0</v>
      </c>
    </row>
    <row r="32" spans="2:10" s="116" customFormat="1" ht="24.75" customHeight="1">
      <c r="B32" s="108"/>
      <c r="C32" s="109"/>
      <c r="D32" s="110"/>
      <c r="E32" s="111">
        <v>614100</v>
      </c>
      <c r="F32" s="112" t="s">
        <v>126</v>
      </c>
      <c r="G32" s="113">
        <v>160000</v>
      </c>
      <c r="H32" s="113"/>
      <c r="I32" s="114">
        <f t="shared" si="0"/>
        <v>0</v>
      </c>
      <c r="J32" s="115"/>
    </row>
    <row r="33" spans="2:9" ht="12.75" customHeight="1">
      <c r="B33" s="14"/>
      <c r="C33" s="15"/>
      <c r="D33" s="15"/>
      <c r="E33" s="70">
        <v>614100</v>
      </c>
      <c r="F33" s="67" t="s">
        <v>23</v>
      </c>
      <c r="G33" s="69">
        <v>300000</v>
      </c>
      <c r="H33" s="69"/>
      <c r="I33" s="88">
        <f t="shared" si="0"/>
        <v>0</v>
      </c>
    </row>
    <row r="34" spans="2:9" ht="12.75" customHeight="1">
      <c r="B34" s="14"/>
      <c r="C34" s="15"/>
      <c r="D34" s="15"/>
      <c r="E34" s="70">
        <v>614100</v>
      </c>
      <c r="F34" s="67" t="s">
        <v>144</v>
      </c>
      <c r="G34" s="69">
        <v>295000</v>
      </c>
      <c r="H34" s="69"/>
      <c r="I34" s="88">
        <f t="shared" si="0"/>
        <v>0</v>
      </c>
    </row>
    <row r="35" spans="2:9" ht="12.75" customHeight="1">
      <c r="B35" s="14"/>
      <c r="C35" s="15"/>
      <c r="D35" s="15"/>
      <c r="E35" s="16">
        <v>614200</v>
      </c>
      <c r="F35" s="28" t="s">
        <v>31</v>
      </c>
      <c r="G35" s="69">
        <v>120000</v>
      </c>
      <c r="H35" s="69"/>
      <c r="I35" s="88">
        <f t="shared" si="0"/>
        <v>0</v>
      </c>
    </row>
    <row r="36" spans="2:9" s="116" customFormat="1" ht="24.75" customHeight="1">
      <c r="B36" s="108"/>
      <c r="C36" s="109"/>
      <c r="D36" s="109"/>
      <c r="E36" s="111">
        <v>614200</v>
      </c>
      <c r="F36" s="117" t="s">
        <v>134</v>
      </c>
      <c r="G36" s="113">
        <v>15000</v>
      </c>
      <c r="H36" s="113"/>
      <c r="I36" s="114">
        <f t="shared" si="0"/>
        <v>0</v>
      </c>
    </row>
    <row r="37" spans="2:9" ht="12.75" customHeight="1">
      <c r="B37" s="14"/>
      <c r="C37" s="15"/>
      <c r="D37" s="15"/>
      <c r="E37" s="36">
        <v>614300</v>
      </c>
      <c r="F37" s="28" t="s">
        <v>24</v>
      </c>
      <c r="G37" s="69">
        <v>30000</v>
      </c>
      <c r="H37" s="69"/>
      <c r="I37" s="88">
        <f t="shared" si="0"/>
        <v>0</v>
      </c>
    </row>
    <row r="38" spans="2:10" ht="12.75" customHeight="1">
      <c r="B38" s="14"/>
      <c r="C38" s="15"/>
      <c r="D38" s="15"/>
      <c r="E38" s="36">
        <v>614300</v>
      </c>
      <c r="F38" s="28" t="s">
        <v>25</v>
      </c>
      <c r="G38" s="69">
        <v>150000</v>
      </c>
      <c r="H38" s="69"/>
      <c r="I38" s="88">
        <f t="shared" si="0"/>
        <v>0</v>
      </c>
      <c r="J38" s="60"/>
    </row>
    <row r="39" spans="2:10" ht="12.75" customHeight="1">
      <c r="B39" s="14"/>
      <c r="C39" s="15"/>
      <c r="D39" s="15"/>
      <c r="E39" s="36"/>
      <c r="F39" s="28"/>
      <c r="G39" s="69"/>
      <c r="H39" s="69"/>
      <c r="I39" s="88">
        <f t="shared" si="0"/>
      </c>
      <c r="J39" s="60"/>
    </row>
    <row r="40" spans="2:10" ht="12.75" customHeight="1">
      <c r="B40" s="14"/>
      <c r="C40" s="15"/>
      <c r="D40" s="15"/>
      <c r="E40" s="9">
        <v>615000</v>
      </c>
      <c r="F40" s="31" t="s">
        <v>12</v>
      </c>
      <c r="G40" s="61">
        <f>G41</f>
        <v>0</v>
      </c>
      <c r="H40" s="61">
        <f>H41</f>
        <v>0</v>
      </c>
      <c r="I40" s="87">
        <f t="shared" si="0"/>
      </c>
      <c r="J40" s="60"/>
    </row>
    <row r="41" spans="2:10" ht="12.75" customHeight="1">
      <c r="B41" s="14"/>
      <c r="C41" s="15"/>
      <c r="D41" s="15"/>
      <c r="E41" s="16">
        <v>615100</v>
      </c>
      <c r="F41" s="44" t="s">
        <v>12</v>
      </c>
      <c r="G41" s="69">
        <v>0</v>
      </c>
      <c r="H41" s="69"/>
      <c r="I41" s="88">
        <f t="shared" si="0"/>
      </c>
      <c r="J41" s="60"/>
    </row>
    <row r="42" spans="2:9" ht="12.75" customHeight="1">
      <c r="B42" s="14"/>
      <c r="C42" s="15"/>
      <c r="D42" s="15"/>
      <c r="E42" s="36"/>
      <c r="F42" s="28"/>
      <c r="G42" s="69"/>
      <c r="H42" s="69"/>
      <c r="I42" s="88">
        <f t="shared" si="0"/>
      </c>
    </row>
    <row r="43" spans="2:9" ht="12.75" customHeight="1">
      <c r="B43" s="14"/>
      <c r="C43" s="15"/>
      <c r="D43" s="15"/>
      <c r="E43" s="9">
        <v>616000</v>
      </c>
      <c r="F43" s="31" t="s">
        <v>113</v>
      </c>
      <c r="G43" s="61">
        <f>G44</f>
        <v>9325</v>
      </c>
      <c r="H43" s="61">
        <f>H44</f>
        <v>0</v>
      </c>
      <c r="I43" s="87">
        <f t="shared" si="0"/>
        <v>0</v>
      </c>
    </row>
    <row r="44" spans="2:9" ht="12.75" customHeight="1">
      <c r="B44" s="14"/>
      <c r="C44" s="15"/>
      <c r="D44" s="15"/>
      <c r="E44" s="16">
        <v>616300</v>
      </c>
      <c r="F44" s="44" t="s">
        <v>120</v>
      </c>
      <c r="G44" s="69">
        <v>9325</v>
      </c>
      <c r="H44" s="69"/>
      <c r="I44" s="88">
        <f t="shared" si="0"/>
        <v>0</v>
      </c>
    </row>
    <row r="45" spans="2:9" ht="12.75" customHeight="1">
      <c r="B45" s="14"/>
      <c r="C45" s="15"/>
      <c r="D45" s="15"/>
      <c r="E45" s="16"/>
      <c r="F45" s="15"/>
      <c r="G45" s="50"/>
      <c r="H45" s="50"/>
      <c r="I45" s="88">
        <f t="shared" si="0"/>
      </c>
    </row>
    <row r="46" spans="2:9" s="1" customFormat="1" ht="12.75" customHeight="1">
      <c r="B46" s="17"/>
      <c r="C46" s="12"/>
      <c r="D46" s="12"/>
      <c r="E46" s="9">
        <v>821000</v>
      </c>
      <c r="F46" s="12" t="s">
        <v>13</v>
      </c>
      <c r="G46" s="61">
        <f>SUM(G47:G48)</f>
        <v>16100</v>
      </c>
      <c r="H46" s="61">
        <f>SUM(H47:H48)</f>
        <v>0</v>
      </c>
      <c r="I46" s="87">
        <f t="shared" si="0"/>
        <v>0</v>
      </c>
    </row>
    <row r="47" spans="2:9" ht="12.75" customHeight="1">
      <c r="B47" s="14"/>
      <c r="C47" s="15"/>
      <c r="D47" s="15"/>
      <c r="E47" s="16">
        <v>821200</v>
      </c>
      <c r="F47" s="15" t="s">
        <v>14</v>
      </c>
      <c r="G47" s="50">
        <v>0</v>
      </c>
      <c r="H47" s="50"/>
      <c r="I47" s="88">
        <f t="shared" si="0"/>
      </c>
    </row>
    <row r="48" spans="2:9" ht="12.75" customHeight="1">
      <c r="B48" s="14"/>
      <c r="C48" s="15"/>
      <c r="D48" s="15"/>
      <c r="E48" s="16">
        <v>821300</v>
      </c>
      <c r="F48" s="15" t="s">
        <v>15</v>
      </c>
      <c r="G48" s="69">
        <v>16100</v>
      </c>
      <c r="H48" s="69"/>
      <c r="I48" s="88">
        <f t="shared" si="0"/>
        <v>0</v>
      </c>
    </row>
    <row r="49" spans="2:9" ht="12.75" customHeight="1">
      <c r="B49" s="14"/>
      <c r="C49" s="15"/>
      <c r="D49" s="15"/>
      <c r="E49" s="16"/>
      <c r="F49" s="15"/>
      <c r="G49" s="50"/>
      <c r="H49" s="50"/>
      <c r="I49" s="88">
        <f t="shared" si="0"/>
      </c>
    </row>
    <row r="50" spans="2:9" ht="12.75" customHeight="1">
      <c r="B50" s="14"/>
      <c r="C50" s="15"/>
      <c r="D50" s="15"/>
      <c r="E50" s="9">
        <v>823000</v>
      </c>
      <c r="F50" s="12" t="s">
        <v>114</v>
      </c>
      <c r="G50" s="61">
        <f>G51</f>
        <v>74975</v>
      </c>
      <c r="H50" s="61">
        <f>H51</f>
        <v>0</v>
      </c>
      <c r="I50" s="87">
        <f t="shared" si="0"/>
        <v>0</v>
      </c>
    </row>
    <row r="51" spans="2:9" ht="12.75" customHeight="1">
      <c r="B51" s="14"/>
      <c r="C51" s="15"/>
      <c r="D51" s="15"/>
      <c r="E51" s="16">
        <v>823300</v>
      </c>
      <c r="F51" s="26" t="s">
        <v>103</v>
      </c>
      <c r="G51" s="69">
        <v>74975</v>
      </c>
      <c r="H51" s="69"/>
      <c r="I51" s="88">
        <f t="shared" si="0"/>
        <v>0</v>
      </c>
    </row>
    <row r="52" spans="2:9" ht="12.75" customHeight="1">
      <c r="B52" s="14"/>
      <c r="C52" s="15"/>
      <c r="D52" s="15"/>
      <c r="E52" s="16"/>
      <c r="F52" s="26"/>
      <c r="G52" s="50"/>
      <c r="H52" s="50"/>
      <c r="I52" s="88">
        <f t="shared" si="0"/>
      </c>
    </row>
    <row r="53" spans="2:9" ht="12.75" customHeight="1">
      <c r="B53" s="14"/>
      <c r="C53" s="15"/>
      <c r="D53" s="15"/>
      <c r="E53" s="16"/>
      <c r="F53" s="15"/>
      <c r="G53" s="50"/>
      <c r="H53" s="50"/>
      <c r="I53" s="88">
        <f t="shared" si="0"/>
      </c>
    </row>
    <row r="54" spans="2:9" s="1" customFormat="1" ht="12.75" customHeight="1">
      <c r="B54" s="17"/>
      <c r="C54" s="12"/>
      <c r="D54" s="12"/>
      <c r="E54" s="9"/>
      <c r="F54" s="12" t="s">
        <v>16</v>
      </c>
      <c r="G54" s="20">
        <v>10</v>
      </c>
      <c r="H54" s="20"/>
      <c r="I54" s="88"/>
    </row>
    <row r="55" spans="2:9" s="1" customFormat="1" ht="12.75" customHeight="1">
      <c r="B55" s="17"/>
      <c r="C55" s="12"/>
      <c r="D55" s="12"/>
      <c r="E55" s="9"/>
      <c r="F55" s="12" t="s">
        <v>32</v>
      </c>
      <c r="G55" s="20">
        <f>G7+G13+G17+G31+G40+G43+G46+G50</f>
        <v>1568310</v>
      </c>
      <c r="H55" s="20">
        <f>H7+H13+H17+H31+H40+H43+H46+H50</f>
        <v>0</v>
      </c>
      <c r="I55" s="87">
        <f t="shared" si="0"/>
        <v>0</v>
      </c>
    </row>
    <row r="56" spans="2:9" s="1" customFormat="1" ht="12.75" customHeight="1">
      <c r="B56" s="17"/>
      <c r="C56" s="12"/>
      <c r="D56" s="12"/>
      <c r="E56" s="9"/>
      <c r="F56" s="12" t="s">
        <v>17</v>
      </c>
      <c r="G56" s="15"/>
      <c r="H56" s="15"/>
      <c r="I56" s="89"/>
    </row>
    <row r="57" spans="2:9" s="1" customFormat="1" ht="12.75" customHeight="1">
      <c r="B57" s="17"/>
      <c r="C57" s="12"/>
      <c r="D57" s="12"/>
      <c r="E57" s="9"/>
      <c r="F57" s="12" t="s">
        <v>18</v>
      </c>
      <c r="G57" s="15"/>
      <c r="H57" s="15"/>
      <c r="I57" s="89"/>
    </row>
    <row r="58" spans="2:9" ht="12.75" customHeight="1" thickBot="1">
      <c r="B58" s="21"/>
      <c r="C58" s="22"/>
      <c r="D58" s="22"/>
      <c r="E58" s="23"/>
      <c r="F58" s="22"/>
      <c r="G58" s="22"/>
      <c r="H58" s="22"/>
      <c r="I58" s="91"/>
    </row>
    <row r="61" ht="12.75">
      <c r="B61" s="49"/>
    </row>
    <row r="62" ht="12.75">
      <c r="B62" s="49"/>
    </row>
    <row r="63" ht="12.75">
      <c r="B63" s="49"/>
    </row>
    <row r="64" ht="12.75">
      <c r="B64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&amp;R27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5"/>
  <dimension ref="B2:L60"/>
  <sheetViews>
    <sheetView zoomScaleSheetLayoutView="100" workbookViewId="0" topLeftCell="C4">
      <selection activeCell="N17" sqref="N17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7" ht="15" customHeight="1">
      <c r="B2" s="142" t="s">
        <v>88</v>
      </c>
      <c r="C2" s="142"/>
      <c r="D2" s="142"/>
      <c r="E2" s="142"/>
      <c r="F2" s="142"/>
      <c r="G2" s="14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64</v>
      </c>
      <c r="C6" s="11" t="s">
        <v>53</v>
      </c>
      <c r="D6" s="11" t="s">
        <v>38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1125570</v>
      </c>
      <c r="H7" s="134">
        <f>SUM(H8:H11)</f>
        <v>0</v>
      </c>
      <c r="I7" s="87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856300+10160+42800</f>
        <v>909260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196000+7500+12810</f>
        <v>216310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11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  <c r="K12" s="49" t="s">
        <v>95</v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96800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92200+4600</f>
        <v>96800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167500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6000</v>
      </c>
      <c r="H18" s="33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70000</v>
      </c>
      <c r="H19" s="33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3">
        <v>8000</v>
      </c>
      <c r="H20" s="33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3">
        <v>22000</v>
      </c>
      <c r="H21" s="33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69">
        <v>1500</v>
      </c>
      <c r="H22" s="69"/>
      <c r="I22" s="88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3">
        <v>0</v>
      </c>
      <c r="H23" s="33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15000</v>
      </c>
      <c r="H24" s="33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33">
        <v>0</v>
      </c>
      <c r="H25" s="33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69">
        <v>45000</v>
      </c>
      <c r="H26" s="69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62">
        <v>0</v>
      </c>
      <c r="H27" s="62"/>
      <c r="I27" s="88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33"/>
      <c r="H28" s="33"/>
      <c r="I28" s="88">
        <f t="shared" si="0"/>
      </c>
    </row>
    <row r="29" spans="2:9" ht="12.75" customHeight="1">
      <c r="B29" s="14"/>
      <c r="C29" s="15"/>
      <c r="D29" s="29"/>
      <c r="E29" s="16"/>
      <c r="F29" s="28"/>
      <c r="G29" s="33"/>
      <c r="H29" s="33"/>
      <c r="I29" s="88">
        <f t="shared" si="0"/>
      </c>
    </row>
    <row r="30" spans="2:9" ht="12.75" customHeight="1">
      <c r="B30" s="14"/>
      <c r="C30" s="15"/>
      <c r="D30" s="15"/>
      <c r="E30" s="40"/>
      <c r="F30" s="28"/>
      <c r="G30" s="33"/>
      <c r="H30" s="33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33"/>
      <c r="H31" s="33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33"/>
      <c r="H32" s="33"/>
      <c r="I32" s="88">
        <f t="shared" si="0"/>
      </c>
    </row>
    <row r="33" spans="2:9" ht="12.75" customHeight="1">
      <c r="B33" s="14"/>
      <c r="C33" s="15"/>
      <c r="D33" s="15"/>
      <c r="E33" s="9"/>
      <c r="F33" s="12"/>
      <c r="G33" s="33"/>
      <c r="H33" s="33"/>
      <c r="I33" s="88">
        <f t="shared" si="0"/>
      </c>
    </row>
    <row r="34" spans="2:9" ht="12.75" customHeight="1">
      <c r="B34" s="14"/>
      <c r="C34" s="15"/>
      <c r="D34" s="15"/>
      <c r="E34" s="16"/>
      <c r="F34" s="26"/>
      <c r="G34" s="33"/>
      <c r="H34" s="33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SUM(G37:G39)</f>
        <v>81000</v>
      </c>
      <c r="H36" s="20">
        <f>SUM(H37:H39)</f>
        <v>0</v>
      </c>
      <c r="I36" s="87">
        <f t="shared" si="0"/>
        <v>0</v>
      </c>
    </row>
    <row r="37" spans="2:10" ht="12.75" customHeight="1">
      <c r="B37" s="14"/>
      <c r="C37" s="15"/>
      <c r="D37" s="15"/>
      <c r="E37" s="16">
        <v>821200</v>
      </c>
      <c r="F37" s="15" t="s">
        <v>14</v>
      </c>
      <c r="G37" s="69">
        <v>77000</v>
      </c>
      <c r="H37" s="69"/>
      <c r="I37" s="88">
        <f t="shared" si="0"/>
        <v>0</v>
      </c>
      <c r="J37" s="49"/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69">
        <v>4000</v>
      </c>
      <c r="H38" s="69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33"/>
      <c r="H39" s="33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153</v>
      </c>
      <c r="H41" s="25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1470870</v>
      </c>
      <c r="H42" s="20">
        <f>H7+H13+H17+H36</f>
        <v>0</v>
      </c>
      <c r="I42" s="87">
        <f t="shared" si="0"/>
        <v>0</v>
      </c>
    </row>
    <row r="43" spans="2:12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0"/>
      <c r="L43" s="1" t="s">
        <v>95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32"/>
      <c r="H44" s="32"/>
      <c r="I44" s="89"/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  <row r="55" ht="12.75">
      <c r="B55" s="49"/>
    </row>
    <row r="56" ht="12.75">
      <c r="B56" s="49"/>
    </row>
    <row r="57" ht="12.75">
      <c r="B57" s="49"/>
    </row>
    <row r="58" ht="12.75">
      <c r="B58" s="49"/>
    </row>
    <row r="59" ht="12.75">
      <c r="B59" s="49"/>
    </row>
    <row r="60" ht="12.75">
      <c r="B60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&amp;R28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B2:K51"/>
  <sheetViews>
    <sheetView zoomScaleSheetLayoutView="100" workbookViewId="0" topLeftCell="C4">
      <selection activeCell="G27" sqref="G27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7" ht="15" customHeight="1">
      <c r="B2" s="142" t="s">
        <v>131</v>
      </c>
      <c r="C2" s="142"/>
      <c r="D2" s="142"/>
      <c r="E2" s="142"/>
      <c r="F2" s="142"/>
      <c r="G2" s="14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76" t="s">
        <v>64</v>
      </c>
      <c r="C6" s="77" t="s">
        <v>53</v>
      </c>
      <c r="D6" s="77" t="s">
        <v>45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1048080</v>
      </c>
      <c r="H7" s="134">
        <f>SUM(H8:H11)</f>
        <v>0</v>
      </c>
      <c r="I7" s="87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752500+11700+26100+37620+1310</f>
        <v>829230</v>
      </c>
      <c r="H8" s="136"/>
      <c r="I8" s="88">
        <f t="shared" si="0"/>
        <v>0</v>
      </c>
    </row>
    <row r="9" spans="2:11" ht="12.75" customHeight="1">
      <c r="B9" s="14"/>
      <c r="C9" s="15"/>
      <c r="D9" s="15"/>
      <c r="E9" s="16">
        <v>611200</v>
      </c>
      <c r="F9" s="15" t="s">
        <v>109</v>
      </c>
      <c r="G9" s="136">
        <f>199100+7000+3200+9550</f>
        <v>218850</v>
      </c>
      <c r="H9" s="136"/>
      <c r="I9" s="88">
        <f t="shared" si="0"/>
        <v>0</v>
      </c>
      <c r="K9" s="49"/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88200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81100+2900+4050+150</f>
        <v>88200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168500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69">
        <v>5000</v>
      </c>
      <c r="H18" s="69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75500</v>
      </c>
      <c r="H19" s="33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69">
        <v>18000</v>
      </c>
      <c r="H20" s="69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69">
        <v>25000</v>
      </c>
      <c r="H21" s="69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69">
        <v>500</v>
      </c>
      <c r="H22" s="69"/>
      <c r="I22" s="88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69">
        <v>0</v>
      </c>
      <c r="H23" s="69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69">
        <v>30000</v>
      </c>
      <c r="H24" s="69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69">
        <v>0</v>
      </c>
      <c r="H25" s="69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69">
        <v>14500</v>
      </c>
      <c r="H26" s="69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103">
        <v>0</v>
      </c>
      <c r="H27" s="103"/>
      <c r="I27" s="88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69"/>
      <c r="H28" s="69"/>
      <c r="I28" s="88">
        <f t="shared" si="0"/>
      </c>
    </row>
    <row r="29" spans="2:9" ht="12.75" customHeight="1">
      <c r="B29" s="14"/>
      <c r="C29" s="15"/>
      <c r="D29" s="29"/>
      <c r="E29" s="16"/>
      <c r="F29" s="28"/>
      <c r="G29" s="69"/>
      <c r="H29" s="69"/>
      <c r="I29" s="88">
        <f t="shared" si="0"/>
      </c>
    </row>
    <row r="30" spans="2:9" ht="12.75" customHeight="1">
      <c r="B30" s="14"/>
      <c r="C30" s="15"/>
      <c r="D30" s="15"/>
      <c r="E30" s="40"/>
      <c r="F30" s="28"/>
      <c r="G30" s="69"/>
      <c r="H30" s="69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69"/>
      <c r="H31" s="69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69"/>
      <c r="H32" s="69"/>
      <c r="I32" s="88">
        <f t="shared" si="0"/>
      </c>
    </row>
    <row r="33" spans="2:9" ht="12.75" customHeight="1">
      <c r="B33" s="14"/>
      <c r="C33" s="15"/>
      <c r="D33" s="15"/>
      <c r="E33" s="9"/>
      <c r="F33" s="12"/>
      <c r="G33" s="69"/>
      <c r="H33" s="69"/>
      <c r="I33" s="88">
        <f t="shared" si="0"/>
      </c>
    </row>
    <row r="34" spans="2:9" ht="12.75" customHeight="1">
      <c r="B34" s="14"/>
      <c r="C34" s="15"/>
      <c r="D34" s="15"/>
      <c r="E34" s="16"/>
      <c r="F34" s="26"/>
      <c r="G34" s="69"/>
      <c r="H34" s="69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SUM(G37:G39)</f>
        <v>5000</v>
      </c>
      <c r="H36" s="61">
        <f>SUM(H37:H39)</f>
        <v>0</v>
      </c>
      <c r="I36" s="87">
        <f t="shared" si="0"/>
        <v>0</v>
      </c>
    </row>
    <row r="37" spans="2:10" ht="12.75" customHeight="1">
      <c r="B37" s="14"/>
      <c r="C37" s="15"/>
      <c r="D37" s="15"/>
      <c r="E37" s="71">
        <v>821200</v>
      </c>
      <c r="F37" s="19" t="s">
        <v>14</v>
      </c>
      <c r="G37" s="69">
        <v>0</v>
      </c>
      <c r="H37" s="69"/>
      <c r="I37" s="88">
        <f t="shared" si="0"/>
      </c>
      <c r="J37" s="49"/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69">
        <v>5000</v>
      </c>
      <c r="H38" s="69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69"/>
      <c r="H39" s="69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69"/>
      <c r="H40" s="69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163</v>
      </c>
      <c r="H41" s="25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1309780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0"/>
    </row>
    <row r="44" spans="2:9" s="1" customFormat="1" ht="12.75" customHeight="1">
      <c r="B44" s="17"/>
      <c r="C44" s="12"/>
      <c r="D44" s="12"/>
      <c r="E44" s="9"/>
      <c r="F44" s="12" t="s">
        <v>18</v>
      </c>
      <c r="G44" s="32"/>
      <c r="H44" s="32"/>
      <c r="I44" s="89"/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&amp;R29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33"/>
  <dimension ref="B2:K51"/>
  <sheetViews>
    <sheetView zoomScaleSheetLayoutView="100" workbookViewId="0" topLeftCell="C1">
      <selection activeCell="L25" sqref="L25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78" customWidth="1"/>
    <col min="10" max="10" width="9.140625" style="13" customWidth="1"/>
    <col min="11" max="11" width="9.57421875" style="13" bestFit="1" customWidth="1"/>
    <col min="12" max="16384" width="9.140625" style="13" customWidth="1"/>
  </cols>
  <sheetData>
    <row r="2" spans="2:7" ht="15" customHeight="1">
      <c r="B2" s="142" t="s">
        <v>132</v>
      </c>
      <c r="C2" s="142"/>
      <c r="D2" s="142"/>
      <c r="E2" s="142"/>
      <c r="F2" s="142"/>
      <c r="G2" s="14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76" t="s">
        <v>64</v>
      </c>
      <c r="C6" s="77" t="s">
        <v>53</v>
      </c>
      <c r="D6" s="77" t="s">
        <v>46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832760</v>
      </c>
      <c r="H7" s="134">
        <f>SUM(H8:H11)</f>
        <v>0</v>
      </c>
      <c r="I7" s="87">
        <f aca="true" t="shared" si="0" ref="I7:I43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108</v>
      </c>
      <c r="G8" s="136">
        <f>637300+31860</f>
        <v>669160</v>
      </c>
      <c r="H8" s="136"/>
      <c r="I8" s="88">
        <f t="shared" si="0"/>
        <v>0</v>
      </c>
      <c r="J8" s="49"/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162000+1600</f>
        <v>163600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72030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68600+3430</f>
        <v>72030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138500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69">
        <v>4000</v>
      </c>
      <c r="H18" s="69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45000</v>
      </c>
      <c r="H19" s="33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3">
        <v>7500</v>
      </c>
      <c r="H20" s="33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3">
        <v>15000</v>
      </c>
      <c r="H21" s="33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69">
        <v>3000</v>
      </c>
      <c r="H22" s="69"/>
      <c r="I22" s="88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69">
        <v>0</v>
      </c>
      <c r="H23" s="69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69">
        <v>14000</v>
      </c>
      <c r="H24" s="69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69">
        <v>0</v>
      </c>
      <c r="H25" s="69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69">
        <v>50000</v>
      </c>
      <c r="H26" s="69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103">
        <v>0</v>
      </c>
      <c r="H27" s="103"/>
      <c r="I27" s="88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69"/>
      <c r="H28" s="69"/>
      <c r="I28" s="88">
        <f t="shared" si="0"/>
      </c>
    </row>
    <row r="29" spans="2:9" ht="12.75" customHeight="1">
      <c r="B29" s="14"/>
      <c r="C29" s="15"/>
      <c r="D29" s="29"/>
      <c r="E29" s="16"/>
      <c r="F29" s="28"/>
      <c r="G29" s="69"/>
      <c r="H29" s="69"/>
      <c r="I29" s="88">
        <f t="shared" si="0"/>
      </c>
    </row>
    <row r="30" spans="2:9" ht="12.75" customHeight="1">
      <c r="B30" s="14"/>
      <c r="C30" s="15"/>
      <c r="D30" s="15"/>
      <c r="E30" s="40"/>
      <c r="F30" s="28"/>
      <c r="G30" s="69"/>
      <c r="H30" s="69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69"/>
      <c r="H31" s="69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69"/>
      <c r="H32" s="69"/>
      <c r="I32" s="88">
        <f t="shared" si="0"/>
      </c>
    </row>
    <row r="33" spans="2:9" ht="12.75" customHeight="1">
      <c r="B33" s="14"/>
      <c r="C33" s="15"/>
      <c r="D33" s="15"/>
      <c r="E33" s="9"/>
      <c r="F33" s="12"/>
      <c r="G33" s="69"/>
      <c r="H33" s="69"/>
      <c r="I33" s="88">
        <f t="shared" si="0"/>
      </c>
    </row>
    <row r="34" spans="2:9" ht="12.75" customHeight="1">
      <c r="B34" s="14"/>
      <c r="C34" s="15"/>
      <c r="D34" s="15"/>
      <c r="E34" s="16"/>
      <c r="F34" s="26"/>
      <c r="G34" s="69"/>
      <c r="H34" s="69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SUM(G37:G39)</f>
        <v>5000</v>
      </c>
      <c r="H36" s="61">
        <f>SUM(H37:H39)</f>
        <v>0</v>
      </c>
      <c r="I36" s="87">
        <f t="shared" si="0"/>
        <v>0</v>
      </c>
    </row>
    <row r="37" spans="2:10" ht="12.75" customHeight="1">
      <c r="B37" s="14"/>
      <c r="C37" s="15"/>
      <c r="D37" s="15"/>
      <c r="E37" s="71">
        <v>821200</v>
      </c>
      <c r="F37" s="19" t="s">
        <v>14</v>
      </c>
      <c r="G37" s="69">
        <v>0</v>
      </c>
      <c r="H37" s="69"/>
      <c r="I37" s="88">
        <f t="shared" si="0"/>
      </c>
      <c r="J37" s="49"/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69">
        <v>5000</v>
      </c>
      <c r="H38" s="69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69"/>
      <c r="H39" s="69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154</v>
      </c>
      <c r="H41" s="25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1048290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G42+'22'!G42+'21'!G42</f>
        <v>3828940</v>
      </c>
      <c r="H43" s="20">
        <f>H42+'22'!H42+'21'!H42</f>
        <v>0</v>
      </c>
      <c r="I43" s="8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32"/>
      <c r="H44" s="32"/>
      <c r="I44" s="89"/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&amp;R30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6"/>
  <dimension ref="B2:K54"/>
  <sheetViews>
    <sheetView zoomScaleSheetLayoutView="100" workbookViewId="0" topLeftCell="C4">
      <selection activeCell="J12" sqref="J1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7" ht="15" customHeight="1">
      <c r="B2" s="144" t="s">
        <v>65</v>
      </c>
      <c r="C2" s="144"/>
      <c r="D2" s="144"/>
      <c r="E2" s="144"/>
      <c r="F2" s="144"/>
      <c r="G2" s="144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64</v>
      </c>
      <c r="C6" s="11" t="s">
        <v>66</v>
      </c>
      <c r="D6" s="11" t="s">
        <v>5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1039400</v>
      </c>
      <c r="H7" s="134">
        <f>SUM(H8:H11)</f>
        <v>0</v>
      </c>
      <c r="I7" s="87">
        <f aca="true" t="shared" si="0" ref="I7:I42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108</v>
      </c>
      <c r="G8" s="136">
        <f>819000+8000+40900-4000</f>
        <v>863900</v>
      </c>
      <c r="H8" s="136"/>
      <c r="I8" s="88">
        <f t="shared" si="0"/>
        <v>0</v>
      </c>
      <c r="J8" s="60"/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170500+5000</f>
        <v>175500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92000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88100+4400-500</f>
        <v>92000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98500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69">
        <v>5000</v>
      </c>
      <c r="H18" s="69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69">
        <v>30000</v>
      </c>
      <c r="H19" s="69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69">
        <v>6000</v>
      </c>
      <c r="H20" s="69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69">
        <v>12000</v>
      </c>
      <c r="H21" s="69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69">
        <v>500</v>
      </c>
      <c r="H22" s="69"/>
      <c r="I22" s="88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69">
        <v>0</v>
      </c>
      <c r="H23" s="69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69">
        <v>9000</v>
      </c>
      <c r="H24" s="69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69">
        <v>0</v>
      </c>
      <c r="H25" s="69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69">
        <v>36000</v>
      </c>
      <c r="H26" s="69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69">
        <v>0</v>
      </c>
      <c r="H27" s="69"/>
      <c r="I27" s="88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69"/>
      <c r="H28" s="69"/>
      <c r="I28" s="88">
        <f t="shared" si="0"/>
      </c>
    </row>
    <row r="29" spans="2:9" ht="12.75" customHeight="1">
      <c r="B29" s="14"/>
      <c r="C29" s="15"/>
      <c r="D29" s="29"/>
      <c r="E29" s="16"/>
      <c r="F29" s="28"/>
      <c r="G29" s="69"/>
      <c r="H29" s="69"/>
      <c r="I29" s="88">
        <f t="shared" si="0"/>
      </c>
    </row>
    <row r="30" spans="2:9" ht="12.75" customHeight="1">
      <c r="B30" s="14"/>
      <c r="C30" s="15"/>
      <c r="D30" s="15"/>
      <c r="E30" s="40"/>
      <c r="F30" s="28"/>
      <c r="G30" s="69"/>
      <c r="H30" s="69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69"/>
      <c r="H31" s="69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69"/>
      <c r="H32" s="69"/>
      <c r="I32" s="88">
        <f t="shared" si="0"/>
      </c>
    </row>
    <row r="33" spans="2:9" ht="12.75" customHeight="1">
      <c r="B33" s="14"/>
      <c r="C33" s="15"/>
      <c r="D33" s="15"/>
      <c r="E33" s="9"/>
      <c r="F33" s="12"/>
      <c r="G33" s="69"/>
      <c r="H33" s="69"/>
      <c r="I33" s="88">
        <f t="shared" si="0"/>
      </c>
    </row>
    <row r="34" spans="2:9" ht="12.75" customHeight="1">
      <c r="B34" s="14"/>
      <c r="C34" s="15"/>
      <c r="D34" s="15"/>
      <c r="E34" s="16"/>
      <c r="F34" s="26"/>
      <c r="G34" s="69"/>
      <c r="H34" s="69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SUM(G37:G39)</f>
        <v>3000</v>
      </c>
      <c r="H36" s="61">
        <f>SUM(H37:H39)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69">
        <v>0</v>
      </c>
      <c r="H37" s="69"/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69">
        <v>3000</v>
      </c>
      <c r="H38" s="69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69"/>
      <c r="H39" s="69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69"/>
      <c r="H40" s="69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160</v>
      </c>
      <c r="H41" s="25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1232900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0"/>
    </row>
    <row r="44" spans="2:9" s="1" customFormat="1" ht="12.75" customHeight="1">
      <c r="B44" s="17"/>
      <c r="C44" s="12"/>
      <c r="D44" s="12"/>
      <c r="E44" s="9"/>
      <c r="F44" s="12" t="s">
        <v>18</v>
      </c>
      <c r="G44" s="32"/>
      <c r="H44" s="32"/>
      <c r="I44" s="89"/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&amp;R31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27"/>
  <dimension ref="B2:K54"/>
  <sheetViews>
    <sheetView workbookViewId="0" topLeftCell="C10">
      <selection activeCell="J12" sqref="J1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9" ht="15" customHeight="1">
      <c r="B2" s="142" t="s">
        <v>89</v>
      </c>
      <c r="C2" s="142"/>
      <c r="D2" s="142"/>
      <c r="E2" s="142"/>
      <c r="F2" s="142"/>
      <c r="G2" s="142"/>
      <c r="H2" s="142"/>
      <c r="I2" s="81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64</v>
      </c>
      <c r="C6" s="11" t="s">
        <v>66</v>
      </c>
      <c r="D6" s="11" t="s">
        <v>38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2144800</v>
      </c>
      <c r="H7" s="134">
        <f>SUM(H8:H11)</f>
        <v>0</v>
      </c>
      <c r="I7" s="87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3">
        <f>1659400+6000+83400-2200</f>
        <v>1746600</v>
      </c>
      <c r="H8" s="133"/>
      <c r="I8" s="88">
        <f t="shared" si="0"/>
        <v>0</v>
      </c>
    </row>
    <row r="9" spans="2:11" ht="12.75" customHeight="1">
      <c r="B9" s="14"/>
      <c r="C9" s="15"/>
      <c r="D9" s="15"/>
      <c r="E9" s="16">
        <v>611200</v>
      </c>
      <c r="F9" s="15" t="s">
        <v>109</v>
      </c>
      <c r="G9" s="133">
        <f>380000+5000+13200</f>
        <v>398200</v>
      </c>
      <c r="H9" s="133"/>
      <c r="I9" s="88">
        <f t="shared" si="0"/>
        <v>0</v>
      </c>
      <c r="K9" s="53"/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3"/>
      <c r="H11" s="133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187190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3">
        <f>178500+8900-210</f>
        <v>187190</v>
      </c>
      <c r="H14" s="133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50"/>
      <c r="H15" s="50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35"/>
      <c r="H16" s="35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215000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2">
        <v>12000</v>
      </c>
      <c r="H18" s="32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2">
        <f>73000+4000</f>
        <v>77000</v>
      </c>
      <c r="H19" s="32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2">
        <v>11000</v>
      </c>
      <c r="H20" s="32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50">
        <v>20000</v>
      </c>
      <c r="H21" s="50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0">
        <v>1500</v>
      </c>
      <c r="H22" s="50"/>
      <c r="I22" s="88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50">
        <v>0</v>
      </c>
      <c r="H23" s="50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0">
        <f>20000+1500</f>
        <v>21500</v>
      </c>
      <c r="H24" s="50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50">
        <v>0</v>
      </c>
      <c r="H25" s="50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50">
        <v>72000</v>
      </c>
      <c r="H26" s="50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103">
        <v>0</v>
      </c>
      <c r="H27" s="103"/>
      <c r="I27" s="88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50"/>
      <c r="H28" s="50"/>
      <c r="I28" s="88">
        <f t="shared" si="0"/>
      </c>
    </row>
    <row r="29" spans="2:9" ht="12.75" customHeight="1">
      <c r="B29" s="14"/>
      <c r="C29" s="15"/>
      <c r="D29" s="29"/>
      <c r="E29" s="16"/>
      <c r="F29" s="28"/>
      <c r="G29" s="50"/>
      <c r="H29" s="50"/>
      <c r="I29" s="88">
        <f t="shared" si="0"/>
      </c>
    </row>
    <row r="30" spans="2:9" ht="12.75" customHeight="1">
      <c r="B30" s="14"/>
      <c r="C30" s="15"/>
      <c r="D30" s="15"/>
      <c r="E30" s="40"/>
      <c r="F30" s="28"/>
      <c r="G30" s="50"/>
      <c r="H30" s="50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50"/>
      <c r="H31" s="50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50"/>
      <c r="H32" s="50"/>
      <c r="I32" s="88">
        <f t="shared" si="0"/>
      </c>
    </row>
    <row r="33" spans="2:9" ht="12.75" customHeight="1">
      <c r="B33" s="14"/>
      <c r="C33" s="15"/>
      <c r="D33" s="15"/>
      <c r="E33" s="9"/>
      <c r="F33" s="12"/>
      <c r="G33" s="50"/>
      <c r="H33" s="50"/>
      <c r="I33" s="88">
        <f t="shared" si="0"/>
      </c>
    </row>
    <row r="34" spans="2:9" ht="12.75" customHeight="1">
      <c r="B34" s="14"/>
      <c r="C34" s="15"/>
      <c r="D34" s="15"/>
      <c r="E34" s="16"/>
      <c r="F34" s="26"/>
      <c r="G34" s="50"/>
      <c r="H34" s="50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SUM(G37:G39)</f>
        <v>7000</v>
      </c>
      <c r="H36" s="61">
        <f>SUM(H37:H39)</f>
        <v>0</v>
      </c>
      <c r="I36" s="87">
        <f t="shared" si="0"/>
        <v>0</v>
      </c>
    </row>
    <row r="37" spans="2:10" ht="12.75" customHeight="1">
      <c r="B37" s="14"/>
      <c r="C37" s="15"/>
      <c r="D37" s="15"/>
      <c r="E37" s="16">
        <v>821200</v>
      </c>
      <c r="F37" s="15" t="s">
        <v>14</v>
      </c>
      <c r="G37" s="50">
        <v>0</v>
      </c>
      <c r="H37" s="50"/>
      <c r="I37" s="88">
        <f t="shared" si="0"/>
      </c>
      <c r="J37" s="49"/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0">
        <v>7000</v>
      </c>
      <c r="H38" s="50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50"/>
      <c r="H39" s="50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61"/>
      <c r="H40" s="61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161</v>
      </c>
      <c r="H41" s="25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2553990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0"/>
    </row>
    <row r="44" spans="2:9" s="1" customFormat="1" ht="12.75" customHeight="1">
      <c r="B44" s="17"/>
      <c r="C44" s="12"/>
      <c r="D44" s="12"/>
      <c r="E44" s="9"/>
      <c r="F44" s="12" t="s">
        <v>18</v>
      </c>
      <c r="G44" s="32"/>
      <c r="H44" s="32"/>
      <c r="I44" s="89"/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1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&amp;R32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28"/>
  <dimension ref="B2:K57"/>
  <sheetViews>
    <sheetView workbookViewId="0" topLeftCell="B10">
      <selection activeCell="J12" sqref="J1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7" ht="15" customHeight="1">
      <c r="B2" s="142" t="s">
        <v>90</v>
      </c>
      <c r="C2" s="142"/>
      <c r="D2" s="142"/>
      <c r="E2" s="142"/>
      <c r="F2" s="142"/>
      <c r="G2" s="14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64</v>
      </c>
      <c r="C6" s="11" t="s">
        <v>66</v>
      </c>
      <c r="D6" s="11" t="s">
        <v>45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581300</v>
      </c>
      <c r="H7" s="134">
        <f>SUM(H8:H11)</f>
        <v>0</v>
      </c>
      <c r="I7" s="87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453200+22600</f>
        <v>475800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102500+3000</f>
        <v>105500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51300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48900+2400</f>
        <v>51300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51100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3500</v>
      </c>
      <c r="H18" s="33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20500</v>
      </c>
      <c r="H19" s="33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3">
        <v>3300</v>
      </c>
      <c r="H20" s="33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3">
        <v>8000</v>
      </c>
      <c r="H21" s="33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300</v>
      </c>
      <c r="H22" s="33"/>
      <c r="I22" s="88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3">
        <v>0</v>
      </c>
      <c r="H23" s="33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69">
        <v>8500</v>
      </c>
      <c r="H24" s="69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69">
        <v>0</v>
      </c>
      <c r="H25" s="69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69">
        <v>7000</v>
      </c>
      <c r="H26" s="69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103">
        <v>0</v>
      </c>
      <c r="H27" s="103"/>
      <c r="I27" s="88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69"/>
      <c r="H28" s="69"/>
      <c r="I28" s="88">
        <f t="shared" si="0"/>
      </c>
    </row>
    <row r="29" spans="2:9" ht="12.75" customHeight="1">
      <c r="B29" s="14"/>
      <c r="C29" s="15"/>
      <c r="D29" s="29"/>
      <c r="E29" s="16"/>
      <c r="F29" s="28"/>
      <c r="G29" s="69"/>
      <c r="H29" s="69"/>
      <c r="I29" s="88">
        <f t="shared" si="0"/>
      </c>
    </row>
    <row r="30" spans="2:9" ht="12.75" customHeight="1">
      <c r="B30" s="14"/>
      <c r="C30" s="15"/>
      <c r="D30" s="15"/>
      <c r="E30" s="40"/>
      <c r="F30" s="28"/>
      <c r="G30" s="69"/>
      <c r="H30" s="69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69"/>
      <c r="H31" s="69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69"/>
      <c r="H32" s="69"/>
      <c r="I32" s="88">
        <f t="shared" si="0"/>
      </c>
    </row>
    <row r="33" spans="2:9" ht="12.75" customHeight="1">
      <c r="B33" s="14"/>
      <c r="C33" s="15"/>
      <c r="D33" s="15"/>
      <c r="E33" s="9"/>
      <c r="F33" s="12"/>
      <c r="G33" s="69"/>
      <c r="H33" s="69"/>
      <c r="I33" s="88">
        <f t="shared" si="0"/>
      </c>
    </row>
    <row r="34" spans="2:9" ht="12.75" customHeight="1">
      <c r="B34" s="14"/>
      <c r="C34" s="15"/>
      <c r="D34" s="15"/>
      <c r="E34" s="16"/>
      <c r="F34" s="26"/>
      <c r="G34" s="69"/>
      <c r="H34" s="69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SUM(G37:G39)</f>
        <v>2000</v>
      </c>
      <c r="H36" s="61">
        <f>SUM(H37:H39)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69">
        <v>0</v>
      </c>
      <c r="H37" s="69"/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69">
        <v>2000</v>
      </c>
      <c r="H38" s="69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69"/>
      <c r="H39" s="69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157</v>
      </c>
      <c r="H41" s="25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685700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0"/>
    </row>
    <row r="44" spans="2:9" s="1" customFormat="1" ht="12.75" customHeight="1">
      <c r="B44" s="17"/>
      <c r="C44" s="12"/>
      <c r="D44" s="12"/>
      <c r="E44" s="9"/>
      <c r="F44" s="12" t="s">
        <v>18</v>
      </c>
      <c r="G44" s="32"/>
      <c r="H44" s="32"/>
      <c r="I44" s="89"/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  <row r="55" ht="12.75">
      <c r="B55" s="49"/>
    </row>
    <row r="56" ht="12.75">
      <c r="B56" s="49"/>
    </row>
    <row r="57" ht="12.75">
      <c r="B57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&amp;R33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29"/>
  <dimension ref="B2:K52"/>
  <sheetViews>
    <sheetView workbookViewId="0" topLeftCell="C4">
      <selection activeCell="O20" sqref="O2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7" ht="15" customHeight="1">
      <c r="B2" s="142" t="s">
        <v>91</v>
      </c>
      <c r="C2" s="142"/>
      <c r="D2" s="142"/>
      <c r="E2" s="142"/>
      <c r="F2" s="142"/>
      <c r="G2" s="14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64</v>
      </c>
      <c r="C6" s="11" t="s">
        <v>66</v>
      </c>
      <c r="D6" s="11" t="s">
        <v>46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819400</v>
      </c>
      <c r="H7" s="134">
        <f>SUM(H8:H11)</f>
        <v>0</v>
      </c>
      <c r="I7" s="87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634500+5800+31700</f>
        <v>672000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140700+5000+1700</f>
        <v>147400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71600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68200+3400</f>
        <v>71600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61050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4200</v>
      </c>
      <c r="H18" s="33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30000</v>
      </c>
      <c r="H19" s="33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69">
        <v>3050</v>
      </c>
      <c r="H20" s="69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69">
        <v>8300</v>
      </c>
      <c r="H21" s="69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69">
        <v>0</v>
      </c>
      <c r="H22" s="69"/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69">
        <v>0</v>
      </c>
      <c r="H23" s="69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69">
        <v>8750</v>
      </c>
      <c r="H24" s="69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69">
        <v>0</v>
      </c>
      <c r="H25" s="69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69">
        <v>6750</v>
      </c>
      <c r="H26" s="69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69">
        <v>0</v>
      </c>
      <c r="H27" s="69"/>
      <c r="I27" s="88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69"/>
      <c r="H28" s="69"/>
      <c r="I28" s="88">
        <f t="shared" si="0"/>
      </c>
    </row>
    <row r="29" spans="2:9" ht="12.75" customHeight="1">
      <c r="B29" s="14"/>
      <c r="C29" s="15"/>
      <c r="D29" s="29"/>
      <c r="E29" s="16"/>
      <c r="F29" s="28"/>
      <c r="G29" s="69"/>
      <c r="H29" s="69"/>
      <c r="I29" s="88">
        <f t="shared" si="0"/>
      </c>
    </row>
    <row r="30" spans="2:9" ht="12.75" customHeight="1">
      <c r="B30" s="14"/>
      <c r="C30" s="15"/>
      <c r="D30" s="15"/>
      <c r="E30" s="40"/>
      <c r="F30" s="28"/>
      <c r="G30" s="69"/>
      <c r="H30" s="69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69"/>
      <c r="H31" s="69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69"/>
      <c r="H32" s="69"/>
      <c r="I32" s="88">
        <f t="shared" si="0"/>
      </c>
    </row>
    <row r="33" spans="2:9" ht="12.75" customHeight="1">
      <c r="B33" s="14"/>
      <c r="C33" s="15"/>
      <c r="D33" s="15"/>
      <c r="E33" s="9"/>
      <c r="F33" s="12"/>
      <c r="G33" s="69"/>
      <c r="H33" s="69"/>
      <c r="I33" s="88">
        <f t="shared" si="0"/>
      </c>
    </row>
    <row r="34" spans="2:9" ht="12.75" customHeight="1">
      <c r="B34" s="14"/>
      <c r="C34" s="15"/>
      <c r="D34" s="15"/>
      <c r="E34" s="16"/>
      <c r="F34" s="26"/>
      <c r="G34" s="69"/>
      <c r="H34" s="69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SUM(G37:G39)</f>
        <v>11000</v>
      </c>
      <c r="H36" s="61">
        <f>SUM(H37:H39)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69">
        <v>10000</v>
      </c>
      <c r="H37" s="69"/>
      <c r="I37" s="88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69">
        <v>1000</v>
      </c>
      <c r="H38" s="69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69"/>
      <c r="H39" s="69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162</v>
      </c>
      <c r="H41" s="25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963050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80"/>
    </row>
    <row r="44" spans="2:9" s="1" customFormat="1" ht="12.75" customHeight="1">
      <c r="B44" s="17"/>
      <c r="C44" s="12"/>
      <c r="D44" s="12"/>
      <c r="E44" s="9"/>
      <c r="F44" s="12" t="s">
        <v>18</v>
      </c>
      <c r="G44" s="32"/>
      <c r="H44" s="32"/>
      <c r="I44" s="79"/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&amp;R34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0"/>
  <dimension ref="B2:K53"/>
  <sheetViews>
    <sheetView workbookViewId="0" topLeftCell="C7">
      <selection activeCell="G39" sqref="G39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7" ht="15" customHeight="1">
      <c r="B2" s="144" t="s">
        <v>92</v>
      </c>
      <c r="C2" s="144"/>
      <c r="D2" s="144"/>
      <c r="E2" s="144"/>
      <c r="F2" s="144"/>
      <c r="G2" s="144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64</v>
      </c>
      <c r="C6" s="11" t="s">
        <v>66</v>
      </c>
      <c r="D6" s="11" t="s">
        <v>67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886720</v>
      </c>
      <c r="H7" s="134">
        <f>SUM(H8:H11)</f>
        <v>0</v>
      </c>
      <c r="I7" s="87">
        <f aca="true" t="shared" si="0" ref="I7:I42">IF(G7=0,"",H7/G7*100)</f>
        <v>0</v>
      </c>
    </row>
    <row r="8" spans="2:11" ht="12.75" customHeight="1">
      <c r="B8" s="14"/>
      <c r="C8" s="15"/>
      <c r="D8" s="15"/>
      <c r="E8" s="16">
        <v>611100</v>
      </c>
      <c r="F8" s="26" t="s">
        <v>108</v>
      </c>
      <c r="G8" s="136">
        <f>670200+10720+33800</f>
        <v>714720</v>
      </c>
      <c r="H8" s="136"/>
      <c r="I8" s="88">
        <f t="shared" si="0"/>
        <v>0</v>
      </c>
      <c r="J8" s="49"/>
      <c r="K8" s="53"/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157700+10500+3800</f>
        <v>172000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75000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71400+3600</f>
        <v>75000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92100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4000</v>
      </c>
      <c r="H18" s="33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55000</v>
      </c>
      <c r="H19" s="33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3">
        <v>4500</v>
      </c>
      <c r="H20" s="33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3">
        <v>8500</v>
      </c>
      <c r="H21" s="33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69">
        <v>1000</v>
      </c>
      <c r="H22" s="69"/>
      <c r="I22" s="88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69">
        <v>0</v>
      </c>
      <c r="H23" s="69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69">
        <v>8000</v>
      </c>
      <c r="H24" s="69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69">
        <v>2100</v>
      </c>
      <c r="H25" s="69"/>
      <c r="I25" s="88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69">
        <v>9000</v>
      </c>
      <c r="H26" s="69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103">
        <v>0</v>
      </c>
      <c r="H27" s="103"/>
      <c r="I27" s="88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69"/>
      <c r="H28" s="69"/>
      <c r="I28" s="88">
        <f t="shared" si="0"/>
      </c>
    </row>
    <row r="29" spans="2:9" ht="12.75" customHeight="1">
      <c r="B29" s="14"/>
      <c r="C29" s="15"/>
      <c r="D29" s="29"/>
      <c r="E29" s="16"/>
      <c r="F29" s="28"/>
      <c r="G29" s="69"/>
      <c r="H29" s="69"/>
      <c r="I29" s="88">
        <f t="shared" si="0"/>
      </c>
    </row>
    <row r="30" spans="2:9" ht="12.75" customHeight="1">
      <c r="B30" s="14"/>
      <c r="C30" s="15"/>
      <c r="D30" s="15"/>
      <c r="E30" s="40"/>
      <c r="F30" s="28"/>
      <c r="G30" s="69"/>
      <c r="H30" s="69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33"/>
      <c r="H31" s="33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33"/>
      <c r="H32" s="33"/>
      <c r="I32" s="88">
        <f t="shared" si="0"/>
      </c>
    </row>
    <row r="33" spans="2:9" ht="12.75" customHeight="1">
      <c r="B33" s="14"/>
      <c r="C33" s="15"/>
      <c r="D33" s="15"/>
      <c r="E33" s="9"/>
      <c r="F33" s="12"/>
      <c r="G33" s="33"/>
      <c r="H33" s="33"/>
      <c r="I33" s="88">
        <f t="shared" si="0"/>
      </c>
    </row>
    <row r="34" spans="2:9" ht="12.75" customHeight="1">
      <c r="B34" s="14"/>
      <c r="C34" s="15"/>
      <c r="D34" s="15"/>
      <c r="E34" s="16"/>
      <c r="F34" s="26"/>
      <c r="G34" s="33"/>
      <c r="H34" s="33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SUM(G37:G39)</f>
        <v>12000</v>
      </c>
      <c r="H36" s="61">
        <f>SUM(H37:H39)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69">
        <v>7000</v>
      </c>
      <c r="H37" s="69"/>
      <c r="I37" s="88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69">
        <v>5000</v>
      </c>
      <c r="H38" s="69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33"/>
      <c r="H39" s="33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75" t="s">
        <v>155</v>
      </c>
      <c r="H41" s="75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1065820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0"/>
    </row>
    <row r="44" spans="2:9" s="1" customFormat="1" ht="12.75" customHeight="1">
      <c r="B44" s="17"/>
      <c r="C44" s="12"/>
      <c r="D44" s="12"/>
      <c r="E44" s="9"/>
      <c r="F44" s="12" t="s">
        <v>18</v>
      </c>
      <c r="G44" s="32"/>
      <c r="H44" s="32"/>
      <c r="I44" s="89"/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&amp;R35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1"/>
  <dimension ref="B2:K54"/>
  <sheetViews>
    <sheetView workbookViewId="0" topLeftCell="C1">
      <selection activeCell="G27" sqref="G27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7" ht="15" customHeight="1">
      <c r="B2" s="142" t="s">
        <v>93</v>
      </c>
      <c r="C2" s="142"/>
      <c r="D2" s="142"/>
      <c r="E2" s="142"/>
      <c r="F2" s="142"/>
      <c r="G2" s="14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64</v>
      </c>
      <c r="C6" s="11" t="s">
        <v>66</v>
      </c>
      <c r="D6" s="11" t="s">
        <v>68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419600</v>
      </c>
      <c r="H7" s="134">
        <f>SUM(H8:H11)</f>
        <v>0</v>
      </c>
      <c r="I7" s="87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324700+16200-8000</f>
        <v>332900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83700+3000</f>
        <v>86700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35600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34900+1700-1000</f>
        <v>35600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48800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4000</v>
      </c>
      <c r="H18" s="33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18000</v>
      </c>
      <c r="H19" s="33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3">
        <v>2800</v>
      </c>
      <c r="H20" s="33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3">
        <v>9000</v>
      </c>
      <c r="H21" s="33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500</v>
      </c>
      <c r="H22" s="33"/>
      <c r="I22" s="88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3">
        <v>0</v>
      </c>
      <c r="H23" s="33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3">
        <v>7600</v>
      </c>
      <c r="H24" s="33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69">
        <v>0</v>
      </c>
      <c r="H25" s="69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69">
        <v>6900</v>
      </c>
      <c r="H26" s="69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69">
        <v>0</v>
      </c>
      <c r="H27" s="69"/>
      <c r="I27" s="88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69"/>
      <c r="H28" s="69"/>
      <c r="I28" s="88">
        <f t="shared" si="0"/>
      </c>
    </row>
    <row r="29" spans="2:9" ht="12.75" customHeight="1">
      <c r="B29" s="14"/>
      <c r="C29" s="15"/>
      <c r="D29" s="29"/>
      <c r="E29" s="16"/>
      <c r="F29" s="28"/>
      <c r="G29" s="69"/>
      <c r="H29" s="69"/>
      <c r="I29" s="88">
        <f t="shared" si="0"/>
      </c>
    </row>
    <row r="30" spans="2:9" ht="12.75" customHeight="1">
      <c r="B30" s="14"/>
      <c r="C30" s="15"/>
      <c r="D30" s="15"/>
      <c r="E30" s="40"/>
      <c r="F30" s="28"/>
      <c r="G30" s="69"/>
      <c r="H30" s="69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69"/>
      <c r="H31" s="69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69"/>
      <c r="H32" s="69"/>
      <c r="I32" s="88">
        <f t="shared" si="0"/>
      </c>
    </row>
    <row r="33" spans="2:9" ht="12.75" customHeight="1">
      <c r="B33" s="14"/>
      <c r="C33" s="15"/>
      <c r="D33" s="15"/>
      <c r="E33" s="9"/>
      <c r="F33" s="12"/>
      <c r="G33" s="69"/>
      <c r="H33" s="69"/>
      <c r="I33" s="88">
        <f t="shared" si="0"/>
      </c>
    </row>
    <row r="34" spans="2:9" ht="12.75" customHeight="1">
      <c r="B34" s="14"/>
      <c r="C34" s="15"/>
      <c r="D34" s="15"/>
      <c r="E34" s="16"/>
      <c r="F34" s="26"/>
      <c r="G34" s="69"/>
      <c r="H34" s="69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SUM(G37:G39)</f>
        <v>2000</v>
      </c>
      <c r="H36" s="61">
        <f>SUM(H37:H39)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69">
        <v>0</v>
      </c>
      <c r="H37" s="69"/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69">
        <v>2000</v>
      </c>
      <c r="H38" s="69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69"/>
      <c r="H39" s="69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156</v>
      </c>
      <c r="H41" s="25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506000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0"/>
    </row>
    <row r="44" spans="2:9" s="1" customFormat="1" ht="12.75" customHeight="1">
      <c r="B44" s="17"/>
      <c r="C44" s="12"/>
      <c r="D44" s="12"/>
      <c r="E44" s="9"/>
      <c r="F44" s="12" t="s">
        <v>18</v>
      </c>
      <c r="G44" s="32"/>
      <c r="H44" s="32"/>
      <c r="I44" s="89"/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B2:M62"/>
  <sheetViews>
    <sheetView workbookViewId="0" topLeftCell="B39">
      <selection activeCell="G57" sqref="G57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9" ht="15" customHeight="1">
      <c r="B2" s="144" t="s">
        <v>39</v>
      </c>
      <c r="C2" s="144"/>
      <c r="D2" s="144"/>
      <c r="E2" s="144"/>
      <c r="F2" s="144"/>
      <c r="G2" s="144"/>
      <c r="H2" s="144"/>
      <c r="I2" s="8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40</v>
      </c>
      <c r="C6" s="11" t="s">
        <v>4</v>
      </c>
      <c r="D6" s="11" t="s">
        <v>5</v>
      </c>
      <c r="E6" s="9"/>
      <c r="F6" s="9"/>
      <c r="G6" s="96"/>
      <c r="H6" s="96"/>
      <c r="I6" s="86"/>
    </row>
    <row r="7" spans="2:9" s="2" customFormat="1" ht="12.75" customHeight="1">
      <c r="B7" s="10"/>
      <c r="C7" s="11"/>
      <c r="D7" s="11"/>
      <c r="E7" s="9">
        <v>600000</v>
      </c>
      <c r="F7" s="27" t="s">
        <v>41</v>
      </c>
      <c r="G7" s="97">
        <f>G8+G9+G10</f>
        <v>495000</v>
      </c>
      <c r="H7" s="97">
        <f>H8+H9+H10</f>
        <v>0</v>
      </c>
      <c r="I7" s="125">
        <f aca="true" t="shared" si="0" ref="I7:I56">IF(G7=0,"",H7/G7*100)</f>
        <v>0</v>
      </c>
    </row>
    <row r="8" spans="2:9" s="2" customFormat="1" ht="12.75" customHeight="1">
      <c r="B8" s="10"/>
      <c r="C8" s="11"/>
      <c r="D8" s="11"/>
      <c r="E8" s="36">
        <v>600000</v>
      </c>
      <c r="F8" s="37" t="s">
        <v>20</v>
      </c>
      <c r="G8" s="95">
        <v>450000</v>
      </c>
      <c r="H8" s="95"/>
      <c r="I8" s="88">
        <f t="shared" si="0"/>
        <v>0</v>
      </c>
    </row>
    <row r="9" spans="2:9" s="2" customFormat="1" ht="12.75" customHeight="1">
      <c r="B9" s="10"/>
      <c r="C9" s="11"/>
      <c r="D9" s="11"/>
      <c r="E9" s="36">
        <v>600000</v>
      </c>
      <c r="F9" s="37" t="s">
        <v>21</v>
      </c>
      <c r="G9" s="95">
        <v>30000</v>
      </c>
      <c r="H9" s="95"/>
      <c r="I9" s="88">
        <f t="shared" si="0"/>
        <v>0</v>
      </c>
    </row>
    <row r="10" spans="2:9" s="2" customFormat="1" ht="12.75" customHeight="1">
      <c r="B10" s="10"/>
      <c r="C10" s="11"/>
      <c r="D10" s="11"/>
      <c r="E10" s="36">
        <v>600000</v>
      </c>
      <c r="F10" s="37" t="s">
        <v>42</v>
      </c>
      <c r="G10" s="95">
        <v>15000</v>
      </c>
      <c r="H10" s="95"/>
      <c r="I10" s="88">
        <f t="shared" si="0"/>
        <v>0</v>
      </c>
    </row>
    <row r="11" spans="2:9" s="2" customFormat="1" ht="12.75" customHeight="1">
      <c r="B11" s="10"/>
      <c r="C11" s="11"/>
      <c r="D11" s="11"/>
      <c r="E11" s="9"/>
      <c r="F11" s="9"/>
      <c r="G11" s="98"/>
      <c r="H11" s="98"/>
      <c r="I11" s="88">
        <f t="shared" si="0"/>
      </c>
    </row>
    <row r="12" spans="2:9" s="1" customFormat="1" ht="12.75" customHeight="1">
      <c r="B12" s="17"/>
      <c r="C12" s="12"/>
      <c r="D12" s="12"/>
      <c r="E12" s="9">
        <v>611000</v>
      </c>
      <c r="F12" s="12" t="s">
        <v>83</v>
      </c>
      <c r="G12" s="140">
        <f>SUM(G13:G16)</f>
        <v>329050</v>
      </c>
      <c r="H12" s="140">
        <f>SUM(H13:H16)</f>
        <v>0</v>
      </c>
      <c r="I12" s="125">
        <f t="shared" si="0"/>
        <v>0</v>
      </c>
    </row>
    <row r="13" spans="2:9" ht="12.75" customHeight="1">
      <c r="B13" s="14"/>
      <c r="C13" s="15"/>
      <c r="D13" s="15"/>
      <c r="E13" s="16">
        <v>611100</v>
      </c>
      <c r="F13" s="26" t="s">
        <v>108</v>
      </c>
      <c r="G13" s="135">
        <f>104200+16900+5100+850</f>
        <v>127050</v>
      </c>
      <c r="H13" s="135"/>
      <c r="I13" s="88">
        <f t="shared" si="0"/>
        <v>0</v>
      </c>
    </row>
    <row r="14" spans="2:9" ht="12.75" customHeight="1">
      <c r="B14" s="14"/>
      <c r="C14" s="15"/>
      <c r="D14" s="15"/>
      <c r="E14" s="16">
        <v>611200</v>
      </c>
      <c r="F14" s="15" t="s">
        <v>109</v>
      </c>
      <c r="G14" s="135">
        <f>22900+3100</f>
        <v>26000</v>
      </c>
      <c r="H14" s="135"/>
      <c r="I14" s="88">
        <f t="shared" si="0"/>
        <v>0</v>
      </c>
    </row>
    <row r="15" spans="2:11" ht="12.75" customHeight="1">
      <c r="B15" s="14"/>
      <c r="C15" s="15"/>
      <c r="D15" s="15"/>
      <c r="E15" s="16">
        <v>611200</v>
      </c>
      <c r="F15" s="132" t="s">
        <v>158</v>
      </c>
      <c r="G15" s="135">
        <v>176000</v>
      </c>
      <c r="H15" s="135"/>
      <c r="I15" s="88">
        <f t="shared" si="0"/>
        <v>0</v>
      </c>
      <c r="K15" s="52"/>
    </row>
    <row r="16" spans="2:9" ht="12.75" customHeight="1">
      <c r="B16" s="14"/>
      <c r="C16" s="15"/>
      <c r="D16" s="15"/>
      <c r="E16" s="16"/>
      <c r="F16" s="26"/>
      <c r="G16" s="140"/>
      <c r="H16" s="140"/>
      <c r="I16" s="88">
        <f t="shared" si="0"/>
      </c>
    </row>
    <row r="17" spans="2:9" ht="12.75" customHeight="1">
      <c r="B17" s="14"/>
      <c r="C17" s="15"/>
      <c r="D17" s="15"/>
      <c r="E17" s="16"/>
      <c r="F17" s="15"/>
      <c r="G17" s="135"/>
      <c r="H17" s="135"/>
      <c r="I17" s="88">
        <f t="shared" si="0"/>
      </c>
    </row>
    <row r="18" spans="2:9" s="1" customFormat="1" ht="12.75" customHeight="1">
      <c r="B18" s="17"/>
      <c r="C18" s="12"/>
      <c r="D18" s="12"/>
      <c r="E18" s="9">
        <v>612000</v>
      </c>
      <c r="F18" s="12" t="s">
        <v>82</v>
      </c>
      <c r="G18" s="140">
        <f>G19+G20</f>
        <v>14010</v>
      </c>
      <c r="H18" s="140">
        <f>H19+H20</f>
        <v>0</v>
      </c>
      <c r="I18" s="125">
        <f t="shared" si="0"/>
        <v>0</v>
      </c>
    </row>
    <row r="19" spans="2:9" ht="12.75" customHeight="1">
      <c r="B19" s="14"/>
      <c r="C19" s="15"/>
      <c r="D19" s="15"/>
      <c r="E19" s="16">
        <v>612100</v>
      </c>
      <c r="F19" s="18" t="s">
        <v>6</v>
      </c>
      <c r="G19" s="135">
        <f>11500+1860+550+100</f>
        <v>14010</v>
      </c>
      <c r="H19" s="135"/>
      <c r="I19" s="88">
        <f t="shared" si="0"/>
        <v>0</v>
      </c>
    </row>
    <row r="20" spans="2:9" ht="12.75" customHeight="1">
      <c r="B20" s="14"/>
      <c r="C20" s="15"/>
      <c r="D20" s="15"/>
      <c r="E20" s="16"/>
      <c r="F20" s="15"/>
      <c r="G20" s="92"/>
      <c r="H20" s="92"/>
      <c r="I20" s="88">
        <f t="shared" si="0"/>
      </c>
    </row>
    <row r="21" spans="2:9" ht="12.75" customHeight="1">
      <c r="B21" s="14"/>
      <c r="C21" s="15"/>
      <c r="D21" s="15"/>
      <c r="E21" s="16"/>
      <c r="F21" s="15"/>
      <c r="G21" s="92"/>
      <c r="H21" s="92"/>
      <c r="I21" s="88">
        <f t="shared" si="0"/>
      </c>
    </row>
    <row r="22" spans="2:9" s="1" customFormat="1" ht="12.75" customHeight="1">
      <c r="B22" s="17"/>
      <c r="C22" s="12"/>
      <c r="D22" s="12"/>
      <c r="E22" s="9">
        <v>613000</v>
      </c>
      <c r="F22" s="12" t="s">
        <v>84</v>
      </c>
      <c r="G22" s="93">
        <f>SUM(G23:G33)</f>
        <v>385000</v>
      </c>
      <c r="H22" s="93">
        <f>SUM(H23:H33)</f>
        <v>0</v>
      </c>
      <c r="I22" s="125">
        <f t="shared" si="0"/>
        <v>0</v>
      </c>
    </row>
    <row r="23" spans="2:9" ht="12.75" customHeight="1">
      <c r="B23" s="14"/>
      <c r="C23" s="15"/>
      <c r="D23" s="15"/>
      <c r="E23" s="16">
        <v>613100</v>
      </c>
      <c r="F23" s="15" t="s">
        <v>7</v>
      </c>
      <c r="G23" s="92">
        <v>14000</v>
      </c>
      <c r="H23" s="92"/>
      <c r="I23" s="88">
        <f t="shared" si="0"/>
        <v>0</v>
      </c>
    </row>
    <row r="24" spans="2:9" ht="12.75" customHeight="1">
      <c r="B24" s="14"/>
      <c r="C24" s="15"/>
      <c r="D24" s="15"/>
      <c r="E24" s="16">
        <v>613200</v>
      </c>
      <c r="F24" s="15" t="s">
        <v>8</v>
      </c>
      <c r="G24" s="92">
        <v>0</v>
      </c>
      <c r="H24" s="92"/>
      <c r="I24" s="88">
        <f t="shared" si="0"/>
      </c>
    </row>
    <row r="25" spans="2:9" ht="12.75" customHeight="1">
      <c r="B25" s="14"/>
      <c r="C25" s="15"/>
      <c r="D25" s="15"/>
      <c r="E25" s="16">
        <v>613300</v>
      </c>
      <c r="F25" s="26" t="s">
        <v>110</v>
      </c>
      <c r="G25" s="92">
        <v>5500</v>
      </c>
      <c r="H25" s="92"/>
      <c r="I25" s="88">
        <f t="shared" si="0"/>
        <v>0</v>
      </c>
    </row>
    <row r="26" spans="2:9" ht="12.75" customHeight="1">
      <c r="B26" s="14"/>
      <c r="C26" s="15"/>
      <c r="D26" s="15"/>
      <c r="E26" s="16">
        <v>613400</v>
      </c>
      <c r="F26" s="15" t="s">
        <v>85</v>
      </c>
      <c r="G26" s="92">
        <v>1500</v>
      </c>
      <c r="H26" s="92"/>
      <c r="I26" s="88">
        <f t="shared" si="0"/>
        <v>0</v>
      </c>
    </row>
    <row r="27" spans="2:9" ht="12.75" customHeight="1">
      <c r="B27" s="14"/>
      <c r="C27" s="15"/>
      <c r="D27" s="15"/>
      <c r="E27" s="16">
        <v>613500</v>
      </c>
      <c r="F27" s="15" t="s">
        <v>9</v>
      </c>
      <c r="G27" s="94">
        <v>1500</v>
      </c>
      <c r="H27" s="94"/>
      <c r="I27" s="88">
        <f t="shared" si="0"/>
        <v>0</v>
      </c>
    </row>
    <row r="28" spans="2:9" ht="12.75" customHeight="1">
      <c r="B28" s="14"/>
      <c r="C28" s="15"/>
      <c r="D28" s="15"/>
      <c r="E28" s="16">
        <v>613600</v>
      </c>
      <c r="F28" s="26" t="s">
        <v>111</v>
      </c>
      <c r="G28" s="92">
        <v>0</v>
      </c>
      <c r="H28" s="92"/>
      <c r="I28" s="88">
        <f t="shared" si="0"/>
      </c>
    </row>
    <row r="29" spans="2:9" ht="12.75" customHeight="1">
      <c r="B29" s="14"/>
      <c r="C29" s="15"/>
      <c r="D29" s="15"/>
      <c r="E29" s="16">
        <v>613700</v>
      </c>
      <c r="F29" s="15" t="s">
        <v>10</v>
      </c>
      <c r="G29" s="92">
        <v>7000</v>
      </c>
      <c r="H29" s="92"/>
      <c r="I29" s="88">
        <f t="shared" si="0"/>
        <v>0</v>
      </c>
    </row>
    <row r="30" spans="2:9" ht="12.75" customHeight="1">
      <c r="B30" s="14"/>
      <c r="C30" s="15"/>
      <c r="D30" s="15"/>
      <c r="E30" s="16">
        <v>613800</v>
      </c>
      <c r="F30" s="15" t="s">
        <v>86</v>
      </c>
      <c r="G30" s="95">
        <v>4500</v>
      </c>
      <c r="H30" s="95"/>
      <c r="I30" s="88">
        <f t="shared" si="0"/>
        <v>0</v>
      </c>
    </row>
    <row r="31" spans="2:10" ht="12.75" customHeight="1">
      <c r="B31" s="14"/>
      <c r="C31" s="15"/>
      <c r="D31" s="15"/>
      <c r="E31" s="71">
        <v>613900</v>
      </c>
      <c r="F31" s="19" t="s">
        <v>87</v>
      </c>
      <c r="G31" s="95">
        <v>138100</v>
      </c>
      <c r="H31" s="95"/>
      <c r="I31" s="88">
        <f t="shared" si="0"/>
        <v>0</v>
      </c>
      <c r="J31" s="49"/>
    </row>
    <row r="32" spans="2:9" ht="12.75" customHeight="1">
      <c r="B32" s="14"/>
      <c r="C32" s="15"/>
      <c r="D32" s="15"/>
      <c r="E32" s="16">
        <v>613900</v>
      </c>
      <c r="F32" s="26" t="s">
        <v>116</v>
      </c>
      <c r="G32" s="95">
        <v>36000</v>
      </c>
      <c r="H32" s="95"/>
      <c r="I32" s="88">
        <f t="shared" si="0"/>
        <v>0</v>
      </c>
    </row>
    <row r="33" spans="2:9" ht="12.75" customHeight="1">
      <c r="B33" s="14"/>
      <c r="C33" s="15"/>
      <c r="D33" s="15"/>
      <c r="E33" s="16">
        <v>613900</v>
      </c>
      <c r="F33" s="132" t="s">
        <v>159</v>
      </c>
      <c r="G33" s="92">
        <v>176900</v>
      </c>
      <c r="H33" s="92"/>
      <c r="I33" s="88">
        <f t="shared" si="0"/>
        <v>0</v>
      </c>
    </row>
    <row r="34" spans="2:9" ht="12.75" customHeight="1">
      <c r="B34" s="14"/>
      <c r="C34" s="15"/>
      <c r="D34" s="15"/>
      <c r="E34" s="16"/>
      <c r="F34" s="15"/>
      <c r="G34" s="92"/>
      <c r="H34" s="92"/>
      <c r="I34" s="88">
        <f t="shared" si="0"/>
      </c>
    </row>
    <row r="35" spans="2:9" s="1" customFormat="1" ht="12.75" customHeight="1">
      <c r="B35" s="17"/>
      <c r="C35" s="12"/>
      <c r="D35" s="12"/>
      <c r="E35" s="9">
        <v>614000</v>
      </c>
      <c r="F35" s="12" t="s">
        <v>112</v>
      </c>
      <c r="G35" s="98">
        <f>SUM(G36:G45)</f>
        <v>850000</v>
      </c>
      <c r="H35" s="98">
        <f>SUM(H36:H45)</f>
        <v>0</v>
      </c>
      <c r="I35" s="125">
        <f t="shared" si="0"/>
        <v>0</v>
      </c>
    </row>
    <row r="36" spans="2:9" s="56" customFormat="1" ht="12.75" customHeight="1">
      <c r="B36" s="57"/>
      <c r="C36" s="18"/>
      <c r="D36" s="18"/>
      <c r="E36" s="36">
        <v>614100</v>
      </c>
      <c r="F36" s="18" t="s">
        <v>136</v>
      </c>
      <c r="G36" s="94">
        <v>200000</v>
      </c>
      <c r="H36" s="94"/>
      <c r="I36" s="88">
        <f t="shared" si="0"/>
        <v>0</v>
      </c>
    </row>
    <row r="37" spans="2:9" s="56" customFormat="1" ht="12.75" customHeight="1">
      <c r="B37" s="57"/>
      <c r="C37" s="18"/>
      <c r="D37" s="18"/>
      <c r="E37" s="36">
        <v>614100</v>
      </c>
      <c r="F37" s="68" t="s">
        <v>137</v>
      </c>
      <c r="G37" s="94">
        <v>200000</v>
      </c>
      <c r="H37" s="94"/>
      <c r="I37" s="88">
        <f t="shared" si="0"/>
        <v>0</v>
      </c>
    </row>
    <row r="38" spans="2:13" s="123" customFormat="1" ht="26.25" customHeight="1">
      <c r="B38" s="118"/>
      <c r="C38" s="119"/>
      <c r="D38" s="119"/>
      <c r="E38" s="120">
        <v>614200</v>
      </c>
      <c r="F38" s="121" t="s">
        <v>138</v>
      </c>
      <c r="G38" s="122">
        <v>100000</v>
      </c>
      <c r="H38" s="122"/>
      <c r="I38" s="114">
        <f t="shared" si="0"/>
        <v>0</v>
      </c>
      <c r="M38" s="124"/>
    </row>
    <row r="39" spans="2:9" ht="24.75" customHeight="1">
      <c r="B39" s="14"/>
      <c r="C39" s="15"/>
      <c r="D39" s="15"/>
      <c r="E39" s="16">
        <v>614300</v>
      </c>
      <c r="F39" s="138" t="s">
        <v>152</v>
      </c>
      <c r="G39" s="99">
        <v>70000</v>
      </c>
      <c r="H39" s="99"/>
      <c r="I39" s="88">
        <f t="shared" si="0"/>
        <v>0</v>
      </c>
    </row>
    <row r="40" spans="2:9" ht="12.75" customHeight="1">
      <c r="B40" s="14"/>
      <c r="C40" s="15"/>
      <c r="D40" s="15"/>
      <c r="E40" s="16">
        <v>614300</v>
      </c>
      <c r="F40" s="63" t="s">
        <v>127</v>
      </c>
      <c r="G40" s="99">
        <v>30000</v>
      </c>
      <c r="H40" s="99"/>
      <c r="I40" s="88">
        <f t="shared" si="0"/>
        <v>0</v>
      </c>
    </row>
    <row r="41" spans="2:9" ht="12.75" customHeight="1">
      <c r="B41" s="14"/>
      <c r="C41" s="15"/>
      <c r="D41" s="15"/>
      <c r="E41" s="16">
        <v>614300</v>
      </c>
      <c r="F41" s="63" t="s">
        <v>130</v>
      </c>
      <c r="G41" s="99">
        <v>25000</v>
      </c>
      <c r="H41" s="99"/>
      <c r="I41" s="88">
        <f t="shared" si="0"/>
        <v>0</v>
      </c>
    </row>
    <row r="42" spans="2:9" ht="12.75" customHeight="1">
      <c r="B42" s="14"/>
      <c r="C42" s="15"/>
      <c r="D42" s="15"/>
      <c r="E42" s="16">
        <v>614300</v>
      </c>
      <c r="F42" s="63" t="s">
        <v>164</v>
      </c>
      <c r="G42" s="99">
        <v>25000</v>
      </c>
      <c r="H42" s="99"/>
      <c r="I42" s="88">
        <f t="shared" si="0"/>
        <v>0</v>
      </c>
    </row>
    <row r="43" spans="2:9" ht="24.75" customHeight="1">
      <c r="B43" s="14"/>
      <c r="C43" s="15"/>
      <c r="D43" s="15"/>
      <c r="E43" s="16">
        <v>614300</v>
      </c>
      <c r="F43" s="131" t="s">
        <v>145</v>
      </c>
      <c r="G43" s="99">
        <v>10000</v>
      </c>
      <c r="H43" s="99"/>
      <c r="I43" s="88">
        <f t="shared" si="0"/>
        <v>0</v>
      </c>
    </row>
    <row r="44" spans="2:9" ht="12.75" customHeight="1">
      <c r="B44" s="14"/>
      <c r="C44" s="15"/>
      <c r="D44" s="15"/>
      <c r="E44" s="16">
        <v>614300</v>
      </c>
      <c r="F44" s="63" t="s">
        <v>129</v>
      </c>
      <c r="G44" s="99">
        <v>30000</v>
      </c>
      <c r="H44" s="99"/>
      <c r="I44" s="88">
        <f t="shared" si="0"/>
        <v>0</v>
      </c>
    </row>
    <row r="45" spans="2:9" ht="12.75" customHeight="1">
      <c r="B45" s="14"/>
      <c r="C45" s="15"/>
      <c r="D45" s="15"/>
      <c r="E45" s="16">
        <v>614300</v>
      </c>
      <c r="F45" s="130" t="s">
        <v>19</v>
      </c>
      <c r="G45" s="99">
        <v>160000</v>
      </c>
      <c r="H45" s="99"/>
      <c r="I45" s="88">
        <f t="shared" si="0"/>
        <v>0</v>
      </c>
    </row>
    <row r="46" spans="2:9" ht="12.75" customHeight="1">
      <c r="B46" s="14"/>
      <c r="C46" s="15"/>
      <c r="D46" s="15"/>
      <c r="E46" s="16"/>
      <c r="F46" s="63"/>
      <c r="G46" s="99"/>
      <c r="H46" s="99"/>
      <c r="I46" s="88">
        <f t="shared" si="0"/>
      </c>
    </row>
    <row r="47" spans="2:9" ht="12.75" customHeight="1">
      <c r="B47" s="14"/>
      <c r="C47" s="15"/>
      <c r="D47" s="15"/>
      <c r="E47" s="9">
        <v>615000</v>
      </c>
      <c r="F47" s="12" t="s">
        <v>12</v>
      </c>
      <c r="G47" s="98">
        <f>G48</f>
        <v>257750</v>
      </c>
      <c r="H47" s="98">
        <f>H48</f>
        <v>0</v>
      </c>
      <c r="I47" s="125">
        <f t="shared" si="0"/>
        <v>0</v>
      </c>
    </row>
    <row r="48" spans="2:9" ht="12.75" customHeight="1">
      <c r="B48" s="14"/>
      <c r="C48" s="15"/>
      <c r="D48" s="15"/>
      <c r="E48" s="36">
        <v>615100</v>
      </c>
      <c r="F48" s="18" t="s">
        <v>12</v>
      </c>
      <c r="G48" s="94">
        <v>257750</v>
      </c>
      <c r="H48" s="94"/>
      <c r="I48" s="88">
        <f t="shared" si="0"/>
        <v>0</v>
      </c>
    </row>
    <row r="49" spans="2:9" ht="12.75" customHeight="1">
      <c r="B49" s="14"/>
      <c r="C49" s="15"/>
      <c r="D49" s="15"/>
      <c r="E49" s="16"/>
      <c r="F49" s="19"/>
      <c r="G49" s="95"/>
      <c r="H49" s="95"/>
      <c r="I49" s="88">
        <f t="shared" si="0"/>
      </c>
    </row>
    <row r="50" spans="2:9" ht="12.75" customHeight="1">
      <c r="B50" s="17"/>
      <c r="C50" s="12"/>
      <c r="D50" s="12"/>
      <c r="E50" s="9">
        <v>821000</v>
      </c>
      <c r="F50" s="12" t="s">
        <v>13</v>
      </c>
      <c r="G50" s="20">
        <f>SUM(G51:G53)</f>
        <v>284077</v>
      </c>
      <c r="H50" s="20">
        <f>SUM(H51:H53)</f>
        <v>0</v>
      </c>
      <c r="I50" s="125">
        <f t="shared" si="0"/>
        <v>0</v>
      </c>
    </row>
    <row r="51" spans="2:9" ht="12.75" customHeight="1">
      <c r="B51" s="14"/>
      <c r="C51" s="15"/>
      <c r="D51" s="15"/>
      <c r="E51" s="16">
        <v>821200</v>
      </c>
      <c r="F51" s="15" t="s">
        <v>14</v>
      </c>
      <c r="G51" s="50">
        <v>0</v>
      </c>
      <c r="H51" s="50"/>
      <c r="I51" s="88">
        <f t="shared" si="0"/>
      </c>
    </row>
    <row r="52" spans="2:9" ht="12.75" customHeight="1">
      <c r="B52" s="14"/>
      <c r="C52" s="15"/>
      <c r="D52" s="15"/>
      <c r="E52" s="16">
        <v>821300</v>
      </c>
      <c r="F52" s="15" t="s">
        <v>15</v>
      </c>
      <c r="G52" s="69">
        <v>5000</v>
      </c>
      <c r="H52" s="69"/>
      <c r="I52" s="88">
        <f t="shared" si="0"/>
        <v>0</v>
      </c>
    </row>
    <row r="53" spans="2:9" ht="12.75" customHeight="1">
      <c r="B53" s="14"/>
      <c r="C53" s="15"/>
      <c r="D53" s="15"/>
      <c r="E53" s="16">
        <v>821500</v>
      </c>
      <c r="F53" s="15" t="s">
        <v>147</v>
      </c>
      <c r="G53" s="103">
        <v>279077</v>
      </c>
      <c r="H53" s="103"/>
      <c r="I53" s="88">
        <f t="shared" si="0"/>
        <v>0</v>
      </c>
    </row>
    <row r="54" spans="2:9" s="1" customFormat="1" ht="12.75" customHeight="1">
      <c r="B54" s="14"/>
      <c r="C54" s="15"/>
      <c r="D54" s="15"/>
      <c r="E54" s="16"/>
      <c r="F54" s="15"/>
      <c r="G54" s="20"/>
      <c r="H54" s="20"/>
      <c r="I54" s="88">
        <f t="shared" si="0"/>
      </c>
    </row>
    <row r="55" spans="2:9" ht="12.75" customHeight="1">
      <c r="B55" s="17"/>
      <c r="C55" s="12"/>
      <c r="D55" s="12"/>
      <c r="E55" s="9"/>
      <c r="F55" s="12" t="s">
        <v>16</v>
      </c>
      <c r="G55" s="20">
        <v>6</v>
      </c>
      <c r="H55" s="20"/>
      <c r="I55" s="88"/>
    </row>
    <row r="56" spans="2:9" ht="12.75" customHeight="1">
      <c r="B56" s="17"/>
      <c r="C56" s="12"/>
      <c r="D56" s="12"/>
      <c r="E56" s="9"/>
      <c r="F56" s="12" t="s">
        <v>32</v>
      </c>
      <c r="G56" s="20">
        <f>G7+G12+G18+G22+G35+G47+G50</f>
        <v>2614887</v>
      </c>
      <c r="H56" s="20">
        <f>H7+H12+H18+H22+H35+H47+H50</f>
        <v>0</v>
      </c>
      <c r="I56" s="125">
        <f t="shared" si="0"/>
        <v>0</v>
      </c>
    </row>
    <row r="57" spans="2:9" ht="12.75" customHeight="1">
      <c r="B57" s="17"/>
      <c r="C57" s="12"/>
      <c r="D57" s="12"/>
      <c r="E57" s="9"/>
      <c r="F57" s="12" t="s">
        <v>17</v>
      </c>
      <c r="G57" s="15"/>
      <c r="H57" s="15"/>
      <c r="I57" s="89"/>
    </row>
    <row r="58" spans="2:9" ht="12.75" customHeight="1">
      <c r="B58" s="17"/>
      <c r="C58" s="12"/>
      <c r="D58" s="12"/>
      <c r="E58" s="9"/>
      <c r="F58" s="12" t="s">
        <v>18</v>
      </c>
      <c r="G58" s="15"/>
      <c r="H58" s="15"/>
      <c r="I58" s="89"/>
    </row>
    <row r="59" spans="2:9" s="1" customFormat="1" ht="12.75" customHeight="1" thickBot="1">
      <c r="B59" s="21"/>
      <c r="C59" s="22"/>
      <c r="D59" s="22"/>
      <c r="E59" s="23"/>
      <c r="F59" s="22"/>
      <c r="G59" s="22"/>
      <c r="H59" s="22"/>
      <c r="I59" s="91"/>
    </row>
    <row r="60" spans="2:9" s="1" customFormat="1" ht="12.75" customHeight="1">
      <c r="B60" s="13"/>
      <c r="C60" s="13"/>
      <c r="D60" s="13"/>
      <c r="E60" s="24"/>
      <c r="F60" s="13"/>
      <c r="G60" s="13"/>
      <c r="H60" s="13"/>
      <c r="I60" s="78"/>
    </row>
    <row r="61" spans="2:9" s="1" customFormat="1" ht="12.75" customHeight="1">
      <c r="B61" s="13"/>
      <c r="C61" s="13"/>
      <c r="D61" s="13"/>
      <c r="E61" s="24"/>
      <c r="F61" s="13"/>
      <c r="G61" s="13"/>
      <c r="H61" s="13"/>
      <c r="I61" s="78"/>
    </row>
    <row r="62" spans="2:9" s="1" customFormat="1" ht="12.75" customHeight="1">
      <c r="B62" s="13"/>
      <c r="C62" s="13"/>
      <c r="D62" s="13"/>
      <c r="E62" s="24"/>
      <c r="F62" s="13"/>
      <c r="G62" s="13"/>
      <c r="H62" s="13"/>
      <c r="I62" s="78"/>
    </row>
    <row r="63" ht="12.75" customHeight="1"/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&amp;R10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2"/>
  <dimension ref="B2:K53"/>
  <sheetViews>
    <sheetView workbookViewId="0" topLeftCell="C10">
      <selection activeCell="G39" sqref="G39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7" ht="15" customHeight="1">
      <c r="B2" s="142" t="s">
        <v>94</v>
      </c>
      <c r="C2" s="142"/>
      <c r="D2" s="142"/>
      <c r="E2" s="142"/>
      <c r="F2" s="142"/>
      <c r="G2" s="14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64</v>
      </c>
      <c r="C6" s="11" t="s">
        <v>66</v>
      </c>
      <c r="D6" s="11" t="s">
        <v>69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597200</v>
      </c>
      <c r="H7" s="134">
        <f>SUM(H8:H11)</f>
        <v>0</v>
      </c>
      <c r="I7" s="87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461700+22800</f>
        <v>484500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111200+1500</f>
        <v>112700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53100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50700+2400</f>
        <v>53100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62400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3500</v>
      </c>
      <c r="H18" s="33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30500</v>
      </c>
      <c r="H19" s="33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3">
        <v>3400</v>
      </c>
      <c r="H20" s="33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69">
        <v>8000</v>
      </c>
      <c r="H21" s="69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69">
        <v>1000</v>
      </c>
      <c r="H22" s="69"/>
      <c r="I22" s="88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69">
        <v>0</v>
      </c>
      <c r="H23" s="69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69">
        <v>8000</v>
      </c>
      <c r="H24" s="69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69">
        <v>0</v>
      </c>
      <c r="H25" s="69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69">
        <v>8000</v>
      </c>
      <c r="H26" s="69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69">
        <v>0</v>
      </c>
      <c r="H27" s="69"/>
      <c r="I27" s="88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69"/>
      <c r="H28" s="69"/>
      <c r="I28" s="88">
        <f t="shared" si="0"/>
      </c>
    </row>
    <row r="29" spans="2:9" ht="12.75" customHeight="1">
      <c r="B29" s="14"/>
      <c r="C29" s="15"/>
      <c r="D29" s="29"/>
      <c r="E29" s="16"/>
      <c r="F29" s="28"/>
      <c r="G29" s="69"/>
      <c r="H29" s="69"/>
      <c r="I29" s="88">
        <f t="shared" si="0"/>
      </c>
    </row>
    <row r="30" spans="2:9" ht="12.75" customHeight="1">
      <c r="B30" s="14"/>
      <c r="C30" s="15"/>
      <c r="D30" s="15"/>
      <c r="E30" s="40"/>
      <c r="F30" s="28"/>
      <c r="G30" s="69"/>
      <c r="H30" s="69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69"/>
      <c r="H31" s="69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69"/>
      <c r="H32" s="69"/>
      <c r="I32" s="88">
        <f t="shared" si="0"/>
      </c>
    </row>
    <row r="33" spans="2:9" ht="12.75" customHeight="1">
      <c r="B33" s="14"/>
      <c r="C33" s="15"/>
      <c r="D33" s="15"/>
      <c r="E33" s="9"/>
      <c r="F33" s="12"/>
      <c r="G33" s="69"/>
      <c r="H33" s="69"/>
      <c r="I33" s="88">
        <f t="shared" si="0"/>
      </c>
    </row>
    <row r="34" spans="2:9" ht="12.75" customHeight="1">
      <c r="B34" s="14"/>
      <c r="C34" s="15"/>
      <c r="D34" s="15"/>
      <c r="E34" s="16"/>
      <c r="F34" s="26"/>
      <c r="G34" s="69"/>
      <c r="H34" s="69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SUM(G37:G39)</f>
        <v>2000</v>
      </c>
      <c r="H36" s="61">
        <f>SUM(H37:H39)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69">
        <v>520</v>
      </c>
      <c r="H37" s="69"/>
      <c r="I37" s="88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69">
        <v>1480</v>
      </c>
      <c r="H38" s="69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69"/>
      <c r="H39" s="69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5" t="s">
        <v>157</v>
      </c>
      <c r="H41" s="25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714700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G42+'29'!G42+'28'!G42+'27'!G42+'26'!G42+'25'!G42+'24'!G42</f>
        <v>7722160</v>
      </c>
      <c r="H43" s="20">
        <f>H42+'29'!H42+'28'!H42+'27'!H42+'26'!H42+'25'!H42+'24'!H42</f>
        <v>0</v>
      </c>
      <c r="I43" s="8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G43+'23'!G43+'20'!G55</f>
        <v>13119410</v>
      </c>
      <c r="H44" s="20">
        <f>H43+'23'!H43+'20'!H55</f>
        <v>0</v>
      </c>
      <c r="I44" s="87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&amp;R37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B2:K43"/>
  <sheetViews>
    <sheetView workbookViewId="0" topLeftCell="C7">
      <selection activeCell="J12" sqref="J1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7" ht="15" customHeight="1">
      <c r="B2" s="144" t="s">
        <v>99</v>
      </c>
      <c r="C2" s="144"/>
      <c r="D2" s="144"/>
      <c r="E2" s="144"/>
      <c r="F2" s="144"/>
      <c r="G2" s="144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70</v>
      </c>
      <c r="C6" s="11" t="s">
        <v>4</v>
      </c>
      <c r="D6" s="11" t="s">
        <v>5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226200</v>
      </c>
      <c r="H7" s="134">
        <f>SUM(H8:H11)</f>
        <v>0</v>
      </c>
      <c r="I7" s="87">
        <f aca="true" t="shared" si="0" ref="I7:I41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150100+21200+7440+1060</f>
        <v>179800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36100+10300</f>
        <v>46400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20520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17200+2400+800+120</f>
        <v>20520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69"/>
      <c r="H15" s="69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61"/>
      <c r="H16" s="61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61">
        <f>SUM(G18:G27)</f>
        <v>39800</v>
      </c>
      <c r="H17" s="61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69">
        <v>3500</v>
      </c>
      <c r="H18" s="69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69">
        <v>0</v>
      </c>
      <c r="H19" s="69"/>
      <c r="I19" s="88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69">
        <v>3300</v>
      </c>
      <c r="H20" s="69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69">
        <v>2500</v>
      </c>
      <c r="H21" s="69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69">
        <v>0</v>
      </c>
      <c r="H22" s="69"/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69">
        <v>0</v>
      </c>
      <c r="H23" s="69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69">
        <v>6500</v>
      </c>
      <c r="H24" s="69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69">
        <v>0</v>
      </c>
      <c r="H25" s="69"/>
      <c r="I25" s="88">
        <f t="shared" si="0"/>
      </c>
    </row>
    <row r="26" spans="2:10" ht="12.75" customHeight="1">
      <c r="B26" s="14"/>
      <c r="C26" s="15"/>
      <c r="D26" s="15"/>
      <c r="E26" s="16">
        <v>613900</v>
      </c>
      <c r="F26" s="15" t="s">
        <v>87</v>
      </c>
      <c r="G26" s="69">
        <v>24000</v>
      </c>
      <c r="H26" s="69"/>
      <c r="I26" s="88">
        <f t="shared" si="0"/>
        <v>0</v>
      </c>
      <c r="J26" s="60"/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69"/>
      <c r="H27" s="69"/>
      <c r="I27" s="88">
        <f t="shared" si="0"/>
      </c>
    </row>
    <row r="28" spans="2:9" ht="12.75" customHeight="1">
      <c r="B28" s="14"/>
      <c r="C28" s="15"/>
      <c r="D28" s="15"/>
      <c r="E28" s="16"/>
      <c r="F28" s="15"/>
      <c r="G28" s="61"/>
      <c r="H28" s="61"/>
      <c r="I28" s="88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112</v>
      </c>
      <c r="G29" s="61">
        <f>G30</f>
        <v>1000000</v>
      </c>
      <c r="H29" s="61">
        <f>H30</f>
        <v>0</v>
      </c>
      <c r="I29" s="87">
        <f t="shared" si="0"/>
        <v>0</v>
      </c>
    </row>
    <row r="30" spans="2:9" ht="12.75" customHeight="1">
      <c r="B30" s="14"/>
      <c r="C30" s="15"/>
      <c r="D30" s="15"/>
      <c r="E30" s="16">
        <v>614200</v>
      </c>
      <c r="F30" s="28" t="s">
        <v>34</v>
      </c>
      <c r="G30" s="69">
        <v>1000000</v>
      </c>
      <c r="H30" s="69"/>
      <c r="I30" s="88">
        <f t="shared" si="0"/>
        <v>0</v>
      </c>
    </row>
    <row r="31" spans="2:9" ht="12.75" customHeight="1">
      <c r="B31" s="14"/>
      <c r="C31" s="15"/>
      <c r="D31" s="15"/>
      <c r="E31" s="16"/>
      <c r="F31" s="26"/>
      <c r="G31" s="69"/>
      <c r="H31" s="69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69"/>
      <c r="H32" s="69"/>
      <c r="I32" s="88">
        <f t="shared" si="0"/>
      </c>
    </row>
    <row r="33" spans="2:9" s="1" customFormat="1" ht="12.75" customHeight="1">
      <c r="B33" s="17"/>
      <c r="C33" s="12"/>
      <c r="D33" s="12"/>
      <c r="E33" s="9">
        <v>821000</v>
      </c>
      <c r="F33" s="12" t="s">
        <v>13</v>
      </c>
      <c r="G33" s="61">
        <f>SUM(G34:G36)</f>
        <v>1000</v>
      </c>
      <c r="H33" s="61">
        <f>SUM(H34:H36)</f>
        <v>0</v>
      </c>
      <c r="I33" s="87">
        <f t="shared" si="0"/>
        <v>0</v>
      </c>
    </row>
    <row r="34" spans="2:9" ht="12.75" customHeight="1">
      <c r="B34" s="14"/>
      <c r="C34" s="15"/>
      <c r="D34" s="15"/>
      <c r="E34" s="16">
        <v>821200</v>
      </c>
      <c r="F34" s="15" t="s">
        <v>14</v>
      </c>
      <c r="G34" s="69">
        <v>0</v>
      </c>
      <c r="H34" s="69"/>
      <c r="I34" s="88">
        <f t="shared" si="0"/>
      </c>
    </row>
    <row r="35" spans="2:9" ht="12.75" customHeight="1">
      <c r="B35" s="14"/>
      <c r="C35" s="15"/>
      <c r="D35" s="15"/>
      <c r="E35" s="16">
        <v>821300</v>
      </c>
      <c r="F35" s="15" t="s">
        <v>15</v>
      </c>
      <c r="G35" s="69">
        <v>1000</v>
      </c>
      <c r="H35" s="69"/>
      <c r="I35" s="88">
        <f t="shared" si="0"/>
        <v>0</v>
      </c>
    </row>
    <row r="36" spans="2:9" ht="12.75" customHeight="1">
      <c r="B36" s="14"/>
      <c r="C36" s="15"/>
      <c r="D36" s="15"/>
      <c r="E36" s="16"/>
      <c r="F36" s="26"/>
      <c r="G36" s="69"/>
      <c r="H36" s="69"/>
      <c r="I36" s="88">
        <f t="shared" si="0"/>
      </c>
    </row>
    <row r="37" spans="2:9" ht="12.75" customHeight="1">
      <c r="B37" s="14"/>
      <c r="C37" s="15"/>
      <c r="D37" s="15"/>
      <c r="E37" s="16"/>
      <c r="F37" s="15"/>
      <c r="G37" s="69"/>
      <c r="H37" s="69"/>
      <c r="I37" s="88">
        <f t="shared" si="0"/>
      </c>
    </row>
    <row r="38" spans="2:9" s="1" customFormat="1" ht="12.75" customHeight="1">
      <c r="B38" s="17"/>
      <c r="C38" s="12"/>
      <c r="D38" s="12"/>
      <c r="E38" s="9"/>
      <c r="F38" s="12" t="s">
        <v>16</v>
      </c>
      <c r="G38" s="20">
        <v>11</v>
      </c>
      <c r="H38" s="20"/>
      <c r="I38" s="88"/>
    </row>
    <row r="39" spans="2:9" s="1" customFormat="1" ht="12.75" customHeight="1">
      <c r="B39" s="17"/>
      <c r="C39" s="12"/>
      <c r="D39" s="12"/>
      <c r="E39" s="9"/>
      <c r="F39" s="12" t="s">
        <v>32</v>
      </c>
      <c r="G39" s="20">
        <f>G7+G13+G17+G29+G33</f>
        <v>1287520</v>
      </c>
      <c r="H39" s="20">
        <f>H7+H13+H17+H29+H33</f>
        <v>0</v>
      </c>
      <c r="I39" s="87">
        <f t="shared" si="0"/>
        <v>0</v>
      </c>
    </row>
    <row r="40" spans="2:9" s="1" customFormat="1" ht="12.75" customHeight="1">
      <c r="B40" s="17"/>
      <c r="C40" s="12"/>
      <c r="D40" s="12"/>
      <c r="E40" s="9"/>
      <c r="F40" s="12" t="s">
        <v>17</v>
      </c>
      <c r="G40" s="20">
        <f>G39</f>
        <v>1287520</v>
      </c>
      <c r="H40" s="20">
        <f>H39</f>
        <v>0</v>
      </c>
      <c r="I40" s="87">
        <f t="shared" si="0"/>
        <v>0</v>
      </c>
    </row>
    <row r="41" spans="2:9" s="1" customFormat="1" ht="12.75" customHeight="1">
      <c r="B41" s="17"/>
      <c r="C41" s="12"/>
      <c r="D41" s="12"/>
      <c r="E41" s="9"/>
      <c r="F41" s="12" t="s">
        <v>18</v>
      </c>
      <c r="G41" s="20">
        <f>G40</f>
        <v>1287520</v>
      </c>
      <c r="H41" s="20">
        <f>H40</f>
        <v>0</v>
      </c>
      <c r="I41" s="87">
        <f t="shared" si="0"/>
        <v>0</v>
      </c>
    </row>
    <row r="42" spans="2:9" ht="12.75" customHeight="1" thickBot="1">
      <c r="B42" s="21"/>
      <c r="C42" s="22"/>
      <c r="D42" s="22"/>
      <c r="E42" s="23"/>
      <c r="F42" s="22"/>
      <c r="G42" s="34"/>
      <c r="H42" s="34"/>
      <c r="I42" s="91"/>
    </row>
    <row r="43" spans="7:8" ht="12.75">
      <c r="G43" s="55"/>
      <c r="H43" s="55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&amp;R38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B2:K49"/>
  <sheetViews>
    <sheetView workbookViewId="0" topLeftCell="A13">
      <selection activeCell="G37" sqref="G37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42187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9" s="65" customFormat="1" ht="15" customHeight="1">
      <c r="B2" s="144" t="s">
        <v>72</v>
      </c>
      <c r="C2" s="144"/>
      <c r="D2" s="144"/>
      <c r="E2" s="144"/>
      <c r="F2" s="144"/>
      <c r="G2" s="144"/>
      <c r="H2" s="144"/>
      <c r="I2" s="8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71</v>
      </c>
      <c r="C6" s="11" t="s">
        <v>4</v>
      </c>
      <c r="D6" s="11" t="s">
        <v>5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SUM(G8:G10)</f>
        <v>98070</v>
      </c>
      <c r="H7" s="134">
        <f>SUM(H8:H10)</f>
        <v>0</v>
      </c>
      <c r="I7" s="87">
        <f aca="true" t="shared" si="0" ref="I7:I43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3">
        <f>76100+3770</f>
        <v>79870</v>
      </c>
      <c r="H8" s="133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3">
        <f>18200</f>
        <v>18200</v>
      </c>
      <c r="H9" s="133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15"/>
      <c r="G11" s="133"/>
      <c r="H11" s="133"/>
      <c r="I11" s="88">
        <f t="shared" si="0"/>
      </c>
    </row>
    <row r="12" spans="2:9" ht="12.75" customHeight="1">
      <c r="B12" s="17"/>
      <c r="C12" s="12"/>
      <c r="D12" s="12"/>
      <c r="E12" s="9">
        <v>612000</v>
      </c>
      <c r="F12" s="12" t="s">
        <v>82</v>
      </c>
      <c r="G12" s="134">
        <f>G13</f>
        <v>8800</v>
      </c>
      <c r="H12" s="134">
        <f>H13</f>
        <v>0</v>
      </c>
      <c r="I12" s="87">
        <f t="shared" si="0"/>
        <v>0</v>
      </c>
    </row>
    <row r="13" spans="2:9" s="1" customFormat="1" ht="12.75" customHeight="1">
      <c r="B13" s="14"/>
      <c r="C13" s="15"/>
      <c r="D13" s="15"/>
      <c r="E13" s="16">
        <v>612100</v>
      </c>
      <c r="F13" s="18" t="s">
        <v>6</v>
      </c>
      <c r="G13" s="133">
        <f>8400+400</f>
        <v>8800</v>
      </c>
      <c r="H13" s="133"/>
      <c r="I13" s="88">
        <f t="shared" si="0"/>
        <v>0</v>
      </c>
    </row>
    <row r="14" spans="2:9" ht="12.75" customHeight="1">
      <c r="B14" s="14"/>
      <c r="C14" s="15"/>
      <c r="D14" s="15"/>
      <c r="E14" s="16"/>
      <c r="F14" s="15"/>
      <c r="G14" s="32"/>
      <c r="H14" s="32"/>
      <c r="I14" s="88">
        <f t="shared" si="0"/>
      </c>
    </row>
    <row r="15" spans="2:9" ht="12.75" customHeight="1">
      <c r="B15" s="14"/>
      <c r="C15" s="15"/>
      <c r="D15" s="15"/>
      <c r="E15" s="16"/>
      <c r="F15" s="15"/>
      <c r="G15" s="32"/>
      <c r="H15" s="32"/>
      <c r="I15" s="88">
        <f t="shared" si="0"/>
      </c>
    </row>
    <row r="16" spans="2:9" ht="12.75" customHeight="1">
      <c r="B16" s="17"/>
      <c r="C16" s="12"/>
      <c r="D16" s="12"/>
      <c r="E16" s="9">
        <v>613000</v>
      </c>
      <c r="F16" s="12" t="s">
        <v>84</v>
      </c>
      <c r="G16" s="35">
        <f>SUM(G17:G26)</f>
        <v>28800</v>
      </c>
      <c r="H16" s="35">
        <f>SUM(H17:H26)</f>
        <v>0</v>
      </c>
      <c r="I16" s="87">
        <f t="shared" si="0"/>
        <v>0</v>
      </c>
    </row>
    <row r="17" spans="2:9" s="1" customFormat="1" ht="12.75" customHeight="1">
      <c r="B17" s="14"/>
      <c r="C17" s="15"/>
      <c r="D17" s="15"/>
      <c r="E17" s="16">
        <v>613100</v>
      </c>
      <c r="F17" s="15" t="s">
        <v>7</v>
      </c>
      <c r="G17" s="50">
        <v>400</v>
      </c>
      <c r="H17" s="50"/>
      <c r="I17" s="88">
        <f t="shared" si="0"/>
        <v>0</v>
      </c>
    </row>
    <row r="18" spans="2:9" ht="12.75" customHeight="1">
      <c r="B18" s="14"/>
      <c r="C18" s="15"/>
      <c r="D18" s="15"/>
      <c r="E18" s="16">
        <v>613200</v>
      </c>
      <c r="F18" s="15" t="s">
        <v>8</v>
      </c>
      <c r="G18" s="50">
        <v>5500</v>
      </c>
      <c r="H18" s="50"/>
      <c r="I18" s="88">
        <f t="shared" si="0"/>
        <v>0</v>
      </c>
    </row>
    <row r="19" spans="2:9" ht="12.75" customHeight="1">
      <c r="B19" s="14"/>
      <c r="C19" s="15"/>
      <c r="D19" s="15"/>
      <c r="E19" s="16">
        <v>613300</v>
      </c>
      <c r="F19" s="26" t="s">
        <v>110</v>
      </c>
      <c r="G19" s="50">
        <v>3600</v>
      </c>
      <c r="H19" s="50"/>
      <c r="I19" s="88">
        <f t="shared" si="0"/>
        <v>0</v>
      </c>
    </row>
    <row r="20" spans="2:9" ht="12.75" customHeight="1">
      <c r="B20" s="14"/>
      <c r="C20" s="15"/>
      <c r="D20" s="15"/>
      <c r="E20" s="16">
        <v>613400</v>
      </c>
      <c r="F20" s="15" t="s">
        <v>85</v>
      </c>
      <c r="G20" s="50">
        <v>1500</v>
      </c>
      <c r="H20" s="50"/>
      <c r="I20" s="88">
        <f t="shared" si="0"/>
        <v>0</v>
      </c>
    </row>
    <row r="21" spans="2:9" ht="12.75" customHeight="1">
      <c r="B21" s="14"/>
      <c r="C21" s="15"/>
      <c r="D21" s="15"/>
      <c r="E21" s="16">
        <v>613500</v>
      </c>
      <c r="F21" s="15" t="s">
        <v>9</v>
      </c>
      <c r="G21" s="50">
        <v>0</v>
      </c>
      <c r="H21" s="50"/>
      <c r="I21" s="88">
        <f t="shared" si="0"/>
      </c>
    </row>
    <row r="22" spans="2:9" ht="12.75" customHeight="1">
      <c r="B22" s="14"/>
      <c r="C22" s="15"/>
      <c r="D22" s="15"/>
      <c r="E22" s="16">
        <v>613600</v>
      </c>
      <c r="F22" s="26" t="s">
        <v>111</v>
      </c>
      <c r="G22" s="50">
        <v>0</v>
      </c>
      <c r="H22" s="50"/>
      <c r="I22" s="88">
        <f t="shared" si="0"/>
      </c>
    </row>
    <row r="23" spans="2:9" ht="12.75" customHeight="1">
      <c r="B23" s="14"/>
      <c r="C23" s="15"/>
      <c r="D23" s="15"/>
      <c r="E23" s="16">
        <v>613700</v>
      </c>
      <c r="F23" s="15" t="s">
        <v>10</v>
      </c>
      <c r="G23" s="50">
        <v>500</v>
      </c>
      <c r="H23" s="50"/>
      <c r="I23" s="88">
        <f t="shared" si="0"/>
        <v>0</v>
      </c>
    </row>
    <row r="24" spans="2:9" ht="12.75" customHeight="1">
      <c r="B24" s="14"/>
      <c r="C24" s="15"/>
      <c r="D24" s="15"/>
      <c r="E24" s="16">
        <v>613800</v>
      </c>
      <c r="F24" s="15" t="s">
        <v>86</v>
      </c>
      <c r="G24" s="50">
        <v>0</v>
      </c>
      <c r="H24" s="50"/>
      <c r="I24" s="88">
        <f t="shared" si="0"/>
      </c>
    </row>
    <row r="25" spans="2:9" ht="12.75" customHeight="1">
      <c r="B25" s="14"/>
      <c r="C25" s="15"/>
      <c r="D25" s="15"/>
      <c r="E25" s="16">
        <v>613900</v>
      </c>
      <c r="F25" s="15" t="s">
        <v>87</v>
      </c>
      <c r="G25" s="50">
        <v>17300</v>
      </c>
      <c r="H25" s="50"/>
      <c r="I25" s="88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32" t="s">
        <v>150</v>
      </c>
      <c r="G26" s="50">
        <v>0</v>
      </c>
      <c r="H26" s="50"/>
      <c r="I26" s="88">
        <f t="shared" si="0"/>
      </c>
    </row>
    <row r="27" spans="2:9" ht="12.75" customHeight="1">
      <c r="B27" s="17"/>
      <c r="C27" s="12"/>
      <c r="D27" s="12"/>
      <c r="E27" s="9"/>
      <c r="F27" s="12"/>
      <c r="G27" s="61"/>
      <c r="H27" s="61"/>
      <c r="I27" s="88">
        <f t="shared" si="0"/>
      </c>
    </row>
    <row r="28" spans="2:9" s="1" customFormat="1" ht="12.75" customHeight="1">
      <c r="B28" s="14"/>
      <c r="C28" s="15"/>
      <c r="D28" s="29"/>
      <c r="E28" s="16"/>
      <c r="F28" s="28"/>
      <c r="G28" s="50"/>
      <c r="H28" s="50"/>
      <c r="I28" s="88">
        <f t="shared" si="0"/>
      </c>
    </row>
    <row r="29" spans="2:9" ht="12.75" customHeight="1">
      <c r="B29" s="14"/>
      <c r="C29" s="15"/>
      <c r="D29" s="15"/>
      <c r="E29" s="40"/>
      <c r="F29" s="28"/>
      <c r="G29" s="50"/>
      <c r="H29" s="50"/>
      <c r="I29" s="88">
        <f t="shared" si="0"/>
      </c>
    </row>
    <row r="30" spans="2:9" ht="12.75" customHeight="1">
      <c r="B30" s="14"/>
      <c r="C30" s="15"/>
      <c r="D30" s="15"/>
      <c r="E30" s="16"/>
      <c r="F30" s="15"/>
      <c r="G30" s="50"/>
      <c r="H30" s="50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50"/>
      <c r="H31" s="50"/>
      <c r="I31" s="88">
        <f t="shared" si="0"/>
      </c>
    </row>
    <row r="32" spans="2:9" ht="12.75" customHeight="1">
      <c r="B32" s="14"/>
      <c r="C32" s="15"/>
      <c r="D32" s="15"/>
      <c r="E32" s="9"/>
      <c r="F32" s="12"/>
      <c r="G32" s="50"/>
      <c r="H32" s="50"/>
      <c r="I32" s="88">
        <f t="shared" si="0"/>
      </c>
    </row>
    <row r="33" spans="2:9" ht="12.75" customHeight="1">
      <c r="B33" s="14"/>
      <c r="C33" s="15"/>
      <c r="D33" s="15"/>
      <c r="E33" s="16"/>
      <c r="F33" s="26"/>
      <c r="G33" s="50"/>
      <c r="H33" s="50"/>
      <c r="I33" s="88">
        <f t="shared" si="0"/>
      </c>
    </row>
    <row r="34" spans="2:9" ht="12.75" customHeight="1">
      <c r="B34" s="14"/>
      <c r="C34" s="15"/>
      <c r="D34" s="15"/>
      <c r="E34" s="16"/>
      <c r="F34" s="15"/>
      <c r="G34" s="50"/>
      <c r="H34" s="50"/>
      <c r="I34" s="88">
        <f t="shared" si="0"/>
      </c>
    </row>
    <row r="35" spans="2:9" ht="12.75" customHeight="1">
      <c r="B35" s="17"/>
      <c r="C35" s="12"/>
      <c r="D35" s="12"/>
      <c r="E35" s="9">
        <v>821000</v>
      </c>
      <c r="F35" s="12" t="s">
        <v>13</v>
      </c>
      <c r="G35" s="61">
        <f>SUM(G36:G37)</f>
        <v>7000</v>
      </c>
      <c r="H35" s="61">
        <f>SUM(H36:H37)</f>
        <v>0</v>
      </c>
      <c r="I35" s="87">
        <f t="shared" si="0"/>
        <v>0</v>
      </c>
    </row>
    <row r="36" spans="2:9" s="1" customFormat="1" ht="12.75" customHeight="1">
      <c r="B36" s="14"/>
      <c r="C36" s="15"/>
      <c r="D36" s="15"/>
      <c r="E36" s="16">
        <v>821200</v>
      </c>
      <c r="F36" s="15" t="s">
        <v>14</v>
      </c>
      <c r="G36" s="50">
        <v>7000</v>
      </c>
      <c r="H36" s="50"/>
      <c r="I36" s="88">
        <f t="shared" si="0"/>
        <v>0</v>
      </c>
    </row>
    <row r="37" spans="2:9" ht="12.75" customHeight="1">
      <c r="B37" s="14"/>
      <c r="C37" s="15"/>
      <c r="D37" s="15"/>
      <c r="E37" s="16">
        <v>821300</v>
      </c>
      <c r="F37" s="15" t="s">
        <v>15</v>
      </c>
      <c r="G37" s="50">
        <v>0</v>
      </c>
      <c r="H37" s="50"/>
      <c r="I37" s="88">
        <f t="shared" si="0"/>
      </c>
    </row>
    <row r="38" spans="2:9" ht="12.75" customHeight="1">
      <c r="B38" s="14"/>
      <c r="C38" s="15"/>
      <c r="D38" s="15"/>
      <c r="E38" s="16"/>
      <c r="F38" s="26"/>
      <c r="G38" s="50"/>
      <c r="H38" s="50"/>
      <c r="I38" s="88">
        <f t="shared" si="0"/>
      </c>
    </row>
    <row r="39" spans="2:9" ht="12.75" customHeight="1">
      <c r="B39" s="14"/>
      <c r="C39" s="15"/>
      <c r="D39" s="15"/>
      <c r="E39" s="16"/>
      <c r="F39" s="15"/>
      <c r="G39" s="50"/>
      <c r="H39" s="50"/>
      <c r="I39" s="88">
        <f t="shared" si="0"/>
      </c>
    </row>
    <row r="40" spans="2:9" ht="12.75" customHeight="1">
      <c r="B40" s="17"/>
      <c r="C40" s="12"/>
      <c r="D40" s="12"/>
      <c r="E40" s="9"/>
      <c r="F40" s="12" t="s">
        <v>16</v>
      </c>
      <c r="G40" s="61">
        <v>4</v>
      </c>
      <c r="H40" s="61"/>
      <c r="I40" s="88"/>
    </row>
    <row r="41" spans="2:9" s="1" customFormat="1" ht="12.75" customHeight="1">
      <c r="B41" s="17"/>
      <c r="C41" s="12"/>
      <c r="D41" s="12"/>
      <c r="E41" s="9"/>
      <c r="F41" s="12" t="s">
        <v>32</v>
      </c>
      <c r="G41" s="20">
        <f>G7+G12+G16+G35</f>
        <v>142670</v>
      </c>
      <c r="H41" s="20">
        <f>H7+H12+H16+H35</f>
        <v>0</v>
      </c>
      <c r="I41" s="87">
        <f t="shared" si="0"/>
        <v>0</v>
      </c>
    </row>
    <row r="42" spans="2:9" s="1" customFormat="1" ht="12.75" customHeight="1">
      <c r="B42" s="17"/>
      <c r="C42" s="12"/>
      <c r="D42" s="12"/>
      <c r="E42" s="9"/>
      <c r="F42" s="12" t="s">
        <v>17</v>
      </c>
      <c r="G42" s="20">
        <f>G41</f>
        <v>142670</v>
      </c>
      <c r="H42" s="20">
        <f>H41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18</v>
      </c>
      <c r="G43" s="20">
        <f>G42</f>
        <v>142670</v>
      </c>
      <c r="H43" s="20">
        <f>H42</f>
        <v>0</v>
      </c>
      <c r="I43" s="87">
        <f t="shared" si="0"/>
        <v>0</v>
      </c>
    </row>
    <row r="44" spans="2:9" s="1" customFormat="1" ht="12.75" customHeight="1" thickBot="1">
      <c r="B44" s="21"/>
      <c r="C44" s="22"/>
      <c r="D44" s="22"/>
      <c r="E44" s="23"/>
      <c r="F44" s="22"/>
      <c r="G44" s="34"/>
      <c r="H44" s="34"/>
      <c r="I44" s="91"/>
    </row>
    <row r="45" ht="12.75" customHeight="1"/>
    <row r="46" ht="12.75">
      <c r="B46" s="49"/>
    </row>
    <row r="47" ht="12.75">
      <c r="B47" s="49"/>
    </row>
    <row r="48" ht="12.75">
      <c r="B48" s="49"/>
    </row>
    <row r="49" ht="12.75">
      <c r="B49" s="49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&amp;R39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B2:K54"/>
  <sheetViews>
    <sheetView workbookViewId="0" topLeftCell="A10">
      <selection activeCell="J12" sqref="J1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9" s="65" customFormat="1" ht="15" customHeight="1">
      <c r="B2" s="144" t="s">
        <v>73</v>
      </c>
      <c r="C2" s="144"/>
      <c r="D2" s="144"/>
      <c r="E2" s="144"/>
      <c r="F2" s="144"/>
      <c r="G2" s="144"/>
      <c r="H2" s="144"/>
      <c r="I2" s="8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74</v>
      </c>
      <c r="C6" s="11" t="s">
        <v>4</v>
      </c>
      <c r="D6" s="11" t="s">
        <v>5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201890</v>
      </c>
      <c r="H7" s="134">
        <f>SUM(H8:H11)</f>
        <v>0</v>
      </c>
      <c r="I7" s="87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3">
        <f>142100+11300+7070+570</f>
        <v>161040</v>
      </c>
      <c r="H8" s="133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3">
        <f>37400+3450</f>
        <v>40850</v>
      </c>
      <c r="H9" s="133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3"/>
      <c r="H11" s="133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17890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3">
        <f>15800+1260+760+70</f>
        <v>17890</v>
      </c>
      <c r="H14" s="133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2"/>
      <c r="H15" s="32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35"/>
      <c r="H16" s="35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53100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2">
        <v>1500</v>
      </c>
      <c r="H18" s="32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2">
        <v>8000</v>
      </c>
      <c r="H19" s="32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50">
        <v>3500</v>
      </c>
      <c r="H20" s="50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50">
        <v>1200</v>
      </c>
      <c r="H21" s="50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0">
        <v>1000</v>
      </c>
      <c r="H22" s="50"/>
      <c r="I22" s="88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50">
        <v>0</v>
      </c>
      <c r="H23" s="50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0">
        <v>2500</v>
      </c>
      <c r="H24" s="50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50">
        <v>400</v>
      </c>
      <c r="H25" s="50"/>
      <c r="I25" s="88">
        <f t="shared" si="0"/>
        <v>0</v>
      </c>
    </row>
    <row r="26" spans="2:10" ht="12.75" customHeight="1">
      <c r="B26" s="14"/>
      <c r="C26" s="15"/>
      <c r="D26" s="15"/>
      <c r="E26" s="16">
        <v>613900</v>
      </c>
      <c r="F26" s="15" t="s">
        <v>87</v>
      </c>
      <c r="G26" s="50">
        <v>35000</v>
      </c>
      <c r="H26" s="50"/>
      <c r="I26" s="88">
        <f t="shared" si="0"/>
        <v>0</v>
      </c>
      <c r="J26" s="49"/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50">
        <v>0</v>
      </c>
      <c r="H27" s="50"/>
      <c r="I27" s="88">
        <f t="shared" si="0"/>
      </c>
    </row>
    <row r="28" spans="2:9" ht="12.75" customHeight="1">
      <c r="B28" s="14"/>
      <c r="C28" s="15"/>
      <c r="D28" s="15"/>
      <c r="E28" s="16"/>
      <c r="F28" s="15"/>
      <c r="G28" s="61"/>
      <c r="H28" s="61"/>
      <c r="I28" s="88">
        <f t="shared" si="0"/>
      </c>
    </row>
    <row r="29" spans="2:9" s="1" customFormat="1" ht="12.75" customHeight="1">
      <c r="B29" s="17"/>
      <c r="C29" s="12"/>
      <c r="D29" s="12"/>
      <c r="E29" s="9">
        <v>614000</v>
      </c>
      <c r="F29" s="12" t="s">
        <v>112</v>
      </c>
      <c r="G29" s="61">
        <f>G30</f>
        <v>30000</v>
      </c>
      <c r="H29" s="61">
        <f>H30</f>
        <v>0</v>
      </c>
      <c r="I29" s="87">
        <f t="shared" si="0"/>
        <v>0</v>
      </c>
    </row>
    <row r="30" spans="2:9" ht="12.75" customHeight="1">
      <c r="B30" s="14"/>
      <c r="C30" s="15"/>
      <c r="D30" s="15"/>
      <c r="E30" s="16">
        <v>614200</v>
      </c>
      <c r="F30" s="26" t="s">
        <v>35</v>
      </c>
      <c r="G30" s="50">
        <v>30000</v>
      </c>
      <c r="H30" s="50"/>
      <c r="I30" s="88">
        <f t="shared" si="0"/>
        <v>0</v>
      </c>
    </row>
    <row r="31" spans="2:9" ht="12.75" customHeight="1">
      <c r="B31" s="14"/>
      <c r="C31" s="15"/>
      <c r="D31" s="15"/>
      <c r="E31" s="9"/>
      <c r="F31" s="12"/>
      <c r="G31" s="50"/>
      <c r="H31" s="50"/>
      <c r="I31" s="88">
        <f t="shared" si="0"/>
      </c>
    </row>
    <row r="32" spans="2:9" ht="12.75" customHeight="1">
      <c r="B32" s="14"/>
      <c r="C32" s="15"/>
      <c r="D32" s="15"/>
      <c r="E32" s="16"/>
      <c r="F32" s="26"/>
      <c r="G32" s="50"/>
      <c r="H32" s="50"/>
      <c r="I32" s="88">
        <f t="shared" si="0"/>
      </c>
    </row>
    <row r="33" spans="2:9" ht="12.75" customHeight="1">
      <c r="B33" s="14"/>
      <c r="C33" s="15"/>
      <c r="D33" s="15"/>
      <c r="E33" s="16"/>
      <c r="F33" s="15"/>
      <c r="G33" s="50"/>
      <c r="H33" s="50"/>
      <c r="I33" s="88">
        <f t="shared" si="0"/>
      </c>
    </row>
    <row r="34" spans="2:9" ht="12.75" customHeight="1">
      <c r="B34" s="17"/>
      <c r="C34" s="12"/>
      <c r="D34" s="12"/>
      <c r="E34" s="9">
        <v>821000</v>
      </c>
      <c r="F34" s="12" t="s">
        <v>13</v>
      </c>
      <c r="G34" s="61">
        <f>SUM(G35:G37)</f>
        <v>2000</v>
      </c>
      <c r="H34" s="61">
        <f>SUM(H35:H37)</f>
        <v>0</v>
      </c>
      <c r="I34" s="87">
        <f t="shared" si="0"/>
        <v>0</v>
      </c>
    </row>
    <row r="35" spans="2:9" ht="12.75" customHeight="1">
      <c r="B35" s="14"/>
      <c r="C35" s="15"/>
      <c r="D35" s="15"/>
      <c r="E35" s="16">
        <v>821200</v>
      </c>
      <c r="F35" s="15" t="s">
        <v>14</v>
      </c>
      <c r="G35" s="69">
        <v>0</v>
      </c>
      <c r="H35" s="69"/>
      <c r="I35" s="88">
        <f t="shared" si="0"/>
      </c>
    </row>
    <row r="36" spans="2:9" s="1" customFormat="1" ht="12.75" customHeight="1">
      <c r="B36" s="14"/>
      <c r="C36" s="15"/>
      <c r="D36" s="15"/>
      <c r="E36" s="16">
        <v>821300</v>
      </c>
      <c r="F36" s="15" t="s">
        <v>15</v>
      </c>
      <c r="G36" s="50">
        <v>2000</v>
      </c>
      <c r="H36" s="50"/>
      <c r="I36" s="88">
        <f t="shared" si="0"/>
        <v>0</v>
      </c>
    </row>
    <row r="37" spans="2:9" ht="12.75" customHeight="1">
      <c r="B37" s="14"/>
      <c r="C37" s="15"/>
      <c r="D37" s="15"/>
      <c r="E37" s="16"/>
      <c r="F37" s="26"/>
      <c r="G37" s="50"/>
      <c r="H37" s="50"/>
      <c r="I37" s="88">
        <f t="shared" si="0"/>
      </c>
    </row>
    <row r="38" spans="2:9" ht="12.75" customHeight="1">
      <c r="B38" s="14"/>
      <c r="C38" s="15"/>
      <c r="D38" s="15"/>
      <c r="E38" s="16"/>
      <c r="F38" s="15"/>
      <c r="G38" s="32"/>
      <c r="H38" s="32"/>
      <c r="I38" s="88">
        <f t="shared" si="0"/>
      </c>
    </row>
    <row r="39" spans="2:9" ht="12.75" customHeight="1">
      <c r="B39" s="17"/>
      <c r="C39" s="12"/>
      <c r="D39" s="12"/>
      <c r="E39" s="9"/>
      <c r="F39" s="12" t="s">
        <v>16</v>
      </c>
      <c r="G39" s="20">
        <v>11</v>
      </c>
      <c r="H39" s="20"/>
      <c r="I39" s="88"/>
    </row>
    <row r="40" spans="2:9" ht="12.75" customHeight="1">
      <c r="B40" s="17"/>
      <c r="C40" s="12"/>
      <c r="D40" s="12"/>
      <c r="E40" s="9"/>
      <c r="F40" s="12" t="s">
        <v>32</v>
      </c>
      <c r="G40" s="20">
        <f>G7+G13+G17+G29+G34</f>
        <v>304880</v>
      </c>
      <c r="H40" s="20">
        <f>H7+H13+H17+H29+H34</f>
        <v>0</v>
      </c>
      <c r="I40" s="87">
        <f t="shared" si="0"/>
        <v>0</v>
      </c>
    </row>
    <row r="41" spans="2:9" s="1" customFormat="1" ht="12.75" customHeight="1">
      <c r="B41" s="17"/>
      <c r="C41" s="12"/>
      <c r="D41" s="12"/>
      <c r="E41" s="9"/>
      <c r="F41" s="12" t="s">
        <v>17</v>
      </c>
      <c r="G41" s="20">
        <f>G40</f>
        <v>304880</v>
      </c>
      <c r="H41" s="20">
        <f>H40</f>
        <v>0</v>
      </c>
      <c r="I41" s="87">
        <f t="shared" si="0"/>
        <v>0</v>
      </c>
    </row>
    <row r="42" spans="2:9" s="1" customFormat="1" ht="12.75" customHeight="1">
      <c r="B42" s="17"/>
      <c r="C42" s="12"/>
      <c r="D42" s="12"/>
      <c r="E42" s="9"/>
      <c r="F42" s="12" t="s">
        <v>18</v>
      </c>
      <c r="G42" s="20">
        <f>G41</f>
        <v>304880</v>
      </c>
      <c r="H42" s="20">
        <f>H41</f>
        <v>0</v>
      </c>
      <c r="I42" s="87">
        <f t="shared" si="0"/>
        <v>0</v>
      </c>
    </row>
    <row r="43" spans="2:9" s="1" customFormat="1" ht="12.75" customHeight="1" thickBot="1">
      <c r="B43" s="21"/>
      <c r="C43" s="22"/>
      <c r="D43" s="22"/>
      <c r="E43" s="23"/>
      <c r="F43" s="22"/>
      <c r="G43" s="105"/>
      <c r="H43" s="105"/>
      <c r="I43" s="104"/>
    </row>
    <row r="44" spans="2:9" s="1" customFormat="1" ht="12.75" customHeight="1">
      <c r="B44" s="13"/>
      <c r="C44" s="13"/>
      <c r="D44" s="13"/>
      <c r="E44" s="24"/>
      <c r="F44" s="13"/>
      <c r="G44" s="51"/>
      <c r="H44" s="51"/>
      <c r="I44" s="83"/>
    </row>
    <row r="45" ht="12.75" customHeight="1">
      <c r="B45" s="49"/>
    </row>
    <row r="46" ht="12.75">
      <c r="B46" s="49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  <row r="53" ht="12.75">
      <c r="B53" s="49"/>
    </row>
    <row r="54" ht="12.75">
      <c r="B54" s="49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&amp;R40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>
  <sheetPr codeName="Sheet39"/>
  <dimension ref="B2:K52"/>
  <sheetViews>
    <sheetView workbookViewId="0" topLeftCell="A4">
      <selection activeCell="G30" sqref="G30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0039062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9" s="65" customFormat="1" ht="15" customHeight="1">
      <c r="B2" s="144" t="s">
        <v>75</v>
      </c>
      <c r="C2" s="144"/>
      <c r="D2" s="144"/>
      <c r="E2" s="144"/>
      <c r="F2" s="144"/>
      <c r="G2" s="144"/>
      <c r="H2" s="127"/>
      <c r="I2" s="128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76</v>
      </c>
      <c r="C6" s="11" t="s">
        <v>4</v>
      </c>
      <c r="D6" s="11" t="s">
        <v>5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509050</v>
      </c>
      <c r="H7" s="134">
        <f>SUM(H8:H11)</f>
        <v>0</v>
      </c>
      <c r="I7" s="87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421700+7450</f>
        <v>429150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74000+5900</f>
        <v>79900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46620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45800+820</f>
        <v>46620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124000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4000</v>
      </c>
      <c r="H18" s="33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31000</v>
      </c>
      <c r="H19" s="33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3">
        <v>17000</v>
      </c>
      <c r="H20" s="33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3">
        <v>7500</v>
      </c>
      <c r="H21" s="33"/>
      <c r="I21" s="88">
        <f t="shared" si="0"/>
        <v>0</v>
      </c>
    </row>
    <row r="22" spans="2:10" ht="12.75" customHeight="1">
      <c r="B22" s="14"/>
      <c r="C22" s="15"/>
      <c r="D22" s="15"/>
      <c r="E22" s="16">
        <v>613500</v>
      </c>
      <c r="F22" s="15" t="s">
        <v>9</v>
      </c>
      <c r="G22" s="69">
        <v>4600</v>
      </c>
      <c r="H22" s="69"/>
      <c r="I22" s="88">
        <f t="shared" si="0"/>
        <v>0</v>
      </c>
      <c r="J22" s="49"/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3">
        <v>0</v>
      </c>
      <c r="H23" s="33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69">
        <v>7000</v>
      </c>
      <c r="H24" s="69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69">
        <v>900</v>
      </c>
      <c r="H25" s="69"/>
      <c r="I25" s="88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69">
        <v>52000</v>
      </c>
      <c r="H26" s="69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69">
        <v>0</v>
      </c>
      <c r="H27" s="69"/>
      <c r="I27" s="88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69"/>
      <c r="H28" s="69"/>
      <c r="I28" s="88">
        <f t="shared" si="0"/>
      </c>
    </row>
    <row r="29" spans="2:9" ht="12.75" customHeight="1">
      <c r="B29" s="14"/>
      <c r="C29" s="15"/>
      <c r="D29" s="29"/>
      <c r="E29" s="16"/>
      <c r="F29" s="28"/>
      <c r="G29" s="69"/>
      <c r="H29" s="69"/>
      <c r="I29" s="88">
        <f t="shared" si="0"/>
      </c>
    </row>
    <row r="30" spans="2:9" ht="12.75" customHeight="1">
      <c r="B30" s="14"/>
      <c r="C30" s="15"/>
      <c r="D30" s="15"/>
      <c r="E30" s="40"/>
      <c r="F30" s="28"/>
      <c r="G30" s="69"/>
      <c r="H30" s="69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69"/>
      <c r="H31" s="69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69"/>
      <c r="H32" s="69"/>
      <c r="I32" s="88">
        <f t="shared" si="0"/>
      </c>
    </row>
    <row r="33" spans="2:9" ht="12.75" customHeight="1">
      <c r="B33" s="14"/>
      <c r="C33" s="15"/>
      <c r="D33" s="15"/>
      <c r="E33" s="9"/>
      <c r="F33" s="12"/>
      <c r="G33" s="69"/>
      <c r="H33" s="69"/>
      <c r="I33" s="88">
        <f t="shared" si="0"/>
      </c>
    </row>
    <row r="34" spans="2:9" ht="12.75" customHeight="1">
      <c r="B34" s="14"/>
      <c r="C34" s="15"/>
      <c r="D34" s="15"/>
      <c r="E34" s="16"/>
      <c r="F34" s="26"/>
      <c r="G34" s="69"/>
      <c r="H34" s="69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SUM(G37:G39)</f>
        <v>3000</v>
      </c>
      <c r="H36" s="61">
        <f>SUM(H37:H39)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69">
        <v>0</v>
      </c>
      <c r="H37" s="69"/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69">
        <v>3000</v>
      </c>
      <c r="H38" s="69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69"/>
      <c r="H39" s="69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16</v>
      </c>
      <c r="H41" s="20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682670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682670</v>
      </c>
      <c r="H43" s="20">
        <f>H42</f>
        <v>0</v>
      </c>
      <c r="I43" s="8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682670</v>
      </c>
      <c r="H44" s="20">
        <f>H43</f>
        <v>0</v>
      </c>
      <c r="I44" s="87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&amp;R41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>
  <sheetPr codeName="Sheet40"/>
  <dimension ref="B2:K48"/>
  <sheetViews>
    <sheetView workbookViewId="0" topLeftCell="A4">
      <selection activeCell="G28" sqref="G28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14062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9" s="65" customFormat="1" ht="15" customHeight="1">
      <c r="B2" s="144" t="s">
        <v>128</v>
      </c>
      <c r="C2" s="144"/>
      <c r="D2" s="144"/>
      <c r="E2" s="144"/>
      <c r="F2" s="144"/>
      <c r="G2" s="144"/>
      <c r="H2" s="144"/>
      <c r="I2" s="8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77</v>
      </c>
      <c r="C6" s="11" t="s">
        <v>4</v>
      </c>
      <c r="D6" s="11" t="s">
        <v>5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69450</v>
      </c>
      <c r="H7" s="134">
        <f>SUM(H8:H11)</f>
        <v>0</v>
      </c>
      <c r="I7" s="87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3">
        <f>54900+2600</f>
        <v>57500</v>
      </c>
      <c r="H8" s="133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3">
        <v>9600</v>
      </c>
      <c r="H9" s="133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2350</v>
      </c>
      <c r="H10" s="133"/>
      <c r="I10" s="88">
        <f t="shared" si="0"/>
        <v>0</v>
      </c>
      <c r="K10" s="52"/>
    </row>
    <row r="11" spans="2:9" ht="12.75" customHeight="1">
      <c r="B11" s="14"/>
      <c r="C11" s="15"/>
      <c r="D11" s="15"/>
      <c r="E11" s="16"/>
      <c r="F11" s="26"/>
      <c r="G11" s="133"/>
      <c r="H11" s="133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6880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3">
        <f>6600+280</f>
        <v>6880</v>
      </c>
      <c r="H14" s="133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2"/>
      <c r="H15" s="32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35"/>
      <c r="H16" s="35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12900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2">
        <v>1000</v>
      </c>
      <c r="H18" s="32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2">
        <v>0</v>
      </c>
      <c r="H19" s="32"/>
      <c r="I19" s="88">
        <f t="shared" si="0"/>
      </c>
    </row>
    <row r="20" spans="2:10" ht="12.75" customHeight="1">
      <c r="B20" s="14"/>
      <c r="C20" s="15"/>
      <c r="D20" s="15"/>
      <c r="E20" s="16">
        <v>613300</v>
      </c>
      <c r="F20" s="26" t="s">
        <v>110</v>
      </c>
      <c r="G20" s="50">
        <v>3200</v>
      </c>
      <c r="H20" s="50"/>
      <c r="I20" s="88">
        <f t="shared" si="0"/>
        <v>0</v>
      </c>
      <c r="J20" s="49"/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2">
        <v>1200</v>
      </c>
      <c r="H21" s="32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2">
        <v>0</v>
      </c>
      <c r="H22" s="32"/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2">
        <v>0</v>
      </c>
      <c r="H23" s="32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0">
        <v>500</v>
      </c>
      <c r="H24" s="50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50">
        <v>0</v>
      </c>
      <c r="H25" s="50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50">
        <v>3600</v>
      </c>
      <c r="H26" s="50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69">
        <v>3400</v>
      </c>
      <c r="H27" s="69"/>
      <c r="I27" s="88">
        <f t="shared" si="0"/>
        <v>0</v>
      </c>
    </row>
    <row r="28" spans="2:9" s="1" customFormat="1" ht="12.75" customHeight="1">
      <c r="B28" s="17"/>
      <c r="C28" s="12"/>
      <c r="D28" s="12"/>
      <c r="E28" s="9"/>
      <c r="F28" s="12"/>
      <c r="G28" s="50"/>
      <c r="H28" s="50"/>
      <c r="I28" s="88">
        <f t="shared" si="0"/>
      </c>
    </row>
    <row r="29" spans="2:9" ht="12.75" customHeight="1">
      <c r="B29" s="14"/>
      <c r="C29" s="15"/>
      <c r="D29" s="29"/>
      <c r="E29" s="16"/>
      <c r="F29" s="28"/>
      <c r="G29" s="50"/>
      <c r="H29" s="50"/>
      <c r="I29" s="88">
        <f t="shared" si="0"/>
      </c>
    </row>
    <row r="30" spans="2:9" ht="12.75" customHeight="1">
      <c r="B30" s="14"/>
      <c r="C30" s="15"/>
      <c r="D30" s="15"/>
      <c r="E30" s="40"/>
      <c r="F30" s="28"/>
      <c r="G30" s="50"/>
      <c r="H30" s="50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50"/>
      <c r="H31" s="50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50"/>
      <c r="H32" s="50"/>
      <c r="I32" s="88">
        <f t="shared" si="0"/>
      </c>
    </row>
    <row r="33" spans="2:9" ht="12.75" customHeight="1">
      <c r="B33" s="14"/>
      <c r="C33" s="15"/>
      <c r="D33" s="15"/>
      <c r="E33" s="9"/>
      <c r="F33" s="12"/>
      <c r="G33" s="50"/>
      <c r="H33" s="50"/>
      <c r="I33" s="88">
        <f t="shared" si="0"/>
      </c>
    </row>
    <row r="34" spans="2:9" ht="12.75" customHeight="1">
      <c r="B34" s="14"/>
      <c r="C34" s="15"/>
      <c r="D34" s="15"/>
      <c r="E34" s="16"/>
      <c r="F34" s="26"/>
      <c r="G34" s="50"/>
      <c r="H34" s="50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G37+G38</f>
        <v>1000</v>
      </c>
      <c r="H36" s="61">
        <f>H37+H38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0">
        <v>0</v>
      </c>
      <c r="H37" s="50"/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0">
        <v>1000</v>
      </c>
      <c r="H38" s="50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50"/>
      <c r="H39" s="50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3</v>
      </c>
      <c r="H41" s="20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90230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90230</v>
      </c>
      <c r="H43" s="20">
        <f>H42</f>
        <v>0</v>
      </c>
      <c r="I43" s="8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90230</v>
      </c>
      <c r="H44" s="20">
        <f>H43</f>
        <v>0</v>
      </c>
      <c r="I44" s="87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1"/>
    </row>
    <row r="47" ht="12.75">
      <c r="B47" s="49"/>
    </row>
    <row r="48" ht="12.75">
      <c r="B48" s="49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&amp;R42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>
  <sheetPr codeName="Sheet41"/>
  <dimension ref="B2:K49"/>
  <sheetViews>
    <sheetView workbookViewId="0" topLeftCell="A10">
      <selection activeCell="G28" sqref="G28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1.2812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7" ht="15" customHeight="1">
      <c r="B2" s="142" t="s">
        <v>79</v>
      </c>
      <c r="C2" s="142"/>
      <c r="D2" s="142"/>
      <c r="E2" s="142"/>
      <c r="F2" s="142"/>
      <c r="G2" s="14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78</v>
      </c>
      <c r="C6" s="11" t="s">
        <v>4</v>
      </c>
      <c r="D6" s="11" t="s">
        <v>5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461490</v>
      </c>
      <c r="H7" s="134">
        <f>SUM(H8:H11)</f>
        <v>0</v>
      </c>
      <c r="I7" s="87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389100+5090</f>
        <v>394190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59900</f>
        <v>59900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7400</v>
      </c>
      <c r="H10" s="133"/>
      <c r="I10" s="88">
        <f t="shared" si="0"/>
        <v>0</v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11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  <c r="K12" s="49"/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43360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42800+560</f>
        <v>43360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102200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3000</v>
      </c>
      <c r="H18" s="33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4500</v>
      </c>
      <c r="H19" s="33"/>
      <c r="I19" s="88">
        <f t="shared" si="0"/>
        <v>0</v>
      </c>
    </row>
    <row r="20" spans="2:10" ht="12.75" customHeight="1">
      <c r="B20" s="14"/>
      <c r="C20" s="15"/>
      <c r="D20" s="15"/>
      <c r="E20" s="16">
        <v>613300</v>
      </c>
      <c r="F20" s="26" t="s">
        <v>110</v>
      </c>
      <c r="G20" s="69">
        <v>14000</v>
      </c>
      <c r="H20" s="69"/>
      <c r="I20" s="88">
        <f t="shared" si="0"/>
        <v>0</v>
      </c>
      <c r="J20" s="49"/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3">
        <v>9000</v>
      </c>
      <c r="H21" s="33"/>
      <c r="I21" s="88">
        <f t="shared" si="0"/>
        <v>0</v>
      </c>
    </row>
    <row r="22" spans="2:10" ht="12.75" customHeight="1">
      <c r="B22" s="14"/>
      <c r="C22" s="15"/>
      <c r="D22" s="15"/>
      <c r="E22" s="16">
        <v>613500</v>
      </c>
      <c r="F22" s="15" t="s">
        <v>9</v>
      </c>
      <c r="G22" s="69">
        <v>2500</v>
      </c>
      <c r="H22" s="69"/>
      <c r="I22" s="88">
        <f t="shared" si="0"/>
        <v>0</v>
      </c>
      <c r="J22" s="49"/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3">
        <v>0</v>
      </c>
      <c r="H23" s="33"/>
      <c r="I23" s="88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10</v>
      </c>
      <c r="G24" s="69">
        <v>6300</v>
      </c>
      <c r="H24" s="69"/>
      <c r="I24" s="88">
        <f t="shared" si="0"/>
        <v>0</v>
      </c>
      <c r="J24" s="49"/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69">
        <v>1100</v>
      </c>
      <c r="H25" s="69"/>
      <c r="I25" s="88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69">
        <v>55000</v>
      </c>
      <c r="H26" s="69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69">
        <v>6800</v>
      </c>
      <c r="H27" s="69"/>
      <c r="I27" s="88">
        <f t="shared" si="0"/>
        <v>0</v>
      </c>
    </row>
    <row r="28" spans="2:9" s="1" customFormat="1" ht="12.75" customHeight="1">
      <c r="B28" s="17"/>
      <c r="C28" s="12"/>
      <c r="D28" s="12"/>
      <c r="E28" s="9"/>
      <c r="F28" s="12"/>
      <c r="G28" s="69"/>
      <c r="H28" s="69"/>
      <c r="I28" s="88">
        <f t="shared" si="0"/>
      </c>
    </row>
    <row r="29" spans="2:9" ht="12.75" customHeight="1">
      <c r="B29" s="14"/>
      <c r="C29" s="15"/>
      <c r="D29" s="29"/>
      <c r="E29" s="16"/>
      <c r="F29" s="28"/>
      <c r="G29" s="69"/>
      <c r="H29" s="69"/>
      <c r="I29" s="88">
        <f t="shared" si="0"/>
      </c>
    </row>
    <row r="30" spans="2:9" ht="12.75" customHeight="1">
      <c r="B30" s="14"/>
      <c r="C30" s="15"/>
      <c r="D30" s="15"/>
      <c r="E30" s="40"/>
      <c r="F30" s="28"/>
      <c r="G30" s="69"/>
      <c r="H30" s="69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69"/>
      <c r="H31" s="69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69"/>
      <c r="H32" s="69"/>
      <c r="I32" s="88">
        <f t="shared" si="0"/>
      </c>
    </row>
    <row r="33" spans="2:9" ht="12.75" customHeight="1">
      <c r="B33" s="14"/>
      <c r="C33" s="15"/>
      <c r="D33" s="15"/>
      <c r="E33" s="9"/>
      <c r="F33" s="12"/>
      <c r="G33" s="69"/>
      <c r="H33" s="69"/>
      <c r="I33" s="88">
        <f t="shared" si="0"/>
      </c>
    </row>
    <row r="34" spans="2:9" ht="12.75" customHeight="1">
      <c r="B34" s="14"/>
      <c r="C34" s="15"/>
      <c r="D34" s="15"/>
      <c r="E34" s="16"/>
      <c r="F34" s="26"/>
      <c r="G34" s="69"/>
      <c r="H34" s="69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G37+G38</f>
        <v>5000</v>
      </c>
      <c r="H36" s="61">
        <f>H37+H38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69">
        <v>0</v>
      </c>
      <c r="H37" s="69"/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69">
        <v>5000</v>
      </c>
      <c r="H38" s="69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69"/>
      <c r="H39" s="69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33"/>
      <c r="H40" s="33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1">
        <v>13</v>
      </c>
      <c r="H41" s="61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612050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612050</v>
      </c>
      <c r="H43" s="20">
        <f>H42</f>
        <v>0</v>
      </c>
      <c r="I43" s="8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612050</v>
      </c>
      <c r="H44" s="20">
        <f>H43</f>
        <v>0</v>
      </c>
      <c r="I44" s="87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7" ht="12.75">
      <c r="B47" s="49"/>
    </row>
    <row r="48" ht="12.75">
      <c r="B48" s="49"/>
    </row>
    <row r="49" ht="12.75">
      <c r="B49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&amp;R43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>
  <sheetPr codeName="Sheet44"/>
  <dimension ref="B2:K47"/>
  <sheetViews>
    <sheetView workbookViewId="0" topLeftCell="C1">
      <selection activeCell="L19" sqref="L19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7109375" style="24" customWidth="1"/>
    <col min="6" max="6" width="43.7109375" style="13" customWidth="1"/>
    <col min="7" max="8" width="15.7109375" style="53" customWidth="1"/>
    <col min="9" max="9" width="8.7109375" style="78" customWidth="1"/>
    <col min="10" max="16384" width="9.140625" style="13" customWidth="1"/>
  </cols>
  <sheetData>
    <row r="2" spans="2:7" ht="15" customHeight="1">
      <c r="B2" s="142" t="s">
        <v>102</v>
      </c>
      <c r="C2" s="142"/>
      <c r="D2" s="142"/>
      <c r="E2" s="142"/>
      <c r="F2" s="142"/>
      <c r="G2" s="14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101</v>
      </c>
      <c r="C6" s="11" t="s">
        <v>4</v>
      </c>
      <c r="D6" s="11" t="s">
        <v>5</v>
      </c>
      <c r="E6" s="9"/>
      <c r="F6" s="9"/>
      <c r="G6" s="100"/>
      <c r="H6" s="100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338800</v>
      </c>
      <c r="H7" s="134">
        <f>SUM(H8:H11)</f>
        <v>0</v>
      </c>
      <c r="I7" s="87">
        <f aca="true" t="shared" si="0" ref="I7:I44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6">
        <f>273500+13600</f>
        <v>287100</v>
      </c>
      <c r="H8" s="136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6">
        <f>49400+2300</f>
        <v>51700</v>
      </c>
      <c r="H9" s="136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6"/>
      <c r="H11" s="136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32300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6">
        <f>30900+1400</f>
        <v>32300</v>
      </c>
      <c r="H14" s="136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3"/>
      <c r="H15" s="33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20"/>
      <c r="H16" s="20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29300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3">
        <v>2500</v>
      </c>
      <c r="H18" s="33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3">
        <v>6000</v>
      </c>
      <c r="H19" s="33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3">
        <v>6000</v>
      </c>
      <c r="H20" s="33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3">
        <v>1500</v>
      </c>
      <c r="H21" s="33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3">
        <v>5500</v>
      </c>
      <c r="H22" s="33"/>
      <c r="I22" s="88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69">
        <v>0</v>
      </c>
      <c r="H23" s="69"/>
      <c r="I23" s="88">
        <f t="shared" si="0"/>
      </c>
    </row>
    <row r="24" spans="2:10" ht="12.75" customHeight="1">
      <c r="B24" s="14"/>
      <c r="C24" s="15"/>
      <c r="D24" s="15"/>
      <c r="E24" s="16">
        <v>613700</v>
      </c>
      <c r="F24" s="15" t="s">
        <v>10</v>
      </c>
      <c r="G24" s="69">
        <v>2000</v>
      </c>
      <c r="H24" s="69"/>
      <c r="I24" s="88">
        <f t="shared" si="0"/>
        <v>0</v>
      </c>
      <c r="J24" s="49"/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69">
        <v>950</v>
      </c>
      <c r="H25" s="69"/>
      <c r="I25" s="88">
        <f t="shared" si="0"/>
        <v>0</v>
      </c>
    </row>
    <row r="26" spans="2:10" ht="12.75" customHeight="1">
      <c r="B26" s="14"/>
      <c r="C26" s="15"/>
      <c r="D26" s="15"/>
      <c r="E26" s="16">
        <v>613900</v>
      </c>
      <c r="F26" s="15" t="s">
        <v>87</v>
      </c>
      <c r="G26" s="69">
        <v>4850</v>
      </c>
      <c r="H26" s="69"/>
      <c r="I26" s="88">
        <f t="shared" si="0"/>
        <v>0</v>
      </c>
      <c r="J26" s="49"/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69">
        <v>0</v>
      </c>
      <c r="H27" s="69"/>
      <c r="I27" s="88">
        <f t="shared" si="0"/>
      </c>
    </row>
    <row r="28" spans="2:9" s="1" customFormat="1" ht="12.75" customHeight="1">
      <c r="B28" s="17"/>
      <c r="C28" s="12"/>
      <c r="D28" s="12"/>
      <c r="E28" s="9"/>
      <c r="F28" s="12"/>
      <c r="G28" s="69"/>
      <c r="H28" s="69"/>
      <c r="I28" s="88">
        <f t="shared" si="0"/>
      </c>
    </row>
    <row r="29" spans="2:9" ht="12.75" customHeight="1">
      <c r="B29" s="14"/>
      <c r="C29" s="15"/>
      <c r="D29" s="29"/>
      <c r="E29" s="16"/>
      <c r="F29" s="28"/>
      <c r="G29" s="69"/>
      <c r="H29" s="69"/>
      <c r="I29" s="88">
        <f t="shared" si="0"/>
      </c>
    </row>
    <row r="30" spans="2:9" ht="12.75" customHeight="1">
      <c r="B30" s="14"/>
      <c r="C30" s="15"/>
      <c r="D30" s="15"/>
      <c r="E30" s="40"/>
      <c r="F30" s="28"/>
      <c r="G30" s="69"/>
      <c r="H30" s="69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69"/>
      <c r="H31" s="69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69"/>
      <c r="H32" s="69"/>
      <c r="I32" s="88">
        <f t="shared" si="0"/>
      </c>
    </row>
    <row r="33" spans="2:9" ht="12.75" customHeight="1">
      <c r="B33" s="14"/>
      <c r="C33" s="15"/>
      <c r="D33" s="15"/>
      <c r="E33" s="9"/>
      <c r="F33" s="12"/>
      <c r="G33" s="69"/>
      <c r="H33" s="69"/>
      <c r="I33" s="88">
        <f t="shared" si="0"/>
      </c>
    </row>
    <row r="34" spans="2:9" ht="12.75" customHeight="1">
      <c r="B34" s="14"/>
      <c r="C34" s="15"/>
      <c r="D34" s="15"/>
      <c r="E34" s="16"/>
      <c r="F34" s="26"/>
      <c r="G34" s="69"/>
      <c r="H34" s="69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SUM(G37:G39)</f>
        <v>2000</v>
      </c>
      <c r="H36" s="61">
        <f>SUM(H37:H39)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69">
        <v>0</v>
      </c>
      <c r="H37" s="69"/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69">
        <v>2000</v>
      </c>
      <c r="H38" s="69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26"/>
      <c r="G39" s="69"/>
      <c r="H39" s="69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69"/>
      <c r="H40" s="69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12</v>
      </c>
      <c r="H41" s="20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402400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402400</v>
      </c>
      <c r="H43" s="20">
        <f>H42</f>
        <v>0</v>
      </c>
      <c r="I43" s="8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402400</v>
      </c>
      <c r="H44" s="20">
        <f>H43</f>
        <v>0</v>
      </c>
      <c r="I44" s="87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34"/>
      <c r="H45" s="34"/>
      <c r="I45" s="91"/>
    </row>
    <row r="47" ht="12.75">
      <c r="B47" s="49"/>
    </row>
  </sheetData>
  <sheetProtection/>
  <mergeCells count="2">
    <mergeCell ref="B2:G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&amp;R44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B2:L48"/>
  <sheetViews>
    <sheetView workbookViewId="0" topLeftCell="A13">
      <selection activeCell="J12" sqref="J12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9" s="65" customFormat="1" ht="15" customHeight="1">
      <c r="B2" s="144" t="s">
        <v>43</v>
      </c>
      <c r="C2" s="144"/>
      <c r="D2" s="144"/>
      <c r="E2" s="144"/>
      <c r="F2" s="144"/>
      <c r="G2" s="144"/>
      <c r="H2" s="144"/>
      <c r="I2" s="8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40</v>
      </c>
      <c r="C6" s="11" t="s">
        <v>4</v>
      </c>
      <c r="D6" s="11" t="s">
        <v>38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33080</v>
      </c>
      <c r="H7" s="134">
        <f>SUM(H8:H11)</f>
        <v>0</v>
      </c>
      <c r="I7" s="125">
        <f aca="true" t="shared" si="0" ref="I7:I43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3">
        <f>16700+8800+840+440</f>
        <v>26780</v>
      </c>
      <c r="H8" s="133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3">
        <f>10*21*11+210*4+400+2750</f>
        <v>6300</v>
      </c>
      <c r="H9" s="133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3"/>
      <c r="H11" s="133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12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3110</v>
      </c>
      <c r="H13" s="134">
        <f>H14</f>
        <v>0</v>
      </c>
      <c r="I13" s="88">
        <f t="shared" si="0"/>
        <v>0</v>
      </c>
      <c r="L13" s="56"/>
    </row>
    <row r="14" spans="2:12" ht="12.75" customHeight="1">
      <c r="B14" s="14"/>
      <c r="C14" s="15"/>
      <c r="D14" s="15"/>
      <c r="E14" s="16">
        <v>612100</v>
      </c>
      <c r="F14" s="18" t="s">
        <v>6</v>
      </c>
      <c r="G14" s="133">
        <f>2000+960+100+50</f>
        <v>3110</v>
      </c>
      <c r="H14" s="133"/>
      <c r="I14" s="88">
        <f t="shared" si="0"/>
        <v>0</v>
      </c>
      <c r="L14" s="49"/>
    </row>
    <row r="15" spans="2:9" ht="12.75" customHeight="1">
      <c r="B15" s="14"/>
      <c r="C15" s="15"/>
      <c r="D15" s="15"/>
      <c r="E15" s="16"/>
      <c r="F15" s="15"/>
      <c r="G15" s="32"/>
      <c r="H15" s="32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35"/>
      <c r="H16" s="35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12000</v>
      </c>
      <c r="H17" s="35">
        <f>SUM(H18:H27)</f>
        <v>0</v>
      </c>
      <c r="I17" s="125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2">
        <v>500</v>
      </c>
      <c r="H18" s="32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2">
        <v>0</v>
      </c>
      <c r="H19" s="32"/>
      <c r="I19" s="88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2">
        <v>1100</v>
      </c>
      <c r="H20" s="32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2">
        <v>0</v>
      </c>
      <c r="H21" s="32"/>
      <c r="I21" s="88">
        <f t="shared" si="0"/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2">
        <v>0</v>
      </c>
      <c r="H22" s="32"/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2">
        <v>0</v>
      </c>
      <c r="H23" s="32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2">
        <v>400</v>
      </c>
      <c r="H24" s="32"/>
      <c r="I24" s="88">
        <f t="shared" si="0"/>
        <v>0</v>
      </c>
    </row>
    <row r="25" spans="2:10" ht="12.75" customHeight="1">
      <c r="B25" s="14"/>
      <c r="C25" s="15"/>
      <c r="D25" s="15"/>
      <c r="E25" s="16">
        <v>613800</v>
      </c>
      <c r="F25" s="15" t="s">
        <v>86</v>
      </c>
      <c r="G25" s="32">
        <v>0</v>
      </c>
      <c r="H25" s="32"/>
      <c r="I25" s="88">
        <f t="shared" si="0"/>
      </c>
      <c r="J25" s="49"/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50">
        <v>10000</v>
      </c>
      <c r="H26" s="50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32">
        <v>0</v>
      </c>
      <c r="H27" s="32"/>
      <c r="I27" s="88">
        <f t="shared" si="0"/>
      </c>
    </row>
    <row r="28" spans="2:9" ht="12.75" customHeight="1">
      <c r="B28" s="14"/>
      <c r="C28" s="15"/>
      <c r="D28" s="15"/>
      <c r="E28" s="16"/>
      <c r="F28" s="15"/>
      <c r="G28" s="20"/>
      <c r="H28" s="20"/>
      <c r="I28" s="88">
        <f t="shared" si="0"/>
      </c>
    </row>
    <row r="29" spans="2:9" s="1" customFormat="1" ht="12.75" customHeight="1">
      <c r="B29" s="17"/>
      <c r="C29" s="12"/>
      <c r="D29" s="12"/>
      <c r="E29" s="39">
        <v>614000</v>
      </c>
      <c r="F29" s="12" t="s">
        <v>112</v>
      </c>
      <c r="G29" s="20">
        <f>G30</f>
        <v>15000</v>
      </c>
      <c r="H29" s="20">
        <f>H30</f>
        <v>0</v>
      </c>
      <c r="I29" s="125">
        <f t="shared" si="0"/>
        <v>0</v>
      </c>
    </row>
    <row r="30" spans="2:9" ht="12.75" customHeight="1">
      <c r="B30" s="14"/>
      <c r="C30" s="15"/>
      <c r="D30" s="29"/>
      <c r="E30" s="41">
        <v>614200</v>
      </c>
      <c r="F30" s="38" t="s">
        <v>22</v>
      </c>
      <c r="G30" s="50">
        <v>15000</v>
      </c>
      <c r="H30" s="50"/>
      <c r="I30" s="88">
        <f t="shared" si="0"/>
        <v>0</v>
      </c>
    </row>
    <row r="31" spans="2:9" ht="12.75" customHeight="1">
      <c r="B31" s="14"/>
      <c r="C31" s="15"/>
      <c r="D31" s="15"/>
      <c r="E31" s="40"/>
      <c r="F31" s="15"/>
      <c r="G31" s="32"/>
      <c r="H31" s="32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32"/>
      <c r="H32" s="32"/>
      <c r="I32" s="88">
        <f t="shared" si="0"/>
      </c>
    </row>
    <row r="33" spans="2:9" ht="12.75" customHeight="1">
      <c r="B33" s="14"/>
      <c r="C33" s="15"/>
      <c r="D33" s="15"/>
      <c r="E33" s="16"/>
      <c r="F33" s="15"/>
      <c r="G33" s="32"/>
      <c r="H33" s="32"/>
      <c r="I33" s="88">
        <f t="shared" si="0"/>
      </c>
    </row>
    <row r="34" spans="2:9" ht="12.75" customHeight="1">
      <c r="B34" s="14"/>
      <c r="C34" s="15"/>
      <c r="D34" s="15"/>
      <c r="E34" s="16"/>
      <c r="F34" s="15"/>
      <c r="G34" s="32"/>
      <c r="H34" s="32"/>
      <c r="I34" s="88">
        <f t="shared" si="0"/>
      </c>
    </row>
    <row r="35" spans="2:9" ht="12.75" customHeight="1">
      <c r="B35" s="14"/>
      <c r="C35" s="15"/>
      <c r="D35" s="15"/>
      <c r="E35" s="16"/>
      <c r="F35" s="19"/>
      <c r="G35" s="32"/>
      <c r="H35" s="32"/>
      <c r="I35" s="88">
        <f t="shared" si="0"/>
      </c>
    </row>
    <row r="36" spans="2:9" ht="12.75" customHeight="1">
      <c r="B36" s="14"/>
      <c r="C36" s="15"/>
      <c r="D36" s="15"/>
      <c r="E36" s="16"/>
      <c r="F36" s="15"/>
      <c r="G36" s="20"/>
      <c r="H36" s="20"/>
      <c r="I36" s="88">
        <f t="shared" si="0"/>
      </c>
    </row>
    <row r="37" spans="2:9" s="1" customFormat="1" ht="12.75" customHeight="1">
      <c r="B37" s="17"/>
      <c r="C37" s="12"/>
      <c r="D37" s="12"/>
      <c r="E37" s="9">
        <v>821000</v>
      </c>
      <c r="F37" s="12" t="s">
        <v>13</v>
      </c>
      <c r="G37" s="20">
        <f>SUM(G38:G39)</f>
        <v>1000</v>
      </c>
      <c r="H37" s="20">
        <f>SUM(H38:H39)</f>
        <v>0</v>
      </c>
      <c r="I37" s="88">
        <f t="shared" si="0"/>
        <v>0</v>
      </c>
    </row>
    <row r="38" spans="2:9" ht="12.75" customHeight="1">
      <c r="B38" s="14"/>
      <c r="C38" s="15"/>
      <c r="D38" s="15"/>
      <c r="E38" s="16">
        <v>821200</v>
      </c>
      <c r="F38" s="15" t="s">
        <v>14</v>
      </c>
      <c r="G38" s="50">
        <v>0</v>
      </c>
      <c r="H38" s="50"/>
      <c r="I38" s="88">
        <f t="shared" si="0"/>
      </c>
    </row>
    <row r="39" spans="2:9" ht="12.75" customHeight="1">
      <c r="B39" s="14"/>
      <c r="C39" s="15"/>
      <c r="D39" s="15"/>
      <c r="E39" s="16">
        <v>821300</v>
      </c>
      <c r="F39" s="15" t="s">
        <v>15</v>
      </c>
      <c r="G39" s="32">
        <v>1000</v>
      </c>
      <c r="H39" s="32"/>
      <c r="I39" s="88">
        <f t="shared" si="0"/>
        <v>0</v>
      </c>
    </row>
    <row r="40" spans="2:9" ht="12.75" customHeight="1">
      <c r="B40" s="14"/>
      <c r="C40" s="15"/>
      <c r="D40" s="15"/>
      <c r="E40" s="16"/>
      <c r="F40" s="15"/>
      <c r="G40" s="32"/>
      <c r="H40" s="32"/>
      <c r="I40" s="88">
        <f t="shared" si="0"/>
      </c>
    </row>
    <row r="41" spans="2:9" ht="12.75" customHeight="1">
      <c r="B41" s="14"/>
      <c r="C41" s="15"/>
      <c r="D41" s="15"/>
      <c r="E41" s="16"/>
      <c r="F41" s="15"/>
      <c r="G41" s="20"/>
      <c r="H41" s="20"/>
      <c r="I41" s="88">
        <f t="shared" si="0"/>
      </c>
    </row>
    <row r="42" spans="2:9" s="1" customFormat="1" ht="12.75" customHeight="1">
      <c r="B42" s="17"/>
      <c r="C42" s="12"/>
      <c r="D42" s="12"/>
      <c r="E42" s="9"/>
      <c r="F42" s="12" t="s">
        <v>16</v>
      </c>
      <c r="G42" s="61">
        <v>2</v>
      </c>
      <c r="H42" s="61"/>
      <c r="I42" s="88"/>
    </row>
    <row r="43" spans="2:9" s="1" customFormat="1" ht="12.75" customHeight="1">
      <c r="B43" s="17"/>
      <c r="C43" s="12"/>
      <c r="D43" s="12"/>
      <c r="E43" s="9"/>
      <c r="F43" s="12" t="s">
        <v>32</v>
      </c>
      <c r="G43" s="20">
        <f>G37+G29+G17+G13+G7</f>
        <v>64190</v>
      </c>
      <c r="H43" s="20">
        <f>H37+H29+H17+H13+H7</f>
        <v>0</v>
      </c>
      <c r="I43" s="125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17</v>
      </c>
      <c r="G44" s="20"/>
      <c r="H44" s="20"/>
      <c r="I44" s="90"/>
    </row>
    <row r="45" spans="2:9" s="1" customFormat="1" ht="12.75" customHeight="1">
      <c r="B45" s="17"/>
      <c r="C45" s="12"/>
      <c r="D45" s="12"/>
      <c r="E45" s="9"/>
      <c r="F45" s="12" t="s">
        <v>18</v>
      </c>
      <c r="G45" s="32"/>
      <c r="H45" s="32"/>
      <c r="I45" s="89"/>
    </row>
    <row r="46" spans="2:9" ht="12.75" customHeight="1" thickBot="1">
      <c r="B46" s="21"/>
      <c r="C46" s="22"/>
      <c r="D46" s="22"/>
      <c r="E46" s="23"/>
      <c r="F46" s="22"/>
      <c r="G46" s="22"/>
      <c r="H46" s="22"/>
      <c r="I46" s="91"/>
    </row>
    <row r="48" ht="12.75">
      <c r="B48" s="49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B2:K47"/>
  <sheetViews>
    <sheetView workbookViewId="0" topLeftCell="A1">
      <selection activeCell="G37" sqref="G37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9" s="65" customFormat="1" ht="15" customHeight="1">
      <c r="B2" s="144" t="s">
        <v>44</v>
      </c>
      <c r="C2" s="144"/>
      <c r="D2" s="144"/>
      <c r="E2" s="144"/>
      <c r="F2" s="144"/>
      <c r="G2" s="144"/>
      <c r="H2" s="144"/>
      <c r="I2" s="8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40</v>
      </c>
      <c r="C6" s="11" t="s">
        <v>4</v>
      </c>
      <c r="D6" s="11" t="s">
        <v>45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47600</v>
      </c>
      <c r="H7" s="134">
        <f>SUM(H8:H11)</f>
        <v>0</v>
      </c>
      <c r="I7" s="125">
        <f aca="true" t="shared" si="0" ref="I7:I42">IF(G7=0,"",H7/G7*100)</f>
        <v>0</v>
      </c>
    </row>
    <row r="8" spans="2:9" ht="12.75" customHeight="1">
      <c r="B8" s="14"/>
      <c r="C8" s="15"/>
      <c r="D8" s="15"/>
      <c r="E8" s="16">
        <v>611100</v>
      </c>
      <c r="F8" s="26" t="s">
        <v>108</v>
      </c>
      <c r="G8" s="133">
        <f>28000+11700+1370+590</f>
        <v>41660</v>
      </c>
      <c r="H8" s="133"/>
      <c r="I8" s="88">
        <f t="shared" si="0"/>
        <v>0</v>
      </c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3">
        <f>3040+2900</f>
        <v>5940</v>
      </c>
      <c r="H9" s="133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3"/>
      <c r="H11" s="133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5010</v>
      </c>
      <c r="H13" s="134">
        <f>H14</f>
        <v>0</v>
      </c>
      <c r="I13" s="125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3">
        <f>3500+1290+150+70</f>
        <v>5010</v>
      </c>
      <c r="H14" s="133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2"/>
      <c r="H15" s="32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35"/>
      <c r="H16" s="35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15300</v>
      </c>
      <c r="H17" s="35">
        <f>SUM(H18:H27)</f>
        <v>0</v>
      </c>
      <c r="I17" s="125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32">
        <v>300</v>
      </c>
      <c r="H18" s="32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2">
        <v>0</v>
      </c>
      <c r="H19" s="32"/>
      <c r="I19" s="88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2">
        <v>0</v>
      </c>
      <c r="H20" s="32"/>
      <c r="I20" s="88">
        <f t="shared" si="0"/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2">
        <v>0</v>
      </c>
      <c r="H21" s="32"/>
      <c r="I21" s="88">
        <f t="shared" si="0"/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2">
        <v>0</v>
      </c>
      <c r="H22" s="32"/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2">
        <v>0</v>
      </c>
      <c r="H23" s="32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2">
        <v>0</v>
      </c>
      <c r="H24" s="32"/>
      <c r="I24" s="88">
        <f t="shared" si="0"/>
      </c>
    </row>
    <row r="25" spans="2:11" ht="12.75" customHeight="1">
      <c r="B25" s="14"/>
      <c r="C25" s="15"/>
      <c r="D25" s="15"/>
      <c r="E25" s="16">
        <v>613800</v>
      </c>
      <c r="F25" s="15" t="s">
        <v>86</v>
      </c>
      <c r="G25" s="32">
        <v>0</v>
      </c>
      <c r="H25" s="32"/>
      <c r="I25" s="88">
        <f t="shared" si="0"/>
      </c>
      <c r="K25" s="49"/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32">
        <f>7500+7500</f>
        <v>15000</v>
      </c>
      <c r="H26" s="32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33">
        <v>0</v>
      </c>
      <c r="H27" s="33"/>
      <c r="I27" s="88">
        <f t="shared" si="0"/>
      </c>
    </row>
    <row r="28" spans="2:9" s="1" customFormat="1" ht="12.75" customHeight="1">
      <c r="B28" s="17"/>
      <c r="C28" s="12"/>
      <c r="D28" s="12"/>
      <c r="E28" s="39"/>
      <c r="F28" s="12"/>
      <c r="G28" s="32"/>
      <c r="H28" s="32"/>
      <c r="I28" s="88">
        <f t="shared" si="0"/>
      </c>
    </row>
    <row r="29" spans="2:9" ht="12.75" customHeight="1">
      <c r="B29" s="14"/>
      <c r="C29" s="15"/>
      <c r="D29" s="29"/>
      <c r="E29" s="41"/>
      <c r="F29" s="38"/>
      <c r="G29" s="32"/>
      <c r="H29" s="32"/>
      <c r="I29" s="88">
        <f t="shared" si="0"/>
      </c>
    </row>
    <row r="30" spans="2:9" ht="12.75" customHeight="1">
      <c r="B30" s="14"/>
      <c r="C30" s="15"/>
      <c r="D30" s="15"/>
      <c r="E30" s="40"/>
      <c r="F30" s="15"/>
      <c r="G30" s="32"/>
      <c r="H30" s="32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32"/>
      <c r="H31" s="32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32"/>
      <c r="H32" s="32"/>
      <c r="I32" s="88">
        <f t="shared" si="0"/>
      </c>
    </row>
    <row r="33" spans="2:9" ht="12.75" customHeight="1">
      <c r="B33" s="14"/>
      <c r="C33" s="15"/>
      <c r="D33" s="15"/>
      <c r="E33" s="16"/>
      <c r="F33" s="15"/>
      <c r="G33" s="32"/>
      <c r="H33" s="32"/>
      <c r="I33" s="88">
        <f t="shared" si="0"/>
      </c>
    </row>
    <row r="34" spans="2:9" ht="12.75" customHeight="1">
      <c r="B34" s="14"/>
      <c r="C34" s="15"/>
      <c r="D34" s="15"/>
      <c r="E34" s="16"/>
      <c r="F34" s="19"/>
      <c r="G34" s="32"/>
      <c r="H34" s="32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1500</v>
      </c>
      <c r="H36" s="20">
        <f>SUM(H37:H38)</f>
        <v>0</v>
      </c>
      <c r="I36" s="125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0">
        <v>0</v>
      </c>
      <c r="H37" s="50"/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32">
        <v>1500</v>
      </c>
      <c r="H38" s="32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2"/>
      <c r="H39" s="32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20">
        <v>2</v>
      </c>
      <c r="H41" s="20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69410</v>
      </c>
      <c r="H42" s="20">
        <f>H7+H13+H17+H36</f>
        <v>0</v>
      </c>
      <c r="I42" s="125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90"/>
    </row>
    <row r="44" spans="2:9" s="1" customFormat="1" ht="12.75" customHeight="1">
      <c r="B44" s="17"/>
      <c r="C44" s="12"/>
      <c r="D44" s="12"/>
      <c r="E44" s="9"/>
      <c r="F44" s="12" t="s">
        <v>18</v>
      </c>
      <c r="G44" s="32"/>
      <c r="H44" s="32"/>
      <c r="I44" s="89"/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1"/>
    </row>
    <row r="47" ht="12.75">
      <c r="B47" s="49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2"/>
  <dimension ref="B2:K50"/>
  <sheetViews>
    <sheetView workbookViewId="0" topLeftCell="A7">
      <selection activeCell="G36" sqref="G36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9" s="65" customFormat="1" ht="15" customHeight="1">
      <c r="B2" s="144" t="s">
        <v>80</v>
      </c>
      <c r="C2" s="144"/>
      <c r="D2" s="144"/>
      <c r="E2" s="144"/>
      <c r="F2" s="144"/>
      <c r="G2" s="144"/>
      <c r="H2" s="144"/>
      <c r="I2" s="8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40</v>
      </c>
      <c r="C6" s="11" t="s">
        <v>4</v>
      </c>
      <c r="D6" s="11" t="s">
        <v>46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76050</v>
      </c>
      <c r="H7" s="134">
        <f>SUM(H8:H11)</f>
        <v>0</v>
      </c>
      <c r="I7" s="125">
        <f aca="true" t="shared" si="0" ref="I7:I42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108</v>
      </c>
      <c r="G8" s="133">
        <f>61900+3050</f>
        <v>64950</v>
      </c>
      <c r="H8" s="133"/>
      <c r="I8" s="88">
        <f t="shared" si="0"/>
        <v>0</v>
      </c>
      <c r="J8" s="53"/>
    </row>
    <row r="9" spans="2:10" ht="12.75" customHeight="1">
      <c r="B9" s="14"/>
      <c r="C9" s="15"/>
      <c r="D9" s="15"/>
      <c r="E9" s="16">
        <v>611200</v>
      </c>
      <c r="F9" s="15" t="s">
        <v>109</v>
      </c>
      <c r="G9" s="133">
        <v>11100</v>
      </c>
      <c r="H9" s="133"/>
      <c r="I9" s="88">
        <f t="shared" si="0"/>
        <v>0</v>
      </c>
      <c r="J9" s="55"/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3"/>
      <c r="H11" s="133"/>
      <c r="I11" s="88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7330</v>
      </c>
      <c r="H13" s="134">
        <f>H14</f>
        <v>0</v>
      </c>
      <c r="I13" s="125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3">
        <f>7000+330</f>
        <v>7330</v>
      </c>
      <c r="H14" s="133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2"/>
      <c r="H15" s="32"/>
      <c r="I15" s="88">
        <f t="shared" si="0"/>
      </c>
    </row>
    <row r="16" spans="2:9" ht="12.75" customHeight="1">
      <c r="B16" s="14"/>
      <c r="C16" s="15"/>
      <c r="D16" s="15"/>
      <c r="E16" s="16"/>
      <c r="F16" s="15"/>
      <c r="G16" s="35"/>
      <c r="H16" s="35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6700</v>
      </c>
      <c r="H17" s="35">
        <f>SUM(H18:H27)</f>
        <v>0</v>
      </c>
      <c r="I17" s="125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0">
        <v>1000</v>
      </c>
      <c r="H18" s="50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2">
        <v>0</v>
      </c>
      <c r="H19" s="32"/>
      <c r="I19" s="88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2">
        <v>2500</v>
      </c>
      <c r="H20" s="32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50">
        <v>550</v>
      </c>
      <c r="H21" s="50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2">
        <v>0</v>
      </c>
      <c r="H22" s="32"/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2">
        <v>0</v>
      </c>
      <c r="H23" s="32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2">
        <v>250</v>
      </c>
      <c r="H24" s="32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32">
        <v>0</v>
      </c>
      <c r="H25" s="32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50">
        <v>2400</v>
      </c>
      <c r="H26" s="50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69">
        <v>0</v>
      </c>
      <c r="H27" s="69"/>
      <c r="I27" s="88">
        <f t="shared" si="0"/>
      </c>
    </row>
    <row r="28" spans="2:9" s="1" customFormat="1" ht="12.75" customHeight="1">
      <c r="B28" s="17"/>
      <c r="C28" s="12"/>
      <c r="D28" s="12"/>
      <c r="E28" s="39"/>
      <c r="F28" s="12"/>
      <c r="G28" s="50"/>
      <c r="H28" s="50"/>
      <c r="I28" s="88">
        <f t="shared" si="0"/>
      </c>
    </row>
    <row r="29" spans="2:9" ht="12.75" customHeight="1">
      <c r="B29" s="14"/>
      <c r="C29" s="15"/>
      <c r="D29" s="29"/>
      <c r="E29" s="41"/>
      <c r="F29" s="38"/>
      <c r="G29" s="50"/>
      <c r="H29" s="50"/>
      <c r="I29" s="88">
        <f t="shared" si="0"/>
      </c>
    </row>
    <row r="30" spans="2:9" ht="12.75" customHeight="1">
      <c r="B30" s="14"/>
      <c r="C30" s="15"/>
      <c r="D30" s="15"/>
      <c r="E30" s="40"/>
      <c r="F30" s="15"/>
      <c r="G30" s="50"/>
      <c r="H30" s="50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50"/>
      <c r="H31" s="50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50"/>
      <c r="H32" s="50"/>
      <c r="I32" s="88">
        <f t="shared" si="0"/>
      </c>
    </row>
    <row r="33" spans="2:9" ht="12.75" customHeight="1">
      <c r="B33" s="14"/>
      <c r="C33" s="15"/>
      <c r="D33" s="15"/>
      <c r="E33" s="16"/>
      <c r="F33" s="15"/>
      <c r="G33" s="50"/>
      <c r="H33" s="50"/>
      <c r="I33" s="88">
        <f t="shared" si="0"/>
      </c>
    </row>
    <row r="34" spans="2:9" ht="12.75" customHeight="1">
      <c r="B34" s="14"/>
      <c r="C34" s="15"/>
      <c r="D34" s="15"/>
      <c r="E34" s="16"/>
      <c r="F34" s="19"/>
      <c r="G34" s="50"/>
      <c r="H34" s="50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SUM(G37:G38)</f>
        <v>2500</v>
      </c>
      <c r="H36" s="61">
        <f>SUM(H37:H38)</f>
        <v>0</v>
      </c>
      <c r="I36" s="125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0">
        <v>0</v>
      </c>
      <c r="H37" s="50"/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0">
        <v>2500</v>
      </c>
      <c r="H38" s="50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2"/>
      <c r="H39" s="32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1">
        <v>3</v>
      </c>
      <c r="H41" s="61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92580</v>
      </c>
      <c r="H42" s="20">
        <f>H7+H13+H17+H36</f>
        <v>0</v>
      </c>
      <c r="I42" s="125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/>
      <c r="H43" s="20"/>
      <c r="I43" s="87"/>
    </row>
    <row r="44" spans="2:9" s="1" customFormat="1" ht="12.75" customHeight="1">
      <c r="B44" s="17"/>
      <c r="C44" s="12"/>
      <c r="D44" s="12"/>
      <c r="E44" s="9"/>
      <c r="F44" s="12" t="s">
        <v>18</v>
      </c>
      <c r="G44" s="20"/>
      <c r="H44" s="20"/>
      <c r="I44" s="87"/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1"/>
    </row>
    <row r="47" ht="12.75">
      <c r="B47" s="49"/>
    </row>
    <row r="48" ht="12.75">
      <c r="B48" s="49"/>
    </row>
    <row r="49" ht="12.75">
      <c r="B49" s="49"/>
    </row>
    <row r="50" ht="12.75">
      <c r="B50" s="49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6"/>
  <dimension ref="B2:K50"/>
  <sheetViews>
    <sheetView workbookViewId="0" topLeftCell="A1">
      <selection activeCell="B3" sqref="B3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5742187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9" ht="15" customHeight="1">
      <c r="B2" s="144" t="s">
        <v>168</v>
      </c>
      <c r="C2" s="144"/>
      <c r="D2" s="144"/>
      <c r="E2" s="144"/>
      <c r="F2" s="144"/>
      <c r="G2" s="144"/>
      <c r="H2" s="144"/>
      <c r="I2" s="8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40</v>
      </c>
      <c r="C6" s="11" t="s">
        <v>4</v>
      </c>
      <c r="D6" s="11" t="s">
        <v>67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108460</v>
      </c>
      <c r="H7" s="134">
        <f>SUM(H8:H11)</f>
        <v>0</v>
      </c>
      <c r="I7" s="87">
        <f aca="true" t="shared" si="0" ref="I7:I44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108</v>
      </c>
      <c r="G8" s="133">
        <f>72200+3500+12260</f>
        <v>87960</v>
      </c>
      <c r="H8" s="133"/>
      <c r="I8" s="88">
        <f t="shared" si="0"/>
        <v>0</v>
      </c>
      <c r="J8" s="53"/>
    </row>
    <row r="9" spans="2:10" ht="12.75" customHeight="1">
      <c r="B9" s="14"/>
      <c r="C9" s="15"/>
      <c r="D9" s="15"/>
      <c r="E9" s="16">
        <v>611200</v>
      </c>
      <c r="F9" s="15" t="s">
        <v>109</v>
      </c>
      <c r="G9" s="133">
        <f>18200+2300</f>
        <v>20500</v>
      </c>
      <c r="H9" s="133"/>
      <c r="I9" s="88">
        <f t="shared" si="0"/>
        <v>0</v>
      </c>
      <c r="J9" s="55"/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9" ht="12.75" customHeight="1">
      <c r="B11" s="14"/>
      <c r="C11" s="15"/>
      <c r="D11" s="15"/>
      <c r="E11" s="16"/>
      <c r="F11" s="26"/>
      <c r="G11" s="133"/>
      <c r="H11" s="133"/>
      <c r="I11" s="87">
        <f t="shared" si="0"/>
      </c>
    </row>
    <row r="12" spans="2:9" ht="12.75" customHeight="1">
      <c r="B12" s="14"/>
      <c r="C12" s="15"/>
      <c r="D12" s="15"/>
      <c r="E12" s="16"/>
      <c r="F12" s="15"/>
      <c r="G12" s="134"/>
      <c r="H12" s="134"/>
      <c r="I12" s="87">
        <f t="shared" si="0"/>
      </c>
    </row>
    <row r="13" spans="2:9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10030</v>
      </c>
      <c r="H13" s="134">
        <f>H14</f>
        <v>0</v>
      </c>
      <c r="I13" s="87">
        <f t="shared" si="0"/>
        <v>0</v>
      </c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3">
        <f>8300+380+1350</f>
        <v>10030</v>
      </c>
      <c r="H14" s="133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32"/>
      <c r="H15" s="32"/>
      <c r="I15" s="87">
        <f t="shared" si="0"/>
      </c>
    </row>
    <row r="16" spans="2:9" ht="12.75" customHeight="1">
      <c r="B16" s="14"/>
      <c r="C16" s="15"/>
      <c r="D16" s="15"/>
      <c r="E16" s="16"/>
      <c r="F16" s="15"/>
      <c r="G16" s="35"/>
      <c r="H16" s="35"/>
      <c r="I16" s="87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8000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0">
        <v>5000</v>
      </c>
      <c r="H18" s="50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2">
        <v>0</v>
      </c>
      <c r="H19" s="32"/>
      <c r="I19" s="88">
        <f t="shared" si="0"/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2">
        <v>700</v>
      </c>
      <c r="H20" s="32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50">
        <v>500</v>
      </c>
      <c r="H21" s="50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2">
        <v>0</v>
      </c>
      <c r="H22" s="32"/>
      <c r="I22" s="88">
        <f t="shared" si="0"/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2">
        <v>0</v>
      </c>
      <c r="H23" s="32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2">
        <v>300</v>
      </c>
      <c r="H24" s="32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32">
        <v>0</v>
      </c>
      <c r="H25" s="32"/>
      <c r="I25" s="88">
        <f t="shared" si="0"/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50">
        <v>1500</v>
      </c>
      <c r="H26" s="50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69">
        <v>0</v>
      </c>
      <c r="H27" s="69"/>
      <c r="I27" s="88">
        <f t="shared" si="0"/>
      </c>
    </row>
    <row r="28" spans="2:9" s="1" customFormat="1" ht="12.75" customHeight="1">
      <c r="B28" s="17"/>
      <c r="C28" s="12"/>
      <c r="D28" s="12"/>
      <c r="E28" s="39"/>
      <c r="F28" s="12"/>
      <c r="G28" s="50"/>
      <c r="H28" s="50"/>
      <c r="I28" s="87">
        <f t="shared" si="0"/>
      </c>
    </row>
    <row r="29" spans="2:9" ht="12.75" customHeight="1">
      <c r="B29" s="14"/>
      <c r="C29" s="15"/>
      <c r="D29" s="29"/>
      <c r="E29" s="41"/>
      <c r="F29" s="38"/>
      <c r="G29" s="50"/>
      <c r="H29" s="50"/>
      <c r="I29" s="87">
        <f t="shared" si="0"/>
      </c>
    </row>
    <row r="30" spans="2:9" ht="12.75" customHeight="1">
      <c r="B30" s="14"/>
      <c r="C30" s="15"/>
      <c r="D30" s="15"/>
      <c r="E30" s="40"/>
      <c r="F30" s="15"/>
      <c r="G30" s="50"/>
      <c r="H30" s="50"/>
      <c r="I30" s="87">
        <f t="shared" si="0"/>
      </c>
    </row>
    <row r="31" spans="2:9" ht="12.75" customHeight="1">
      <c r="B31" s="14"/>
      <c r="C31" s="15"/>
      <c r="D31" s="15"/>
      <c r="E31" s="16"/>
      <c r="F31" s="15"/>
      <c r="G31" s="50"/>
      <c r="H31" s="50"/>
      <c r="I31" s="87">
        <f t="shared" si="0"/>
      </c>
    </row>
    <row r="32" spans="2:9" ht="12.75" customHeight="1">
      <c r="B32" s="14"/>
      <c r="C32" s="15"/>
      <c r="D32" s="15"/>
      <c r="E32" s="16"/>
      <c r="F32" s="15"/>
      <c r="G32" s="50"/>
      <c r="H32" s="50"/>
      <c r="I32" s="87">
        <f t="shared" si="0"/>
      </c>
    </row>
    <row r="33" spans="2:9" ht="12.75" customHeight="1">
      <c r="B33" s="14"/>
      <c r="C33" s="15"/>
      <c r="D33" s="15"/>
      <c r="E33" s="16"/>
      <c r="F33" s="15"/>
      <c r="G33" s="50"/>
      <c r="H33" s="50"/>
      <c r="I33" s="87">
        <f t="shared" si="0"/>
      </c>
    </row>
    <row r="34" spans="2:9" ht="12.75" customHeight="1">
      <c r="B34" s="14"/>
      <c r="C34" s="15"/>
      <c r="D34" s="15"/>
      <c r="E34" s="16"/>
      <c r="F34" s="19"/>
      <c r="G34" s="50"/>
      <c r="H34" s="50"/>
      <c r="I34" s="87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7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SUM(G37:G38)</f>
        <v>2000</v>
      </c>
      <c r="H36" s="61">
        <f>SUM(H37:H38)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0">
        <v>0</v>
      </c>
      <c r="H37" s="50"/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0">
        <v>2000</v>
      </c>
      <c r="H38" s="50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2"/>
      <c r="H39" s="32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1">
        <v>5</v>
      </c>
      <c r="H41" s="61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128490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G42+6!G42+5!G42+4!G43+3!G56</f>
        <v>2969557</v>
      </c>
      <c r="H43" s="20">
        <f>H42+6!H42+5!H42+4!H43+3!H56</f>
        <v>0</v>
      </c>
      <c r="I43" s="8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2969557</v>
      </c>
      <c r="H44" s="20">
        <f>H43</f>
        <v>0</v>
      </c>
      <c r="I44" s="87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1"/>
    </row>
    <row r="47" ht="12.75">
      <c r="B47" s="49"/>
    </row>
    <row r="48" ht="12.75">
      <c r="B48" s="49"/>
    </row>
    <row r="49" ht="12.75">
      <c r="B49" s="49"/>
    </row>
    <row r="50" ht="12.75">
      <c r="B50" s="49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&amp;R14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B2:L50"/>
  <sheetViews>
    <sheetView workbookViewId="0" topLeftCell="A10">
      <selection activeCell="G39" sqref="G39"/>
    </sheetView>
  </sheetViews>
  <sheetFormatPr defaultColWidth="9.140625" defaultRowHeight="12.75"/>
  <cols>
    <col min="1" max="1" width="1.57421875" style="13" customWidth="1"/>
    <col min="2" max="2" width="7.00390625" style="13" bestFit="1" customWidth="1"/>
    <col min="3" max="4" width="5.7109375" style="13" bestFit="1" customWidth="1"/>
    <col min="5" max="5" width="10.8515625" style="24" customWidth="1"/>
    <col min="6" max="6" width="43.7109375" style="13" customWidth="1"/>
    <col min="7" max="8" width="15.7109375" style="13" customWidth="1"/>
    <col min="9" max="9" width="8.7109375" style="78" customWidth="1"/>
    <col min="10" max="16384" width="9.140625" style="13" customWidth="1"/>
  </cols>
  <sheetData>
    <row r="2" spans="2:9" s="65" customFormat="1" ht="15" customHeight="1">
      <c r="B2" s="144" t="s">
        <v>47</v>
      </c>
      <c r="C2" s="144"/>
      <c r="D2" s="144"/>
      <c r="E2" s="144"/>
      <c r="F2" s="144"/>
      <c r="G2" s="144"/>
      <c r="H2" s="144"/>
      <c r="I2" s="82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48</v>
      </c>
      <c r="C6" s="11" t="s">
        <v>4</v>
      </c>
      <c r="D6" s="11" t="s">
        <v>5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229230</v>
      </c>
      <c r="H7" s="134">
        <f>SUM(H8:H11)</f>
        <v>0</v>
      </c>
      <c r="I7" s="87">
        <f aca="true" t="shared" si="0" ref="I7:I44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108</v>
      </c>
      <c r="G8" s="133">
        <f>166600+8230</f>
        <v>174830</v>
      </c>
      <c r="H8" s="133"/>
      <c r="I8" s="88">
        <f t="shared" si="0"/>
        <v>0</v>
      </c>
      <c r="J8" s="49"/>
    </row>
    <row r="9" spans="2:9" ht="12.75" customHeight="1">
      <c r="B9" s="14"/>
      <c r="C9" s="15"/>
      <c r="D9" s="15"/>
      <c r="E9" s="16">
        <v>611200</v>
      </c>
      <c r="F9" s="15" t="s">
        <v>109</v>
      </c>
      <c r="G9" s="133">
        <f>51400+3000</f>
        <v>54400</v>
      </c>
      <c r="H9" s="133"/>
      <c r="I9" s="88">
        <f t="shared" si="0"/>
        <v>0</v>
      </c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11" ht="12.75" customHeight="1">
      <c r="B11" s="14"/>
      <c r="C11" s="15"/>
      <c r="D11" s="15"/>
      <c r="E11" s="16"/>
      <c r="F11" s="26"/>
      <c r="G11" s="133"/>
      <c r="H11" s="133"/>
      <c r="I11" s="87">
        <f t="shared" si="0"/>
      </c>
      <c r="K11" s="49"/>
    </row>
    <row r="12" spans="2:11" ht="12.75" customHeight="1">
      <c r="B12" s="14"/>
      <c r="C12" s="15"/>
      <c r="D12" s="15"/>
      <c r="E12" s="16"/>
      <c r="F12" s="15"/>
      <c r="G12" s="134"/>
      <c r="H12" s="134"/>
      <c r="I12" s="87">
        <f t="shared" si="0"/>
      </c>
      <c r="K12" s="49"/>
    </row>
    <row r="13" spans="2:12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19600</v>
      </c>
      <c r="H13" s="134">
        <f>H14</f>
        <v>0</v>
      </c>
      <c r="I13" s="87">
        <f t="shared" si="0"/>
        <v>0</v>
      </c>
      <c r="K13" s="56"/>
      <c r="L13" s="56"/>
    </row>
    <row r="14" spans="2:9" ht="12.75" customHeight="1">
      <c r="B14" s="14"/>
      <c r="C14" s="15"/>
      <c r="D14" s="15"/>
      <c r="E14" s="16">
        <v>612100</v>
      </c>
      <c r="F14" s="18" t="s">
        <v>6</v>
      </c>
      <c r="G14" s="133">
        <f>18700+900</f>
        <v>19600</v>
      </c>
      <c r="H14" s="133"/>
      <c r="I14" s="88">
        <f t="shared" si="0"/>
        <v>0</v>
      </c>
    </row>
    <row r="15" spans="2:9" ht="12.75" customHeight="1">
      <c r="B15" s="14"/>
      <c r="C15" s="15"/>
      <c r="D15" s="15"/>
      <c r="E15" s="16"/>
      <c r="F15" s="15"/>
      <c r="G15" s="50"/>
      <c r="H15" s="50"/>
      <c r="I15" s="87">
        <f t="shared" si="0"/>
      </c>
    </row>
    <row r="16" spans="2:9" ht="12.75" customHeight="1">
      <c r="B16" s="14"/>
      <c r="C16" s="15"/>
      <c r="D16" s="15"/>
      <c r="E16" s="16"/>
      <c r="F16" s="15"/>
      <c r="G16" s="61"/>
      <c r="H16" s="61"/>
      <c r="I16" s="87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35">
        <f>SUM(G18:G27)</f>
        <v>385000</v>
      </c>
      <c r="H17" s="35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0">
        <v>7000</v>
      </c>
      <c r="H18" s="50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32">
        <v>105000</v>
      </c>
      <c r="H19" s="32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32">
        <v>44000</v>
      </c>
      <c r="H20" s="32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32">
        <v>84000</v>
      </c>
      <c r="H21" s="32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32">
        <v>39500</v>
      </c>
      <c r="H22" s="32"/>
      <c r="I22" s="88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32">
        <v>0</v>
      </c>
      <c r="H23" s="32"/>
      <c r="I23" s="88">
        <f t="shared" si="0"/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32">
        <v>42000</v>
      </c>
      <c r="H24" s="32"/>
      <c r="I24" s="88">
        <f t="shared" si="0"/>
        <v>0</v>
      </c>
    </row>
    <row r="25" spans="2:10" ht="12.75" customHeight="1">
      <c r="B25" s="14"/>
      <c r="C25" s="15"/>
      <c r="D25" s="15"/>
      <c r="E25" s="16">
        <v>613800</v>
      </c>
      <c r="F25" s="15" t="s">
        <v>86</v>
      </c>
      <c r="G25" s="32">
        <v>8500</v>
      </c>
      <c r="H25" s="32"/>
      <c r="I25" s="88">
        <f t="shared" si="0"/>
        <v>0</v>
      </c>
      <c r="J25" s="49"/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50">
        <v>55000</v>
      </c>
      <c r="H26" s="50"/>
      <c r="I26" s="88">
        <f t="shared" si="0"/>
        <v>0</v>
      </c>
    </row>
    <row r="27" spans="2:9" ht="12.75" customHeight="1">
      <c r="B27" s="14"/>
      <c r="C27" s="15"/>
      <c r="D27" s="15"/>
      <c r="E27" s="16">
        <v>613900</v>
      </c>
      <c r="F27" s="132" t="s">
        <v>150</v>
      </c>
      <c r="G27" s="33">
        <v>0</v>
      </c>
      <c r="H27" s="33"/>
      <c r="I27" s="88">
        <f t="shared" si="0"/>
      </c>
    </row>
    <row r="28" spans="2:9" s="1" customFormat="1" ht="12.75" customHeight="1">
      <c r="B28" s="17"/>
      <c r="C28" s="12"/>
      <c r="D28" s="12"/>
      <c r="E28" s="39"/>
      <c r="F28" s="12"/>
      <c r="G28" s="32"/>
      <c r="H28" s="32"/>
      <c r="I28" s="87">
        <f t="shared" si="0"/>
      </c>
    </row>
    <row r="29" spans="2:9" ht="12.75" customHeight="1">
      <c r="B29" s="14"/>
      <c r="C29" s="15"/>
      <c r="D29" s="29"/>
      <c r="E29" s="41"/>
      <c r="F29" s="38"/>
      <c r="G29" s="32"/>
      <c r="H29" s="32"/>
      <c r="I29" s="87">
        <f t="shared" si="0"/>
      </c>
    </row>
    <row r="30" spans="2:9" ht="12.75" customHeight="1">
      <c r="B30" s="14"/>
      <c r="C30" s="15"/>
      <c r="D30" s="15"/>
      <c r="E30" s="40"/>
      <c r="F30" s="15"/>
      <c r="G30" s="32"/>
      <c r="H30" s="32"/>
      <c r="I30" s="87">
        <f t="shared" si="0"/>
      </c>
    </row>
    <row r="31" spans="2:9" ht="12.75" customHeight="1">
      <c r="B31" s="14"/>
      <c r="C31" s="15"/>
      <c r="D31" s="15"/>
      <c r="E31" s="16"/>
      <c r="F31" s="15"/>
      <c r="G31" s="32"/>
      <c r="H31" s="32"/>
      <c r="I31" s="87">
        <f t="shared" si="0"/>
      </c>
    </row>
    <row r="32" spans="2:9" ht="12.75" customHeight="1">
      <c r="B32" s="14"/>
      <c r="C32" s="15"/>
      <c r="D32" s="15"/>
      <c r="E32" s="16"/>
      <c r="F32" s="15"/>
      <c r="G32" s="32"/>
      <c r="H32" s="32"/>
      <c r="I32" s="87">
        <f t="shared" si="0"/>
      </c>
    </row>
    <row r="33" spans="2:9" ht="12.75" customHeight="1">
      <c r="B33" s="14"/>
      <c r="C33" s="15"/>
      <c r="D33" s="15"/>
      <c r="E33" s="16"/>
      <c r="F33" s="15"/>
      <c r="G33" s="32"/>
      <c r="H33" s="32"/>
      <c r="I33" s="87">
        <f t="shared" si="0"/>
      </c>
    </row>
    <row r="34" spans="2:9" ht="12.75" customHeight="1">
      <c r="B34" s="14"/>
      <c r="C34" s="15"/>
      <c r="D34" s="15"/>
      <c r="E34" s="16"/>
      <c r="F34" s="19"/>
      <c r="G34" s="32"/>
      <c r="H34" s="32"/>
      <c r="I34" s="87">
        <f t="shared" si="0"/>
      </c>
    </row>
    <row r="35" spans="2:9" ht="12.75" customHeight="1">
      <c r="B35" s="14"/>
      <c r="C35" s="15"/>
      <c r="D35" s="15"/>
      <c r="E35" s="16"/>
      <c r="F35" s="15"/>
      <c r="G35" s="20"/>
      <c r="H35" s="20"/>
      <c r="I35" s="87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20">
        <f>SUM(G37:G38)</f>
        <v>72000</v>
      </c>
      <c r="H36" s="20">
        <f>SUM(H37:H38)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0">
        <v>0</v>
      </c>
      <c r="H37" s="50"/>
      <c r="I37" s="88">
        <f t="shared" si="0"/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0">
        <v>72000</v>
      </c>
      <c r="H38" s="50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2"/>
      <c r="H39" s="32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1">
        <v>14</v>
      </c>
      <c r="H41" s="61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705830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705830</v>
      </c>
      <c r="H43" s="20">
        <f>H42</f>
        <v>0</v>
      </c>
      <c r="I43" s="8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705830</v>
      </c>
      <c r="H44" s="20">
        <f>H43</f>
        <v>0</v>
      </c>
      <c r="I44" s="87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1"/>
    </row>
    <row r="47" ht="12.75">
      <c r="B47" s="49"/>
    </row>
    <row r="48" ht="12.75">
      <c r="B48" s="49"/>
    </row>
    <row r="49" ht="12.75">
      <c r="B49" s="49"/>
    </row>
    <row r="50" ht="12.75">
      <c r="B50" s="49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&amp;R15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2"/>
  <dimension ref="B2:K52"/>
  <sheetViews>
    <sheetView workbookViewId="0" topLeftCell="C5">
      <selection activeCell="G45" sqref="G45"/>
    </sheetView>
  </sheetViews>
  <sheetFormatPr defaultColWidth="9.140625" defaultRowHeight="12.75"/>
  <cols>
    <col min="1" max="1" width="1.57421875" style="13" customWidth="1"/>
    <col min="2" max="4" width="5.7109375" style="13" bestFit="1" customWidth="1"/>
    <col min="5" max="5" width="10.421875" style="24" customWidth="1"/>
    <col min="6" max="6" width="43.7109375" style="13" customWidth="1"/>
    <col min="7" max="8" width="15.7109375" style="13" customWidth="1"/>
    <col min="9" max="9" width="8.7109375" style="78" customWidth="1"/>
    <col min="10" max="10" width="9.140625" style="13" customWidth="1"/>
    <col min="11" max="11" width="9.57421875" style="13" bestFit="1" customWidth="1"/>
    <col min="12" max="16384" width="9.140625" style="13" customWidth="1"/>
  </cols>
  <sheetData>
    <row r="2" spans="2:9" ht="15" customHeight="1">
      <c r="B2" s="142" t="s">
        <v>49</v>
      </c>
      <c r="C2" s="142"/>
      <c r="D2" s="142"/>
      <c r="E2" s="142"/>
      <c r="F2" s="142"/>
      <c r="G2" s="142"/>
      <c r="H2" s="142"/>
      <c r="I2" s="81"/>
    </row>
    <row r="3" spans="5:9" s="1" customFormat="1" ht="16.5" thickBot="1">
      <c r="E3" s="2"/>
      <c r="F3" s="143"/>
      <c r="G3" s="143"/>
      <c r="H3" s="106"/>
      <c r="I3" s="107"/>
    </row>
    <row r="4" spans="2:9" s="1" customFormat="1" ht="76.5" customHeight="1">
      <c r="B4" s="3" t="s">
        <v>0</v>
      </c>
      <c r="C4" s="4" t="s">
        <v>1</v>
      </c>
      <c r="D4" s="5" t="s">
        <v>29</v>
      </c>
      <c r="E4" s="6" t="s">
        <v>2</v>
      </c>
      <c r="F4" s="7" t="s">
        <v>3</v>
      </c>
      <c r="G4" s="129" t="s">
        <v>148</v>
      </c>
      <c r="H4" s="129" t="s">
        <v>165</v>
      </c>
      <c r="I4" s="84" t="s">
        <v>140</v>
      </c>
    </row>
    <row r="5" spans="2:9" s="2" customFormat="1" ht="12.75" customHeight="1"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85">
        <v>8</v>
      </c>
    </row>
    <row r="6" spans="2:9" s="2" customFormat="1" ht="12.75" customHeight="1">
      <c r="B6" s="10" t="s">
        <v>50</v>
      </c>
      <c r="C6" s="11" t="s">
        <v>4</v>
      </c>
      <c r="D6" s="11" t="s">
        <v>5</v>
      </c>
      <c r="E6" s="9"/>
      <c r="F6" s="9"/>
      <c r="G6" s="9"/>
      <c r="H6" s="9"/>
      <c r="I6" s="86"/>
    </row>
    <row r="7" spans="2:9" s="1" customFormat="1" ht="12.75" customHeight="1">
      <c r="B7" s="17"/>
      <c r="C7" s="12"/>
      <c r="D7" s="12"/>
      <c r="E7" s="9">
        <v>611000</v>
      </c>
      <c r="F7" s="12" t="s">
        <v>83</v>
      </c>
      <c r="G7" s="134">
        <f>SUM(G8:G11)</f>
        <v>4735810</v>
      </c>
      <c r="H7" s="134">
        <f>SUM(H8:H11)</f>
        <v>0</v>
      </c>
      <c r="I7" s="87">
        <f aca="true" t="shared" si="0" ref="I7:I44">IF(G7=0,"",H7/G7*100)</f>
        <v>0</v>
      </c>
    </row>
    <row r="8" spans="2:10" ht="12.75" customHeight="1">
      <c r="B8" s="14"/>
      <c r="C8" s="15"/>
      <c r="D8" s="15"/>
      <c r="E8" s="16">
        <v>611100</v>
      </c>
      <c r="F8" s="26" t="s">
        <v>108</v>
      </c>
      <c r="G8" s="133">
        <f>3656000+70000+182300+3510</f>
        <v>3911810</v>
      </c>
      <c r="H8" s="133"/>
      <c r="I8" s="88">
        <f t="shared" si="0"/>
        <v>0</v>
      </c>
      <c r="J8" s="64"/>
    </row>
    <row r="9" spans="2:10" ht="12.75" customHeight="1">
      <c r="B9" s="14"/>
      <c r="C9" s="15"/>
      <c r="D9" s="15"/>
      <c r="E9" s="16">
        <v>611200</v>
      </c>
      <c r="F9" s="15" t="s">
        <v>109</v>
      </c>
      <c r="G9" s="133">
        <f>779000+25000+10000+10000</f>
        <v>824000</v>
      </c>
      <c r="H9" s="133"/>
      <c r="I9" s="88">
        <f t="shared" si="0"/>
        <v>0</v>
      </c>
      <c r="J9" s="65"/>
    </row>
    <row r="10" spans="2:11" ht="12.75" customHeight="1">
      <c r="B10" s="14"/>
      <c r="C10" s="15"/>
      <c r="D10" s="15"/>
      <c r="E10" s="16">
        <v>611200</v>
      </c>
      <c r="F10" s="132" t="s">
        <v>149</v>
      </c>
      <c r="G10" s="133">
        <v>0</v>
      </c>
      <c r="H10" s="133"/>
      <c r="I10" s="88">
        <f t="shared" si="0"/>
      </c>
      <c r="K10" s="52"/>
    </row>
    <row r="11" spans="2:10" ht="12.75" customHeight="1">
      <c r="B11" s="14"/>
      <c r="C11" s="15"/>
      <c r="D11" s="15"/>
      <c r="E11" s="16"/>
      <c r="F11" s="26"/>
      <c r="G11" s="133"/>
      <c r="H11" s="133"/>
      <c r="I11" s="88">
        <f t="shared" si="0"/>
      </c>
      <c r="J11" s="65"/>
    </row>
    <row r="12" spans="2:10" ht="12.75" customHeight="1">
      <c r="B12" s="14"/>
      <c r="C12" s="15"/>
      <c r="D12" s="15"/>
      <c r="E12" s="16"/>
      <c r="F12" s="15"/>
      <c r="G12" s="134"/>
      <c r="H12" s="134"/>
      <c r="I12" s="88">
        <f t="shared" si="0"/>
      </c>
      <c r="J12" s="65"/>
    </row>
    <row r="13" spans="2:10" s="1" customFormat="1" ht="12.75" customHeight="1">
      <c r="B13" s="17"/>
      <c r="C13" s="12"/>
      <c r="D13" s="12"/>
      <c r="E13" s="9">
        <v>612000</v>
      </c>
      <c r="F13" s="12" t="s">
        <v>82</v>
      </c>
      <c r="G13" s="134">
        <f>G14</f>
        <v>615250</v>
      </c>
      <c r="H13" s="134">
        <f>H14</f>
        <v>0</v>
      </c>
      <c r="I13" s="87">
        <f t="shared" si="0"/>
        <v>0</v>
      </c>
      <c r="J13" s="66"/>
    </row>
    <row r="14" spans="2:10" ht="12.75" customHeight="1">
      <c r="B14" s="14"/>
      <c r="C14" s="15"/>
      <c r="D14" s="15"/>
      <c r="E14" s="16">
        <v>612100</v>
      </c>
      <c r="F14" s="18" t="s">
        <v>6</v>
      </c>
      <c r="G14" s="133">
        <f>575100+11000+28620+530</f>
        <v>615250</v>
      </c>
      <c r="H14" s="133"/>
      <c r="I14" s="88">
        <f t="shared" si="0"/>
        <v>0</v>
      </c>
      <c r="J14" s="64"/>
    </row>
    <row r="15" spans="2:10" ht="12.75" customHeight="1">
      <c r="B15" s="14"/>
      <c r="C15" s="15"/>
      <c r="D15" s="15"/>
      <c r="E15" s="16"/>
      <c r="F15" s="26"/>
      <c r="G15" s="50"/>
      <c r="H15" s="50"/>
      <c r="I15" s="88">
        <f t="shared" si="0"/>
      </c>
      <c r="J15" s="65"/>
    </row>
    <row r="16" spans="2:9" ht="12.75" customHeight="1">
      <c r="B16" s="14"/>
      <c r="C16" s="15"/>
      <c r="D16" s="15"/>
      <c r="E16" s="16"/>
      <c r="F16" s="15"/>
      <c r="G16" s="61"/>
      <c r="H16" s="61"/>
      <c r="I16" s="88">
        <f t="shared" si="0"/>
      </c>
    </row>
    <row r="17" spans="2:9" s="1" customFormat="1" ht="12.75" customHeight="1">
      <c r="B17" s="17"/>
      <c r="C17" s="12"/>
      <c r="D17" s="12"/>
      <c r="E17" s="9">
        <v>613000</v>
      </c>
      <c r="F17" s="12" t="s">
        <v>84</v>
      </c>
      <c r="G17" s="61">
        <f>SUM(G18:G27)</f>
        <v>814500</v>
      </c>
      <c r="H17" s="61">
        <f>SUM(H18:H27)</f>
        <v>0</v>
      </c>
      <c r="I17" s="87">
        <f t="shared" si="0"/>
        <v>0</v>
      </c>
    </row>
    <row r="18" spans="2:9" ht="12.75" customHeight="1">
      <c r="B18" s="14"/>
      <c r="C18" s="15"/>
      <c r="D18" s="15"/>
      <c r="E18" s="16">
        <v>613100</v>
      </c>
      <c r="F18" s="15" t="s">
        <v>7</v>
      </c>
      <c r="G18" s="50">
        <v>14500</v>
      </c>
      <c r="H18" s="50"/>
      <c r="I18" s="88">
        <f t="shared" si="0"/>
        <v>0</v>
      </c>
    </row>
    <row r="19" spans="2:9" ht="12.75" customHeight="1">
      <c r="B19" s="14"/>
      <c r="C19" s="15"/>
      <c r="D19" s="15"/>
      <c r="E19" s="16">
        <v>613200</v>
      </c>
      <c r="F19" s="15" t="s">
        <v>8</v>
      </c>
      <c r="G19" s="50">
        <v>95500</v>
      </c>
      <c r="H19" s="50"/>
      <c r="I19" s="88">
        <f t="shared" si="0"/>
        <v>0</v>
      </c>
    </row>
    <row r="20" spans="2:9" ht="12.75" customHeight="1">
      <c r="B20" s="14"/>
      <c r="C20" s="15"/>
      <c r="D20" s="15"/>
      <c r="E20" s="16">
        <v>613300</v>
      </c>
      <c r="F20" s="26" t="s">
        <v>110</v>
      </c>
      <c r="G20" s="50">
        <v>95000</v>
      </c>
      <c r="H20" s="50"/>
      <c r="I20" s="88">
        <f t="shared" si="0"/>
        <v>0</v>
      </c>
    </row>
    <row r="21" spans="2:9" ht="12.75" customHeight="1">
      <c r="B21" s="14"/>
      <c r="C21" s="15"/>
      <c r="D21" s="15"/>
      <c r="E21" s="16">
        <v>613400</v>
      </c>
      <c r="F21" s="15" t="s">
        <v>85</v>
      </c>
      <c r="G21" s="50">
        <v>220000</v>
      </c>
      <c r="H21" s="50"/>
      <c r="I21" s="88">
        <f t="shared" si="0"/>
        <v>0</v>
      </c>
    </row>
    <row r="22" spans="2:9" ht="12.75" customHeight="1">
      <c r="B22" s="14"/>
      <c r="C22" s="15"/>
      <c r="D22" s="15"/>
      <c r="E22" s="16">
        <v>613500</v>
      </c>
      <c r="F22" s="15" t="s">
        <v>9</v>
      </c>
      <c r="G22" s="50">
        <v>100000</v>
      </c>
      <c r="H22" s="50"/>
      <c r="I22" s="88">
        <f t="shared" si="0"/>
        <v>0</v>
      </c>
    </row>
    <row r="23" spans="2:9" ht="12.75" customHeight="1">
      <c r="B23" s="14"/>
      <c r="C23" s="15"/>
      <c r="D23" s="15"/>
      <c r="E23" s="16">
        <v>613600</v>
      </c>
      <c r="F23" s="26" t="s">
        <v>111</v>
      </c>
      <c r="G23" s="50">
        <v>31500</v>
      </c>
      <c r="H23" s="50"/>
      <c r="I23" s="88">
        <f t="shared" si="0"/>
        <v>0</v>
      </c>
    </row>
    <row r="24" spans="2:9" ht="12.75" customHeight="1">
      <c r="B24" s="14"/>
      <c r="C24" s="15"/>
      <c r="D24" s="15"/>
      <c r="E24" s="16">
        <v>613700</v>
      </c>
      <c r="F24" s="15" t="s">
        <v>10</v>
      </c>
      <c r="G24" s="50">
        <v>92000</v>
      </c>
      <c r="H24" s="50"/>
      <c r="I24" s="88">
        <f t="shared" si="0"/>
        <v>0</v>
      </c>
    </row>
    <row r="25" spans="2:9" ht="12.75" customHeight="1">
      <c r="B25" s="14"/>
      <c r="C25" s="15"/>
      <c r="D25" s="15"/>
      <c r="E25" s="16">
        <v>613800</v>
      </c>
      <c r="F25" s="15" t="s">
        <v>86</v>
      </c>
      <c r="G25" s="50">
        <v>16000</v>
      </c>
      <c r="H25" s="50"/>
      <c r="I25" s="88">
        <f t="shared" si="0"/>
        <v>0</v>
      </c>
    </row>
    <row r="26" spans="2:9" ht="12.75" customHeight="1">
      <c r="B26" s="14"/>
      <c r="C26" s="15"/>
      <c r="D26" s="15"/>
      <c r="E26" s="16">
        <v>613900</v>
      </c>
      <c r="F26" s="15" t="s">
        <v>87</v>
      </c>
      <c r="G26" s="50">
        <v>150000</v>
      </c>
      <c r="H26" s="50"/>
      <c r="I26" s="88">
        <f t="shared" si="0"/>
        <v>0</v>
      </c>
    </row>
    <row r="27" spans="2:10" ht="12.75" customHeight="1">
      <c r="B27" s="14"/>
      <c r="C27" s="15"/>
      <c r="D27" s="15"/>
      <c r="E27" s="16">
        <v>613900</v>
      </c>
      <c r="F27" s="132" t="s">
        <v>150</v>
      </c>
      <c r="G27" s="69">
        <v>0</v>
      </c>
      <c r="H27" s="69"/>
      <c r="I27" s="88">
        <f t="shared" si="0"/>
      </c>
      <c r="J27" s="53"/>
    </row>
    <row r="28" spans="2:9" s="1" customFormat="1" ht="12.75" customHeight="1">
      <c r="B28" s="17"/>
      <c r="C28" s="12"/>
      <c r="D28" s="12"/>
      <c r="E28" s="39"/>
      <c r="F28" s="12"/>
      <c r="G28" s="50"/>
      <c r="H28" s="50"/>
      <c r="I28" s="88">
        <f t="shared" si="0"/>
      </c>
    </row>
    <row r="29" spans="2:9" ht="12.75" customHeight="1">
      <c r="B29" s="14"/>
      <c r="C29" s="15"/>
      <c r="D29" s="29"/>
      <c r="E29" s="41"/>
      <c r="F29" s="38"/>
      <c r="G29" s="50"/>
      <c r="H29" s="50"/>
      <c r="I29" s="88">
        <f t="shared" si="0"/>
      </c>
    </row>
    <row r="30" spans="2:9" ht="12.75" customHeight="1">
      <c r="B30" s="14"/>
      <c r="C30" s="15"/>
      <c r="D30" s="15"/>
      <c r="E30" s="40"/>
      <c r="F30" s="15"/>
      <c r="G30" s="50"/>
      <c r="H30" s="50"/>
      <c r="I30" s="88">
        <f t="shared" si="0"/>
      </c>
    </row>
    <row r="31" spans="2:9" ht="12.75" customHeight="1">
      <c r="B31" s="14"/>
      <c r="C31" s="15"/>
      <c r="D31" s="15"/>
      <c r="E31" s="16"/>
      <c r="F31" s="15"/>
      <c r="G31" s="50"/>
      <c r="H31" s="50"/>
      <c r="I31" s="88">
        <f t="shared" si="0"/>
      </c>
    </row>
    <row r="32" spans="2:9" ht="12.75" customHeight="1">
      <c r="B32" s="14"/>
      <c r="C32" s="15"/>
      <c r="D32" s="15"/>
      <c r="E32" s="16"/>
      <c r="F32" s="15"/>
      <c r="G32" s="50"/>
      <c r="H32" s="50"/>
      <c r="I32" s="88">
        <f t="shared" si="0"/>
      </c>
    </row>
    <row r="33" spans="2:9" ht="12.75" customHeight="1">
      <c r="B33" s="14"/>
      <c r="C33" s="15"/>
      <c r="D33" s="15"/>
      <c r="E33" s="16"/>
      <c r="F33" s="15"/>
      <c r="G33" s="50"/>
      <c r="H33" s="50"/>
      <c r="I33" s="88">
        <f t="shared" si="0"/>
      </c>
    </row>
    <row r="34" spans="2:9" ht="12.75" customHeight="1">
      <c r="B34" s="14"/>
      <c r="C34" s="15"/>
      <c r="D34" s="15"/>
      <c r="E34" s="16"/>
      <c r="F34" s="19"/>
      <c r="G34" s="50"/>
      <c r="H34" s="50"/>
      <c r="I34" s="88">
        <f t="shared" si="0"/>
      </c>
    </row>
    <row r="35" spans="2:9" ht="12.75" customHeight="1">
      <c r="B35" s="14"/>
      <c r="C35" s="15"/>
      <c r="D35" s="15"/>
      <c r="E35" s="16"/>
      <c r="F35" s="15"/>
      <c r="G35" s="61"/>
      <c r="H35" s="61"/>
      <c r="I35" s="88">
        <f t="shared" si="0"/>
      </c>
    </row>
    <row r="36" spans="2:9" s="1" customFormat="1" ht="12.75" customHeight="1">
      <c r="B36" s="17"/>
      <c r="C36" s="12"/>
      <c r="D36" s="12"/>
      <c r="E36" s="9">
        <v>821000</v>
      </c>
      <c r="F36" s="12" t="s">
        <v>13</v>
      </c>
      <c r="G36" s="61">
        <f>SUM(G37:G38)</f>
        <v>150000</v>
      </c>
      <c r="H36" s="61">
        <f>SUM(H37:H38)</f>
        <v>0</v>
      </c>
      <c r="I36" s="87">
        <f t="shared" si="0"/>
        <v>0</v>
      </c>
    </row>
    <row r="37" spans="2:9" ht="12.75" customHeight="1">
      <c r="B37" s="14"/>
      <c r="C37" s="15"/>
      <c r="D37" s="15"/>
      <c r="E37" s="16">
        <v>821200</v>
      </c>
      <c r="F37" s="15" t="s">
        <v>14</v>
      </c>
      <c r="G37" s="50">
        <v>40000</v>
      </c>
      <c r="H37" s="50"/>
      <c r="I37" s="88">
        <f t="shared" si="0"/>
        <v>0</v>
      </c>
    </row>
    <row r="38" spans="2:9" ht="12.75" customHeight="1">
      <c r="B38" s="14"/>
      <c r="C38" s="15"/>
      <c r="D38" s="15"/>
      <c r="E38" s="16">
        <v>821300</v>
      </c>
      <c r="F38" s="15" t="s">
        <v>15</v>
      </c>
      <c r="G38" s="50">
        <v>110000</v>
      </c>
      <c r="H38" s="50"/>
      <c r="I38" s="88">
        <f t="shared" si="0"/>
        <v>0</v>
      </c>
    </row>
    <row r="39" spans="2:9" ht="12.75" customHeight="1">
      <c r="B39" s="14"/>
      <c r="C39" s="15"/>
      <c r="D39" s="15"/>
      <c r="E39" s="16"/>
      <c r="F39" s="15"/>
      <c r="G39" s="32"/>
      <c r="H39" s="32"/>
      <c r="I39" s="88">
        <f t="shared" si="0"/>
      </c>
    </row>
    <row r="40" spans="2:9" ht="12.75" customHeight="1">
      <c r="B40" s="14"/>
      <c r="C40" s="15"/>
      <c r="D40" s="15"/>
      <c r="E40" s="16"/>
      <c r="F40" s="15"/>
      <c r="G40" s="20"/>
      <c r="H40" s="20"/>
      <c r="I40" s="88">
        <f t="shared" si="0"/>
      </c>
    </row>
    <row r="41" spans="2:9" s="1" customFormat="1" ht="12.75" customHeight="1">
      <c r="B41" s="17"/>
      <c r="C41" s="12"/>
      <c r="D41" s="12"/>
      <c r="E41" s="9"/>
      <c r="F41" s="12" t="s">
        <v>16</v>
      </c>
      <c r="G41" s="61">
        <v>213</v>
      </c>
      <c r="H41" s="61"/>
      <c r="I41" s="88"/>
    </row>
    <row r="42" spans="2:9" s="1" customFormat="1" ht="12.75" customHeight="1">
      <c r="B42" s="17"/>
      <c r="C42" s="12"/>
      <c r="D42" s="12"/>
      <c r="E42" s="9"/>
      <c r="F42" s="12" t="s">
        <v>32</v>
      </c>
      <c r="G42" s="20">
        <f>G7+G13+G17+G36</f>
        <v>6315560</v>
      </c>
      <c r="H42" s="20">
        <f>H7+H13+H17+H36</f>
        <v>0</v>
      </c>
      <c r="I42" s="87">
        <f t="shared" si="0"/>
        <v>0</v>
      </c>
    </row>
    <row r="43" spans="2:9" s="1" customFormat="1" ht="12.75" customHeight="1">
      <c r="B43" s="17"/>
      <c r="C43" s="12"/>
      <c r="D43" s="12"/>
      <c r="E43" s="9"/>
      <c r="F43" s="12" t="s">
        <v>17</v>
      </c>
      <c r="G43" s="20">
        <f>G42</f>
        <v>6315560</v>
      </c>
      <c r="H43" s="20">
        <f>H42</f>
        <v>0</v>
      </c>
      <c r="I43" s="87">
        <f t="shared" si="0"/>
        <v>0</v>
      </c>
    </row>
    <row r="44" spans="2:9" s="1" customFormat="1" ht="12.75" customHeight="1">
      <c r="B44" s="17"/>
      <c r="C44" s="12"/>
      <c r="D44" s="12"/>
      <c r="E44" s="9"/>
      <c r="F44" s="12" t="s">
        <v>18</v>
      </c>
      <c r="G44" s="20">
        <f>G43</f>
        <v>6315560</v>
      </c>
      <c r="H44" s="20">
        <f>H43</f>
        <v>0</v>
      </c>
      <c r="I44" s="87">
        <f t="shared" si="0"/>
        <v>0</v>
      </c>
    </row>
    <row r="45" spans="2:9" ht="12.75" customHeight="1" thickBot="1">
      <c r="B45" s="21"/>
      <c r="C45" s="22"/>
      <c r="D45" s="22"/>
      <c r="E45" s="23"/>
      <c r="F45" s="22"/>
      <c r="G45" s="22"/>
      <c r="H45" s="22"/>
      <c r="I45" s="91"/>
    </row>
    <row r="47" ht="12.75">
      <c r="B47" s="49"/>
    </row>
    <row r="48" ht="12.75">
      <c r="B48" s="49"/>
    </row>
    <row r="49" ht="12.75">
      <c r="B49" s="49"/>
    </row>
    <row r="50" ht="12.75">
      <c r="B50" s="49"/>
    </row>
    <row r="51" ht="12.75">
      <c r="B51" s="49"/>
    </row>
    <row r="52" ht="12.75">
      <c r="B52" s="49"/>
    </row>
  </sheetData>
  <sheetProtection/>
  <mergeCells count="2">
    <mergeCell ref="B2:H2"/>
    <mergeCell ref="F3:G3"/>
  </mergeCells>
  <printOptions/>
  <pageMargins left="0.1968503937007874" right="0.1968503937007874" top="0.5905511811023623" bottom="0.5905511811023623" header="0.5118110236220472" footer="0.5118110236220472"/>
  <pageSetup firstPageNumber="10" useFirstPageNumber="1" horizontalDpi="180" verticalDpi="180" orientation="portrait" paperSize="9" scale="88" r:id="rId1"/>
  <headerFooter alignWithMargins="0">
    <oddFooter>&amp;R16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operater</dc:creator>
  <cp:keywords/>
  <dc:description/>
  <cp:lastModifiedBy>Ružica Živković</cp:lastModifiedBy>
  <cp:lastPrinted>2017-01-09T09:18:32Z</cp:lastPrinted>
  <dcterms:created xsi:type="dcterms:W3CDTF">2004-07-23T11:14:23Z</dcterms:created>
  <dcterms:modified xsi:type="dcterms:W3CDTF">2017-10-10T11:22:52Z</dcterms:modified>
  <cp:category/>
  <cp:version/>
  <cp:contentType/>
  <cp:contentStatus/>
</cp:coreProperties>
</file>