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2" sheetId="65064" r:id="rId8"/>
    <sheet name="3" sheetId="65065" r:id="rId9"/>
    <sheet name="4" sheetId="65066" r:id="rId10"/>
    <sheet name="5" sheetId="65067" r:id="rId11"/>
    <sheet name="6" sheetId="65099" r:id="rId12"/>
    <sheet name="7" sheetId="65123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Rashodi!$1:$5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20">'15'!$B$1:$K$41</definedName>
    <definedName name="_xlnm.Print_Area" localSheetId="21">'16'!$A$1:$K$55</definedName>
    <definedName name="_xlnm.Print_Area" localSheetId="22">'17'!$A$1:$K$46</definedName>
    <definedName name="_xlnm.Print_Area" localSheetId="26">'21'!$A$1:$K$35</definedName>
    <definedName name="_xlnm.Print_Area" localSheetId="44">Funkcijska!$A$7:$F$114</definedName>
    <definedName name="_xlnm.Print_Area" localSheetId="4">Prihodi!$B$4:$H$212</definedName>
    <definedName name="_xlnm.Print_Area" localSheetId="5">Rashodi!$C$6:$I$117</definedName>
    <definedName name="_xlnm.Print_Area" localSheetId="1">Sadrzaj!$A$1:$J$48</definedName>
    <definedName name="_xlnm.Print_Area" localSheetId="2">Uvod!$A$1:$E$58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J9" i="65070"/>
  <c r="J13"/>
  <c r="J8"/>
  <c r="E166" i="65139"/>
  <c r="F166"/>
  <c r="D166"/>
  <c r="G166"/>
  <c r="H168"/>
  <c r="J9" i="65115"/>
  <c r="J13"/>
  <c r="J8"/>
  <c r="H73" i="300"/>
  <c r="G73"/>
  <c r="F73"/>
  <c r="I73" s="1"/>
  <c r="E73"/>
  <c r="K43" i="65065"/>
  <c r="E149" i="65139"/>
  <c r="F149"/>
  <c r="G149"/>
  <c r="D149"/>
  <c r="D206"/>
  <c r="D204"/>
  <c r="D195"/>
  <c r="B30" i="304" s="1"/>
  <c r="D185" i="65139"/>
  <c r="D177"/>
  <c r="D176" s="1"/>
  <c r="D175" s="1"/>
  <c r="D164"/>
  <c r="D157"/>
  <c r="D156" s="1"/>
  <c r="D151"/>
  <c r="D138"/>
  <c r="D137" s="1"/>
  <c r="D133"/>
  <c r="D126"/>
  <c r="D120"/>
  <c r="D119" s="1"/>
  <c r="D117"/>
  <c r="D115"/>
  <c r="D113"/>
  <c r="D110"/>
  <c r="D105"/>
  <c r="D95"/>
  <c r="D94" s="1"/>
  <c r="D90"/>
  <c r="D85"/>
  <c r="D84" s="1"/>
  <c r="D80"/>
  <c r="D76"/>
  <c r="D74" s="1"/>
  <c r="D71"/>
  <c r="D69"/>
  <c r="D66"/>
  <c r="D64"/>
  <c r="D60"/>
  <c r="D57"/>
  <c r="D50"/>
  <c r="D49" s="1"/>
  <c r="B26" i="304" s="1"/>
  <c r="D46" i="65139"/>
  <c r="D45" s="1"/>
  <c r="B25" i="304" s="1"/>
  <c r="D37" i="65139"/>
  <c r="D36" s="1"/>
  <c r="B24" i="304" s="1"/>
  <c r="D34" i="65139"/>
  <c r="D32"/>
  <c r="D27"/>
  <c r="D19"/>
  <c r="D18" s="1"/>
  <c r="B22" i="304" s="1"/>
  <c r="D15" i="65139"/>
  <c r="D14" s="1"/>
  <c r="B21" i="304" s="1"/>
  <c r="D11" i="65139"/>
  <c r="D7"/>
  <c r="B45" i="304"/>
  <c r="I13" i="300"/>
  <c r="I19"/>
  <c r="I22"/>
  <c r="I44"/>
  <c r="I85"/>
  <c r="I88"/>
  <c r="I94"/>
  <c r="I100"/>
  <c r="I106"/>
  <c r="D70" i="65137"/>
  <c r="D86"/>
  <c r="D76"/>
  <c r="D72"/>
  <c r="D69"/>
  <c r="D65"/>
  <c r="D64"/>
  <c r="D39"/>
  <c r="D32"/>
  <c r="D29"/>
  <c r="D26"/>
  <c r="D25"/>
  <c r="D24"/>
  <c r="D11"/>
  <c r="K32" i="65095"/>
  <c r="K33"/>
  <c r="K34"/>
  <c r="K33" i="65093"/>
  <c r="K35"/>
  <c r="K36"/>
  <c r="K37"/>
  <c r="K33" i="65080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K28" i="65079"/>
  <c r="K29"/>
  <c r="K30"/>
  <c r="K31"/>
  <c r="K32"/>
  <c r="K33"/>
  <c r="K34"/>
  <c r="K35"/>
  <c r="K36"/>
  <c r="K33" i="65078"/>
  <c r="K34"/>
  <c r="K35"/>
  <c r="K36"/>
  <c r="K29" i="65077"/>
  <c r="K30"/>
  <c r="K31"/>
  <c r="K32"/>
  <c r="K33"/>
  <c r="K34"/>
  <c r="K34" i="65076"/>
  <c r="K35"/>
  <c r="K36"/>
  <c r="K37"/>
  <c r="K38"/>
  <c r="K39"/>
  <c r="K40"/>
  <c r="K41"/>
  <c r="K42"/>
  <c r="K43"/>
  <c r="K44"/>
  <c r="K45"/>
  <c r="K46"/>
  <c r="K47"/>
  <c r="K48"/>
  <c r="K49"/>
  <c r="K35" i="65066"/>
  <c r="K34" i="65065"/>
  <c r="K35"/>
  <c r="K36"/>
  <c r="K37"/>
  <c r="K38"/>
  <c r="K39"/>
  <c r="K40"/>
  <c r="K41"/>
  <c r="K42"/>
  <c r="K44"/>
  <c r="K45"/>
  <c r="K47"/>
  <c r="K48"/>
  <c r="K50"/>
  <c r="K51"/>
  <c r="K52"/>
  <c r="K53"/>
  <c r="K31" i="65095"/>
  <c r="K31" i="65093"/>
  <c r="K31" i="65122"/>
  <c r="K31" i="65080"/>
  <c r="K31" i="65078"/>
  <c r="K31" i="65075"/>
  <c r="K31" i="65071"/>
  <c r="K31" i="65066"/>
  <c r="K31" i="65064"/>
  <c r="K33" i="65066"/>
  <c r="K33" i="65067"/>
  <c r="K34"/>
  <c r="K33" i="65099"/>
  <c r="K34"/>
  <c r="K33" i="65068"/>
  <c r="K34"/>
  <c r="K33" i="65069"/>
  <c r="K34"/>
  <c r="K33" i="65070"/>
  <c r="K34"/>
  <c r="K33" i="65071"/>
  <c r="K34"/>
  <c r="K33" i="65074"/>
  <c r="K34"/>
  <c r="K33" i="65100"/>
  <c r="K33" i="65075"/>
  <c r="K34"/>
  <c r="K33" i="65076"/>
  <c r="K33" i="65082"/>
  <c r="K34"/>
  <c r="K33" i="65081"/>
  <c r="K34"/>
  <c r="K33" i="65083"/>
  <c r="K34"/>
  <c r="K33" i="65084"/>
  <c r="K34"/>
  <c r="K33" i="65085"/>
  <c r="K34"/>
  <c r="K33" i="65086"/>
  <c r="K34"/>
  <c r="K33" i="65087"/>
  <c r="K34"/>
  <c r="K33" i="65088"/>
  <c r="K34"/>
  <c r="K33" i="65094"/>
  <c r="K34"/>
  <c r="K33" i="65096"/>
  <c r="K34"/>
  <c r="K33" i="65097"/>
  <c r="K34"/>
  <c r="K33" i="65098"/>
  <c r="K34"/>
  <c r="K33" i="65105"/>
  <c r="K34"/>
  <c r="K33" i="16"/>
  <c r="K34"/>
  <c r="K9" i="65064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9" i="65065"/>
  <c r="K10"/>
  <c r="K11"/>
  <c r="K16"/>
  <c r="K19"/>
  <c r="K21"/>
  <c r="K22"/>
  <c r="K23"/>
  <c r="K24"/>
  <c r="K25"/>
  <c r="K26"/>
  <c r="K27"/>
  <c r="K28"/>
  <c r="K29"/>
  <c r="K30"/>
  <c r="K32"/>
  <c r="K9" i="6506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6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123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6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6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70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9" i="6507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9" i="65074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10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115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9" i="65075"/>
  <c r="K10"/>
  <c r="K11"/>
  <c r="K12"/>
  <c r="K13"/>
  <c r="K14"/>
  <c r="K16"/>
  <c r="K17"/>
  <c r="K18"/>
  <c r="K19"/>
  <c r="K20"/>
  <c r="K21"/>
  <c r="K22"/>
  <c r="K23"/>
  <c r="K24"/>
  <c r="K25"/>
  <c r="K26"/>
  <c r="K27"/>
  <c r="K29"/>
  <c r="K30"/>
  <c r="K32"/>
  <c r="K9" i="6507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77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9" i="6507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2"/>
  <c r="K9" i="65079"/>
  <c r="K10"/>
  <c r="K11"/>
  <c r="K12"/>
  <c r="K13"/>
  <c r="K14"/>
  <c r="K15"/>
  <c r="K16"/>
  <c r="K17"/>
  <c r="K18"/>
  <c r="K19"/>
  <c r="K20"/>
  <c r="K21"/>
  <c r="K22"/>
  <c r="K23"/>
  <c r="K24"/>
  <c r="K25"/>
  <c r="K26"/>
  <c r="K9" i="6508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122"/>
  <c r="K10"/>
  <c r="K11"/>
  <c r="K12"/>
  <c r="K13"/>
  <c r="K14"/>
  <c r="K16"/>
  <c r="K17"/>
  <c r="K18"/>
  <c r="K19"/>
  <c r="K20"/>
  <c r="K21"/>
  <c r="K22"/>
  <c r="K23"/>
  <c r="K24"/>
  <c r="K25"/>
  <c r="K26"/>
  <c r="K27"/>
  <c r="K28"/>
  <c r="K29"/>
  <c r="K30"/>
  <c r="K9" i="65083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4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8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3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4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5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9" i="6509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09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6510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9" i="1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8" i="65064"/>
  <c r="K8" i="65065"/>
  <c r="K8" i="65066"/>
  <c r="K8" i="65067"/>
  <c r="K8" i="65099"/>
  <c r="K8" i="65123"/>
  <c r="K8" i="65068"/>
  <c r="K8" i="65069"/>
  <c r="K8" i="65070"/>
  <c r="K8" i="65071"/>
  <c r="K8" i="65074"/>
  <c r="K8" i="65100"/>
  <c r="K8" i="65115"/>
  <c r="K8" i="65075"/>
  <c r="K8" i="65076"/>
  <c r="K8" i="65077"/>
  <c r="K8" i="65078"/>
  <c r="K8" i="65079"/>
  <c r="K8" i="65080"/>
  <c r="K8" i="65082"/>
  <c r="K8" i="65081"/>
  <c r="K8" i="65122"/>
  <c r="K8" i="65083"/>
  <c r="K8" i="65084"/>
  <c r="K8" i="65085"/>
  <c r="K8" i="65086"/>
  <c r="K8" i="65087"/>
  <c r="K8" i="65088"/>
  <c r="K8" i="65089"/>
  <c r="K8" i="65093"/>
  <c r="K8" i="65094"/>
  <c r="K8" i="65095"/>
  <c r="K8" i="65096"/>
  <c r="K8" i="65097"/>
  <c r="K8" i="65098"/>
  <c r="K8" i="65105"/>
  <c r="K8" i="16"/>
  <c r="K7" i="65064"/>
  <c r="K7" i="65066"/>
  <c r="K7" i="65067"/>
  <c r="K7" i="65099"/>
  <c r="K7" i="65123"/>
  <c r="K7" i="65068"/>
  <c r="K7" i="65069"/>
  <c r="K7" i="65071"/>
  <c r="K7" i="65074"/>
  <c r="K7" i="65100"/>
  <c r="K7" i="65075"/>
  <c r="K7" i="65076"/>
  <c r="K7" i="65077"/>
  <c r="K7" i="65078"/>
  <c r="K7" i="65079"/>
  <c r="K7" i="65080"/>
  <c r="K7" i="65082"/>
  <c r="K7" i="65081"/>
  <c r="K7" i="65122"/>
  <c r="K7" i="65083"/>
  <c r="K7" i="65084"/>
  <c r="K7" i="65085"/>
  <c r="K7" i="65086"/>
  <c r="K7" i="65087"/>
  <c r="K7" i="65088"/>
  <c r="K7" i="65089"/>
  <c r="K7" i="65093"/>
  <c r="K7" i="65094"/>
  <c r="K7" i="65095"/>
  <c r="K7" i="65096"/>
  <c r="K7" i="65097"/>
  <c r="K7" i="65098"/>
  <c r="K7" i="65105"/>
  <c r="K7" i="16"/>
  <c r="I7" i="65105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98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97"/>
  <c r="H8"/>
  <c r="H7" s="1"/>
  <c r="H32" s="1"/>
  <c r="H33" s="1"/>
  <c r="H34" s="1"/>
  <c r="H9"/>
  <c r="I12"/>
  <c r="I32" s="1"/>
  <c r="I33" s="1"/>
  <c r="I34" s="1"/>
  <c r="H13"/>
  <c r="H12" s="1"/>
  <c r="H15"/>
  <c r="I15"/>
  <c r="H27"/>
  <c r="I27"/>
  <c r="I7" i="65096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95"/>
  <c r="I36" s="1"/>
  <c r="I37" s="1"/>
  <c r="I38" s="1"/>
  <c r="H8"/>
  <c r="H7" s="1"/>
  <c r="H36" s="1"/>
  <c r="H37" s="1"/>
  <c r="H38" s="1"/>
  <c r="H9"/>
  <c r="I12"/>
  <c r="H13"/>
  <c r="H12" s="1"/>
  <c r="H15"/>
  <c r="I15"/>
  <c r="H27"/>
  <c r="I27"/>
  <c r="H31"/>
  <c r="I31"/>
  <c r="I7" i="65094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93"/>
  <c r="H8"/>
  <c r="H7" s="1"/>
  <c r="H35" s="1"/>
  <c r="H36" s="1"/>
  <c r="H37" s="1"/>
  <c r="H9"/>
  <c r="I12"/>
  <c r="I35" s="1"/>
  <c r="I36" s="1"/>
  <c r="I37" s="1"/>
  <c r="H13"/>
  <c r="H12" s="1"/>
  <c r="H15"/>
  <c r="I15"/>
  <c r="H27"/>
  <c r="I27"/>
  <c r="H30"/>
  <c r="I30"/>
  <c r="I7" i="65089"/>
  <c r="I32" s="1"/>
  <c r="I33" s="1"/>
  <c r="H8"/>
  <c r="H7" s="1"/>
  <c r="H32" s="1"/>
  <c r="H33" s="1"/>
  <c r="H9"/>
  <c r="I12"/>
  <c r="H13"/>
  <c r="H12" s="1"/>
  <c r="H15"/>
  <c r="I15"/>
  <c r="H27"/>
  <c r="I27"/>
  <c r="I7" i="65088"/>
  <c r="I32" s="1"/>
  <c r="H8"/>
  <c r="H7" s="1"/>
  <c r="H32" s="1"/>
  <c r="H9"/>
  <c r="I12"/>
  <c r="H13"/>
  <c r="H12" s="1"/>
  <c r="H15"/>
  <c r="I15"/>
  <c r="H27"/>
  <c r="I27"/>
  <c r="I7" i="65087"/>
  <c r="H8"/>
  <c r="H7" s="1"/>
  <c r="H32" s="1"/>
  <c r="H9"/>
  <c r="I12"/>
  <c r="H13"/>
  <c r="H12" s="1"/>
  <c r="H15"/>
  <c r="I15"/>
  <c r="I27"/>
  <c r="H28"/>
  <c r="H27" s="1"/>
  <c r="I32"/>
  <c r="I7" i="65086"/>
  <c r="H8"/>
  <c r="H7" s="1"/>
  <c r="H32" s="1"/>
  <c r="H9"/>
  <c r="I12"/>
  <c r="I32" s="1"/>
  <c r="H13"/>
  <c r="H12" s="1"/>
  <c r="H15"/>
  <c r="I15"/>
  <c r="H27"/>
  <c r="I27"/>
  <c r="I7" i="65085"/>
  <c r="I32" s="1"/>
  <c r="H8"/>
  <c r="H7" s="1"/>
  <c r="H32" s="1"/>
  <c r="H9"/>
  <c r="I12"/>
  <c r="H13"/>
  <c r="H12" s="1"/>
  <c r="H15"/>
  <c r="I15"/>
  <c r="H27"/>
  <c r="I27"/>
  <c r="I7" i="65084"/>
  <c r="I32" s="1"/>
  <c r="H8"/>
  <c r="H7" s="1"/>
  <c r="H32" s="1"/>
  <c r="H9"/>
  <c r="I12"/>
  <c r="H13"/>
  <c r="H12" s="1"/>
  <c r="H15"/>
  <c r="I15"/>
  <c r="H27"/>
  <c r="I27"/>
  <c r="I7" i="65083"/>
  <c r="H8"/>
  <c r="H7" s="1"/>
  <c r="H32" s="1"/>
  <c r="H9"/>
  <c r="I12"/>
  <c r="I32" s="1"/>
  <c r="H13"/>
  <c r="H12" s="1"/>
  <c r="H15"/>
  <c r="I15"/>
  <c r="H27"/>
  <c r="I27"/>
  <c r="I7" i="65122"/>
  <c r="I33" s="1"/>
  <c r="I34" s="1"/>
  <c r="H8"/>
  <c r="H7" s="1"/>
  <c r="H33" s="1"/>
  <c r="H34" s="1"/>
  <c r="H9"/>
  <c r="I12"/>
  <c r="H13"/>
  <c r="H12" s="1"/>
  <c r="H15"/>
  <c r="I15"/>
  <c r="H28"/>
  <c r="I28"/>
  <c r="I7" i="65081"/>
  <c r="I32" s="1"/>
  <c r="H8"/>
  <c r="H7" s="1"/>
  <c r="H32" s="1"/>
  <c r="H9"/>
  <c r="I12"/>
  <c r="H13"/>
  <c r="H12" s="1"/>
  <c r="H15"/>
  <c r="I15"/>
  <c r="H27"/>
  <c r="I27"/>
  <c r="I7" i="65082"/>
  <c r="I32" s="1"/>
  <c r="H8"/>
  <c r="H7" s="1"/>
  <c r="H32" s="1"/>
  <c r="H9"/>
  <c r="I12"/>
  <c r="H13"/>
  <c r="H12" s="1"/>
  <c r="H15"/>
  <c r="I15"/>
  <c r="H27"/>
  <c r="I27"/>
  <c r="I7" i="65080"/>
  <c r="H8"/>
  <c r="H7" s="1"/>
  <c r="H52" s="1"/>
  <c r="H9"/>
  <c r="I12"/>
  <c r="I52" s="1"/>
  <c r="H13"/>
  <c r="H12" s="1"/>
  <c r="H15"/>
  <c r="I15"/>
  <c r="H29"/>
  <c r="I29"/>
  <c r="H38"/>
  <c r="I38"/>
  <c r="H41"/>
  <c r="I41"/>
  <c r="H44"/>
  <c r="I44"/>
  <c r="H48"/>
  <c r="I48"/>
  <c r="I7" i="65079"/>
  <c r="H8"/>
  <c r="H7" s="1"/>
  <c r="H38" s="1"/>
  <c r="H39" s="1"/>
  <c r="H40" s="1"/>
  <c r="H9"/>
  <c r="I12"/>
  <c r="I38" s="1"/>
  <c r="I39" s="1"/>
  <c r="I40" s="1"/>
  <c r="H13"/>
  <c r="H12" s="1"/>
  <c r="H15"/>
  <c r="I15"/>
  <c r="H27"/>
  <c r="I27"/>
  <c r="H33"/>
  <c r="I33"/>
  <c r="I7" i="65078"/>
  <c r="I38" s="1"/>
  <c r="I39" s="1"/>
  <c r="I40" s="1"/>
  <c r="H8"/>
  <c r="H7" s="1"/>
  <c r="H38" s="1"/>
  <c r="H39" s="1"/>
  <c r="H40" s="1"/>
  <c r="H9"/>
  <c r="I12"/>
  <c r="H13"/>
  <c r="H12" s="1"/>
  <c r="H15"/>
  <c r="I15"/>
  <c r="H28"/>
  <c r="I28"/>
  <c r="H32"/>
  <c r="I32"/>
  <c r="I7" i="65077"/>
  <c r="H8"/>
  <c r="H7" s="1"/>
  <c r="H36" s="1"/>
  <c r="H37" s="1"/>
  <c r="H38" s="1"/>
  <c r="H9"/>
  <c r="I12"/>
  <c r="I36" s="1"/>
  <c r="I37" s="1"/>
  <c r="I38" s="1"/>
  <c r="H13"/>
  <c r="H12" s="1"/>
  <c r="H15"/>
  <c r="I15"/>
  <c r="H27"/>
  <c r="I27"/>
  <c r="H31"/>
  <c r="I31"/>
  <c r="H7" i="65076"/>
  <c r="I7"/>
  <c r="I10"/>
  <c r="H11"/>
  <c r="H10" s="1"/>
  <c r="H51" s="1"/>
  <c r="H52" s="1"/>
  <c r="H53" s="1"/>
  <c r="H12"/>
  <c r="I15"/>
  <c r="I51" s="1"/>
  <c r="I52" s="1"/>
  <c r="I53" s="1"/>
  <c r="H16"/>
  <c r="H15" s="1"/>
  <c r="H18"/>
  <c r="I18"/>
  <c r="H31"/>
  <c r="I31"/>
  <c r="H36"/>
  <c r="I36"/>
  <c r="H41"/>
  <c r="I41"/>
  <c r="H45"/>
  <c r="I45"/>
  <c r="I7" i="65075"/>
  <c r="I36" s="1"/>
  <c r="I37" s="1"/>
  <c r="I38" s="1"/>
  <c r="H8"/>
  <c r="H7" s="1"/>
  <c r="H36" s="1"/>
  <c r="H37" s="1"/>
  <c r="H38" s="1"/>
  <c r="H9"/>
  <c r="I12"/>
  <c r="H13"/>
  <c r="H12" s="1"/>
  <c r="H15"/>
  <c r="I15"/>
  <c r="H28"/>
  <c r="I28"/>
  <c r="H31"/>
  <c r="I31"/>
  <c r="I7" i="65115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100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74"/>
  <c r="I32" s="1"/>
  <c r="I33" s="1"/>
  <c r="H8"/>
  <c r="H7" s="1"/>
  <c r="H32" s="1"/>
  <c r="H33" s="1"/>
  <c r="H9"/>
  <c r="I12"/>
  <c r="H13"/>
  <c r="H12" s="1"/>
  <c r="H15"/>
  <c r="I15"/>
  <c r="H27"/>
  <c r="I27"/>
  <c r="I7" i="65071"/>
  <c r="H8"/>
  <c r="H7" s="1"/>
  <c r="H33" s="1"/>
  <c r="H34" s="1"/>
  <c r="H9"/>
  <c r="I12"/>
  <c r="I33" s="1"/>
  <c r="I34" s="1"/>
  <c r="H13"/>
  <c r="H12" s="1"/>
  <c r="H15"/>
  <c r="I15"/>
  <c r="H28"/>
  <c r="I28"/>
  <c r="I7" i="65070"/>
  <c r="I32" s="1"/>
  <c r="H8"/>
  <c r="H7" s="1"/>
  <c r="H32" s="1"/>
  <c r="H9"/>
  <c r="I12"/>
  <c r="H13"/>
  <c r="H12" s="1"/>
  <c r="H15"/>
  <c r="I15"/>
  <c r="H27"/>
  <c r="I27"/>
  <c r="I7" i="65069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068"/>
  <c r="I32" s="1"/>
  <c r="I33" s="1"/>
  <c r="I34" s="1"/>
  <c r="H8"/>
  <c r="H7" s="1"/>
  <c r="H32" s="1"/>
  <c r="H33" s="1"/>
  <c r="H34" s="1"/>
  <c r="H9"/>
  <c r="I12"/>
  <c r="H13"/>
  <c r="H12" s="1"/>
  <c r="H15"/>
  <c r="I15"/>
  <c r="H27"/>
  <c r="I27"/>
  <c r="I7" i="65123"/>
  <c r="I32" s="1"/>
  <c r="H9"/>
  <c r="H7" s="1"/>
  <c r="H32" s="1"/>
  <c r="H12"/>
  <c r="I12"/>
  <c r="H15"/>
  <c r="I15"/>
  <c r="H27"/>
  <c r="I27"/>
  <c r="I7" i="65099"/>
  <c r="I32" s="1"/>
  <c r="H8"/>
  <c r="H7" s="1"/>
  <c r="H32" s="1"/>
  <c r="H9"/>
  <c r="I12"/>
  <c r="H13"/>
  <c r="H12" s="1"/>
  <c r="H15"/>
  <c r="I15"/>
  <c r="H27"/>
  <c r="I27"/>
  <c r="I7" i="65067"/>
  <c r="H8"/>
  <c r="H7" s="1"/>
  <c r="H32" s="1"/>
  <c r="H9"/>
  <c r="I12"/>
  <c r="I32" s="1"/>
  <c r="H13"/>
  <c r="H12" s="1"/>
  <c r="H15"/>
  <c r="I15"/>
  <c r="H27"/>
  <c r="I27"/>
  <c r="I7" i="65066"/>
  <c r="H8"/>
  <c r="H7" s="1"/>
  <c r="H9"/>
  <c r="I12"/>
  <c r="I35" s="1"/>
  <c r="H13"/>
  <c r="H12" s="1"/>
  <c r="H15"/>
  <c r="I15"/>
  <c r="H27"/>
  <c r="I27"/>
  <c r="H30"/>
  <c r="I30"/>
  <c r="H7" i="65065"/>
  <c r="I7"/>
  <c r="I12"/>
  <c r="H13"/>
  <c r="H12" s="1"/>
  <c r="H14"/>
  <c r="I17"/>
  <c r="H18"/>
  <c r="H17" s="1"/>
  <c r="H20"/>
  <c r="I20"/>
  <c r="H33"/>
  <c r="I33"/>
  <c r="H46"/>
  <c r="I46"/>
  <c r="I49"/>
  <c r="H52"/>
  <c r="H49" s="1"/>
  <c r="H7" i="65064"/>
  <c r="I7"/>
  <c r="H12"/>
  <c r="I12"/>
  <c r="H15"/>
  <c r="I15"/>
  <c r="H27"/>
  <c r="I27"/>
  <c r="H32"/>
  <c r="I32"/>
  <c r="H33"/>
  <c r="I33"/>
  <c r="H34"/>
  <c r="I34"/>
  <c r="I7" i="16"/>
  <c r="H9"/>
  <c r="H7" s="1"/>
  <c r="H12"/>
  <c r="I12"/>
  <c r="I15"/>
  <c r="H24"/>
  <c r="H15" s="1"/>
  <c r="H27"/>
  <c r="I27"/>
  <c r="I32"/>
  <c r="F76" i="300"/>
  <c r="I76" s="1"/>
  <c r="G76"/>
  <c r="H76"/>
  <c r="E76"/>
  <c r="J27" i="65095"/>
  <c r="K27" s="1"/>
  <c r="G27"/>
  <c r="J13" i="65105"/>
  <c r="J8"/>
  <c r="J13" i="65098"/>
  <c r="J8"/>
  <c r="J13" i="65097"/>
  <c r="J8"/>
  <c r="J13" i="65096"/>
  <c r="J8"/>
  <c r="J13" i="65095"/>
  <c r="J8"/>
  <c r="J13" i="65094"/>
  <c r="J8"/>
  <c r="J13" i="65093"/>
  <c r="J8"/>
  <c r="J13" i="65089"/>
  <c r="J8"/>
  <c r="J13" i="65088"/>
  <c r="J8"/>
  <c r="J13" i="65087"/>
  <c r="J8"/>
  <c r="J13" i="65086"/>
  <c r="J8"/>
  <c r="J13" i="65085"/>
  <c r="J8"/>
  <c r="J13" i="65084"/>
  <c r="J8"/>
  <c r="J13" i="65083"/>
  <c r="J8"/>
  <c r="J13" i="65122"/>
  <c r="J8"/>
  <c r="J13" i="65081"/>
  <c r="J8"/>
  <c r="J13" i="65082"/>
  <c r="J8"/>
  <c r="J13" i="65080"/>
  <c r="J8"/>
  <c r="J13" i="65079"/>
  <c r="J8"/>
  <c r="J13" i="65078"/>
  <c r="J8"/>
  <c r="J13" i="65077"/>
  <c r="J8"/>
  <c r="J16" i="65076"/>
  <c r="J11"/>
  <c r="J13" i="65075"/>
  <c r="J8"/>
  <c r="J13" i="65100"/>
  <c r="J8"/>
  <c r="J13" i="65074"/>
  <c r="J8"/>
  <c r="J13" i="65071"/>
  <c r="J8"/>
  <c r="J13" i="65069"/>
  <c r="J8"/>
  <c r="J13" i="65068"/>
  <c r="J8"/>
  <c r="J13" i="65123"/>
  <c r="J8"/>
  <c r="J13" i="65099"/>
  <c r="J8"/>
  <c r="J13" i="65067"/>
  <c r="J8"/>
  <c r="J13" i="65066"/>
  <c r="J8"/>
  <c r="J18" i="65065"/>
  <c r="J13"/>
  <c r="J13" i="16"/>
  <c r="J8"/>
  <c r="K13" i="65065" l="1"/>
  <c r="I55"/>
  <c r="I33" i="65123" s="1"/>
  <c r="I34" s="1"/>
  <c r="K18" i="65065"/>
  <c r="H55"/>
  <c r="D9" i="65137" s="1"/>
  <c r="D183" i="65139"/>
  <c r="D182" s="1"/>
  <c r="D170"/>
  <c r="D169" s="1"/>
  <c r="D56"/>
  <c r="D112"/>
  <c r="D89" s="1"/>
  <c r="D203"/>
  <c r="D202" s="1"/>
  <c r="D201" s="1"/>
  <c r="B40" i="304" s="1"/>
  <c r="D155" i="65139"/>
  <c r="D154" s="1"/>
  <c r="D148"/>
  <c r="D147" s="1"/>
  <c r="D73"/>
  <c r="D26"/>
  <c r="B23" i="304" s="1"/>
  <c r="D6" i="65139"/>
  <c r="B20" i="304" s="1"/>
  <c r="D174" i="65139"/>
  <c r="B29" i="304" s="1"/>
  <c r="H34" i="65089"/>
  <c r="I34"/>
  <c r="H35" i="65066"/>
  <c r="H32" i="16"/>
  <c r="H33" i="65123" l="1"/>
  <c r="H34" s="1"/>
  <c r="D68" i="65139"/>
  <c r="D55" s="1"/>
  <c r="B27" i="304" s="1"/>
  <c r="D5" i="65139"/>
  <c r="D146"/>
  <c r="B28" i="304" s="1"/>
  <c r="B19"/>
  <c r="H167" i="65139"/>
  <c r="H166"/>
  <c r="J9" i="65088"/>
  <c r="J9" i="65087"/>
  <c r="J9" i="65086"/>
  <c r="J9" i="65085"/>
  <c r="J9" i="65084"/>
  <c r="J9" i="65083"/>
  <c r="J30" i="65122"/>
  <c r="J9" i="65081"/>
  <c r="J9" i="65095"/>
  <c r="J9" i="65077"/>
  <c r="J9" i="65100"/>
  <c r="J9" i="65074"/>
  <c r="J9" i="65071"/>
  <c r="J9" i="65075"/>
  <c r="J9" i="65066"/>
  <c r="J9" i="65123"/>
  <c r="J9" i="65079"/>
  <c r="J31" i="65069"/>
  <c r="J9"/>
  <c r="J9" i="65068"/>
  <c r="J9" i="65067"/>
  <c r="J9" i="65105"/>
  <c r="J9" i="65093"/>
  <c r="H187" i="65139"/>
  <c r="J15" i="65065"/>
  <c r="K15" s="1"/>
  <c r="J31"/>
  <c r="K31" s="1"/>
  <c r="D144" i="65139" l="1"/>
  <c r="D199" s="1"/>
  <c r="D212" s="1"/>
  <c r="B18" i="304"/>
  <c r="J14" i="65065"/>
  <c r="K14" s="1"/>
  <c r="G86" i="65139"/>
  <c r="B52" i="304" l="1"/>
  <c r="J12" i="65076"/>
  <c r="J9" i="65080"/>
  <c r="J9" i="65082"/>
  <c r="J9" i="65122"/>
  <c r="J9" i="65089"/>
  <c r="J9" i="65094"/>
  <c r="J9" i="65096"/>
  <c r="J9" i="65098"/>
  <c r="J9" i="65097"/>
  <c r="J27" i="65093"/>
  <c r="J27" i="65079"/>
  <c r="K27" s="1"/>
  <c r="J9" i="65078"/>
  <c r="J9" i="65099"/>
  <c r="J27" i="65067"/>
  <c r="J9" i="16"/>
  <c r="G118" i="65139"/>
  <c r="G116"/>
  <c r="G196" l="1"/>
  <c r="F104" i="300" l="1"/>
  <c r="I104" s="1"/>
  <c r="G104"/>
  <c r="H104"/>
  <c r="F105"/>
  <c r="I105" s="1"/>
  <c r="G105"/>
  <c r="H105"/>
  <c r="E105"/>
  <c r="E104"/>
  <c r="J45" i="65076"/>
  <c r="G45"/>
  <c r="F102" i="300" l="1"/>
  <c r="G102"/>
  <c r="F103"/>
  <c r="G103"/>
  <c r="F96"/>
  <c r="G96"/>
  <c r="F97"/>
  <c r="G97"/>
  <c r="F98"/>
  <c r="G98"/>
  <c r="F99"/>
  <c r="G99"/>
  <c r="F90"/>
  <c r="G90"/>
  <c r="F91"/>
  <c r="G91"/>
  <c r="F92"/>
  <c r="G92"/>
  <c r="F93"/>
  <c r="G93"/>
  <c r="F87"/>
  <c r="G87"/>
  <c r="F83"/>
  <c r="G83"/>
  <c r="F84"/>
  <c r="G84"/>
  <c r="F78"/>
  <c r="G78"/>
  <c r="F79"/>
  <c r="G79"/>
  <c r="F80"/>
  <c r="G80"/>
  <c r="F81"/>
  <c r="G81"/>
  <c r="F66"/>
  <c r="G66"/>
  <c r="F67"/>
  <c r="G67"/>
  <c r="F68"/>
  <c r="G68"/>
  <c r="F69"/>
  <c r="G69"/>
  <c r="F70"/>
  <c r="G70"/>
  <c r="F71"/>
  <c r="G71"/>
  <c r="F72"/>
  <c r="G72"/>
  <c r="F74"/>
  <c r="G74"/>
  <c r="F75"/>
  <c r="G75"/>
  <c r="F58"/>
  <c r="G58"/>
  <c r="F59"/>
  <c r="G59"/>
  <c r="F60"/>
  <c r="G60"/>
  <c r="F61"/>
  <c r="G61"/>
  <c r="F62"/>
  <c r="G62"/>
  <c r="F63"/>
  <c r="G63"/>
  <c r="F64"/>
  <c r="G64"/>
  <c r="F47"/>
  <c r="G47"/>
  <c r="F48"/>
  <c r="G48"/>
  <c r="F49"/>
  <c r="G49"/>
  <c r="F50"/>
  <c r="G50"/>
  <c r="F51"/>
  <c r="G51"/>
  <c r="F52"/>
  <c r="I52" s="1"/>
  <c r="G52"/>
  <c r="F53"/>
  <c r="G53"/>
  <c r="F54"/>
  <c r="G54"/>
  <c r="F55"/>
  <c r="G55"/>
  <c r="F56"/>
  <c r="G56"/>
  <c r="F37"/>
  <c r="G37"/>
  <c r="F38"/>
  <c r="G38"/>
  <c r="F39"/>
  <c r="G39"/>
  <c r="F40"/>
  <c r="G40"/>
  <c r="F41"/>
  <c r="G41"/>
  <c r="F42"/>
  <c r="G42"/>
  <c r="F43"/>
  <c r="G43"/>
  <c r="F34"/>
  <c r="G34"/>
  <c r="F35"/>
  <c r="I35" s="1"/>
  <c r="G35"/>
  <c r="F31"/>
  <c r="G31"/>
  <c r="F32"/>
  <c r="G32"/>
  <c r="F24"/>
  <c r="G24"/>
  <c r="F25"/>
  <c r="G25"/>
  <c r="F26"/>
  <c r="G26"/>
  <c r="F27"/>
  <c r="G27"/>
  <c r="F28"/>
  <c r="G28"/>
  <c r="F29"/>
  <c r="G29"/>
  <c r="F21"/>
  <c r="G21"/>
  <c r="F15"/>
  <c r="G15"/>
  <c r="F17"/>
  <c r="G17"/>
  <c r="F18"/>
  <c r="G18"/>
  <c r="F9"/>
  <c r="G9"/>
  <c r="F10"/>
  <c r="G10"/>
  <c r="F11"/>
  <c r="G11"/>
  <c r="F12"/>
  <c r="G12"/>
  <c r="H101" i="65139"/>
  <c r="F71"/>
  <c r="F206"/>
  <c r="F204"/>
  <c r="F195"/>
  <c r="F185"/>
  <c r="F177"/>
  <c r="F176" s="1"/>
  <c r="F175" s="1"/>
  <c r="F164"/>
  <c r="F157"/>
  <c r="F156" s="1"/>
  <c r="F151"/>
  <c r="F138"/>
  <c r="F137" s="1"/>
  <c r="F133"/>
  <c r="F126"/>
  <c r="F120"/>
  <c r="F119" s="1"/>
  <c r="F117"/>
  <c r="F115"/>
  <c r="F113"/>
  <c r="F110"/>
  <c r="F105"/>
  <c r="F95"/>
  <c r="F94" s="1"/>
  <c r="F90"/>
  <c r="F85"/>
  <c r="F84" s="1"/>
  <c r="F80"/>
  <c r="F76"/>
  <c r="F74" s="1"/>
  <c r="F155" l="1"/>
  <c r="F65" i="300"/>
  <c r="G65"/>
  <c r="G101"/>
  <c r="F101"/>
  <c r="F16"/>
  <c r="G16"/>
  <c r="F203" i="65139"/>
  <c r="F202" s="1"/>
  <c r="F201" s="1"/>
  <c r="F183"/>
  <c r="F182" s="1"/>
  <c r="F170"/>
  <c r="F169" s="1"/>
  <c r="F154"/>
  <c r="F148"/>
  <c r="F147" s="1"/>
  <c r="F112"/>
  <c r="F89" s="1"/>
  <c r="F73"/>
  <c r="F174"/>
  <c r="F69"/>
  <c r="F66"/>
  <c r="F64"/>
  <c r="F60"/>
  <c r="F57"/>
  <c r="F50"/>
  <c r="F49" s="1"/>
  <c r="F46"/>
  <c r="F45" s="1"/>
  <c r="F37"/>
  <c r="F36" s="1"/>
  <c r="F34"/>
  <c r="F32"/>
  <c r="F27"/>
  <c r="F19"/>
  <c r="F18" s="1"/>
  <c r="F15"/>
  <c r="F14" s="1"/>
  <c r="F11"/>
  <c r="F7"/>
  <c r="F95" i="300"/>
  <c r="G95"/>
  <c r="F89"/>
  <c r="G89"/>
  <c r="F86"/>
  <c r="G86"/>
  <c r="G82"/>
  <c r="F82"/>
  <c r="F77"/>
  <c r="G77"/>
  <c r="F57"/>
  <c r="G57"/>
  <c r="F46"/>
  <c r="G46"/>
  <c r="F36"/>
  <c r="G36"/>
  <c r="F33"/>
  <c r="G33"/>
  <c r="F30"/>
  <c r="G30"/>
  <c r="F23"/>
  <c r="G23"/>
  <c r="F20"/>
  <c r="G20"/>
  <c r="G14"/>
  <c r="F8"/>
  <c r="G8"/>
  <c r="J12" i="65094"/>
  <c r="G31" i="65095"/>
  <c r="J31"/>
  <c r="G27" i="65093"/>
  <c r="G30"/>
  <c r="J30"/>
  <c r="G29" i="65080"/>
  <c r="J29"/>
  <c r="G27" i="65079"/>
  <c r="G28" i="65078"/>
  <c r="J28"/>
  <c r="K28" s="1"/>
  <c r="G27" i="65077"/>
  <c r="J27"/>
  <c r="K27" s="1"/>
  <c r="G31"/>
  <c r="J31"/>
  <c r="G31" i="65076"/>
  <c r="J31"/>
  <c r="K31" s="1"/>
  <c r="G28" i="65075"/>
  <c r="J28"/>
  <c r="K28" s="1"/>
  <c r="G31"/>
  <c r="J31"/>
  <c r="G27" i="65066"/>
  <c r="J27"/>
  <c r="F6" i="65139" l="1"/>
  <c r="F26"/>
  <c r="F56"/>
  <c r="F146"/>
  <c r="C32" i="304"/>
  <c r="C34"/>
  <c r="C35"/>
  <c r="C37"/>
  <c r="C38"/>
  <c r="C42"/>
  <c r="C47"/>
  <c r="F14" i="300"/>
  <c r="F45"/>
  <c r="G108"/>
  <c r="G45"/>
  <c r="G6" s="1"/>
  <c r="F68" i="65139"/>
  <c r="G27" i="65105"/>
  <c r="G15"/>
  <c r="G12"/>
  <c r="G27" i="65098"/>
  <c r="G15"/>
  <c r="G12"/>
  <c r="G27" i="65097"/>
  <c r="G15"/>
  <c r="G12"/>
  <c r="G27" i="65096"/>
  <c r="G15"/>
  <c r="G12"/>
  <c r="G15" i="65095"/>
  <c r="G12"/>
  <c r="G27" i="65094"/>
  <c r="G15"/>
  <c r="G12"/>
  <c r="G15" i="65093"/>
  <c r="G12"/>
  <c r="G27" i="65089"/>
  <c r="G15"/>
  <c r="G12"/>
  <c r="G27" i="65088"/>
  <c r="G15"/>
  <c r="G12"/>
  <c r="G27" i="65087"/>
  <c r="G15"/>
  <c r="G12"/>
  <c r="G27" i="65086"/>
  <c r="G15"/>
  <c r="G12"/>
  <c r="G27" i="65085"/>
  <c r="G15"/>
  <c r="G12"/>
  <c r="G27" i="65084"/>
  <c r="G15"/>
  <c r="G12"/>
  <c r="G27" i="65083"/>
  <c r="G15"/>
  <c r="G12"/>
  <c r="G28" i="65122"/>
  <c r="G15"/>
  <c r="G12"/>
  <c r="G27" i="65081"/>
  <c r="G15"/>
  <c r="G12"/>
  <c r="G27" i="65082"/>
  <c r="G15"/>
  <c r="G12"/>
  <c r="G48" i="65080"/>
  <c r="G44"/>
  <c r="G41"/>
  <c r="G38"/>
  <c r="G15"/>
  <c r="G12"/>
  <c r="G33" i="65079"/>
  <c r="G15"/>
  <c r="G12"/>
  <c r="G32" i="65078"/>
  <c r="G15"/>
  <c r="G12"/>
  <c r="G15" i="65077"/>
  <c r="G12"/>
  <c r="G41" i="65076"/>
  <c r="G36"/>
  <c r="G18"/>
  <c r="G15"/>
  <c r="G10"/>
  <c r="G7"/>
  <c r="G15" i="65075"/>
  <c r="G12"/>
  <c r="G27" i="65115"/>
  <c r="G15"/>
  <c r="G12"/>
  <c r="G27" i="65100"/>
  <c r="G15"/>
  <c r="G12"/>
  <c r="G27" i="65074"/>
  <c r="G15"/>
  <c r="G12"/>
  <c r="G28" i="65071"/>
  <c r="G15"/>
  <c r="G12"/>
  <c r="G27" i="65070"/>
  <c r="G15"/>
  <c r="G12"/>
  <c r="G27" i="65069"/>
  <c r="G15"/>
  <c r="G12"/>
  <c r="G7"/>
  <c r="G27" i="65068"/>
  <c r="G15"/>
  <c r="G12"/>
  <c r="G27" i="65123"/>
  <c r="G15"/>
  <c r="G12"/>
  <c r="G7"/>
  <c r="G27" i="65099"/>
  <c r="G15"/>
  <c r="G12"/>
  <c r="G27" i="65067"/>
  <c r="G15"/>
  <c r="G12"/>
  <c r="G7"/>
  <c r="G30" i="65066"/>
  <c r="G15"/>
  <c r="G12"/>
  <c r="G7"/>
  <c r="G49" i="65065"/>
  <c r="G46"/>
  <c r="G33"/>
  <c r="G20"/>
  <c r="G17"/>
  <c r="G7"/>
  <c r="G27" i="65064"/>
  <c r="G15"/>
  <c r="G12"/>
  <c r="G7"/>
  <c r="G27" i="16"/>
  <c r="G15"/>
  <c r="G12"/>
  <c r="G7"/>
  <c r="E206" i="65139"/>
  <c r="E204"/>
  <c r="E195"/>
  <c r="E185"/>
  <c r="E177"/>
  <c r="E176" s="1"/>
  <c r="E175" s="1"/>
  <c r="E164"/>
  <c r="E157"/>
  <c r="E156" s="1"/>
  <c r="E153"/>
  <c r="E151" s="1"/>
  <c r="E138"/>
  <c r="E137" s="1"/>
  <c r="E133"/>
  <c r="E126"/>
  <c r="E121"/>
  <c r="E120" s="1"/>
  <c r="E119" s="1"/>
  <c r="E117"/>
  <c r="E116"/>
  <c r="E115" s="1"/>
  <c r="E113"/>
  <c r="E110"/>
  <c r="E106"/>
  <c r="E105" s="1"/>
  <c r="E104"/>
  <c r="E95"/>
  <c r="E92"/>
  <c r="E91"/>
  <c r="E86"/>
  <c r="E85" s="1"/>
  <c r="E84" s="1"/>
  <c r="E80"/>
  <c r="E76"/>
  <c r="E74" s="1"/>
  <c r="E71"/>
  <c r="E69"/>
  <c r="E66"/>
  <c r="E64"/>
  <c r="E60"/>
  <c r="E57"/>
  <c r="E50"/>
  <c r="E49" s="1"/>
  <c r="E46"/>
  <c r="E45" s="1"/>
  <c r="E43"/>
  <c r="E39"/>
  <c r="E38"/>
  <c r="E34"/>
  <c r="E32"/>
  <c r="E27"/>
  <c r="E24"/>
  <c r="E19" s="1"/>
  <c r="E18" s="1"/>
  <c r="E15"/>
  <c r="E14" s="1"/>
  <c r="E11"/>
  <c r="E7"/>
  <c r="E37" l="1"/>
  <c r="E36" s="1"/>
  <c r="E6"/>
  <c r="E5" s="1"/>
  <c r="F55"/>
  <c r="E56"/>
  <c r="F5"/>
  <c r="E155"/>
  <c r="E154" s="1"/>
  <c r="E148"/>
  <c r="E147" s="1"/>
  <c r="E170"/>
  <c r="E169" s="1"/>
  <c r="E203"/>
  <c r="E202" s="1"/>
  <c r="E201" s="1"/>
  <c r="C36" i="304"/>
  <c r="C33"/>
  <c r="F6" i="300"/>
  <c r="G32" i="16"/>
  <c r="E183" i="65139"/>
  <c r="E182" s="1"/>
  <c r="E174" s="1"/>
  <c r="E112"/>
  <c r="E26"/>
  <c r="E90"/>
  <c r="E94"/>
  <c r="G7" i="65068"/>
  <c r="F108" i="300"/>
  <c r="F144" i="65139"/>
  <c r="F199" s="1"/>
  <c r="F212" s="1"/>
  <c r="G7" i="65088"/>
  <c r="G7" i="65087"/>
  <c r="G7" i="65083"/>
  <c r="G7" i="65122"/>
  <c r="G7" i="65081"/>
  <c r="G7" i="65082"/>
  <c r="G7" i="65078"/>
  <c r="G7" i="65077"/>
  <c r="G7" i="65099"/>
  <c r="G7" i="65070"/>
  <c r="G7" i="65071"/>
  <c r="G7" i="65074"/>
  <c r="G7" i="65100"/>
  <c r="G7" i="65075"/>
  <c r="G7" i="65089"/>
  <c r="G7" i="65093"/>
  <c r="G12" i="65065"/>
  <c r="G7" i="65115"/>
  <c r="G7" i="65079"/>
  <c r="G7" i="65095"/>
  <c r="G7" i="65096"/>
  <c r="G7" i="65097"/>
  <c r="G7" i="65098"/>
  <c r="G7" i="65105"/>
  <c r="G7" i="65084"/>
  <c r="G7" i="65085"/>
  <c r="G7" i="65080"/>
  <c r="G7" i="65086"/>
  <c r="G7" i="65094"/>
  <c r="E73" i="65139"/>
  <c r="E146" l="1"/>
  <c r="E89"/>
  <c r="E68" s="1"/>
  <c r="E55" s="1"/>
  <c r="E144" s="1"/>
  <c r="E199" l="1"/>
  <c r="E212" s="1"/>
  <c r="H179"/>
  <c r="H180"/>
  <c r="H181"/>
  <c r="C45" i="304"/>
  <c r="H43" i="300"/>
  <c r="I43" s="1"/>
  <c r="E43"/>
  <c r="J15" i="65122"/>
  <c r="K15" s="1"/>
  <c r="H42" i="300"/>
  <c r="I42" s="1"/>
  <c r="E42"/>
  <c r="J15" i="65075"/>
  <c r="K15" s="1"/>
  <c r="D28" i="65124"/>
  <c r="J7" i="65080"/>
  <c r="G206" i="65139"/>
  <c r="H206" s="1"/>
  <c r="H210"/>
  <c r="H209"/>
  <c r="H208"/>
  <c r="G204"/>
  <c r="G203" s="1"/>
  <c r="H205"/>
  <c r="H162"/>
  <c r="H106"/>
  <c r="H92"/>
  <c r="G120"/>
  <c r="G119" s="1"/>
  <c r="H119" s="1"/>
  <c r="H75"/>
  <c r="H150"/>
  <c r="H161"/>
  <c r="C30" i="304"/>
  <c r="H172" i="65139"/>
  <c r="H169"/>
  <c r="C24" i="304"/>
  <c r="C22"/>
  <c r="C21"/>
  <c r="J27" i="65085"/>
  <c r="J27" i="65064"/>
  <c r="J15"/>
  <c r="J12"/>
  <c r="J7"/>
  <c r="G32"/>
  <c r="G32" i="65099"/>
  <c r="G32" i="65070"/>
  <c r="G33" i="65071"/>
  <c r="G34" s="1"/>
  <c r="G51" i="65076"/>
  <c r="G52" s="1"/>
  <c r="G32" i="65096"/>
  <c r="G33" s="1"/>
  <c r="G34" s="1"/>
  <c r="G32" i="65097"/>
  <c r="H211" i="65139"/>
  <c r="H207"/>
  <c r="H200"/>
  <c r="H198"/>
  <c r="H197"/>
  <c r="H196"/>
  <c r="G195"/>
  <c r="D30" i="304" s="1"/>
  <c r="H194" i="65139"/>
  <c r="H193"/>
  <c r="H192"/>
  <c r="H191"/>
  <c r="H190"/>
  <c r="H189"/>
  <c r="H188"/>
  <c r="H186"/>
  <c r="G185"/>
  <c r="H185" s="1"/>
  <c r="H184"/>
  <c r="H178"/>
  <c r="G177"/>
  <c r="H177" s="1"/>
  <c r="H173"/>
  <c r="H165"/>
  <c r="G164"/>
  <c r="H163"/>
  <c r="H160"/>
  <c r="H159"/>
  <c r="G157"/>
  <c r="H157" s="1"/>
  <c r="H153"/>
  <c r="H152"/>
  <c r="G151"/>
  <c r="H151" s="1"/>
  <c r="J12" i="65098"/>
  <c r="J7"/>
  <c r="J12" i="65096"/>
  <c r="J7"/>
  <c r="J12" i="65071"/>
  <c r="J7"/>
  <c r="J12" i="65105"/>
  <c r="E41" i="65124" s="1"/>
  <c r="J7" i="65105"/>
  <c r="J12" i="65097"/>
  <c r="J7"/>
  <c r="J12" i="65095"/>
  <c r="J7"/>
  <c r="J7" i="65094"/>
  <c r="J12" i="65093"/>
  <c r="J7"/>
  <c r="J12" i="65089"/>
  <c r="J7"/>
  <c r="J12" i="65088"/>
  <c r="J7"/>
  <c r="J12" i="65087"/>
  <c r="E32" i="65124" s="1"/>
  <c r="J7" i="65087"/>
  <c r="J12" i="65086"/>
  <c r="J7"/>
  <c r="J12" i="65085"/>
  <c r="J7"/>
  <c r="J12" i="65084"/>
  <c r="J7"/>
  <c r="J12" i="65083"/>
  <c r="J7"/>
  <c r="J12" i="65122"/>
  <c r="J7"/>
  <c r="J12" i="65081"/>
  <c r="J7"/>
  <c r="J12" i="65082"/>
  <c r="J7"/>
  <c r="J12" i="65080"/>
  <c r="E24" i="65124" s="1"/>
  <c r="J12" i="65079"/>
  <c r="J7"/>
  <c r="J12" i="65078"/>
  <c r="J7"/>
  <c r="J12" i="65077"/>
  <c r="J7"/>
  <c r="J15" i="65076"/>
  <c r="E20" i="65124" s="1"/>
  <c r="J10" i="65076"/>
  <c r="J12" i="65075"/>
  <c r="J7"/>
  <c r="J12" i="65115"/>
  <c r="K12" s="1"/>
  <c r="J7"/>
  <c r="K7" s="1"/>
  <c r="J12" i="65100"/>
  <c r="J7"/>
  <c r="J12" i="65074"/>
  <c r="J7"/>
  <c r="J12" i="65070"/>
  <c r="K12" s="1"/>
  <c r="J7"/>
  <c r="K7" s="1"/>
  <c r="J12" i="65069"/>
  <c r="E13" i="65124" s="1"/>
  <c r="J7" i="65069"/>
  <c r="J12" i="65068"/>
  <c r="J7"/>
  <c r="J12" i="65123"/>
  <c r="J7"/>
  <c r="J12" i="65099"/>
  <c r="E10" i="65124" s="1"/>
  <c r="J7" i="65099"/>
  <c r="J12" i="65067"/>
  <c r="J7"/>
  <c r="J12" i="65066"/>
  <c r="J7"/>
  <c r="J17" i="65065"/>
  <c r="K17" s="1"/>
  <c r="J12"/>
  <c r="K12" s="1"/>
  <c r="J12" i="16"/>
  <c r="J7"/>
  <c r="H145" i="65139"/>
  <c r="H143"/>
  <c r="H142"/>
  <c r="H141"/>
  <c r="H140"/>
  <c r="H139"/>
  <c r="G138"/>
  <c r="G137" s="1"/>
  <c r="H137" s="1"/>
  <c r="H136"/>
  <c r="H135"/>
  <c r="H134"/>
  <c r="G133"/>
  <c r="H132"/>
  <c r="H131"/>
  <c r="H130"/>
  <c r="H129"/>
  <c r="H128"/>
  <c r="H127"/>
  <c r="G126"/>
  <c r="H126" s="1"/>
  <c r="H125"/>
  <c r="H124"/>
  <c r="H123"/>
  <c r="H122"/>
  <c r="H121"/>
  <c r="G117"/>
  <c r="H116"/>
  <c r="G115"/>
  <c r="G113"/>
  <c r="H111"/>
  <c r="G110"/>
  <c r="H110" s="1"/>
  <c r="H109"/>
  <c r="H108"/>
  <c r="H107"/>
  <c r="G105"/>
  <c r="H104"/>
  <c r="H103"/>
  <c r="H102"/>
  <c r="H100"/>
  <c r="H99"/>
  <c r="H98"/>
  <c r="H97"/>
  <c r="H96"/>
  <c r="G95"/>
  <c r="G94" s="1"/>
  <c r="H93"/>
  <c r="H91"/>
  <c r="H88"/>
  <c r="H87"/>
  <c r="H86"/>
  <c r="G85"/>
  <c r="G84" s="1"/>
  <c r="H84" s="1"/>
  <c r="H83"/>
  <c r="H82"/>
  <c r="H81"/>
  <c r="G80"/>
  <c r="H79"/>
  <c r="H78"/>
  <c r="H77"/>
  <c r="G76"/>
  <c r="G74" s="1"/>
  <c r="H72"/>
  <c r="G71"/>
  <c r="H71" s="1"/>
  <c r="H70"/>
  <c r="G69"/>
  <c r="H69" s="1"/>
  <c r="H67"/>
  <c r="G66"/>
  <c r="H66" s="1"/>
  <c r="H65"/>
  <c r="G64"/>
  <c r="H64" s="1"/>
  <c r="H63"/>
  <c r="H62"/>
  <c r="H61"/>
  <c r="G60"/>
  <c r="H59"/>
  <c r="H58"/>
  <c r="G57"/>
  <c r="H54"/>
  <c r="H53"/>
  <c r="H52"/>
  <c r="H51"/>
  <c r="G50"/>
  <c r="G49" s="1"/>
  <c r="H48"/>
  <c r="H47"/>
  <c r="G46"/>
  <c r="G45" s="1"/>
  <c r="H44"/>
  <c r="H43"/>
  <c r="H42"/>
  <c r="H41"/>
  <c r="H40"/>
  <c r="H39"/>
  <c r="H38"/>
  <c r="G37"/>
  <c r="G36" s="1"/>
  <c r="H35"/>
  <c r="G34"/>
  <c r="H34" s="1"/>
  <c r="H33"/>
  <c r="G32"/>
  <c r="H32" s="1"/>
  <c r="H31"/>
  <c r="H30"/>
  <c r="H29"/>
  <c r="H28"/>
  <c r="G27"/>
  <c r="H25"/>
  <c r="H24"/>
  <c r="H23"/>
  <c r="H22"/>
  <c r="H21"/>
  <c r="H20"/>
  <c r="G19"/>
  <c r="G18" s="1"/>
  <c r="H17"/>
  <c r="H16"/>
  <c r="G15"/>
  <c r="G14" s="1"/>
  <c r="H13"/>
  <c r="H12"/>
  <c r="G11"/>
  <c r="H11" s="1"/>
  <c r="H10"/>
  <c r="H9"/>
  <c r="H8"/>
  <c r="G7"/>
  <c r="E72" i="65137"/>
  <c r="E65"/>
  <c r="E64"/>
  <c r="H17" i="300"/>
  <c r="I17" s="1"/>
  <c r="H18"/>
  <c r="I18" s="1"/>
  <c r="E44" i="65125"/>
  <c r="F44"/>
  <c r="F10" i="65137"/>
  <c r="F12"/>
  <c r="F13"/>
  <c r="F14"/>
  <c r="F15"/>
  <c r="F16"/>
  <c r="D17"/>
  <c r="E17"/>
  <c r="F17"/>
  <c r="F18"/>
  <c r="F19"/>
  <c r="F20"/>
  <c r="F21"/>
  <c r="F22"/>
  <c r="F27"/>
  <c r="F28"/>
  <c r="F31"/>
  <c r="F33"/>
  <c r="F34"/>
  <c r="F35"/>
  <c r="F36"/>
  <c r="F37"/>
  <c r="F38"/>
  <c r="D40"/>
  <c r="E40"/>
  <c r="F40"/>
  <c r="F41"/>
  <c r="F42"/>
  <c r="F43"/>
  <c r="F44"/>
  <c r="F45"/>
  <c r="F46"/>
  <c r="D47"/>
  <c r="E47"/>
  <c r="F47"/>
  <c r="F48"/>
  <c r="F49"/>
  <c r="F50"/>
  <c r="F51"/>
  <c r="F52"/>
  <c r="F53"/>
  <c r="D54"/>
  <c r="E54"/>
  <c r="F54"/>
  <c r="F55"/>
  <c r="F56"/>
  <c r="F57"/>
  <c r="F58"/>
  <c r="F59"/>
  <c r="F60"/>
  <c r="F62"/>
  <c r="F63"/>
  <c r="D61"/>
  <c r="E61"/>
  <c r="F66"/>
  <c r="F67"/>
  <c r="F71"/>
  <c r="F73"/>
  <c r="F74"/>
  <c r="F75"/>
  <c r="F78"/>
  <c r="F79"/>
  <c r="F80"/>
  <c r="F81"/>
  <c r="F82"/>
  <c r="F83"/>
  <c r="F84"/>
  <c r="F85"/>
  <c r="C5" i="65124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J15" i="65105"/>
  <c r="J27"/>
  <c r="J15" i="65098"/>
  <c r="F40" i="65124" s="1"/>
  <c r="J27" i="65098"/>
  <c r="J15" i="65097"/>
  <c r="J27"/>
  <c r="J15" i="65096"/>
  <c r="J27"/>
  <c r="J15" i="65095"/>
  <c r="J15" i="65094"/>
  <c r="J27"/>
  <c r="J15" i="65093"/>
  <c r="G35" i="65124"/>
  <c r="J15" i="65089"/>
  <c r="J27"/>
  <c r="J15" i="65088"/>
  <c r="J27"/>
  <c r="D35" i="65125" s="1"/>
  <c r="C35" s="1"/>
  <c r="J15" i="65087"/>
  <c r="J27"/>
  <c r="D34" i="65125" s="1"/>
  <c r="C34" s="1"/>
  <c r="J15" i="65086"/>
  <c r="J27"/>
  <c r="J15" i="65085"/>
  <c r="J15" i="65084"/>
  <c r="F29" i="65124" s="1"/>
  <c r="J27" i="65084"/>
  <c r="D31" i="65125" s="1"/>
  <c r="C31" s="1"/>
  <c r="J15" i="65083"/>
  <c r="F28" i="65124" s="1"/>
  <c r="J27" i="65083"/>
  <c r="J28" i="65122"/>
  <c r="J15" i="65081"/>
  <c r="F26" i="65124" s="1"/>
  <c r="J27" i="65081"/>
  <c r="J15" i="65082"/>
  <c r="J27"/>
  <c r="J15" i="65080"/>
  <c r="J38"/>
  <c r="H24" i="65124" s="1"/>
  <c r="J41" i="65080"/>
  <c r="J44"/>
  <c r="J48"/>
  <c r="J15" i="65079"/>
  <c r="G23" i="65124"/>
  <c r="J33" i="65079"/>
  <c r="J15" i="65078"/>
  <c r="J32"/>
  <c r="J15" i="65077"/>
  <c r="J21" i="65124"/>
  <c r="J7" i="65076"/>
  <c r="J18"/>
  <c r="J36"/>
  <c r="J41"/>
  <c r="K20" i="65124"/>
  <c r="J19"/>
  <c r="J15" i="65115"/>
  <c r="J27"/>
  <c r="D20" i="65125" s="1"/>
  <c r="C20" s="1"/>
  <c r="J15" i="65100"/>
  <c r="J27"/>
  <c r="J15" i="65074"/>
  <c r="F16" i="65124" s="1"/>
  <c r="J27" i="65074"/>
  <c r="J15" i="65071"/>
  <c r="F15" i="65124" s="1"/>
  <c r="J28" i="65071"/>
  <c r="J15" i="65124" s="1"/>
  <c r="J15" i="65070"/>
  <c r="F14" i="65124" s="1"/>
  <c r="J27" i="65070"/>
  <c r="J15" i="65069"/>
  <c r="J27"/>
  <c r="J15" i="65068"/>
  <c r="J27"/>
  <c r="J15" i="65123"/>
  <c r="J27"/>
  <c r="J15" i="65099"/>
  <c r="J27"/>
  <c r="D12" i="65125" s="1"/>
  <c r="C12" s="1"/>
  <c r="J15" i="65067"/>
  <c r="J15" i="65066"/>
  <c r="G8" i="65124"/>
  <c r="J30" i="65066"/>
  <c r="J7" i="65065"/>
  <c r="K7" s="1"/>
  <c r="J20"/>
  <c r="K20" s="1"/>
  <c r="J33"/>
  <c r="K33" s="1"/>
  <c r="J46"/>
  <c r="K46" s="1"/>
  <c r="J49"/>
  <c r="K49" s="1"/>
  <c r="D8" i="65125"/>
  <c r="C8" s="1"/>
  <c r="J15" i="16"/>
  <c r="J27"/>
  <c r="D7" i="65125" s="1"/>
  <c r="I7" i="300"/>
  <c r="E9"/>
  <c r="H9"/>
  <c r="I9" s="1"/>
  <c r="E10"/>
  <c r="H10"/>
  <c r="I10" s="1"/>
  <c r="E11"/>
  <c r="H11"/>
  <c r="I11" s="1"/>
  <c r="E12"/>
  <c r="E8" s="1"/>
  <c r="B32" i="304" s="1"/>
  <c r="H12" i="300"/>
  <c r="I12" s="1"/>
  <c r="E15"/>
  <c r="E18"/>
  <c r="E21"/>
  <c r="E20" s="1"/>
  <c r="B34" i="304" s="1"/>
  <c r="H21" i="300"/>
  <c r="E24"/>
  <c r="H24"/>
  <c r="I24" s="1"/>
  <c r="E25"/>
  <c r="H25"/>
  <c r="I25" s="1"/>
  <c r="E26"/>
  <c r="H26"/>
  <c r="I26" s="1"/>
  <c r="E27"/>
  <c r="H27"/>
  <c r="I27" s="1"/>
  <c r="E28"/>
  <c r="H28"/>
  <c r="I28" s="1"/>
  <c r="E29"/>
  <c r="H29"/>
  <c r="I29" s="1"/>
  <c r="E31"/>
  <c r="H31"/>
  <c r="I31" s="1"/>
  <c r="E32"/>
  <c r="H32"/>
  <c r="I32" s="1"/>
  <c r="E34"/>
  <c r="H34"/>
  <c r="I34" s="1"/>
  <c r="E35"/>
  <c r="H35"/>
  <c r="E37"/>
  <c r="H37"/>
  <c r="I37" s="1"/>
  <c r="E38"/>
  <c r="H38"/>
  <c r="I38" s="1"/>
  <c r="E39"/>
  <c r="H39"/>
  <c r="I39" s="1"/>
  <c r="E40"/>
  <c r="H40"/>
  <c r="I40" s="1"/>
  <c r="E41"/>
  <c r="H41"/>
  <c r="I41" s="1"/>
  <c r="E47"/>
  <c r="H47"/>
  <c r="I47" s="1"/>
  <c r="E48"/>
  <c r="H48"/>
  <c r="I48" s="1"/>
  <c r="E49"/>
  <c r="H49"/>
  <c r="I49" s="1"/>
  <c r="E50"/>
  <c r="H50"/>
  <c r="I50" s="1"/>
  <c r="E51"/>
  <c r="H51"/>
  <c r="I51" s="1"/>
  <c r="E52"/>
  <c r="H52"/>
  <c r="E53"/>
  <c r="H53"/>
  <c r="I53" s="1"/>
  <c r="E54"/>
  <c r="H54"/>
  <c r="I54" s="1"/>
  <c r="E55"/>
  <c r="H55"/>
  <c r="I55" s="1"/>
  <c r="E56"/>
  <c r="H56"/>
  <c r="I56" s="1"/>
  <c r="E58"/>
  <c r="H58"/>
  <c r="I58" s="1"/>
  <c r="E59"/>
  <c r="H59"/>
  <c r="I59" s="1"/>
  <c r="E60"/>
  <c r="H60"/>
  <c r="I60" s="1"/>
  <c r="E61"/>
  <c r="H61"/>
  <c r="I61" s="1"/>
  <c r="E62"/>
  <c r="H62"/>
  <c r="I62" s="1"/>
  <c r="E63"/>
  <c r="H63"/>
  <c r="I63" s="1"/>
  <c r="E64"/>
  <c r="H64"/>
  <c r="I64" s="1"/>
  <c r="E66"/>
  <c r="H66"/>
  <c r="I66" s="1"/>
  <c r="E67"/>
  <c r="H67"/>
  <c r="I67" s="1"/>
  <c r="E68"/>
  <c r="H68"/>
  <c r="I68" s="1"/>
  <c r="E69"/>
  <c r="H69"/>
  <c r="I69" s="1"/>
  <c r="E70"/>
  <c r="H70"/>
  <c r="I70" s="1"/>
  <c r="E71"/>
  <c r="H71"/>
  <c r="I71" s="1"/>
  <c r="E72"/>
  <c r="H72"/>
  <c r="I72" s="1"/>
  <c r="E74"/>
  <c r="H74"/>
  <c r="I74" s="1"/>
  <c r="E75"/>
  <c r="H75"/>
  <c r="I75" s="1"/>
  <c r="E78"/>
  <c r="H78"/>
  <c r="I78" s="1"/>
  <c r="E79"/>
  <c r="H79"/>
  <c r="I79" s="1"/>
  <c r="E80"/>
  <c r="H80"/>
  <c r="I80" s="1"/>
  <c r="E81"/>
  <c r="H81"/>
  <c r="I81" s="1"/>
  <c r="E83"/>
  <c r="H83"/>
  <c r="I83" s="1"/>
  <c r="E84"/>
  <c r="E82" s="1"/>
  <c r="H84"/>
  <c r="I84" s="1"/>
  <c r="E87"/>
  <c r="E86" s="1"/>
  <c r="B37" i="304" s="1"/>
  <c r="H87" i="300"/>
  <c r="E90"/>
  <c r="H90"/>
  <c r="I90" s="1"/>
  <c r="E91"/>
  <c r="H91"/>
  <c r="I91" s="1"/>
  <c r="E92"/>
  <c r="H92"/>
  <c r="I92" s="1"/>
  <c r="E93"/>
  <c r="H93"/>
  <c r="I93" s="1"/>
  <c r="E96"/>
  <c r="H96"/>
  <c r="I96" s="1"/>
  <c r="E97"/>
  <c r="H97"/>
  <c r="I97" s="1"/>
  <c r="E98"/>
  <c r="H98"/>
  <c r="I98" s="1"/>
  <c r="E99"/>
  <c r="H99"/>
  <c r="I99" s="1"/>
  <c r="E102"/>
  <c r="H102"/>
  <c r="I102" s="1"/>
  <c r="E103"/>
  <c r="H103"/>
  <c r="I103" s="1"/>
  <c r="D45" i="304"/>
  <c r="E45"/>
  <c r="F64" i="65137"/>
  <c r="I20" i="65124"/>
  <c r="F41"/>
  <c r="F34"/>
  <c r="F33"/>
  <c r="F32"/>
  <c r="F30"/>
  <c r="F25"/>
  <c r="F24"/>
  <c r="F22"/>
  <c r="F18"/>
  <c r="F17"/>
  <c r="F12"/>
  <c r="F11"/>
  <c r="F9"/>
  <c r="F7"/>
  <c r="F5"/>
  <c r="J41"/>
  <c r="D42" i="65125"/>
  <c r="C42" s="1"/>
  <c r="J38" i="65124"/>
  <c r="D39" i="65125"/>
  <c r="C39" s="1"/>
  <c r="G37" i="65124"/>
  <c r="J36"/>
  <c r="J35"/>
  <c r="D37" i="65125"/>
  <c r="C37" s="1"/>
  <c r="J34" i="65124"/>
  <c r="D36" i="65125"/>
  <c r="C36" s="1"/>
  <c r="J32" i="65124"/>
  <c r="J30"/>
  <c r="D32" i="65125"/>
  <c r="C32" s="1"/>
  <c r="J29" i="65124"/>
  <c r="D30" i="65125"/>
  <c r="C30" s="1"/>
  <c r="J27" i="65124"/>
  <c r="J26"/>
  <c r="D28" i="65125"/>
  <c r="C28" s="1"/>
  <c r="J25" i="65124"/>
  <c r="D27" i="65125"/>
  <c r="C27" s="1"/>
  <c r="J22" i="65124"/>
  <c r="D24" i="65125"/>
  <c r="C24" s="1"/>
  <c r="G22" i="65124"/>
  <c r="F20"/>
  <c r="D21" i="65125"/>
  <c r="C21" s="1"/>
  <c r="F19" i="65124"/>
  <c r="J17"/>
  <c r="D19" i="65125"/>
  <c r="C19" s="1"/>
  <c r="J16" i="65124"/>
  <c r="D17" i="65125"/>
  <c r="C17" s="1"/>
  <c r="D15"/>
  <c r="C15" s="1"/>
  <c r="J12" i="65124"/>
  <c r="D14" i="65125"/>
  <c r="C14" s="1"/>
  <c r="J11" i="65124"/>
  <c r="D13" i="65125"/>
  <c r="C13" s="1"/>
  <c r="J8" i="65124"/>
  <c r="J6"/>
  <c r="J5"/>
  <c r="E16"/>
  <c r="J10"/>
  <c r="E5"/>
  <c r="H105" i="65139"/>
  <c r="H80"/>
  <c r="H60"/>
  <c r="H57"/>
  <c r="H46"/>
  <c r="H76"/>
  <c r="F65" i="65137"/>
  <c r="F72"/>
  <c r="F38" i="65124"/>
  <c r="E17" i="300"/>
  <c r="E39" i="65124"/>
  <c r="E37"/>
  <c r="E36"/>
  <c r="E34"/>
  <c r="E33"/>
  <c r="E30"/>
  <c r="E29"/>
  <c r="J32" i="65084"/>
  <c r="E28" i="65124"/>
  <c r="E27"/>
  <c r="E26"/>
  <c r="E25"/>
  <c r="E23"/>
  <c r="E22"/>
  <c r="L22" s="1"/>
  <c r="E21"/>
  <c r="E19"/>
  <c r="E18"/>
  <c r="J32" i="65074"/>
  <c r="J33" s="1"/>
  <c r="E14" i="65124"/>
  <c r="E11"/>
  <c r="J32" i="65123"/>
  <c r="E9" i="65124"/>
  <c r="E7"/>
  <c r="H7"/>
  <c r="E40"/>
  <c r="E38"/>
  <c r="E15"/>
  <c r="H138" i="65139"/>
  <c r="G6"/>
  <c r="D20" i="304" s="1"/>
  <c r="H15" i="65139"/>
  <c r="G26"/>
  <c r="D23" i="304" s="1"/>
  <c r="H37" i="65139"/>
  <c r="G56"/>
  <c r="H56" s="1"/>
  <c r="H120"/>
  <c r="H7"/>
  <c r="H27"/>
  <c r="H95"/>
  <c r="G112"/>
  <c r="J32" i="65064"/>
  <c r="E6" i="65124"/>
  <c r="E8"/>
  <c r="J32" i="65068"/>
  <c r="J33" s="1"/>
  <c r="E12" i="65124"/>
  <c r="J38" i="65078"/>
  <c r="J32" i="65087"/>
  <c r="E17" i="65124"/>
  <c r="J32" i="65100"/>
  <c r="J33" s="1"/>
  <c r="E31" i="65124"/>
  <c r="J32" i="65086"/>
  <c r="H19" i="65139"/>
  <c r="H50"/>
  <c r="G55" i="65065"/>
  <c r="J32" i="65089"/>
  <c r="J32" i="65085"/>
  <c r="J32" i="65082"/>
  <c r="G32" i="65105"/>
  <c r="G33" s="1"/>
  <c r="G36" i="65095"/>
  <c r="G37" s="1"/>
  <c r="G32" i="65089"/>
  <c r="G32" i="65088"/>
  <c r="G32" i="65087"/>
  <c r="G32" i="65086"/>
  <c r="G32" i="65085"/>
  <c r="G32" i="65084"/>
  <c r="G32" i="65083"/>
  <c r="G32" i="65081"/>
  <c r="G32" i="65082"/>
  <c r="G52" i="65080"/>
  <c r="G36" i="65077"/>
  <c r="G37" s="1"/>
  <c r="G38" s="1"/>
  <c r="G32" i="65115"/>
  <c r="G33" s="1"/>
  <c r="G32" i="65100"/>
  <c r="G33" s="1"/>
  <c r="G32" i="65074"/>
  <c r="G33" s="1"/>
  <c r="G32" i="65068"/>
  <c r="G33" s="1"/>
  <c r="G34" s="1"/>
  <c r="G38" i="65079"/>
  <c r="G39" s="1"/>
  <c r="G40" s="1"/>
  <c r="G32" i="65069"/>
  <c r="G33" s="1"/>
  <c r="G34" s="1"/>
  <c r="G35" i="65066"/>
  <c r="G33" i="65064"/>
  <c r="G34" s="1"/>
  <c r="G32" i="65094"/>
  <c r="G33" s="1"/>
  <c r="G34" s="1"/>
  <c r="G35" i="65093"/>
  <c r="G36" s="1"/>
  <c r="G38" i="65078"/>
  <c r="G36" i="65075"/>
  <c r="G37" s="1"/>
  <c r="G38" s="1"/>
  <c r="G32" i="65123"/>
  <c r="G32" i="65067"/>
  <c r="G7" i="65124"/>
  <c r="F13"/>
  <c r="D16" i="65125"/>
  <c r="C16" s="1"/>
  <c r="G20" i="65124"/>
  <c r="G21"/>
  <c r="J23"/>
  <c r="J24"/>
  <c r="F27"/>
  <c r="F36"/>
  <c r="J32" i="65070"/>
  <c r="E35" i="65124"/>
  <c r="J32" i="65069"/>
  <c r="J33" s="1"/>
  <c r="J32" i="65115"/>
  <c r="J36" i="65077"/>
  <c r="J32" i="65083"/>
  <c r="D9" i="65125"/>
  <c r="C9" s="1"/>
  <c r="D18"/>
  <c r="C18" s="1"/>
  <c r="D22"/>
  <c r="C22" s="1"/>
  <c r="J20" i="65124"/>
  <c r="J51" i="65076"/>
  <c r="F23" i="65124"/>
  <c r="D33" i="65125"/>
  <c r="C33" s="1"/>
  <c r="J31" i="65124"/>
  <c r="D40" i="65125"/>
  <c r="C40" s="1"/>
  <c r="J39" i="65124"/>
  <c r="F6"/>
  <c r="L6" s="1"/>
  <c r="D11" i="65125"/>
  <c r="C11" s="1"/>
  <c r="J9" i="65124"/>
  <c r="L9" s="1"/>
  <c r="J13"/>
  <c r="D23" i="65125"/>
  <c r="C23" s="1"/>
  <c r="F21" i="65124"/>
  <c r="K24"/>
  <c r="I24"/>
  <c r="I42" s="1"/>
  <c r="D29" i="65125"/>
  <c r="C29" s="1"/>
  <c r="J28" i="65124"/>
  <c r="F31"/>
  <c r="J37"/>
  <c r="F37"/>
  <c r="F39"/>
  <c r="J40"/>
  <c r="D43" i="65125"/>
  <c r="C43" s="1"/>
  <c r="J33" i="65122"/>
  <c r="K33" s="1"/>
  <c r="J38" i="65079"/>
  <c r="J55" i="65065"/>
  <c r="K55" s="1"/>
  <c r="J7" i="65124"/>
  <c r="J14"/>
  <c r="J18"/>
  <c r="D26" i="65125"/>
  <c r="C26" s="1"/>
  <c r="D25"/>
  <c r="C25" s="1"/>
  <c r="D41"/>
  <c r="C41" s="1"/>
  <c r="J32" i="65088"/>
  <c r="J36" i="65095"/>
  <c r="J33" i="65071"/>
  <c r="J34" s="1"/>
  <c r="J32" i="65098"/>
  <c r="J33" s="1"/>
  <c r="G39" i="65078"/>
  <c r="G40" s="1"/>
  <c r="H171" i="65139"/>
  <c r="H170"/>
  <c r="G32" i="65098"/>
  <c r="G33" s="1"/>
  <c r="G34" s="1"/>
  <c r="G33" i="65097"/>
  <c r="G34" s="1"/>
  <c r="D38" i="65125"/>
  <c r="C38" s="1"/>
  <c r="J35" i="65093"/>
  <c r="G24" i="65124"/>
  <c r="J32" i="65099"/>
  <c r="H195" i="65139"/>
  <c r="G176"/>
  <c r="G175" s="1"/>
  <c r="H175" s="1"/>
  <c r="G148"/>
  <c r="G147" s="1"/>
  <c r="H147" s="1"/>
  <c r="G156"/>
  <c r="J52" i="65080"/>
  <c r="H15" i="300"/>
  <c r="I15" s="1"/>
  <c r="C24" i="65124"/>
  <c r="J36" i="65075"/>
  <c r="G19" i="65124"/>
  <c r="G183" i="65139"/>
  <c r="G182" s="1"/>
  <c r="C26" i="304"/>
  <c r="H156" i="65139"/>
  <c r="C23" i="304"/>
  <c r="H26" i="65139"/>
  <c r="C25" i="304"/>
  <c r="H94" i="65139"/>
  <c r="H117"/>
  <c r="H115"/>
  <c r="H133"/>
  <c r="H149"/>
  <c r="H112"/>
  <c r="H113"/>
  <c r="C20" i="304"/>
  <c r="H6" i="65139"/>
  <c r="G90"/>
  <c r="H114"/>
  <c r="H118"/>
  <c r="H204"/>
  <c r="H90"/>
  <c r="C28" i="304"/>
  <c r="C40"/>
  <c r="C29"/>
  <c r="L27" i="65124"/>
  <c r="H85" i="65139"/>
  <c r="H89" i="300"/>
  <c r="E89"/>
  <c r="B38" i="304" s="1"/>
  <c r="E77" i="300"/>
  <c r="H77"/>
  <c r="I77" s="1"/>
  <c r="H8"/>
  <c r="I8" s="1"/>
  <c r="G33" i="65122"/>
  <c r="J32" i="65081"/>
  <c r="E24" i="65137"/>
  <c r="C27" i="304"/>
  <c r="E29" i="65137" l="1"/>
  <c r="K32" i="65070"/>
  <c r="J33" i="65115"/>
  <c r="K33" s="1"/>
  <c r="K32"/>
  <c r="J37" i="65075"/>
  <c r="K37" s="1"/>
  <c r="K36"/>
  <c r="E57" i="300"/>
  <c r="E46"/>
  <c r="H82"/>
  <c r="I82" s="1"/>
  <c r="E32" i="65137"/>
  <c r="K38" i="65079"/>
  <c r="J37" i="65095"/>
  <c r="K36"/>
  <c r="J39" i="65078"/>
  <c r="K39" s="1"/>
  <c r="K38"/>
  <c r="J37" i="65077"/>
  <c r="K36"/>
  <c r="J52" i="65076"/>
  <c r="K51"/>
  <c r="H176" i="65139"/>
  <c r="H148"/>
  <c r="G170"/>
  <c r="G169" s="1"/>
  <c r="D38" i="304"/>
  <c r="I89" i="300"/>
  <c r="H86"/>
  <c r="I86" s="1"/>
  <c r="I87"/>
  <c r="H20"/>
  <c r="I20" s="1"/>
  <c r="I21"/>
  <c r="G34" i="65122"/>
  <c r="D77" i="65137"/>
  <c r="F24"/>
  <c r="H65" i="300"/>
  <c r="I65" s="1"/>
  <c r="E65"/>
  <c r="D32" i="304"/>
  <c r="H164" i="65139"/>
  <c r="G155"/>
  <c r="L37" i="65124"/>
  <c r="L38"/>
  <c r="L12"/>
  <c r="J32" i="65105"/>
  <c r="H101" i="300"/>
  <c r="E101"/>
  <c r="B47" i="304" s="1"/>
  <c r="B46" s="1"/>
  <c r="B48" s="1"/>
  <c r="L7" i="65124"/>
  <c r="J32" i="65094"/>
  <c r="J33" s="1"/>
  <c r="L36" i="65124"/>
  <c r="L34"/>
  <c r="E70" i="65137"/>
  <c r="F70" s="1"/>
  <c r="H57" i="300"/>
  <c r="I57" s="1"/>
  <c r="H33"/>
  <c r="I33" s="1"/>
  <c r="J39" i="65079"/>
  <c r="H46" i="300"/>
  <c r="I46" s="1"/>
  <c r="L18" i="65124"/>
  <c r="J32" i="65067"/>
  <c r="L5" i="65124"/>
  <c r="G202" i="65139"/>
  <c r="H202" s="1"/>
  <c r="H203"/>
  <c r="G201"/>
  <c r="D40" i="304" s="1"/>
  <c r="C19"/>
  <c r="C18" s="1"/>
  <c r="C52" s="1"/>
  <c r="E30"/>
  <c r="J32" i="65096"/>
  <c r="J33" s="1"/>
  <c r="F35" i="65124"/>
  <c r="L35" s="1"/>
  <c r="J33"/>
  <c r="D8" i="65137"/>
  <c r="D42" i="65124"/>
  <c r="F10"/>
  <c r="L10" s="1"/>
  <c r="E33" i="300"/>
  <c r="E30"/>
  <c r="J35" i="65066"/>
  <c r="D10" i="65125"/>
  <c r="C10" s="1"/>
  <c r="F8" i="65124"/>
  <c r="G33" i="65123"/>
  <c r="G34" s="1"/>
  <c r="D23" i="65137"/>
  <c r="J32" i="16"/>
  <c r="J33" i="65064" s="1"/>
  <c r="H42" i="65124"/>
  <c r="J32" i="65097"/>
  <c r="J33" s="1"/>
  <c r="D30" i="65137"/>
  <c r="L21" i="65124"/>
  <c r="F61" i="65137"/>
  <c r="L39" i="65124"/>
  <c r="L41"/>
  <c r="J33" i="65105"/>
  <c r="J34" s="1"/>
  <c r="G34"/>
  <c r="L40" i="65124"/>
  <c r="J34" i="65098"/>
  <c r="E25" i="65137"/>
  <c r="F25" s="1"/>
  <c r="H16" i="300"/>
  <c r="G38" i="65095"/>
  <c r="J34" i="65094"/>
  <c r="J36" i="65093"/>
  <c r="J37" s="1"/>
  <c r="E86" i="65137"/>
  <c r="E77" s="1"/>
  <c r="F77" s="1"/>
  <c r="G37" i="65093"/>
  <c r="G33" i="65089"/>
  <c r="G34" s="1"/>
  <c r="D68" i="65137"/>
  <c r="L33" i="65124"/>
  <c r="E69" i="65137"/>
  <c r="L32" i="65124"/>
  <c r="L31"/>
  <c r="L30"/>
  <c r="L29"/>
  <c r="J33" i="65089"/>
  <c r="K33" s="1"/>
  <c r="L28" i="65124"/>
  <c r="L26"/>
  <c r="L25"/>
  <c r="J34" i="65122"/>
  <c r="K34" s="1"/>
  <c r="C42" i="65124"/>
  <c r="K42"/>
  <c r="L24"/>
  <c r="E76" i="65137"/>
  <c r="L23" i="65124"/>
  <c r="F32" i="65137"/>
  <c r="H30" i="300"/>
  <c r="I30" s="1"/>
  <c r="J40" i="65078"/>
  <c r="K40" s="1"/>
  <c r="E108" i="300"/>
  <c r="E95"/>
  <c r="L20" i="65124"/>
  <c r="E32" i="304"/>
  <c r="G53" i="65076"/>
  <c r="E16" i="300"/>
  <c r="E14" s="1"/>
  <c r="B33" i="304" s="1"/>
  <c r="E36" i="300"/>
  <c r="L19" i="65124"/>
  <c r="J38" i="65075"/>
  <c r="K38" s="1"/>
  <c r="E39" i="65137"/>
  <c r="J42" i="65124"/>
  <c r="L17"/>
  <c r="E26" i="65137"/>
  <c r="F26" s="1"/>
  <c r="L16" i="65124"/>
  <c r="J34" i="65100"/>
  <c r="K34" s="1"/>
  <c r="L15" i="65124"/>
  <c r="G34" i="65115"/>
  <c r="G34" i="65100"/>
  <c r="J34" i="65115"/>
  <c r="K34" s="1"/>
  <c r="L14" i="65124"/>
  <c r="F42"/>
  <c r="F29" i="65137"/>
  <c r="L13" i="65124"/>
  <c r="E42"/>
  <c r="J34" i="65069"/>
  <c r="E11" i="65137"/>
  <c r="J34" i="65068"/>
  <c r="L11" i="65124"/>
  <c r="H95" i="300"/>
  <c r="H108"/>
  <c r="G42" i="65124"/>
  <c r="L8"/>
  <c r="E45" i="300"/>
  <c r="B36" i="304" s="1"/>
  <c r="E9" i="65137"/>
  <c r="F9" s="1"/>
  <c r="H36" i="300"/>
  <c r="I36" s="1"/>
  <c r="C7" i="65125"/>
  <c r="D44"/>
  <c r="E38" i="304"/>
  <c r="L43" i="65124"/>
  <c r="H201" i="65139"/>
  <c r="H183"/>
  <c r="G174"/>
  <c r="H182"/>
  <c r="G89"/>
  <c r="H89" s="1"/>
  <c r="G73"/>
  <c r="H73" s="1"/>
  <c r="H74"/>
  <c r="H49"/>
  <c r="D26" i="304"/>
  <c r="E26" s="1"/>
  <c r="D25"/>
  <c r="E25" s="1"/>
  <c r="H45" i="65139"/>
  <c r="D24" i="304"/>
  <c r="E24" s="1"/>
  <c r="H36" i="65139"/>
  <c r="E23" i="304"/>
  <c r="H18" i="65139"/>
  <c r="D22" i="304"/>
  <c r="E22" s="1"/>
  <c r="D21"/>
  <c r="E21" s="1"/>
  <c r="H14" i="65139"/>
  <c r="G5"/>
  <c r="E20" i="304"/>
  <c r="C46"/>
  <c r="D34"/>
  <c r="C41" l="1"/>
  <c r="B42"/>
  <c r="B41" s="1"/>
  <c r="B43" s="1"/>
  <c r="D37"/>
  <c r="E37" s="1"/>
  <c r="J40" i="65079"/>
  <c r="K40" s="1"/>
  <c r="K39"/>
  <c r="J38" i="65095"/>
  <c r="K38" s="1"/>
  <c r="K37"/>
  <c r="J38" i="65077"/>
  <c r="K38" s="1"/>
  <c r="K37"/>
  <c r="J53" i="65076"/>
  <c r="K53" s="1"/>
  <c r="K52"/>
  <c r="D42" i="304"/>
  <c r="D41" s="1"/>
  <c r="I95" i="300"/>
  <c r="C44" i="65125"/>
  <c r="C117" i="300"/>
  <c r="I108"/>
  <c r="H14"/>
  <c r="I16"/>
  <c r="D47" i="304"/>
  <c r="I101" i="300"/>
  <c r="F11" i="65137"/>
  <c r="F69"/>
  <c r="J34" i="65064"/>
  <c r="K34" s="1"/>
  <c r="K33"/>
  <c r="J33" i="65123"/>
  <c r="H155" i="65139"/>
  <c r="G154"/>
  <c r="H45" i="300"/>
  <c r="L42" i="65124"/>
  <c r="G68" i="65139"/>
  <c r="G55" s="1"/>
  <c r="G144" s="1"/>
  <c r="J34" i="65096"/>
  <c r="E23" i="300"/>
  <c r="D7" i="65137"/>
  <c r="J34" i="65097"/>
  <c r="F86" i="65137"/>
  <c r="E68"/>
  <c r="F68" s="1"/>
  <c r="J34" i="65089"/>
  <c r="K34" s="1"/>
  <c r="F76" i="65137"/>
  <c r="E42" i="304"/>
  <c r="F39" i="65137"/>
  <c r="E30"/>
  <c r="F30" s="1"/>
  <c r="E23"/>
  <c r="F23" s="1"/>
  <c r="E34" i="304"/>
  <c r="E8" i="65137"/>
  <c r="H23" i="300"/>
  <c r="D43" i="304"/>
  <c r="E40"/>
  <c r="D29"/>
  <c r="E29" s="1"/>
  <c r="H174" i="65139"/>
  <c r="H68"/>
  <c r="D19" i="304"/>
  <c r="E19" s="1"/>
  <c r="H5" i="65139"/>
  <c r="C43" i="304"/>
  <c r="E41"/>
  <c r="C48"/>
  <c r="C31" l="1"/>
  <c r="B35"/>
  <c r="B31" s="1"/>
  <c r="D46"/>
  <c r="E47"/>
  <c r="D33"/>
  <c r="E33" s="1"/>
  <c r="I14" i="300"/>
  <c r="D35" i="304"/>
  <c r="I23" i="300"/>
  <c r="D36" i="304"/>
  <c r="E36" s="1"/>
  <c r="I45" i="300"/>
  <c r="J34" i="65123"/>
  <c r="K34" s="1"/>
  <c r="K33"/>
  <c r="E35" i="304"/>
  <c r="H154" i="65139"/>
  <c r="G146"/>
  <c r="E7" i="65137"/>
  <c r="F7" s="1"/>
  <c r="C53" i="304"/>
  <c r="C54" s="1"/>
  <c r="C39"/>
  <c r="C44" s="1"/>
  <c r="E6" i="300"/>
  <c r="E43" i="304"/>
  <c r="H6" i="300"/>
  <c r="I6" s="1"/>
  <c r="F8" i="65137"/>
  <c r="D27" i="304"/>
  <c r="E27" s="1"/>
  <c r="H55" i="65139"/>
  <c r="G199"/>
  <c r="H144"/>
  <c r="B53" i="304" l="1"/>
  <c r="B54" s="1"/>
  <c r="B39"/>
  <c r="B44" s="1"/>
  <c r="B49" s="1"/>
  <c r="B50" s="1"/>
  <c r="D31"/>
  <c r="E31" s="1"/>
  <c r="D48"/>
  <c r="E48" s="1"/>
  <c r="E46"/>
  <c r="D28"/>
  <c r="E28" s="1"/>
  <c r="H146" i="65139"/>
  <c r="D18" i="304"/>
  <c r="D52" s="1"/>
  <c r="E52" s="1"/>
  <c r="G212" i="65139"/>
  <c r="C2" i="65061" s="1"/>
  <c r="A3" s="1"/>
  <c r="H199" i="65139"/>
  <c r="C49" i="304"/>
  <c r="E18" l="1"/>
  <c r="D53"/>
  <c r="E53" s="1"/>
  <c r="D39"/>
  <c r="D44" s="1"/>
  <c r="D49" s="1"/>
  <c r="D50" s="1"/>
  <c r="L44" i="65124" s="1"/>
  <c r="L45" s="1"/>
  <c r="D54" i="304"/>
  <c r="E54" s="1"/>
  <c r="H212" i="65139"/>
  <c r="C50" i="304"/>
  <c r="E50" l="1"/>
  <c r="E49"/>
  <c r="E39"/>
  <c r="E44"/>
</calcChain>
</file>

<file path=xl/sharedStrings.xml><?xml version="1.0" encoding="utf-8"?>
<sst xmlns="http://schemas.openxmlformats.org/spreadsheetml/2006/main" count="2291" uniqueCount="820">
  <si>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</si>
  <si>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</si>
  <si>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</si>
  <si>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</si>
  <si>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</si>
  <si>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</si>
  <si>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</si>
  <si>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</si>
  <si>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</si>
  <si>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</si>
  <si>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</si>
  <si>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</si>
  <si>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</si>
  <si>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</si>
  <si>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</si>
  <si>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</si>
  <si>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</si>
  <si>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</si>
  <si>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</si>
  <si>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</si>
  <si>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</si>
  <si>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</si>
  <si>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</si>
  <si>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</si>
  <si>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</si>
  <si>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</si>
  <si>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</si>
  <si>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</si>
  <si>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</si>
  <si>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</si>
  <si>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</si>
  <si>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</si>
  <si>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</si>
  <si>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</si>
  <si>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</si>
  <si>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</si>
  <si>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</si>
  <si>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</si>
  <si>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</si>
  <si>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</si>
  <si>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</si>
  <si>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</si>
  <si>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</si>
  <si>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</si>
  <si>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</si>
  <si>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</si>
  <si>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</si>
  <si>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</si>
  <si>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</si>
  <si>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</si>
  <si>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</si>
  <si>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</si>
  <si>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</si>
  <si>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</si>
  <si>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</si>
  <si>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</si>
  <si>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</si>
  <si>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</si>
  <si>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</si>
  <si>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</si>
  <si>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</si>
  <si>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</si>
  <si>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</si>
  <si>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</si>
  <si>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</si>
  <si>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</si>
  <si>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</si>
  <si>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</si>
  <si>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</si>
  <si>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</si>
  <si>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</si>
  <si>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</si>
  <si>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</si>
  <si>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</si>
  <si>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</si>
  <si>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</si>
  <si>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</si>
  <si>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</si>
  <si>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</si>
  <si>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</si>
  <si>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</si>
  <si>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</si>
  <si>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</si>
  <si>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</si>
  <si>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</si>
  <si>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</si>
  <si>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</si>
  <si>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</si>
  <si>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</si>
  <si>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</si>
  <si>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</si>
  <si>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</si>
  <si>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</si>
  <si>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</si>
  <si>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</si>
  <si>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</si>
  <si>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</si>
  <si>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</si>
  <si>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</si>
  <si>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</si>
  <si>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</si>
  <si>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</si>
  <si>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</si>
  <si>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</si>
  <si>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</si>
  <si>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</si>
  <si>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</si>
  <si>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</si>
  <si>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</si>
  <si>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</si>
  <si>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</si>
  <si>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</si>
  <si>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</si>
  <si>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</si>
  <si>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</si>
  <si>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</si>
  <si>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</si>
  <si>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</si>
  <si>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</si>
  <si>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</si>
  <si>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</si>
  <si>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</si>
  <si>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</si>
  <si>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</si>
  <si>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</si>
  <si>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</si>
  <si>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</si>
  <si>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</si>
  <si>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</si>
  <si>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</si>
  <si>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</si>
  <si>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</si>
  <si>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</si>
  <si>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</si>
  <si>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</si>
  <si>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</si>
  <si>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</si>
  <si>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</si>
  <si>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</si>
  <si>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</si>
  <si>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</si>
  <si>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</si>
  <si>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</si>
  <si>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</si>
  <si>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</si>
  <si>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</si>
  <si>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</si>
  <si>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</si>
  <si>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</si>
  <si>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</si>
  <si>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</si>
  <si>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</si>
  <si>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</si>
  <si>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</si>
  <si>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</si>
  <si>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</si>
  <si>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</si>
  <si>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</si>
  <si>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</si>
  <si>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</si>
  <si>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</si>
  <si>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</si>
  <si>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</si>
  <si>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</si>
  <si>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</si>
  <si>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</si>
  <si>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</si>
  <si>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</si>
  <si>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</si>
  <si>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</si>
  <si>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</si>
  <si>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</si>
  <si>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</si>
  <si>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</si>
  <si>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</si>
  <si>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</si>
  <si>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</si>
  <si>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</si>
  <si>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</si>
  <si>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</si>
  <si>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</si>
  <si>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</si>
  <si>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</si>
  <si>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</si>
  <si>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</si>
  <si>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</si>
  <si>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</si>
  <si>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</si>
  <si>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</si>
  <si>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</si>
  <si>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</si>
  <si>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</si>
  <si>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</si>
  <si>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</si>
  <si>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</si>
  <si>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</si>
  <si>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</si>
  <si>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</si>
  <si>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</si>
  <si>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>I  OPĆI DIO</t>
  </si>
  <si>
    <t>Članak 1.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</si>
  <si>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</si>
  <si>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</si>
  <si>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</si>
  <si>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</si>
  <si>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Broj: </t>
  </si>
  <si>
    <t xml:space="preserve">Domaljevac,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</si>
  <si>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</si>
  <si>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</si>
  <si>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</si>
  <si>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</si>
  <si>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</si>
  <si>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</si>
  <si>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</si>
  <si>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</si>
  <si>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</si>
  <si>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</si>
  <si>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</si>
  <si>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</si>
  <si>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</si>
  <si>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</si>
  <si>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</si>
  <si>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</si>
  <si>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</si>
  <si>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</si>
  <si>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</si>
  <si>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</si>
  <si>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</si>
  <si>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</si>
  <si>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</si>
  <si>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</si>
  <si>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</si>
  <si>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</si>
  <si>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</si>
  <si>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Bosna i Hercegovina
Federacija Bosne i Hercegovine
Županija Posavska
V L A D A</t>
  </si>
  <si>
    <t>Bosnia and Herzegovina
Federation of Bosnia and Herzegovina
Posavina County
G O V E R N M E N T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</si>
  <si>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</si>
  <si>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</si>
  <si>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</si>
  <si>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</si>
  <si>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</si>
  <si>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</si>
  <si>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</si>
  <si>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</si>
  <si>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</si>
  <si>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</si>
  <si>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</si>
  <si>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</si>
  <si>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Stručna služba Skupštine Županije Posavske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</si>
  <si>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</si>
  <si>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</si>
  <si>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</si>
  <si>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</si>
  <si>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</si>
  <si>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</si>
  <si>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</si>
  <si>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</si>
  <si>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</si>
  <si>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</si>
  <si>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</si>
  <si>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</si>
  <si>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</si>
  <si>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</si>
  <si>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</si>
  <si>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</si>
  <si>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</si>
  <si>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</si>
  <si>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</si>
  <si>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</si>
  <si>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</si>
  <si>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</si>
  <si>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</si>
  <si>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</si>
  <si>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</si>
  <si>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</si>
  <si>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</si>
  <si>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</si>
  <si>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</si>
  <si>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</si>
  <si>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Završne odredbe</t>
  </si>
  <si>
    <t>RB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</si>
  <si>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</si>
  <si>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</si>
  <si>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</si>
  <si>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</si>
  <si>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</si>
  <si>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</si>
  <si>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</si>
  <si>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</si>
  <si>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</si>
  <si>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</si>
  <si>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</si>
  <si>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</si>
  <si>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</si>
  <si>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</si>
  <si>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</si>
  <si>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</si>
  <si>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</si>
  <si>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</si>
  <si>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</si>
  <si>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</si>
  <si>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</si>
  <si>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</si>
  <si>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</si>
  <si>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</si>
  <si>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</si>
  <si>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</si>
  <si>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</si>
  <si>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</si>
  <si>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</si>
  <si>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</si>
  <si>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</si>
  <si>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</si>
  <si>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</si>
  <si>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</si>
  <si>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</si>
  <si>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</si>
  <si>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</si>
  <si>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</si>
  <si>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</si>
  <si>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</si>
  <si>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41.</t>
  </si>
  <si>
    <t>Ministarstvo prosvjete - Školski centar Fra Martina Nedića Orašje</t>
  </si>
  <si>
    <t>Ministarstvo prosvjete - Srednja strukovna škola Orašje</t>
  </si>
  <si>
    <t>Otplate domaćeg pozajmljivanja-MMF</t>
  </si>
  <si>
    <t xml:space="preserve"> Grant za sufinanciranje osn.i srednjeg obrazovanja
 djece s posebnim potrebama</t>
  </si>
  <si>
    <t xml:space="preserve"> Otplate domaćeg pozajmljivanja - MMF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</si>
  <si>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</si>
  <si>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</si>
  <si>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</si>
  <si>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</si>
  <si>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>Članak 4.</t>
  </si>
  <si>
    <t>42.</t>
  </si>
  <si>
    <t>Članak 5.</t>
  </si>
  <si>
    <t>Predsjednik</t>
  </si>
  <si>
    <t>Joso Marković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</si>
  <si>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</si>
  <si>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</si>
  <si>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</si>
  <si>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</si>
  <si>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</si>
  <si>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</si>
  <si>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</si>
  <si>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</si>
  <si>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</si>
  <si>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</si>
  <si>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</si>
  <si>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</si>
  <si>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</si>
  <si>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</si>
  <si>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</si>
  <si>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</si>
  <si>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</si>
  <si>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</si>
  <si>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</si>
  <si>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</si>
  <si>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</si>
  <si>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</si>
  <si>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</si>
  <si>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</si>
  <si>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</si>
  <si>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</si>
  <si>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</si>
  <si>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</si>
  <si>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</si>
  <si>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</si>
  <si>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</si>
  <si>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</si>
  <si>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</si>
  <si>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</si>
  <si>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</si>
  <si>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</si>
  <si>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</si>
  <si>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</si>
  <si>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</si>
  <si>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</si>
  <si>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</si>
  <si>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</si>
  <si>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</si>
  <si>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</si>
  <si>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</si>
  <si>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</si>
  <si>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</si>
  <si>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</si>
  <si>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</si>
  <si>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</si>
  <si>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</si>
  <si>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</si>
  <si>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</si>
  <si>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</si>
  <si>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</si>
  <si>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</si>
  <si>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</si>
  <si>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</si>
  <si>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</si>
  <si>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</si>
  <si>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</si>
  <si>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</si>
  <si>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</si>
  <si>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</si>
  <si>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</si>
  <si>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</si>
  <si>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</si>
  <si>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</si>
  <si>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</si>
  <si>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</si>
  <si>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</si>
  <si>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</si>
  <si>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</si>
  <si>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</si>
  <si>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</si>
  <si>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</si>
  <si>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</si>
  <si>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</si>
  <si>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</si>
  <si>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</si>
  <si>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</si>
  <si>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</si>
  <si>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</si>
  <si>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</si>
  <si>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</si>
  <si>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</si>
  <si>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</si>
  <si>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</si>
  <si>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</si>
  <si>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</si>
  <si>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</si>
  <si>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</si>
  <si>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</si>
  <si>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</si>
  <si>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</si>
  <si>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</si>
  <si>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</si>
  <si>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</si>
  <si>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</si>
  <si>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</si>
  <si>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</si>
  <si>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</si>
  <si>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</si>
  <si>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</si>
  <si>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</si>
  <si>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</si>
  <si>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</si>
  <si>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</si>
  <si>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</si>
  <si>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</si>
  <si>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</si>
  <si>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</si>
  <si>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</si>
  <si>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</si>
  <si>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</si>
  <si>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</si>
  <si>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</si>
  <si>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</si>
  <si>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</si>
  <si>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</si>
  <si>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</si>
  <si>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</si>
  <si>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</si>
  <si>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</si>
  <si>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</si>
  <si>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</si>
  <si>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</si>
  <si>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</si>
  <si>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</si>
  <si>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</si>
  <si>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</si>
  <si>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</si>
  <si>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 xml:space="preserve">      17010001 Ministarstvo zdravstva, rada i socijalne politike - 
      Civilne žrtve rata</t>
  </si>
  <si>
    <t xml:space="preserve">      99999999 Riznica ŽP - Proračunska potpora</t>
  </si>
  <si>
    <t>7. UKUPAN SUFICIT/DEFICIT (3+6)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</si>
  <si>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</si>
  <si>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</si>
  <si>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</si>
  <si>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</si>
  <si>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</si>
  <si>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</si>
  <si>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</si>
  <si>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</si>
  <si>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</si>
  <si>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Stručna služba Skupštine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</si>
  <si>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</si>
  <si>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</si>
  <si>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</si>
  <si>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</si>
  <si>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</si>
  <si>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</si>
  <si>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</si>
  <si>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</si>
  <si>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</si>
  <si>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</si>
  <si>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</si>
  <si>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</si>
  <si>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</si>
  <si>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</si>
  <si>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</si>
  <si>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</si>
  <si>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</si>
  <si>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</si>
  <si>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</si>
  <si>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</si>
  <si>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</si>
  <si>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</si>
  <si>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</si>
  <si>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43.</t>
  </si>
  <si>
    <t>44.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</si>
  <si>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</si>
  <si>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</si>
  <si>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</si>
  <si>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</si>
  <si>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</si>
  <si>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</si>
  <si>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</si>
  <si>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</si>
  <si>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</si>
  <si>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</si>
  <si>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</si>
  <si>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</si>
  <si>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</si>
  <si>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</si>
  <si>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</si>
  <si>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</si>
  <si>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</si>
  <si>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</si>
  <si>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</si>
  <si>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</si>
  <si>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</si>
  <si>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</si>
  <si>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</si>
  <si>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</si>
  <si>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>45.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</si>
  <si>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</si>
  <si>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</si>
  <si>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</si>
  <si>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</si>
  <si>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</si>
  <si>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</si>
  <si>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</si>
  <si>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</si>
  <si>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</si>
  <si>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</si>
  <si>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</si>
  <si>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</si>
  <si>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</si>
  <si>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</si>
  <si>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</si>
  <si>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</si>
  <si>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</si>
  <si>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</si>
  <si>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</si>
  <si>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</si>
  <si>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</si>
  <si>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</si>
  <si>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</si>
  <si>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</si>
  <si>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</si>
  <si>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</si>
  <si>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</si>
  <si>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</si>
  <si>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</si>
  <si>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</si>
  <si>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</si>
  <si>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</si>
  <si>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</si>
  <si>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</si>
  <si>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</si>
  <si>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</si>
  <si>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</si>
  <si>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</si>
  <si>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</si>
  <si>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</si>
  <si>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</si>
  <si>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</si>
  <si>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</si>
  <si>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</si>
  <si>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</si>
  <si>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</si>
  <si>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</si>
  <si>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</si>
  <si>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</si>
  <si>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</si>
  <si>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</si>
  <si>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</si>
  <si>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</si>
  <si>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</si>
  <si>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</si>
  <si>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</si>
  <si>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</si>
  <si>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</si>
  <si>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</si>
  <si>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</si>
  <si>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</si>
  <si>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</si>
  <si>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</si>
  <si>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</si>
  <si>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</si>
  <si>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</si>
  <si>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</si>
  <si>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</si>
  <si>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</si>
  <si>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</si>
  <si>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</si>
  <si>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</si>
  <si>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</si>
  <si>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</si>
  <si>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</si>
  <si>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</si>
  <si>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</si>
  <si>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</si>
  <si>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</si>
  <si>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Grant za Udr.roditelja djece s pos.potrebama 
 Angelus Domaljevac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</si>
  <si>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</si>
  <si>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</si>
  <si>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</si>
  <si>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</si>
  <si>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</si>
  <si>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r>
      <t xml:space="preserve">      23010001 Uprava za civilnu zaštitu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</si>
  <si>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Ostali povrati</t>
  </si>
  <si>
    <t xml:space="preserve">      27010001 Kant.tužiteljstvo - IPA</t>
  </si>
  <si>
    <t xml:space="preserve">      20010001 Ministarstvo prosvjete, znanosti, kulture i športa - 
      Nabavka sigurnosnih golova</t>
  </si>
  <si>
    <t xml:space="preserve">      11010001 Vlada ŽP - Fed.minist.prostornog uređenja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</si>
  <si>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  <charset val="238"/>
      </rPr>
      <t>- GSM licence</t>
    </r>
  </si>
  <si>
    <t xml:space="preserve">      18010001 Ministarstvo prometa, veza, turizma i zašt.okoliša
      - Federalno ministarstvo raseljenih osoba i izbjeglica</t>
  </si>
  <si>
    <t>2. PRORAČUNSKI RASHODI (2.1.+2.2.)</t>
  </si>
  <si>
    <t>2.1.  Rashodi - Tekuća pričuva</t>
  </si>
  <si>
    <t>2.2.  Plaće i naknade troškova zaposlenih</t>
  </si>
  <si>
    <t>2.3.  Doprinosi poslodavca i ostali doprinosi</t>
  </si>
  <si>
    <t>2.4.  Izdaci za materijal, sitan inventar i usluge</t>
  </si>
  <si>
    <t>2.5.  Tekući grantovi i drugi tekući rashodi</t>
  </si>
  <si>
    <t>2.6.  Kapitalni grantovi</t>
  </si>
  <si>
    <t>2.7.  Izdaci za kamate</t>
  </si>
  <si>
    <t xml:space="preserve">       5.1.  Izdaci za nabavku stalnih sredstava</t>
  </si>
  <si>
    <t>UKUPNO POKRIĆE DEFICITA</t>
  </si>
  <si>
    <t>UKUPNO RASHODI I IZDACI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</si>
  <si>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</si>
  <si>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</si>
  <si>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</si>
  <si>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Primljeni kapitalni grantovi od općina</t>
  </si>
  <si>
    <t xml:space="preserve">      11010001 Vlada ŽP - Ured za Hrvate izvan RH</t>
  </si>
  <si>
    <r>
      <t xml:space="preserve">   Prihodi od iznajmljivanja zemljišta </t>
    </r>
    <r>
      <rPr>
        <b/>
        <sz val="10"/>
        <color indexed="8"/>
        <rFont val="Calibri"/>
        <family val="2"/>
        <charset val="238"/>
      </rPr>
      <t>(razgraničenja)</t>
    </r>
  </si>
  <si>
    <t>Minist.prosv., znanosti, kulture i športa - Osnovna škola fra Ilije Starčevića Tolisa</t>
  </si>
  <si>
    <t>PRORAČUN za 2017.</t>
  </si>
  <si>
    <t>PRORAČUN za 
2017.godinu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</si>
  <si>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</si>
  <si>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</si>
  <si>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</si>
  <si>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</si>
  <si>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</si>
  <si>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 xml:space="preserve"> Grantovi neprofitnim organizacijama i udrugama 
 građana</t>
  </si>
  <si>
    <t>21 (21)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</si>
  <si>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</si>
  <si>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</si>
  <si>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</si>
  <si>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</si>
  <si>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</si>
  <si>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</si>
  <si>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</si>
  <si>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 xml:space="preserve">      11010001 Vlada Županije Posavske</t>
  </si>
  <si>
    <t>URED ZA RAZVOJ I EUROPSKE INTEGRACIJE ŽUPANIJE POSAVSKE</t>
  </si>
  <si>
    <t xml:space="preserve">      20010001 Ministarstvo prosvjete, znanosti, kulture i športa - 
      Nabavka udžbenika</t>
  </si>
  <si>
    <t xml:space="preserve">      20030005 Osnovna škola Stjepana Radića Oštra Luka-Bok</t>
  </si>
  <si>
    <t xml:space="preserve">      10010001 Skupština Županije Posavske</t>
  </si>
  <si>
    <t xml:space="preserve">      13010001 Ministarstvo unutarnjih poslova</t>
  </si>
  <si>
    <t>55 (62)</t>
  </si>
  <si>
    <t xml:space="preserve">     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 i 104/16), Skupština Županije Posavske na  _____ sjednici održanoj dana ______________ 2017. godine usvaja</t>
  </si>
  <si>
    <t>50 (52)</t>
  </si>
  <si>
    <t>43 (45)</t>
  </si>
  <si>
    <t>51 (51)</t>
  </si>
  <si>
    <t>106 (110)</t>
  </si>
  <si>
    <t>32 (33)</t>
  </si>
  <si>
    <t>42 (42)</t>
  </si>
  <si>
    <t>44 (44)</t>
  </si>
  <si>
    <t>29 (29)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</si>
  <si>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</si>
  <si>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</si>
  <si>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</si>
  <si>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</si>
  <si>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</si>
  <si>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</si>
  <si>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</si>
  <si>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</si>
  <si>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</si>
  <si>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</si>
  <si>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</si>
  <si>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</si>
  <si>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</si>
  <si>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</si>
  <si>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</si>
  <si>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</si>
  <si>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</si>
  <si>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</si>
  <si>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</si>
  <si>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</si>
  <si>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</si>
  <si>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</si>
  <si>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</si>
  <si>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</si>
  <si>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</si>
  <si>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</si>
  <si>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</si>
  <si>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</si>
  <si>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</si>
  <si>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</si>
  <si>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</si>
  <si>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</si>
  <si>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</si>
  <si>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</si>
  <si>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</si>
  <si>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</si>
  <si>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</si>
  <si>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</si>
  <si>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</si>
  <si>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</si>
  <si>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</si>
  <si>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</si>
  <si>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</si>
  <si>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</si>
  <si>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</si>
  <si>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</si>
  <si>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</si>
  <si>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r>
      <t>P R O R A Č U N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2018. godinu</t>
    </r>
  </si>
  <si>
    <t>Orašje, prosinac 2017.godine</t>
  </si>
  <si>
    <t>Proračun ŽP za 2018. godinu (po korisnicima i ekonom.klasifikacijama izdataka)</t>
  </si>
  <si>
    <t>Funkcijska klasifikacija rashoda i izdataka Proračuna Županije Posavske za 2018. godinu</t>
  </si>
  <si>
    <t>Izdaci za nabavku stalnih sredstava za 2018.g.(po pror.korisn.i izv.financiranja)</t>
  </si>
  <si>
    <t>P R O R A Č U N</t>
  </si>
  <si>
    <t xml:space="preserve"> Županije Posavske za 2018. godinu</t>
  </si>
  <si>
    <t xml:space="preserve">     Proračun Županije Posavske za 2018.godinu sastoji se od:</t>
  </si>
  <si>
    <t>PRORAČUN za 
2018.godinu</t>
  </si>
  <si>
    <t>PRORAČUN za
2018.</t>
  </si>
  <si>
    <t>PRORAČUN za 2018.</t>
  </si>
  <si>
    <t>PRORAČUN ŽUPANIJE POSAVSKE ZA 2018. GODINU (po korisnicima i ekonomskim klasifikacijama izdataka)</t>
  </si>
  <si>
    <t>IZDACI ZA NABAVKU STALNIH SREDSTAVA ŽUPANIJE POSAVSKE ZA 2018. GODINU (po proračunskim korisnicima i izvorima financiranja)</t>
  </si>
  <si>
    <t>PRORAČUN za 2018. godinu</t>
  </si>
  <si>
    <t xml:space="preserve">     Ovaj Proračun stupa na snagu narednog dana od dana objave u "Narodnim novinama Županije Posavske", a primjenjivat će se za fiskalnu 2018. godinu.</t>
  </si>
  <si>
    <t>Izvršenje Proračuna 01.01.-30.09.17.</t>
  </si>
  <si>
    <t>Ekon. 
kod</t>
  </si>
  <si>
    <t xml:space="preserve"> Ostali grantovi-izvršenje sudskih presuda i rješenja
 o izvršenju</t>
  </si>
  <si>
    <t xml:space="preserve"> Transfer za zdravstvene institucije i centre za
 soc.rad</t>
  </si>
  <si>
    <t>0 (3)</t>
  </si>
  <si>
    <t>17 (14)</t>
  </si>
  <si>
    <t>53 (60)</t>
  </si>
  <si>
    <t>52 (54)</t>
  </si>
  <si>
    <t>104 (108)</t>
  </si>
  <si>
    <t>43 (43)</t>
  </si>
  <si>
    <t>28 (28)</t>
  </si>
  <si>
    <t>54 (55)</t>
  </si>
  <si>
    <t>32 (32)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</si>
  <si>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</si>
  <si>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</si>
  <si>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</si>
  <si>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</si>
  <si>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>902 (918)</t>
  </si>
  <si>
    <t>105 (109)</t>
  </si>
  <si>
    <t xml:space="preserve"> Naknade troškova zaposlenih - volonteri (57) (60)</t>
  </si>
  <si>
    <t xml:space="preserve"> Ugovorene i dr. posebne usluge-volonteri (57) (60)</t>
  </si>
  <si>
    <t xml:space="preserve">      11010001 Vlada ŽP - Fond za zaštitu okoliša Federacije BiH</t>
  </si>
  <si>
    <t>53 (55)</t>
  </si>
  <si>
    <t>53 (53)</t>
  </si>
  <si>
    <t>45 (45)</t>
  </si>
  <si>
    <t xml:space="preserve">   Grantovi od izvanproračunskih fondova</t>
  </si>
  <si>
    <t>947 (967)</t>
  </si>
  <si>
    <t xml:space="preserve"> Grant za sufinanciranje profesionalne vatrogasne
 postrojbe</t>
  </si>
  <si>
    <t xml:space="preserve"> o/č Grant za sufinanciranje profesionalne vatrogasne postrojbe</t>
  </si>
  <si>
    <t>Ured za razvoj i europske integracije Županije Posavske</t>
  </si>
  <si>
    <t>Prihodi, primici i financiranje" i "Rashodi i izdaci" po grupama utvrđuju se u Računu prihoda i rashoda za 2018.godinu kako slijedi:</t>
  </si>
  <si>
    <t>Izmjene i dopune PRORAČUNA za 2017.</t>
  </si>
  <si>
    <t>INDEKS 9/7</t>
  </si>
  <si>
    <t>54 (61)</t>
  </si>
  <si>
    <t>57 (58)</t>
  </si>
  <si>
    <t>45 (53)</t>
  </si>
  <si>
    <t>108 (114)</t>
  </si>
  <si>
    <t>46 (47)</t>
  </si>
  <si>
    <t xml:space="preserve"> Naknade troškova zaposlenih - volonteri (1) (0)</t>
  </si>
  <si>
    <t xml:space="preserve"> Ugovorene i druge posebne usluge-volonteri (1) (0)</t>
  </si>
  <si>
    <t xml:space="preserve"> Naknade troškova zaposlenih - volonteri (2) (0)</t>
  </si>
  <si>
    <t xml:space="preserve"> Ugovorene i druge posebne usluge-volonteri (2) (0)</t>
  </si>
  <si>
    <t>FUNKCIJSKA KLASIFIKACIJA RASHODA I IZDATAKA PRORAČUNA ŽUPANIJE POSAVSKE ZA 2018.hODINU</t>
  </si>
  <si>
    <t>Javni red i sihurnost       (18+….+23)</t>
  </si>
  <si>
    <t xml:space="preserve">Usluge protupožarne zaštite </t>
  </si>
  <si>
    <t>Izmjene i dopune Proračuna za 2017.</t>
  </si>
  <si>
    <t>INDEKS 6/4</t>
  </si>
  <si>
    <t>953 (977)</t>
  </si>
  <si>
    <t>PRORAČUN za 2017./Izmjene i dopune Proračuna za 2017.</t>
  </si>
  <si>
    <t xml:space="preserve">   Prihodi od prodaje stanova koji su u vlasn.nadležne razine vlasti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</si>
  <si>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</si>
  <si>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</si>
  <si>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</si>
  <si>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   20030002 Osnovna škola Vladimira Nazora Odžak - Podravka 
      d.o.o. Sarajevo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</si>
  <si>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</si>
  <si>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</si>
  <si>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20030002 Osn.škola V.Nazora Odžak - Ured za Hrvate izvan RH</t>
  </si>
  <si>
    <t xml:space="preserve">      20020002 Srednja škola Pere Zečevića Odžak - Federalno 
      ministarstvo prostornog uređenja</t>
  </si>
  <si>
    <t xml:space="preserve">      20020002 Srednja strukovna škola Orašje - Federalno 
      ministarstvo obrazovanja i nauke</t>
  </si>
  <si>
    <t xml:space="preserve">      20030002 Osn.škola V.Nazora Odžak - Fed.minist.obrazovanja</t>
  </si>
  <si>
    <t>INDEKS
6/4</t>
  </si>
  <si>
    <t xml:space="preserve">      23010001 Uprava za civ.zaštitu- Ambasada Češke Republike</t>
  </si>
  <si>
    <t>INDEKS
(4/3)</t>
  </si>
  <si>
    <t xml:space="preserve">      19010001 Ministarstvo poljoprivrede, vodopr.i šumarstva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</si>
  <si>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</si>
  <si>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</si>
  <si>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</si>
  <si>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>Izmjene i dopune Proračuna za 2017.godinu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</si>
  <si>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</si>
  <si>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</si>
  <si>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</si>
  <si>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</si>
  <si>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Nakn.u postupku promj.namjene šum.zemljišta (krčenje) </t>
    </r>
    <r>
      <rPr>
        <b/>
        <sz val="10"/>
        <color indexed="8"/>
        <rFont val="Calibri"/>
        <family val="2"/>
        <charset val="238"/>
      </rPr>
      <t>(razgr.)</t>
    </r>
  </si>
  <si>
    <t xml:space="preserve"> Naknade troškova zaposlenih - volonteri (61) (60)</t>
  </si>
  <si>
    <t xml:space="preserve"> o/č Ugovorene i druge posebne usluge-volonterski rad (61) (60)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</si>
  <si>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</si>
  <si>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</si>
  <si>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</si>
  <si>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</si>
  <si>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Grant za Udr.osoba s posebnim potrebama Put
 u život Orašje</t>
  </si>
  <si>
    <t xml:space="preserve">   Grant od Federalnog zavoda za zapošljavanje - osnovne škole</t>
  </si>
  <si>
    <t xml:space="preserve">   Grant od Federalnog zavoda za zapošljavanje-Min.pravosuđa</t>
  </si>
  <si>
    <t>942 (958)</t>
  </si>
  <si>
    <t xml:space="preserve"> Grant za razvoj poduzetništva, obrta i zadruga</t>
  </si>
  <si>
    <t xml:space="preserve"> o/č Grant za razvoj poduzetništva, obrta i zadruga</t>
  </si>
</sst>
</file>

<file path=xl/styles.xml><?xml version="1.0" encoding="utf-8"?>
<styleSheet xmlns="http://schemas.openxmlformats.org/spreadsheetml/2006/main">
  <numFmts count="6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0.000%"/>
  </numFmts>
  <fonts count="33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5" fontId="11" fillId="0" borderId="0" applyFont="0" applyFill="0" applyBorder="0" applyAlignment="0" applyProtection="0"/>
    <xf numFmtId="0" fontId="30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2" fillId="0" borderId="4" xfId="3" applyBorder="1" applyAlignment="1">
      <alignment horizontal="center"/>
    </xf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6" xfId="3" applyBorder="1" applyAlignment="1">
      <alignment horizontal="center"/>
    </xf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3" fillId="0" borderId="8" xfId="3" applyFont="1" applyBorder="1" applyAlignment="1">
      <alignment horizontal="center"/>
    </xf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3" fontId="3" fillId="3" borderId="4" xfId="3" applyNumberFormat="1" applyFont="1" applyFill="1" applyBorder="1"/>
    <xf numFmtId="0" fontId="3" fillId="0" borderId="3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3" fillId="0" borderId="11" xfId="3" applyFont="1" applyBorder="1" applyAlignment="1">
      <alignment horizontal="center"/>
    </xf>
    <xf numFmtId="0" fontId="2" fillId="0" borderId="12" xfId="3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0" xfId="3" applyFill="1" applyBorder="1"/>
    <xf numFmtId="0" fontId="2" fillId="0" borderId="11" xfId="3" applyBorder="1" applyAlignment="1">
      <alignment horizontal="center"/>
    </xf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2" xfId="3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0" xfId="3" applyBorder="1" applyAlignment="1">
      <alignment horizontal="center"/>
    </xf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7" fillId="0" borderId="0" xfId="0" applyFont="1" applyBorder="1" applyAlignment="1"/>
    <xf numFmtId="3" fontId="2" fillId="0" borderId="16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3" fillId="0" borderId="17" xfId="3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49" fontId="0" fillId="0" borderId="12" xfId="0" applyNumberFormat="1" applyBorder="1" applyAlignment="1">
      <alignment horizontal="center"/>
    </xf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3" fontId="3" fillId="0" borderId="4" xfId="3" applyNumberFormat="1" applyFont="1" applyFill="1" applyBorder="1"/>
    <xf numFmtId="3" fontId="10" fillId="0" borderId="4" xfId="3" applyNumberFormat="1" applyFont="1" applyBorder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0" fontId="2" fillId="0" borderId="12" xfId="3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3" fontId="4" fillId="0" borderId="4" xfId="3" applyNumberFormat="1" applyFont="1" applyFill="1" applyBorder="1" applyProtection="1">
      <protection locked="0"/>
    </xf>
    <xf numFmtId="0" fontId="0" fillId="0" borderId="15" xfId="0" applyBorder="1"/>
    <xf numFmtId="0" fontId="9" fillId="0" borderId="0" xfId="0" applyFont="1" applyAlignment="1">
      <alignment horizontal="center" vertical="top"/>
    </xf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3" fillId="2" borderId="19" xfId="3" applyNumberFormat="1" applyFont="1" applyFill="1" applyBorder="1" applyAlignment="1">
      <alignment horizontal="center" vertical="center" wrapText="1"/>
    </xf>
    <xf numFmtId="4" fontId="2" fillId="0" borderId="21" xfId="3" applyNumberFormat="1" applyBorder="1"/>
    <xf numFmtId="4" fontId="7" fillId="0" borderId="0" xfId="3" applyNumberFormat="1" applyFont="1" applyAlignment="1">
      <alignment horizontal="left"/>
    </xf>
    <xf numFmtId="4" fontId="3" fillId="0" borderId="0" xfId="3" applyNumberFormat="1" applyFont="1" applyAlignment="1">
      <alignment horizontal="left"/>
    </xf>
    <xf numFmtId="4" fontId="3" fillId="0" borderId="0" xfId="3" applyNumberFormat="1" applyFont="1" applyFill="1" applyAlignment="1">
      <alignment horizontal="left"/>
    </xf>
    <xf numFmtId="4" fontId="2" fillId="0" borderId="16" xfId="3" applyNumberFormat="1" applyBorder="1"/>
    <xf numFmtId="4" fontId="3" fillId="0" borderId="22" xfId="3" applyNumberFormat="1" applyFont="1" applyFill="1" applyBorder="1" applyAlignment="1">
      <alignment horizontal="center" vertical="center" wrapText="1"/>
    </xf>
    <xf numFmtId="0" fontId="3" fillId="0" borderId="23" xfId="3" applyFont="1" applyBorder="1" applyAlignment="1">
      <alignment horizontal="center"/>
    </xf>
    <xf numFmtId="4" fontId="3" fillId="0" borderId="23" xfId="3" applyNumberFormat="1" applyFont="1" applyBorder="1" applyAlignment="1">
      <alignment horizontal="center"/>
    </xf>
    <xf numFmtId="4" fontId="3" fillId="0" borderId="23" xfId="3" applyNumberFormat="1" applyFont="1" applyFill="1" applyBorder="1"/>
    <xf numFmtId="4" fontId="4" fillId="0" borderId="23" xfId="3" applyNumberFormat="1" applyFont="1" applyFill="1" applyBorder="1"/>
    <xf numFmtId="4" fontId="2" fillId="0" borderId="23" xfId="3" applyNumberFormat="1" applyBorder="1"/>
    <xf numFmtId="4" fontId="3" fillId="0" borderId="23" xfId="3" applyNumberFormat="1" applyFont="1" applyBorder="1"/>
    <xf numFmtId="4" fontId="2" fillId="0" borderId="24" xfId="3" applyNumberFormat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0" fontId="3" fillId="0" borderId="10" xfId="3" applyFont="1" applyBorder="1" applyAlignment="1">
      <alignment horizontal="center"/>
    </xf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8" fillId="0" borderId="4" xfId="3" applyNumberFormat="1" applyFont="1" applyFill="1" applyBorder="1"/>
    <xf numFmtId="4" fontId="3" fillId="0" borderId="23" xfId="3" applyNumberFormat="1" applyFont="1" applyBorder="1" applyAlignment="1">
      <alignment horizontal="right"/>
    </xf>
    <xf numFmtId="3" fontId="10" fillId="0" borderId="4" xfId="3" applyNumberFormat="1" applyFont="1" applyFill="1" applyBorder="1"/>
    <xf numFmtId="4" fontId="3" fillId="0" borderId="24" xfId="3" applyNumberFormat="1" applyFont="1" applyBorder="1"/>
    <xf numFmtId="3" fontId="3" fillId="0" borderId="6" xfId="3" applyNumberFormat="1" applyFont="1" applyBorder="1"/>
    <xf numFmtId="4" fontId="4" fillId="0" borderId="23" xfId="3" applyNumberFormat="1" applyFont="1" applyBorder="1" applyAlignment="1">
      <alignment horizontal="right"/>
    </xf>
    <xf numFmtId="0" fontId="3" fillId="2" borderId="2" xfId="3" applyFont="1" applyFill="1" applyBorder="1" applyAlignment="1">
      <alignment horizontal="center" vertical="center" wrapText="1"/>
    </xf>
    <xf numFmtId="3" fontId="4" fillId="0" borderId="0" xfId="3" applyNumberFormat="1" applyFont="1"/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164" fontId="15" fillId="0" borderId="14" xfId="0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0" borderId="4" xfId="3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3" fontId="4" fillId="0" borderId="4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Fill="1" applyBorder="1" applyAlignment="1">
      <alignment vertical="center" wrapText="1"/>
    </xf>
    <xf numFmtId="3" fontId="4" fillId="0" borderId="1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4" fontId="8" fillId="0" borderId="23" xfId="3" applyNumberFormat="1" applyFont="1" applyFill="1" applyBorder="1"/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20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4" fontId="10" fillId="0" borderId="20" xfId="0" applyNumberFormat="1" applyFont="1" applyFill="1" applyBorder="1"/>
    <xf numFmtId="0" fontId="10" fillId="0" borderId="3" xfId="0" applyFont="1" applyBorder="1" applyAlignment="1">
      <alignment horizontal="right"/>
    </xf>
    <xf numFmtId="3" fontId="16" fillId="0" borderId="8" xfId="0" applyNumberFormat="1" applyFont="1" applyFill="1" applyBorder="1"/>
    <xf numFmtId="4" fontId="10" fillId="0" borderId="20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0" borderId="4" xfId="0" applyFont="1" applyFill="1" applyBorder="1"/>
    <xf numFmtId="4" fontId="8" fillId="0" borderId="20" xfId="0" applyNumberFormat="1" applyFont="1" applyFill="1" applyBorder="1"/>
    <xf numFmtId="3" fontId="17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7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6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0" fillId="0" borderId="0" xfId="0" applyFill="1" applyBorder="1" applyAlignment="1"/>
    <xf numFmtId="0" fontId="3" fillId="0" borderId="4" xfId="0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/>
    <xf numFmtId="0" fontId="3" fillId="4" borderId="4" xfId="0" applyFont="1" applyFill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/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3" fontId="3" fillId="4" borderId="4" xfId="0" applyNumberFormat="1" applyFont="1" applyFill="1" applyBorder="1" applyAlignment="1"/>
    <xf numFmtId="0" fontId="3" fillId="4" borderId="25" xfId="0" applyFont="1" applyFill="1" applyBorder="1" applyAlignment="1">
      <alignment horizontal="left" vertical="center"/>
    </xf>
    <xf numFmtId="3" fontId="3" fillId="4" borderId="25" xfId="0" applyNumberFormat="1" applyFont="1" applyFill="1" applyBorder="1" applyAlignment="1"/>
    <xf numFmtId="0" fontId="3" fillId="4" borderId="26" xfId="0" applyFont="1" applyFill="1" applyBorder="1" applyAlignment="1"/>
    <xf numFmtId="3" fontId="3" fillId="4" borderId="26" xfId="0" applyNumberFormat="1" applyFont="1" applyFill="1" applyBorder="1" applyAlignment="1"/>
    <xf numFmtId="0" fontId="3" fillId="0" borderId="27" xfId="0" applyFont="1" applyFill="1" applyBorder="1" applyAlignment="1"/>
    <xf numFmtId="4" fontId="0" fillId="0" borderId="27" xfId="0" applyNumberForma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/>
    <xf numFmtId="2" fontId="3" fillId="0" borderId="4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 vertical="center"/>
    </xf>
    <xf numFmtId="3" fontId="0" fillId="0" borderId="8" xfId="0" applyNumberFormat="1" applyFill="1" applyBorder="1"/>
    <xf numFmtId="0" fontId="6" fillId="0" borderId="8" xfId="0" applyFont="1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14" xfId="0" applyBorder="1"/>
    <xf numFmtId="4" fontId="2" fillId="0" borderId="0" xfId="3" applyNumberFormat="1" applyFont="1"/>
    <xf numFmtId="3" fontId="2" fillId="0" borderId="0" xfId="3" applyNumberFormat="1" applyFill="1"/>
    <xf numFmtId="4" fontId="2" fillId="0" borderId="0" xfId="3" applyNumberFormat="1" applyFill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Fill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/>
    <xf numFmtId="4" fontId="4" fillId="0" borderId="4" xfId="0" applyNumberFormat="1" applyFont="1" applyFill="1" applyBorder="1"/>
    <xf numFmtId="4" fontId="4" fillId="0" borderId="4" xfId="0" applyNumberFormat="1" applyFont="1" applyBorder="1"/>
    <xf numFmtId="4" fontId="3" fillId="2" borderId="4" xfId="0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0" fontId="10" fillId="0" borderId="4" xfId="3" applyFont="1" applyFill="1" applyBorder="1"/>
    <xf numFmtId="0" fontId="10" fillId="0" borderId="4" xfId="3" applyFont="1" applyFill="1" applyBorder="1" applyAlignment="1">
      <alignment wrapText="1"/>
    </xf>
    <xf numFmtId="0" fontId="19" fillId="0" borderId="30" xfId="4" applyFont="1" applyFill="1" applyBorder="1" applyAlignment="1">
      <alignment horizontal="center" vertical="center" wrapText="1"/>
    </xf>
    <xf numFmtId="0" fontId="19" fillId="0" borderId="20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4" fillId="0" borderId="4" xfId="0" applyFont="1" applyBorder="1"/>
    <xf numFmtId="0" fontId="25" fillId="0" borderId="4" xfId="0" applyFont="1" applyFill="1" applyBorder="1" applyAlignment="1">
      <alignment wrapText="1"/>
    </xf>
    <xf numFmtId="0" fontId="25" fillId="0" borderId="4" xfId="0" applyFont="1" applyBorder="1"/>
    <xf numFmtId="0" fontId="24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4" fillId="0" borderId="4" xfId="0" applyFont="1" applyFill="1" applyBorder="1"/>
    <xf numFmtId="0" fontId="26" fillId="0" borderId="4" xfId="0" applyFont="1" applyFill="1" applyBorder="1"/>
    <xf numFmtId="0" fontId="24" fillId="0" borderId="4" xfId="0" applyFont="1" applyFill="1" applyBorder="1" applyAlignment="1">
      <alignment wrapText="1"/>
    </xf>
    <xf numFmtId="0" fontId="26" fillId="0" borderId="4" xfId="0" applyFont="1" applyFill="1" applyBorder="1" applyAlignment="1">
      <alignment wrapText="1"/>
    </xf>
    <xf numFmtId="0" fontId="0" fillId="0" borderId="28" xfId="0" applyBorder="1" applyAlignment="1">
      <alignment horizontal="right"/>
    </xf>
    <xf numFmtId="0" fontId="24" fillId="0" borderId="12" xfId="0" applyFont="1" applyBorder="1"/>
    <xf numFmtId="0" fontId="0" fillId="0" borderId="12" xfId="0" applyFill="1" applyBorder="1" applyAlignment="1">
      <alignment wrapText="1"/>
    </xf>
    <xf numFmtId="3" fontId="4" fillId="0" borderId="30" xfId="0" applyNumberFormat="1" applyFont="1" applyFill="1" applyBorder="1"/>
    <xf numFmtId="0" fontId="10" fillId="0" borderId="28" xfId="0" applyFont="1" applyBorder="1" applyAlignment="1">
      <alignment horizontal="right"/>
    </xf>
    <xf numFmtId="0" fontId="0" fillId="0" borderId="12" xfId="0" applyBorder="1"/>
    <xf numFmtId="3" fontId="10" fillId="0" borderId="30" xfId="0" applyNumberFormat="1" applyFont="1" applyBorder="1"/>
    <xf numFmtId="4" fontId="23" fillId="6" borderId="20" xfId="0" applyNumberFormat="1" applyFont="1" applyFill="1" applyBorder="1"/>
    <xf numFmtId="4" fontId="8" fillId="6" borderId="20" xfId="0" applyNumberFormat="1" applyFont="1" applyFill="1" applyBorder="1"/>
    <xf numFmtId="4" fontId="10" fillId="0" borderId="31" xfId="0" applyNumberFormat="1" applyFont="1" applyBorder="1"/>
    <xf numFmtId="4" fontId="10" fillId="0" borderId="31" xfId="0" applyNumberFormat="1" applyFont="1" applyFill="1" applyBorder="1"/>
    <xf numFmtId="4" fontId="23" fillId="0" borderId="20" xfId="0" applyNumberFormat="1" applyFont="1" applyBorder="1"/>
    <xf numFmtId="4" fontId="23" fillId="6" borderId="32" xfId="0" applyNumberFormat="1" applyFont="1" applyFill="1" applyBorder="1"/>
    <xf numFmtId="0" fontId="8" fillId="0" borderId="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2" fontId="8" fillId="0" borderId="25" xfId="0" applyNumberFormat="1" applyFont="1" applyFill="1" applyBorder="1" applyAlignment="1">
      <alignment horizontal="right" vertical="center"/>
    </xf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10" fontId="0" fillId="0" borderId="0" xfId="0" applyNumberFormat="1"/>
    <xf numFmtId="168" fontId="0" fillId="0" borderId="0" xfId="5" applyNumberFormat="1" applyFont="1"/>
    <xf numFmtId="4" fontId="31" fillId="0" borderId="0" xfId="5" applyNumberFormat="1" applyFont="1"/>
    <xf numFmtId="4" fontId="27" fillId="6" borderId="20" xfId="0" applyNumberFormat="1" applyFont="1" applyFill="1" applyBorder="1"/>
    <xf numFmtId="4" fontId="28" fillId="0" borderId="20" xfId="0" applyNumberFormat="1" applyFont="1" applyBorder="1"/>
    <xf numFmtId="4" fontId="28" fillId="0" borderId="20" xfId="0" applyNumberFormat="1" applyFont="1" applyFill="1" applyBorder="1"/>
    <xf numFmtId="0" fontId="10" fillId="0" borderId="4" xfId="0" applyFont="1" applyBorder="1"/>
    <xf numFmtId="0" fontId="3" fillId="2" borderId="19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7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3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0" fontId="2" fillId="3" borderId="4" xfId="3" applyFont="1" applyFill="1" applyBorder="1" applyAlignment="1">
      <alignment wrapText="1"/>
    </xf>
    <xf numFmtId="0" fontId="3" fillId="0" borderId="4" xfId="3" applyFont="1" applyFill="1" applyBorder="1"/>
    <xf numFmtId="3" fontId="3" fillId="0" borderId="10" xfId="4" applyNumberFormat="1" applyFont="1" applyFill="1" applyBorder="1"/>
    <xf numFmtId="3" fontId="30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7" fillId="0" borderId="20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20" xfId="0" applyNumberFormat="1" applyFont="1" applyBorder="1"/>
    <xf numFmtId="3" fontId="2" fillId="0" borderId="8" xfId="0" applyNumberFormat="1" applyFont="1" applyFill="1" applyBorder="1"/>
    <xf numFmtId="4" fontId="2" fillId="0" borderId="34" xfId="0" applyNumberFormat="1" applyFont="1" applyBorder="1"/>
    <xf numFmtId="3" fontId="2" fillId="0" borderId="4" xfId="4" applyNumberFormat="1" applyFont="1" applyFill="1" applyBorder="1"/>
    <xf numFmtId="3" fontId="0" fillId="0" borderId="0" xfId="0" applyNumberFormat="1" applyBorder="1" applyAlignment="1"/>
    <xf numFmtId="0" fontId="2" fillId="0" borderId="0" xfId="0" applyFont="1" applyAlignment="1">
      <alignment horizontal="justify" wrapText="1"/>
    </xf>
    <xf numFmtId="3" fontId="0" fillId="0" borderId="30" xfId="0" applyNumberFormat="1" applyFill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3" fontId="4" fillId="7" borderId="4" xfId="3" applyNumberFormat="1" applyFont="1" applyFill="1" applyBorder="1"/>
    <xf numFmtId="0" fontId="29" fillId="0" borderId="4" xfId="3" applyFont="1" applyBorder="1"/>
    <xf numFmtId="3" fontId="29" fillId="0" borderId="4" xfId="3" applyNumberFormat="1" applyFont="1" applyBorder="1"/>
    <xf numFmtId="4" fontId="29" fillId="0" borderId="23" xfId="3" applyNumberFormat="1" applyFont="1" applyBorder="1" applyAlignment="1">
      <alignment horizontal="right"/>
    </xf>
    <xf numFmtId="0" fontId="29" fillId="0" borderId="4" xfId="3" applyFont="1" applyFill="1" applyBorder="1"/>
    <xf numFmtId="3" fontId="29" fillId="0" borderId="4" xfId="3" applyNumberFormat="1" applyFont="1" applyFill="1" applyBorder="1"/>
    <xf numFmtId="3" fontId="29" fillId="0" borderId="4" xfId="3" applyNumberFormat="1" applyFont="1" applyFill="1" applyBorder="1" applyProtection="1">
      <protection locked="0"/>
    </xf>
    <xf numFmtId="0" fontId="29" fillId="0" borderId="4" xfId="0" applyFont="1" applyBorder="1"/>
    <xf numFmtId="0" fontId="29" fillId="0" borderId="12" xfId="3" applyFont="1" applyBorder="1"/>
    <xf numFmtId="0" fontId="29" fillId="0" borderId="4" xfId="0" applyFont="1" applyFill="1" applyBorder="1" applyAlignment="1">
      <alignment wrapText="1"/>
    </xf>
    <xf numFmtId="0" fontId="29" fillId="0" borderId="4" xfId="0" applyFont="1" applyFill="1" applyBorder="1"/>
    <xf numFmtId="0" fontId="29" fillId="0" borderId="4" xfId="3" applyFont="1" applyFill="1" applyBorder="1" applyAlignment="1">
      <alignment wrapText="1"/>
    </xf>
    <xf numFmtId="0" fontId="29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3" fillId="0" borderId="3" xfId="3" applyFont="1" applyBorder="1" applyAlignment="1">
      <alignment horizontal="center" vertical="top"/>
    </xf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9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9" fillId="0" borderId="3" xfId="3" applyFont="1" applyFill="1" applyBorder="1" applyAlignment="1">
      <alignment horizontal="right" vertical="top"/>
    </xf>
    <xf numFmtId="49" fontId="29" fillId="0" borderId="3" xfId="0" applyNumberFormat="1" applyFont="1" applyBorder="1" applyAlignment="1">
      <alignment horizontal="right" vertical="top"/>
    </xf>
    <xf numFmtId="49" fontId="29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49" fontId="3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3" fontId="3" fillId="4" borderId="25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3" fillId="0" borderId="0" xfId="3" applyFont="1" applyAlignment="1">
      <alignment horizontal="left"/>
    </xf>
    <xf numFmtId="4" fontId="8" fillId="0" borderId="2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4" xfId="3" applyFont="1" applyBorder="1" applyAlignment="1">
      <alignment wrapText="1"/>
    </xf>
    <xf numFmtId="0" fontId="19" fillId="0" borderId="3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justify"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2" fontId="3" fillId="4" borderId="4" xfId="0" applyNumberFormat="1" applyFont="1" applyFill="1" applyBorder="1" applyAlignment="1">
      <alignment horizontal="right" vertical="center"/>
    </xf>
    <xf numFmtId="2" fontId="3" fillId="4" borderId="25" xfId="0" applyNumberFormat="1" applyFont="1" applyFill="1" applyBorder="1" applyAlignment="1">
      <alignment horizontal="right" vertical="center"/>
    </xf>
    <xf numFmtId="2" fontId="3" fillId="4" borderId="26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32" fillId="0" borderId="2" xfId="3" applyFont="1" applyFill="1" applyBorder="1" applyAlignment="1">
      <alignment horizontal="center" vertical="center" wrapText="1"/>
    </xf>
    <xf numFmtId="4" fontId="2" fillId="0" borderId="23" xfId="3" applyNumberFormat="1" applyFont="1" applyFill="1" applyBorder="1"/>
    <xf numFmtId="4" fontId="27" fillId="0" borderId="23" xfId="3" applyNumberFormat="1" applyFont="1" applyFill="1" applyBorder="1"/>
    <xf numFmtId="0" fontId="8" fillId="0" borderId="4" xfId="0" applyFont="1" applyBorder="1" applyAlignment="1">
      <alignment horizontal="center"/>
    </xf>
    <xf numFmtId="4" fontId="8" fillId="0" borderId="23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7" xfId="0" applyNumberFormat="1" applyFont="1" applyFill="1" applyBorder="1"/>
    <xf numFmtId="3" fontId="0" fillId="0" borderId="4" xfId="0" applyNumberFormat="1" applyFill="1" applyBorder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8" xfId="0" applyFont="1" applyBorder="1" applyAlignment="1"/>
    <xf numFmtId="0" fontId="0" fillId="0" borderId="29" xfId="0" applyBorder="1" applyAlignment="1"/>
    <xf numFmtId="0" fontId="0" fillId="0" borderId="10" xfId="0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8" xfId="0" applyFont="1" applyBorder="1" applyAlignment="1">
      <alignment wrapText="1"/>
    </xf>
    <xf numFmtId="0" fontId="3" fillId="2" borderId="8" xfId="0" applyFont="1" applyFill="1" applyBorder="1" applyAlignment="1"/>
    <xf numFmtId="0" fontId="3" fillId="2" borderId="29" xfId="0" applyFont="1" applyFill="1" applyBorder="1" applyAlignment="1"/>
    <xf numFmtId="0" fontId="3" fillId="2" borderId="10" xfId="0" applyFont="1" applyFill="1" applyBorder="1" applyAlignment="1"/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5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6" xfId="0" applyFont="1" applyFill="1" applyBorder="1" applyAlignment="1">
      <alignment horizontal="right" wrapText="1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3" fillId="0" borderId="0" xfId="3" applyFont="1" applyAlignment="1">
      <alignment horizontal="left"/>
    </xf>
    <xf numFmtId="0" fontId="3" fillId="7" borderId="0" xfId="3" applyFont="1" applyFill="1" applyAlignment="1">
      <alignment horizontal="left"/>
    </xf>
    <xf numFmtId="0" fontId="1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</cellXfs>
  <cellStyles count="7">
    <cellStyle name="Comma_izvrsenje300903-s planom 2" xfId="1"/>
    <cellStyle name="Loše" xfId="2" builtinId="27"/>
    <cellStyle name="Normal_sablon1-230704" xfId="3"/>
    <cellStyle name="Normal_sablon1-230704 2" xfId="4"/>
    <cellStyle name="Obično" xfId="0" builtinId="0"/>
    <cellStyle name="Postotak" xfId="5" builtinId="5"/>
    <cellStyle name="Zarez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Normal="100" workbookViewId="0">
      <selection activeCell="I15" sqref="I15"/>
    </sheetView>
  </sheetViews>
  <sheetFormatPr defaultRowHeight="12.75"/>
  <cols>
    <col min="3" max="3" width="12.5703125" customWidth="1"/>
    <col min="4" max="4" width="4.5703125" customWidth="1"/>
    <col min="6" max="6" width="4.42578125" customWidth="1"/>
    <col min="9" max="9" width="20" customWidth="1"/>
  </cols>
  <sheetData>
    <row r="1" spans="1:9">
      <c r="A1" s="448"/>
      <c r="B1" s="448"/>
      <c r="C1" s="448"/>
      <c r="D1" s="448"/>
      <c r="E1" s="448"/>
      <c r="F1" s="448"/>
      <c r="G1" s="448"/>
      <c r="H1" s="448"/>
      <c r="I1" s="448"/>
    </row>
    <row r="2" spans="1:9">
      <c r="A2" s="449" t="s">
        <v>234</v>
      </c>
      <c r="B2" s="450"/>
      <c r="C2" s="450"/>
      <c r="G2" s="449" t="s">
        <v>235</v>
      </c>
      <c r="H2" s="450"/>
      <c r="I2" s="450"/>
    </row>
    <row r="3" spans="1:9">
      <c r="A3" s="450"/>
      <c r="B3" s="450"/>
      <c r="C3" s="450"/>
      <c r="G3" s="450"/>
      <c r="H3" s="450"/>
      <c r="I3" s="450"/>
    </row>
    <row r="4" spans="1:9">
      <c r="A4" s="450"/>
      <c r="B4" s="450"/>
      <c r="C4" s="450"/>
      <c r="G4" s="450"/>
      <c r="H4" s="450"/>
      <c r="I4" s="450"/>
    </row>
    <row r="5" spans="1:9">
      <c r="A5" s="450"/>
      <c r="B5" s="450"/>
      <c r="C5" s="450"/>
      <c r="G5" s="450"/>
      <c r="H5" s="450"/>
      <c r="I5" s="450"/>
    </row>
    <row r="6" spans="1:9">
      <c r="A6" s="450"/>
      <c r="B6" s="450"/>
      <c r="C6" s="450"/>
      <c r="G6" s="450"/>
      <c r="H6" s="450"/>
      <c r="I6" s="450"/>
    </row>
    <row r="7" spans="1:9">
      <c r="A7" s="450"/>
      <c r="B7" s="450"/>
      <c r="C7" s="450"/>
      <c r="G7" s="450"/>
      <c r="H7" s="450"/>
      <c r="I7" s="450"/>
    </row>
    <row r="8" spans="1:9">
      <c r="A8" s="112"/>
      <c r="B8" s="112"/>
      <c r="C8" s="112"/>
      <c r="D8" s="112"/>
      <c r="E8" s="112"/>
      <c r="F8" s="112"/>
      <c r="G8" s="112"/>
      <c r="H8" s="112"/>
      <c r="I8" s="112"/>
    </row>
    <row r="12" spans="1:9" ht="18.75">
      <c r="G12" s="445"/>
      <c r="H12" s="446"/>
      <c r="I12" s="446"/>
    </row>
    <row r="20" spans="1:9" ht="12.75" customHeight="1">
      <c r="A20" s="451" t="s">
        <v>720</v>
      </c>
      <c r="B20" s="452"/>
      <c r="C20" s="452"/>
      <c r="D20" s="452"/>
      <c r="E20" s="452"/>
      <c r="F20" s="452"/>
      <c r="G20" s="452"/>
      <c r="H20" s="452"/>
      <c r="I20" s="452"/>
    </row>
    <row r="21" spans="1:9">
      <c r="A21" s="452"/>
      <c r="B21" s="452"/>
      <c r="C21" s="452"/>
      <c r="D21" s="452"/>
      <c r="E21" s="452"/>
      <c r="F21" s="452"/>
      <c r="G21" s="452"/>
      <c r="H21" s="452"/>
      <c r="I21" s="452"/>
    </row>
    <row r="22" spans="1:9">
      <c r="A22" s="448"/>
      <c r="B22" s="448"/>
      <c r="C22" s="448"/>
      <c r="D22" s="448"/>
      <c r="E22" s="448"/>
      <c r="F22" s="448"/>
      <c r="G22" s="448"/>
      <c r="H22" s="448"/>
      <c r="I22" s="448"/>
    </row>
    <row r="23" spans="1:9">
      <c r="A23" s="448"/>
      <c r="B23" s="448"/>
      <c r="C23" s="448"/>
      <c r="D23" s="448"/>
      <c r="E23" s="448"/>
      <c r="F23" s="448"/>
      <c r="G23" s="448"/>
      <c r="H23" s="448"/>
      <c r="I23" s="448"/>
    </row>
    <row r="24" spans="1:9">
      <c r="A24" s="448"/>
      <c r="B24" s="448"/>
      <c r="C24" s="448"/>
      <c r="D24" s="448"/>
      <c r="E24" s="448"/>
      <c r="F24" s="448"/>
      <c r="G24" s="448"/>
      <c r="H24" s="448"/>
      <c r="I24" s="448"/>
    </row>
    <row r="25" spans="1:9">
      <c r="A25" s="448"/>
      <c r="B25" s="448"/>
      <c r="C25" s="448"/>
      <c r="D25" s="448"/>
      <c r="E25" s="448"/>
      <c r="F25" s="448"/>
      <c r="G25" s="448"/>
      <c r="H25" s="448"/>
      <c r="I25" s="448"/>
    </row>
    <row r="26" spans="1:9">
      <c r="A26" s="448"/>
      <c r="B26" s="448"/>
      <c r="C26" s="448"/>
      <c r="D26" s="448"/>
      <c r="E26" s="448"/>
      <c r="F26" s="448"/>
      <c r="G26" s="448"/>
      <c r="H26" s="448"/>
      <c r="I26" s="448"/>
    </row>
    <row r="54" spans="1:9">
      <c r="A54" s="447" t="s">
        <v>721</v>
      </c>
      <c r="B54" s="448"/>
      <c r="C54" s="448"/>
      <c r="D54" s="448"/>
      <c r="E54" s="448"/>
      <c r="F54" s="448"/>
      <c r="G54" s="448"/>
      <c r="H54" s="448"/>
      <c r="I54" s="448"/>
    </row>
    <row r="55" spans="1:9">
      <c r="A55" s="448"/>
      <c r="B55" s="448"/>
      <c r="C55" s="448"/>
      <c r="D55" s="448"/>
      <c r="E55" s="448"/>
      <c r="F55" s="448"/>
      <c r="G55" s="448"/>
      <c r="H55" s="448"/>
      <c r="I55" s="448"/>
    </row>
    <row r="56" spans="1:9" ht="15.75">
      <c r="A56" s="113"/>
      <c r="B56" s="113"/>
      <c r="C56" s="113"/>
      <c r="D56" s="113"/>
      <c r="E56" s="113"/>
      <c r="F56" s="113"/>
      <c r="G56" s="113"/>
      <c r="H56" s="113"/>
      <c r="I56" s="113"/>
    </row>
  </sheetData>
  <mergeCells count="6">
    <mergeCell ref="G12:I12"/>
    <mergeCell ref="A54:I55"/>
    <mergeCell ref="A1:I1"/>
    <mergeCell ref="A2:C7"/>
    <mergeCell ref="G2:I7"/>
    <mergeCell ref="A20:I26"/>
  </mergeCells>
  <phoneticPr fontId="0" type="noConversion"/>
  <pageMargins left="0.66" right="0.4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2:N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4" s="103" customFormat="1" ht="15" customHeight="1">
      <c r="B2" s="481" t="s">
        <v>123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4" s="1" customFormat="1" ht="16.5" thickBot="1">
      <c r="E3" s="2"/>
      <c r="F3" s="482"/>
      <c r="G3" s="482"/>
      <c r="H3" s="416"/>
      <c r="I3" s="416"/>
      <c r="J3" s="162"/>
      <c r="K3" s="163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4" s="2" customFormat="1" ht="17.100000000000001" customHeight="1">
      <c r="B6" s="10" t="s">
        <v>120</v>
      </c>
      <c r="C6" s="11" t="s">
        <v>81</v>
      </c>
      <c r="D6" s="11" t="s">
        <v>118</v>
      </c>
      <c r="E6" s="9"/>
      <c r="F6" s="9"/>
      <c r="G6" s="9"/>
      <c r="H6" s="9"/>
      <c r="I6" s="9"/>
      <c r="J6" s="9"/>
      <c r="K6" s="136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33080</v>
      </c>
      <c r="H7" s="356">
        <f>SUM(H8:H11)</f>
        <v>20500</v>
      </c>
      <c r="I7" s="356">
        <f t="shared" ref="I7" si="0">SUM(I8:I11)</f>
        <v>15022</v>
      </c>
      <c r="J7" s="356">
        <f>SUM(J8:J11)</f>
        <v>55690</v>
      </c>
      <c r="K7" s="180">
        <f>IF(H7=0,"",J7/H7*100)</f>
        <v>271.65853658536588</v>
      </c>
    </row>
    <row r="8" spans="2:14" ht="17.100000000000001" customHeight="1">
      <c r="B8" s="14"/>
      <c r="C8" s="15"/>
      <c r="D8" s="15"/>
      <c r="E8" s="16">
        <v>611100</v>
      </c>
      <c r="F8" s="26" t="s">
        <v>207</v>
      </c>
      <c r="G8" s="355">
        <v>26780</v>
      </c>
      <c r="H8" s="355">
        <f>16440+100</f>
        <v>16540</v>
      </c>
      <c r="I8" s="355">
        <v>12250</v>
      </c>
      <c r="J8" s="355">
        <f>16760+300+18940+9100+510+840</f>
        <v>46450</v>
      </c>
      <c r="K8" s="138">
        <f>IF(H8=0,"",J8/H8*100)</f>
        <v>280.83434099153567</v>
      </c>
    </row>
    <row r="9" spans="2:14" ht="17.100000000000001" customHeight="1">
      <c r="B9" s="14"/>
      <c r="C9" s="15"/>
      <c r="D9" s="15"/>
      <c r="E9" s="16">
        <v>611200</v>
      </c>
      <c r="F9" s="15" t="s">
        <v>208</v>
      </c>
      <c r="G9" s="355">
        <v>6300</v>
      </c>
      <c r="H9" s="355">
        <f>3660+40+260</f>
        <v>3960</v>
      </c>
      <c r="I9" s="355">
        <v>2772</v>
      </c>
      <c r="J9" s="355">
        <f>3640+200+2*2700</f>
        <v>9240</v>
      </c>
      <c r="K9" s="138">
        <f t="shared" ref="K9:K32" si="1">IF(H9=0,"",J9/H9*100)</f>
        <v>233.33333333333334</v>
      </c>
    </row>
    <row r="10" spans="2:14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4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3110</v>
      </c>
      <c r="H12" s="356">
        <f>H13</f>
        <v>1800</v>
      </c>
      <c r="I12" s="356">
        <f t="shared" ref="I12" si="2">I13</f>
        <v>1312</v>
      </c>
      <c r="J12" s="356">
        <f>J13</f>
        <v>6350</v>
      </c>
      <c r="K12" s="180">
        <f t="shared" si="1"/>
        <v>352.77777777777777</v>
      </c>
      <c r="N12" s="87"/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55">
        <v>3110</v>
      </c>
      <c r="H13" s="355">
        <f>1760+40</f>
        <v>1800</v>
      </c>
      <c r="I13" s="355">
        <v>1312</v>
      </c>
      <c r="J13" s="355">
        <f>3020+100+2080+1000+60+90</f>
        <v>6350</v>
      </c>
      <c r="K13" s="138">
        <f t="shared" si="1"/>
        <v>352.77777777777777</v>
      </c>
      <c r="N13" s="73"/>
    </row>
    <row r="14" spans="2:14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12000</v>
      </c>
      <c r="H15" s="44">
        <f>SUM(H16:H25)</f>
        <v>12000</v>
      </c>
      <c r="I15" s="44">
        <f t="shared" ref="I15" si="3">SUM(I16:I25)</f>
        <v>7469</v>
      </c>
      <c r="J15" s="44">
        <f>SUM(J16:J25)</f>
        <v>4000</v>
      </c>
      <c r="K15" s="180">
        <f t="shared" si="1"/>
        <v>33.333333333333329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39">
        <v>500</v>
      </c>
      <c r="H16" s="39">
        <v>500</v>
      </c>
      <c r="I16" s="39">
        <v>162</v>
      </c>
      <c r="J16" s="39">
        <v>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39">
        <v>1100</v>
      </c>
      <c r="H18" s="39">
        <v>1100</v>
      </c>
      <c r="I18" s="39">
        <v>583</v>
      </c>
      <c r="J18" s="39">
        <v>1100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39">
        <v>0</v>
      </c>
      <c r="H19" s="39">
        <v>0</v>
      </c>
      <c r="I19" s="39">
        <v>0</v>
      </c>
      <c r="J19" s="39">
        <v>0</v>
      </c>
      <c r="K19" s="138" t="str">
        <f t="shared" si="1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39">
        <v>400</v>
      </c>
      <c r="H22" s="39">
        <v>400</v>
      </c>
      <c r="I22" s="39">
        <v>0</v>
      </c>
      <c r="J22" s="39">
        <v>400</v>
      </c>
      <c r="K22" s="138">
        <f t="shared" si="1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39">
        <v>0</v>
      </c>
      <c r="H23" s="39">
        <v>0</v>
      </c>
      <c r="I23" s="39">
        <v>0</v>
      </c>
      <c r="J23" s="39">
        <v>0</v>
      </c>
      <c r="K23" s="138" t="str">
        <f t="shared" si="1"/>
        <v/>
      </c>
      <c r="L23" s="73"/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10000</v>
      </c>
      <c r="H24" s="74">
        <v>10000</v>
      </c>
      <c r="I24" s="74">
        <v>6724</v>
      </c>
      <c r="J24" s="74">
        <v>2000</v>
      </c>
      <c r="K24" s="138">
        <f t="shared" si="1"/>
        <v>20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39">
        <v>0</v>
      </c>
      <c r="H25" s="39">
        <v>0</v>
      </c>
      <c r="I25" s="39">
        <v>0</v>
      </c>
      <c r="J25" s="39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/>
      <c r="F26" s="15"/>
      <c r="G26" s="20"/>
      <c r="H26" s="20"/>
      <c r="I26" s="20"/>
      <c r="J26" s="20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54">
        <v>614000</v>
      </c>
      <c r="F27" s="12" t="s">
        <v>211</v>
      </c>
      <c r="G27" s="20">
        <f>G28</f>
        <v>15000</v>
      </c>
      <c r="H27" s="20">
        <f>H28</f>
        <v>15000</v>
      </c>
      <c r="I27" s="20">
        <f>I28</f>
        <v>0</v>
      </c>
      <c r="J27" s="20">
        <f>J28</f>
        <v>20000</v>
      </c>
      <c r="K27" s="180">
        <f t="shared" si="1"/>
        <v>133.33333333333331</v>
      </c>
    </row>
    <row r="28" spans="2:12" ht="17.100000000000001" customHeight="1">
      <c r="B28" s="14"/>
      <c r="C28" s="15"/>
      <c r="D28" s="30"/>
      <c r="E28" s="56">
        <v>614200</v>
      </c>
      <c r="F28" s="53" t="s">
        <v>99</v>
      </c>
      <c r="G28" s="74">
        <v>15000</v>
      </c>
      <c r="H28" s="74">
        <v>15000</v>
      </c>
      <c r="I28" s="74">
        <v>0</v>
      </c>
      <c r="J28" s="74">
        <v>20000</v>
      </c>
      <c r="K28" s="138">
        <f t="shared" si="1"/>
        <v>133.33333333333331</v>
      </c>
    </row>
    <row r="29" spans="2:12" ht="17.100000000000001" customHeight="1">
      <c r="B29" s="14"/>
      <c r="C29" s="15"/>
      <c r="D29" s="15"/>
      <c r="E29" s="55"/>
      <c r="F29" s="15"/>
      <c r="G29" s="39"/>
      <c r="H29" s="39"/>
      <c r="I29" s="39"/>
      <c r="J29" s="39"/>
      <c r="K29" s="138" t="str">
        <f t="shared" si="1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20">
        <f>SUM(G31:G32)</f>
        <v>1000</v>
      </c>
      <c r="H30" s="20">
        <f>SUM(H31:H32)</f>
        <v>1000</v>
      </c>
      <c r="I30" s="20">
        <f t="shared" ref="I30" si="4">SUM(I31:I32)</f>
        <v>0</v>
      </c>
      <c r="J30" s="20">
        <f>SUM(J31:J32)</f>
        <v>1000</v>
      </c>
      <c r="K30" s="180">
        <f t="shared" si="1"/>
        <v>100</v>
      </c>
    </row>
    <row r="31" spans="2:12" ht="17.100000000000001" customHeight="1">
      <c r="B31" s="14"/>
      <c r="C31" s="15"/>
      <c r="D31" s="15"/>
      <c r="E31" s="16">
        <v>821200</v>
      </c>
      <c r="F31" s="15" t="s">
        <v>91</v>
      </c>
      <c r="G31" s="74">
        <v>0</v>
      </c>
      <c r="H31" s="74">
        <v>0</v>
      </c>
      <c r="I31" s="74">
        <v>0</v>
      </c>
      <c r="J31" s="74">
        <v>0</v>
      </c>
      <c r="K31" s="138" t="str">
        <f t="shared" si="1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92</v>
      </c>
      <c r="G32" s="39">
        <v>1000</v>
      </c>
      <c r="H32" s="39">
        <v>1000</v>
      </c>
      <c r="I32" s="39">
        <v>0</v>
      </c>
      <c r="J32" s="39">
        <v>1000</v>
      </c>
      <c r="K32" s="138">
        <f t="shared" si="1"/>
        <v>100</v>
      </c>
    </row>
    <row r="33" spans="2:11" ht="17.100000000000001" customHeight="1">
      <c r="B33" s="14"/>
      <c r="C33" s="15"/>
      <c r="D33" s="15"/>
      <c r="E33" s="16"/>
      <c r="F33" s="15"/>
      <c r="G33" s="39"/>
      <c r="H33" s="39"/>
      <c r="I33" s="39"/>
      <c r="J33" s="39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93</v>
      </c>
      <c r="G34" s="99">
        <v>2</v>
      </c>
      <c r="H34" s="99">
        <v>1</v>
      </c>
      <c r="I34" s="99">
        <v>1</v>
      </c>
      <c r="J34" s="99">
        <v>3</v>
      </c>
      <c r="K34" s="138"/>
    </row>
    <row r="35" spans="2:11" s="1" customFormat="1" ht="17.100000000000001" customHeight="1">
      <c r="B35" s="17"/>
      <c r="C35" s="12"/>
      <c r="D35" s="12"/>
      <c r="E35" s="9"/>
      <c r="F35" s="12" t="s">
        <v>113</v>
      </c>
      <c r="G35" s="20">
        <f>G30+G27+G15+G12+G7</f>
        <v>64190</v>
      </c>
      <c r="H35" s="20">
        <f>H30+H27+H15+H12+H7</f>
        <v>50300</v>
      </c>
      <c r="I35" s="20">
        <f t="shared" ref="I35" si="5">I30+I27+I15+I12+I7</f>
        <v>23803</v>
      </c>
      <c r="J35" s="20">
        <f>J30+J27+J15+J12+J7</f>
        <v>87040</v>
      </c>
      <c r="K35" s="180">
        <f>IF(H35=0,"",J35/H35*100)</f>
        <v>173.0417495029821</v>
      </c>
    </row>
    <row r="36" spans="2:11" s="1" customFormat="1" ht="17.100000000000001" customHeight="1">
      <c r="B36" s="17"/>
      <c r="C36" s="12"/>
      <c r="D36" s="12"/>
      <c r="E36" s="9"/>
      <c r="F36" s="12" t="s">
        <v>94</v>
      </c>
      <c r="G36" s="20"/>
      <c r="H36" s="20"/>
      <c r="I36" s="20"/>
      <c r="J36" s="20"/>
      <c r="K36" s="140"/>
    </row>
    <row r="37" spans="2:11" s="1" customFormat="1" ht="17.100000000000001" customHeight="1">
      <c r="B37" s="17"/>
      <c r="C37" s="12"/>
      <c r="D37" s="12"/>
      <c r="E37" s="9"/>
      <c r="F37" s="12" t="s">
        <v>95</v>
      </c>
      <c r="G37" s="39"/>
      <c r="H37" s="39"/>
      <c r="I37" s="39"/>
      <c r="J37" s="39"/>
      <c r="K37" s="139"/>
    </row>
    <row r="38" spans="2:11" ht="17.100000000000001" customHeight="1" thickBot="1">
      <c r="B38" s="21"/>
      <c r="C38" s="22"/>
      <c r="D38" s="22"/>
      <c r="E38" s="23"/>
      <c r="F38" s="22"/>
      <c r="G38" s="22"/>
      <c r="H38" s="22"/>
      <c r="I38" s="22"/>
      <c r="J38" s="22"/>
      <c r="K38" s="141"/>
    </row>
    <row r="39" spans="2:11" ht="17.100000000000001" customHeight="1"/>
    <row r="40" spans="2:11" ht="17.100000000000001" customHeight="1">
      <c r="B40" s="73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2:M59"/>
  <sheetViews>
    <sheetView topLeftCell="A34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124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120</v>
      </c>
      <c r="C6" s="11" t="s">
        <v>81</v>
      </c>
      <c r="D6" s="11" t="s">
        <v>125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47600</v>
      </c>
      <c r="H7" s="356">
        <f>SUM(H8:H11)</f>
        <v>31320</v>
      </c>
      <c r="I7" s="356">
        <f t="shared" ref="I7" si="0">SUM(I8:I11)</f>
        <v>23106</v>
      </c>
      <c r="J7" s="356">
        <f>SUM(J8:J11)</f>
        <v>47610</v>
      </c>
      <c r="K7" s="180">
        <f>IF(H7=0,"",J7/H7*100)</f>
        <v>152.01149425287358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41660</v>
      </c>
      <c r="H8" s="355">
        <f>28200+100</f>
        <v>28300</v>
      </c>
      <c r="I8" s="355">
        <v>21010</v>
      </c>
      <c r="J8" s="355">
        <f>28640+500+12300+860</f>
        <v>42300</v>
      </c>
      <c r="K8" s="138">
        <f>IF(H8=0,"",J8/H8*100)</f>
        <v>149.46996466431096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5940</v>
      </c>
      <c r="H9" s="355">
        <f>2730+30+260</f>
        <v>3020</v>
      </c>
      <c r="I9" s="355">
        <v>2096</v>
      </c>
      <c r="J9" s="355">
        <f>2710+100+2500</f>
        <v>5310</v>
      </c>
      <c r="K9" s="138">
        <f t="shared" ref="K9:K34" si="1">IF(H9=0,"",J9/H9*100)</f>
        <v>175.82781456953643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5010</v>
      </c>
      <c r="H12" s="356">
        <f>H13</f>
        <v>3040</v>
      </c>
      <c r="I12" s="356">
        <f t="shared" ref="I12" si="2">I13</f>
        <v>2232</v>
      </c>
      <c r="J12" s="356">
        <f>J13</f>
        <v>4660</v>
      </c>
      <c r="K12" s="180">
        <f t="shared" si="1"/>
        <v>153.28947368421052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5010</v>
      </c>
      <c r="H13" s="355">
        <f>3000+40</f>
        <v>3040</v>
      </c>
      <c r="I13" s="355">
        <v>2232</v>
      </c>
      <c r="J13" s="355">
        <f>3020+200+1350+90</f>
        <v>4660</v>
      </c>
      <c r="K13" s="138">
        <f t="shared" si="1"/>
        <v>153.28947368421052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15300</v>
      </c>
      <c r="H15" s="44">
        <f>SUM(H16:H25)</f>
        <v>15300</v>
      </c>
      <c r="I15" s="44">
        <f t="shared" ref="I15" si="3">SUM(I16:I25)</f>
        <v>14549</v>
      </c>
      <c r="J15" s="44">
        <f>SUM(J16:J25)</f>
        <v>8300</v>
      </c>
      <c r="K15" s="180">
        <f t="shared" si="1"/>
        <v>54.248366013071895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300</v>
      </c>
      <c r="H16" s="39">
        <v>300</v>
      </c>
      <c r="I16" s="39">
        <v>0</v>
      </c>
      <c r="J16" s="39">
        <v>300</v>
      </c>
      <c r="K16" s="138">
        <f t="shared" si="1"/>
        <v>100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209</v>
      </c>
      <c r="G18" s="39">
        <v>0</v>
      </c>
      <c r="H18" s="39">
        <v>0</v>
      </c>
      <c r="I18" s="39">
        <v>0</v>
      </c>
      <c r="J18" s="39">
        <v>0</v>
      </c>
      <c r="K18" s="138" t="str">
        <f t="shared" si="1"/>
        <v/>
      </c>
    </row>
    <row r="19" spans="2:13" ht="17.100000000000001" customHeight="1">
      <c r="B19" s="14"/>
      <c r="C19" s="15"/>
      <c r="D19" s="15"/>
      <c r="E19" s="16">
        <v>613400</v>
      </c>
      <c r="F19" s="15" t="s">
        <v>166</v>
      </c>
      <c r="G19" s="39">
        <v>0</v>
      </c>
      <c r="H19" s="39">
        <v>0</v>
      </c>
      <c r="I19" s="39">
        <v>0</v>
      </c>
      <c r="J19" s="39">
        <v>0</v>
      </c>
      <c r="K19" s="138" t="str">
        <f t="shared" si="1"/>
        <v/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39">
        <v>0</v>
      </c>
      <c r="H22" s="39">
        <v>0</v>
      </c>
      <c r="I22" s="39">
        <v>0</v>
      </c>
      <c r="J22" s="39">
        <v>0</v>
      </c>
      <c r="K22" s="138" t="str">
        <f t="shared" si="1"/>
        <v/>
      </c>
    </row>
    <row r="23" spans="2:13" ht="17.100000000000001" customHeight="1">
      <c r="B23" s="14"/>
      <c r="C23" s="15"/>
      <c r="D23" s="15"/>
      <c r="E23" s="16">
        <v>613800</v>
      </c>
      <c r="F23" s="15" t="s">
        <v>167</v>
      </c>
      <c r="G23" s="39">
        <v>0</v>
      </c>
      <c r="H23" s="39">
        <v>0</v>
      </c>
      <c r="I23" s="39">
        <v>0</v>
      </c>
      <c r="J23" s="39">
        <v>0</v>
      </c>
      <c r="K23" s="138" t="str">
        <f t="shared" si="1"/>
        <v/>
      </c>
      <c r="M23" s="73"/>
    </row>
    <row r="24" spans="2:13" ht="17.100000000000001" customHeight="1">
      <c r="B24" s="14"/>
      <c r="C24" s="15"/>
      <c r="D24" s="15"/>
      <c r="E24" s="16">
        <v>613900</v>
      </c>
      <c r="F24" s="15" t="s">
        <v>168</v>
      </c>
      <c r="G24" s="39">
        <v>15000</v>
      </c>
      <c r="H24" s="39">
        <v>15000</v>
      </c>
      <c r="I24" s="39">
        <v>14549</v>
      </c>
      <c r="J24" s="39">
        <v>8000</v>
      </c>
      <c r="K24" s="138">
        <f t="shared" si="1"/>
        <v>53.333333333333336</v>
      </c>
    </row>
    <row r="25" spans="2:13" ht="17.100000000000001" customHeight="1">
      <c r="B25" s="14"/>
      <c r="C25" s="15"/>
      <c r="D25" s="15"/>
      <c r="E25" s="16">
        <v>613900</v>
      </c>
      <c r="F25" s="327" t="s">
        <v>644</v>
      </c>
      <c r="G25" s="40">
        <v>0</v>
      </c>
      <c r="H25" s="40">
        <v>0</v>
      </c>
      <c r="I25" s="40">
        <v>0</v>
      </c>
      <c r="J25" s="40">
        <v>0</v>
      </c>
      <c r="K25" s="138" t="str">
        <f t="shared" si="1"/>
        <v/>
      </c>
    </row>
    <row r="26" spans="2:13" s="1" customFormat="1" ht="17.100000000000001" customHeight="1">
      <c r="B26" s="17"/>
      <c r="C26" s="12"/>
      <c r="D26" s="12"/>
      <c r="E26" s="54"/>
      <c r="F26" s="12"/>
      <c r="G26" s="39"/>
      <c r="H26" s="39"/>
      <c r="I26" s="39"/>
      <c r="J26" s="39"/>
      <c r="K26" s="138" t="str">
        <f t="shared" si="1"/>
        <v/>
      </c>
    </row>
    <row r="27" spans="2:13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1500</v>
      </c>
      <c r="H27" s="20">
        <f>SUM(H28:H29)</f>
        <v>0</v>
      </c>
      <c r="I27" s="20">
        <f t="shared" ref="I27:J27" si="4">SUM(I28:I29)</f>
        <v>0</v>
      </c>
      <c r="J27" s="20">
        <f t="shared" si="4"/>
        <v>1500</v>
      </c>
      <c r="K27" s="138" t="str">
        <f t="shared" si="1"/>
        <v/>
      </c>
    </row>
    <row r="28" spans="2:13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3" ht="17.100000000000001" customHeight="1">
      <c r="B29" s="14"/>
      <c r="C29" s="15"/>
      <c r="D29" s="15"/>
      <c r="E29" s="16">
        <v>821300</v>
      </c>
      <c r="F29" s="15" t="s">
        <v>92</v>
      </c>
      <c r="G29" s="39">
        <v>1500</v>
      </c>
      <c r="H29" s="39">
        <v>0</v>
      </c>
      <c r="I29" s="39">
        <v>0</v>
      </c>
      <c r="J29" s="39">
        <v>1500</v>
      </c>
      <c r="K29" s="138" t="str">
        <f t="shared" si="1"/>
        <v/>
      </c>
    </row>
    <row r="30" spans="2:13" ht="17.100000000000001" customHeight="1">
      <c r="B30" s="14"/>
      <c r="C30" s="15"/>
      <c r="D30" s="15"/>
      <c r="E30" s="16"/>
      <c r="F30" s="15"/>
      <c r="G30" s="20"/>
      <c r="H30" s="20"/>
      <c r="I30" s="20"/>
      <c r="J30" s="20"/>
      <c r="K30" s="138" t="str">
        <f t="shared" si="1"/>
        <v/>
      </c>
    </row>
    <row r="31" spans="2:13" s="1" customFormat="1" ht="17.100000000000001" customHeight="1">
      <c r="B31" s="17"/>
      <c r="C31" s="12"/>
      <c r="D31" s="12"/>
      <c r="E31" s="9"/>
      <c r="F31" s="12" t="s">
        <v>93</v>
      </c>
      <c r="G31" s="20">
        <v>2</v>
      </c>
      <c r="H31" s="20">
        <v>1</v>
      </c>
      <c r="I31" s="20">
        <v>1</v>
      </c>
      <c r="J31" s="20">
        <v>2</v>
      </c>
      <c r="K31" s="138"/>
    </row>
    <row r="32" spans="2:13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69410</v>
      </c>
      <c r="H32" s="20">
        <f>H7+H12+H15+H27</f>
        <v>49660</v>
      </c>
      <c r="I32" s="20">
        <f t="shared" ref="I32" si="5">I7+I12+I15+I27</f>
        <v>39887</v>
      </c>
      <c r="J32" s="20">
        <f>J7+J12+J15+J27</f>
        <v>62070</v>
      </c>
      <c r="K32" s="180">
        <f t="shared" si="1"/>
        <v>124.98993153443416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2"/>
  <dimension ref="B2:M59"/>
  <sheetViews>
    <sheetView topLeftCell="A28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161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120</v>
      </c>
      <c r="C6" s="11" t="s">
        <v>81</v>
      </c>
      <c r="D6" s="11" t="s">
        <v>126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76050</v>
      </c>
      <c r="H7" s="356">
        <f>SUM(H8:H11)</f>
        <v>70440</v>
      </c>
      <c r="I7" s="356">
        <f t="shared" ref="I7" si="0">SUM(I8:I11)</f>
        <v>51172</v>
      </c>
      <c r="J7" s="356">
        <f>SUM(J8:J11)</f>
        <v>75970</v>
      </c>
      <c r="K7" s="180">
        <f>IF(H7=0,"",J7/H7*100)</f>
        <v>107.85065303804657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64950</v>
      </c>
      <c r="H8" s="355">
        <f>59720+400</f>
        <v>60120</v>
      </c>
      <c r="I8" s="355">
        <v>44253</v>
      </c>
      <c r="J8" s="355">
        <f>61870+1000+1860</f>
        <v>64730</v>
      </c>
      <c r="K8" s="138">
        <f>IF(H8=0,"",J8/H8*100)</f>
        <v>107.66799733865602</v>
      </c>
      <c r="L8" s="82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11100</v>
      </c>
      <c r="H9" s="355">
        <f>9440+100+3*260</f>
        <v>10320</v>
      </c>
      <c r="I9" s="355">
        <v>6919</v>
      </c>
      <c r="J9" s="355">
        <f>10440+800</f>
        <v>11240</v>
      </c>
      <c r="K9" s="138">
        <f t="shared" ref="K9:K34" si="1">IF(H9=0,"",J9/H9*100)</f>
        <v>108.91472868217053</v>
      </c>
      <c r="L9" s="86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7330</v>
      </c>
      <c r="H12" s="356">
        <f>H13</f>
        <v>6430</v>
      </c>
      <c r="I12" s="356">
        <f t="shared" ref="I12" si="2">I13</f>
        <v>4716</v>
      </c>
      <c r="J12" s="356">
        <f>J13</f>
        <v>7000</v>
      </c>
      <c r="K12" s="180">
        <f t="shared" si="1"/>
        <v>108.86469673405909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7330</v>
      </c>
      <c r="H13" s="355">
        <f>6370+60</f>
        <v>6430</v>
      </c>
      <c r="I13" s="355">
        <v>4716</v>
      </c>
      <c r="J13" s="355">
        <f>6600+200+200</f>
        <v>7000</v>
      </c>
      <c r="K13" s="138">
        <f t="shared" si="1"/>
        <v>108.86469673405909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6700</v>
      </c>
      <c r="H15" s="44">
        <f>SUM(H16:H25)</f>
        <v>6700</v>
      </c>
      <c r="I15" s="44">
        <f t="shared" ref="I15" si="3">SUM(I16:I25)</f>
        <v>2627</v>
      </c>
      <c r="J15" s="44">
        <f>SUM(J16:J25)</f>
        <v>5900</v>
      </c>
      <c r="K15" s="180">
        <f t="shared" si="1"/>
        <v>88.059701492537314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4">
        <v>1000</v>
      </c>
      <c r="H16" s="74">
        <v>1000</v>
      </c>
      <c r="I16" s="74">
        <v>453</v>
      </c>
      <c r="J16" s="74">
        <v>1000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39">
        <v>2500</v>
      </c>
      <c r="H18" s="39">
        <v>2500</v>
      </c>
      <c r="I18" s="39">
        <v>1003</v>
      </c>
      <c r="J18" s="39">
        <v>2500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74">
        <v>400</v>
      </c>
      <c r="H19" s="74">
        <v>550</v>
      </c>
      <c r="I19" s="74">
        <v>468</v>
      </c>
      <c r="J19" s="74">
        <v>500</v>
      </c>
      <c r="K19" s="138">
        <f t="shared" si="1"/>
        <v>90.909090909090907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39">
        <v>400</v>
      </c>
      <c r="H22" s="39">
        <v>250</v>
      </c>
      <c r="I22" s="39">
        <v>0</v>
      </c>
      <c r="J22" s="39">
        <v>400</v>
      </c>
      <c r="K22" s="138">
        <f t="shared" si="1"/>
        <v>160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39">
        <v>0</v>
      </c>
      <c r="H23" s="39">
        <v>0</v>
      </c>
      <c r="I23" s="39">
        <v>0</v>
      </c>
      <c r="J23" s="39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74">
        <v>2400</v>
      </c>
      <c r="H24" s="74">
        <v>2400</v>
      </c>
      <c r="I24" s="74">
        <v>703</v>
      </c>
      <c r="J24" s="74">
        <v>1500</v>
      </c>
      <c r="K24" s="138">
        <f t="shared" si="1"/>
        <v>62.5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54"/>
      <c r="F26" s="12"/>
      <c r="G26" s="74"/>
      <c r="H26" s="74"/>
      <c r="I26" s="74"/>
      <c r="J26" s="74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2500</v>
      </c>
      <c r="H27" s="99">
        <f>SUM(H28:H29)</f>
        <v>2500</v>
      </c>
      <c r="I27" s="99">
        <f t="shared" ref="I27" si="4">SUM(I28:I29)</f>
        <v>1488</v>
      </c>
      <c r="J27" s="99">
        <f>SUM(J28:J29)</f>
        <v>1500</v>
      </c>
      <c r="K27" s="180">
        <f t="shared" si="1"/>
        <v>60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4">
        <v>2500</v>
      </c>
      <c r="H29" s="74">
        <v>2500</v>
      </c>
      <c r="I29" s="74">
        <v>1488</v>
      </c>
      <c r="J29" s="74">
        <v>1500</v>
      </c>
      <c r="K29" s="138">
        <f t="shared" si="1"/>
        <v>60</v>
      </c>
    </row>
    <row r="30" spans="2:11" ht="17.100000000000001" customHeight="1">
      <c r="B30" s="14"/>
      <c r="C30" s="15"/>
      <c r="D30" s="15"/>
      <c r="E30" s="16"/>
      <c r="F30" s="15"/>
      <c r="G30" s="39"/>
      <c r="H30" s="39"/>
      <c r="I30" s="39"/>
      <c r="J30" s="39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9">
        <v>3</v>
      </c>
      <c r="H31" s="99">
        <v>3</v>
      </c>
      <c r="I31" s="99">
        <v>3</v>
      </c>
      <c r="J31" s="99">
        <v>3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92580</v>
      </c>
      <c r="H32" s="20">
        <f>H7+H12+H15+H27</f>
        <v>86070</v>
      </c>
      <c r="I32" s="20">
        <f t="shared" ref="I32" si="5">I7+I12+I15+I27</f>
        <v>60003</v>
      </c>
      <c r="J32" s="20">
        <f>J7+J12+J15+J27</f>
        <v>90370</v>
      </c>
      <c r="K32" s="180">
        <f t="shared" si="1"/>
        <v>104.99593354246544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20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6"/>
  <dimension ref="B2:M59"/>
  <sheetViews>
    <sheetView topLeftCell="A28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658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120</v>
      </c>
      <c r="C6" s="11" t="s">
        <v>81</v>
      </c>
      <c r="D6" s="11" t="s">
        <v>147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76">
        <f>SUM(G8:G11)</f>
        <v>108460</v>
      </c>
      <c r="H7" s="376">
        <f>SUM(H8:H11)</f>
        <v>92450</v>
      </c>
      <c r="I7" s="376">
        <f t="shared" ref="I7" si="0">SUM(I8:I11)</f>
        <v>66533</v>
      </c>
      <c r="J7" s="376">
        <f>SUM(J8:J11)</f>
        <v>158190</v>
      </c>
      <c r="K7" s="137">
        <f>IF(H7=0,"",J7/H7*100)</f>
        <v>171.1087074094105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77">
        <v>87960</v>
      </c>
      <c r="H8" s="377">
        <v>75010</v>
      </c>
      <c r="I8" s="377">
        <v>54526</v>
      </c>
      <c r="J8" s="377">
        <f>77200+1000+3*15000+2300+1350</f>
        <v>126850</v>
      </c>
      <c r="K8" s="138">
        <f>IF(H8=0,"",J8/H8*100)</f>
        <v>169.11078522863619</v>
      </c>
      <c r="L8" s="82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77">
        <v>20500</v>
      </c>
      <c r="H9" s="377">
        <f>16200+200+4*260</f>
        <v>17440</v>
      </c>
      <c r="I9" s="377">
        <v>12007</v>
      </c>
      <c r="J9" s="377">
        <f>16940+600+3*4600</f>
        <v>31340</v>
      </c>
      <c r="K9" s="138">
        <f t="shared" ref="K9:K34" si="1">IF(H9=0,"",J9/H9*100)</f>
        <v>179.70183486238531</v>
      </c>
      <c r="L9" s="86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77">
        <v>0</v>
      </c>
      <c r="H10" s="377">
        <v>0</v>
      </c>
      <c r="I10" s="377">
        <v>0</v>
      </c>
      <c r="J10" s="377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77"/>
      <c r="H11" s="377"/>
      <c r="I11" s="377"/>
      <c r="J11" s="377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76">
        <f>G13</f>
        <v>10030</v>
      </c>
      <c r="H12" s="376">
        <f>H13</f>
        <v>8030</v>
      </c>
      <c r="I12" s="376">
        <f t="shared" ref="I12" si="2">I13</f>
        <v>5820</v>
      </c>
      <c r="J12" s="376">
        <f>J13</f>
        <v>14010</v>
      </c>
      <c r="K12" s="180">
        <f t="shared" si="1"/>
        <v>174.47073474470736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77">
        <v>10030</v>
      </c>
      <c r="H13" s="377">
        <v>8030</v>
      </c>
      <c r="I13" s="377">
        <v>5820</v>
      </c>
      <c r="J13" s="377">
        <f>8260+400+3*1650+250+150</f>
        <v>14010</v>
      </c>
      <c r="K13" s="138">
        <f t="shared" si="1"/>
        <v>174.47073474470736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8000</v>
      </c>
      <c r="H15" s="44">
        <f>SUM(H16:H25)</f>
        <v>6300</v>
      </c>
      <c r="I15" s="44">
        <f t="shared" ref="I15" si="3">SUM(I16:I25)</f>
        <v>2436</v>
      </c>
      <c r="J15" s="44">
        <f>SUM(J16:J25)</f>
        <v>10400</v>
      </c>
      <c r="K15" s="180">
        <f t="shared" si="1"/>
        <v>165.07936507936506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4">
        <v>5000</v>
      </c>
      <c r="H16" s="74">
        <v>4000</v>
      </c>
      <c r="I16" s="74">
        <v>1528</v>
      </c>
      <c r="J16" s="74">
        <v>5000</v>
      </c>
      <c r="K16" s="138">
        <f t="shared" si="1"/>
        <v>125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39">
        <v>700</v>
      </c>
      <c r="H18" s="39">
        <v>700</v>
      </c>
      <c r="I18" s="39">
        <v>431</v>
      </c>
      <c r="J18" s="39">
        <v>1200</v>
      </c>
      <c r="K18" s="138">
        <f t="shared" si="1"/>
        <v>171.42857142857142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74">
        <v>500</v>
      </c>
      <c r="H19" s="74">
        <v>400</v>
      </c>
      <c r="I19" s="74">
        <v>0</v>
      </c>
      <c r="J19" s="74">
        <v>1000</v>
      </c>
      <c r="K19" s="138">
        <f t="shared" si="1"/>
        <v>250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39">
        <v>300</v>
      </c>
      <c r="H22" s="39">
        <v>200</v>
      </c>
      <c r="I22" s="39">
        <v>0</v>
      </c>
      <c r="J22" s="39">
        <v>700</v>
      </c>
      <c r="K22" s="138">
        <f t="shared" si="1"/>
        <v>350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39">
        <v>0</v>
      </c>
      <c r="H23" s="39">
        <v>0</v>
      </c>
      <c r="I23" s="39">
        <v>0</v>
      </c>
      <c r="J23" s="39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74">
        <v>1500</v>
      </c>
      <c r="H24" s="74">
        <v>1000</v>
      </c>
      <c r="I24" s="74">
        <v>477</v>
      </c>
      <c r="J24" s="74">
        <v>2500</v>
      </c>
      <c r="K24" s="138">
        <f t="shared" si="1"/>
        <v>250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54"/>
      <c r="F26" s="12"/>
      <c r="G26" s="74"/>
      <c r="H26" s="74"/>
      <c r="I26" s="74"/>
      <c r="J26" s="74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2000</v>
      </c>
      <c r="H27" s="99">
        <f>SUM(H28:H29)</f>
        <v>3200</v>
      </c>
      <c r="I27" s="99">
        <f t="shared" ref="I27" si="4">SUM(I28:I29)</f>
        <v>0</v>
      </c>
      <c r="J27" s="99">
        <f>SUM(J28:J29)</f>
        <v>7000</v>
      </c>
      <c r="K27" s="180">
        <f t="shared" si="1"/>
        <v>218.75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4">
        <v>2000</v>
      </c>
      <c r="H29" s="74">
        <v>3200</v>
      </c>
      <c r="I29" s="74">
        <v>0</v>
      </c>
      <c r="J29" s="74">
        <v>7000</v>
      </c>
      <c r="K29" s="138">
        <f t="shared" si="1"/>
        <v>218.75</v>
      </c>
    </row>
    <row r="30" spans="2:11" ht="17.100000000000001" customHeight="1">
      <c r="B30" s="14"/>
      <c r="C30" s="15"/>
      <c r="D30" s="15"/>
      <c r="E30" s="16"/>
      <c r="F30" s="15"/>
      <c r="G30" s="39"/>
      <c r="H30" s="39"/>
      <c r="I30" s="39"/>
      <c r="J30" s="39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9">
        <v>5</v>
      </c>
      <c r="H31" s="99">
        <v>4</v>
      </c>
      <c r="I31" s="99">
        <v>4</v>
      </c>
      <c r="J31" s="99">
        <v>7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128490</v>
      </c>
      <c r="H32" s="20">
        <f>H7+H12+H15+H27</f>
        <v>109980</v>
      </c>
      <c r="I32" s="20">
        <f t="shared" ref="I32" si="5">I7+I12+I15+I27</f>
        <v>74789</v>
      </c>
      <c r="J32" s="20">
        <f>J7+J12+J15+J27</f>
        <v>189600</v>
      </c>
      <c r="K32" s="180">
        <f t="shared" si="1"/>
        <v>172.39498090561921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G32+'6'!G32+'5'!G32+'4'!G35+'3'!G55</f>
        <v>2909330</v>
      </c>
      <c r="H33" s="20">
        <f>H32+'6'!H32+'5'!H32+'4'!H35+'3'!H55</f>
        <v>3386120</v>
      </c>
      <c r="I33" s="20">
        <f>I32+'6'!I32+'5'!I32+'4'!I35+'3'!I55</f>
        <v>1994355</v>
      </c>
      <c r="J33" s="20">
        <f>J32+'6'!J32+'5'!J32+'4'!J35+'3'!J55</f>
        <v>3641600</v>
      </c>
      <c r="K33" s="180">
        <f>IF(H33=0,"",J33/H33*100)</f>
        <v>107.54491866797396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2909330</v>
      </c>
      <c r="H34" s="20">
        <f>H33</f>
        <v>3386120</v>
      </c>
      <c r="I34" s="20">
        <f t="shared" ref="I34" si="6">I33</f>
        <v>1994355</v>
      </c>
      <c r="J34" s="20">
        <f>J33</f>
        <v>3641600</v>
      </c>
      <c r="K34" s="180">
        <f t="shared" si="1"/>
        <v>107.54491866797396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B2:N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4" s="103" customFormat="1" ht="15" customHeight="1">
      <c r="B2" s="481" t="s">
        <v>127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4" s="1" customFormat="1" ht="16.5" thickBot="1">
      <c r="E3" s="2"/>
      <c r="F3" s="482"/>
      <c r="G3" s="482"/>
      <c r="H3" s="416"/>
      <c r="I3" s="416"/>
      <c r="J3" s="162"/>
      <c r="K3" s="163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4" s="2" customFormat="1" ht="17.100000000000001" customHeight="1">
      <c r="B6" s="10" t="s">
        <v>128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229230</v>
      </c>
      <c r="H7" s="356">
        <f>SUM(H8:H11)</f>
        <v>235950</v>
      </c>
      <c r="I7" s="356">
        <f t="shared" ref="I7" si="0">SUM(I8:I11)</f>
        <v>170958</v>
      </c>
      <c r="J7" s="356">
        <f>SUM(J8:J11)</f>
        <v>267560</v>
      </c>
      <c r="K7" s="137">
        <f>IF(H7=0,"",J7/H7*100)</f>
        <v>113.39690612417886</v>
      </c>
    </row>
    <row r="8" spans="2:14" ht="17.100000000000001" customHeight="1">
      <c r="B8" s="14"/>
      <c r="C8" s="15"/>
      <c r="D8" s="15"/>
      <c r="E8" s="16">
        <v>611100</v>
      </c>
      <c r="F8" s="26" t="s">
        <v>207</v>
      </c>
      <c r="G8" s="355">
        <v>174830</v>
      </c>
      <c r="H8" s="355">
        <f>177900+0</f>
        <v>177900</v>
      </c>
      <c r="I8" s="355">
        <v>130582</v>
      </c>
      <c r="J8" s="355">
        <f>190940+2000+11000+5800</f>
        <v>209740</v>
      </c>
      <c r="K8" s="138">
        <f>IF(H8=0,"",J8/H8*100)</f>
        <v>117.89769533445755</v>
      </c>
      <c r="L8" s="73"/>
    </row>
    <row r="9" spans="2:14" ht="17.100000000000001" customHeight="1">
      <c r="B9" s="14"/>
      <c r="C9" s="15"/>
      <c r="D9" s="15"/>
      <c r="E9" s="16">
        <v>611200</v>
      </c>
      <c r="F9" s="15" t="s">
        <v>208</v>
      </c>
      <c r="G9" s="355">
        <v>54400</v>
      </c>
      <c r="H9" s="355">
        <f>53550+600+15*260</f>
        <v>58050</v>
      </c>
      <c r="I9" s="355">
        <v>40376</v>
      </c>
      <c r="J9" s="355">
        <f>54280+0+840+2700</f>
        <v>57820</v>
      </c>
      <c r="K9" s="138">
        <f t="shared" ref="K9:K34" si="1">IF(H9=0,"",J9/H9*100)</f>
        <v>99.603789836347971</v>
      </c>
    </row>
    <row r="10" spans="2:14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4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  <c r="M11" s="73"/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19600</v>
      </c>
      <c r="H12" s="356">
        <f>H13</f>
        <v>19320</v>
      </c>
      <c r="I12" s="356">
        <f t="shared" ref="I12" si="2">I13</f>
        <v>14233</v>
      </c>
      <c r="J12" s="356">
        <f>J13</f>
        <v>22720</v>
      </c>
      <c r="K12" s="180">
        <f t="shared" si="1"/>
        <v>117.59834368530019</v>
      </c>
      <c r="M12" s="87"/>
      <c r="N12" s="87"/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55">
        <v>19600</v>
      </c>
      <c r="H13" s="355">
        <f>19320+0</f>
        <v>19320</v>
      </c>
      <c r="I13" s="355">
        <v>14233</v>
      </c>
      <c r="J13" s="355">
        <f>20470+400+1200+650</f>
        <v>22720</v>
      </c>
      <c r="K13" s="138">
        <f t="shared" si="1"/>
        <v>117.59834368530019</v>
      </c>
    </row>
    <row r="14" spans="2:14" ht="17.100000000000001" customHeight="1">
      <c r="B14" s="14"/>
      <c r="C14" s="15"/>
      <c r="D14" s="15"/>
      <c r="E14" s="16"/>
      <c r="F14" s="15"/>
      <c r="G14" s="74"/>
      <c r="H14" s="74"/>
      <c r="I14" s="74"/>
      <c r="J14" s="74"/>
      <c r="K14" s="138" t="str">
        <f t="shared" si="1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385000</v>
      </c>
      <c r="H15" s="44">
        <f>SUM(H16:H25)</f>
        <v>393000</v>
      </c>
      <c r="I15" s="44">
        <f t="shared" ref="I15" si="3">SUM(I16:I25)</f>
        <v>237977</v>
      </c>
      <c r="J15" s="44">
        <f>SUM(J16:J25)</f>
        <v>403500</v>
      </c>
      <c r="K15" s="180">
        <f t="shared" si="1"/>
        <v>102.67175572519085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74">
        <v>7000</v>
      </c>
      <c r="H16" s="74">
        <v>7000</v>
      </c>
      <c r="I16" s="74">
        <v>4116</v>
      </c>
      <c r="J16" s="74">
        <v>7000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105000</v>
      </c>
      <c r="H17" s="39">
        <v>93000</v>
      </c>
      <c r="I17" s="39">
        <v>35376</v>
      </c>
      <c r="J17" s="39">
        <v>104000</v>
      </c>
      <c r="K17" s="138">
        <f t="shared" si="1"/>
        <v>111.8279569892473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39">
        <v>44000</v>
      </c>
      <c r="H18" s="39">
        <v>44000</v>
      </c>
      <c r="I18" s="39">
        <v>30496</v>
      </c>
      <c r="J18" s="39">
        <v>44000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39">
        <v>84000</v>
      </c>
      <c r="H19" s="39">
        <v>74000</v>
      </c>
      <c r="I19" s="39">
        <v>49553</v>
      </c>
      <c r="J19" s="39">
        <v>84000</v>
      </c>
      <c r="K19" s="138">
        <f t="shared" si="1"/>
        <v>113.51351351351352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39500</v>
      </c>
      <c r="H20" s="39">
        <v>54500</v>
      </c>
      <c r="I20" s="39">
        <v>35519</v>
      </c>
      <c r="J20" s="39">
        <v>54000</v>
      </c>
      <c r="K20" s="138">
        <f t="shared" si="1"/>
        <v>99.082568807339456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39">
        <v>42000</v>
      </c>
      <c r="H22" s="39">
        <v>42000</v>
      </c>
      <c r="I22" s="39">
        <v>33183</v>
      </c>
      <c r="J22" s="39">
        <v>42000</v>
      </c>
      <c r="K22" s="138">
        <f t="shared" si="1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39">
        <v>8500</v>
      </c>
      <c r="H23" s="39">
        <v>8500</v>
      </c>
      <c r="I23" s="39">
        <v>4617</v>
      </c>
      <c r="J23" s="39">
        <v>10500</v>
      </c>
      <c r="K23" s="138">
        <f t="shared" si="1"/>
        <v>123.52941176470588</v>
      </c>
      <c r="L23" s="73"/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55000</v>
      </c>
      <c r="H24" s="74">
        <v>70000</v>
      </c>
      <c r="I24" s="74">
        <v>45117</v>
      </c>
      <c r="J24" s="74">
        <v>58000</v>
      </c>
      <c r="K24" s="138">
        <f t="shared" si="1"/>
        <v>82.857142857142861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40">
        <v>0</v>
      </c>
      <c r="H25" s="40">
        <v>0</v>
      </c>
      <c r="I25" s="40">
        <v>0</v>
      </c>
      <c r="J25" s="40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54"/>
      <c r="F26" s="12"/>
      <c r="G26" s="39"/>
      <c r="H26" s="39"/>
      <c r="I26" s="39"/>
      <c r="J26" s="3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75000</v>
      </c>
      <c r="H27" s="20">
        <f>SUM(H28:H29)</f>
        <v>67000</v>
      </c>
      <c r="I27" s="20">
        <f t="shared" ref="I27" si="4">SUM(I28:I29)</f>
        <v>60339</v>
      </c>
      <c r="J27" s="20">
        <f>SUM(J28:J29)</f>
        <v>20000</v>
      </c>
      <c r="K27" s="180">
        <f t="shared" si="1"/>
        <v>29.850746268656714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4">
        <v>75000</v>
      </c>
      <c r="H29" s="74">
        <v>67000</v>
      </c>
      <c r="I29" s="74">
        <v>60339</v>
      </c>
      <c r="J29" s="74">
        <v>20000</v>
      </c>
      <c r="K29" s="138">
        <f t="shared" si="1"/>
        <v>29.850746268656714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20"/>
      <c r="J30" s="2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9">
        <v>14</v>
      </c>
      <c r="H31" s="99">
        <v>15</v>
      </c>
      <c r="I31" s="99">
        <v>15</v>
      </c>
      <c r="J31" s="99">
        <v>16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708830</v>
      </c>
      <c r="H32" s="20">
        <f>H7+H12+H15+H27</f>
        <v>715270</v>
      </c>
      <c r="I32" s="20">
        <f t="shared" ref="I32" si="5">I7+I12+I15+I27</f>
        <v>483507</v>
      </c>
      <c r="J32" s="20">
        <f>J7+J12+J15+J27</f>
        <v>713780</v>
      </c>
      <c r="K32" s="180">
        <f t="shared" si="1"/>
        <v>99.791687055237887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708830</v>
      </c>
      <c r="H33" s="20">
        <f>H32</f>
        <v>715270</v>
      </c>
      <c r="I33" s="20">
        <f t="shared" ref="I33" si="6">I32</f>
        <v>483507</v>
      </c>
      <c r="J33" s="20">
        <f>J32</f>
        <v>713780</v>
      </c>
      <c r="K33" s="180">
        <f>IF(H33=0,"",J33/H33*100)</f>
        <v>99.791687055237887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708830</v>
      </c>
      <c r="H34" s="20">
        <f>H33</f>
        <v>715270</v>
      </c>
      <c r="I34" s="20">
        <f t="shared" ref="I34" si="7">I33</f>
        <v>483507</v>
      </c>
      <c r="J34" s="20">
        <f>J33</f>
        <v>713780</v>
      </c>
      <c r="K34" s="180">
        <f t="shared" si="1"/>
        <v>99.791687055237887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B2:M59"/>
  <sheetViews>
    <sheetView topLeftCell="C3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83" t="s">
        <v>129</v>
      </c>
      <c r="C2" s="483"/>
      <c r="D2" s="483"/>
      <c r="E2" s="483"/>
      <c r="F2" s="483"/>
      <c r="G2" s="483"/>
      <c r="H2" s="483"/>
      <c r="I2" s="483"/>
      <c r="J2" s="483"/>
      <c r="K2" s="13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130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4735810</v>
      </c>
      <c r="H7" s="356">
        <f>SUM(H8:H11)</f>
        <v>4466450</v>
      </c>
      <c r="I7" s="356">
        <f t="shared" ref="I7" si="0">SUM(I8:I11)</f>
        <v>3279166</v>
      </c>
      <c r="J7" s="356">
        <f>SUM(J8:J11)</f>
        <v>4713610</v>
      </c>
      <c r="K7" s="137">
        <f>IF(H7=0,"",J7/H7*100)</f>
        <v>105.53370126162835</v>
      </c>
      <c r="M7" s="83"/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3911810</v>
      </c>
      <c r="H8" s="355">
        <f>3620510+15000+3640</f>
        <v>3639150</v>
      </c>
      <c r="I8" s="355">
        <v>2692236</v>
      </c>
      <c r="J8" s="355">
        <f>3702900+9000+9970+7*4430+4*10900+111100+2250</f>
        <v>3909830</v>
      </c>
      <c r="K8" s="138">
        <f>IF(H8=0,"",J8/H8*100)</f>
        <v>107.43800063201572</v>
      </c>
      <c r="L8" s="102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824000</v>
      </c>
      <c r="H9" s="355">
        <f>774980+840+198*260</f>
        <v>827300</v>
      </c>
      <c r="I9" s="355">
        <v>586930</v>
      </c>
      <c r="J9" s="355">
        <f>762360+7*840+2*1470+8630+7*1710+4*3000</f>
        <v>803780</v>
      </c>
      <c r="K9" s="138">
        <f t="shared" ref="K9:K34" si="1">IF(H9=0,"",J9/H9*100)</f>
        <v>97.157016801643906</v>
      </c>
      <c r="L9" s="103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  <c r="L11" s="103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615250</v>
      </c>
      <c r="H12" s="356">
        <f>H13</f>
        <v>570040</v>
      </c>
      <c r="I12" s="356">
        <f>I13</f>
        <v>422861</v>
      </c>
      <c r="J12" s="356">
        <f>J13</f>
        <v>604740</v>
      </c>
      <c r="K12" s="180">
        <f t="shared" si="1"/>
        <v>106.08729211985124</v>
      </c>
      <c r="L12" s="104"/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615250</v>
      </c>
      <c r="H13" s="355">
        <f>567140+2500+400</f>
        <v>570040</v>
      </c>
      <c r="I13" s="355">
        <v>422861</v>
      </c>
      <c r="J13" s="355">
        <f>574340+3500+7*650+4*1200+17250+300</f>
        <v>604740</v>
      </c>
      <c r="K13" s="138">
        <f t="shared" si="1"/>
        <v>106.08729211985124</v>
      </c>
      <c r="L13" s="102"/>
    </row>
    <row r="14" spans="2:13" ht="17.100000000000001" customHeight="1">
      <c r="B14" s="14"/>
      <c r="C14" s="15"/>
      <c r="D14" s="15"/>
      <c r="E14" s="16"/>
      <c r="F14" s="26"/>
      <c r="G14" s="74"/>
      <c r="H14" s="74"/>
      <c r="I14" s="74"/>
      <c r="J14" s="74"/>
      <c r="K14" s="138" t="str">
        <f t="shared" si="1"/>
        <v/>
      </c>
      <c r="L14" s="103"/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99">
        <f>SUM(G16:G25)</f>
        <v>814500</v>
      </c>
      <c r="H15" s="99">
        <f>SUM(H16:H25)</f>
        <v>814500</v>
      </c>
      <c r="I15" s="99">
        <f t="shared" ref="I15" si="2">SUM(I16:I25)</f>
        <v>471871</v>
      </c>
      <c r="J15" s="99">
        <f>SUM(J16:J25)</f>
        <v>772500</v>
      </c>
      <c r="K15" s="180">
        <f t="shared" si="1"/>
        <v>94.843462246777165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4">
        <v>14500</v>
      </c>
      <c r="H16" s="74">
        <v>14500</v>
      </c>
      <c r="I16" s="74">
        <v>8594</v>
      </c>
      <c r="J16" s="74">
        <v>14500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74">
        <v>100000</v>
      </c>
      <c r="H17" s="74">
        <v>83000</v>
      </c>
      <c r="I17" s="74">
        <v>53935</v>
      </c>
      <c r="J17" s="74">
        <v>90000</v>
      </c>
      <c r="K17" s="138">
        <f t="shared" si="1"/>
        <v>108.43373493975903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74">
        <v>95000</v>
      </c>
      <c r="H18" s="74">
        <v>87500</v>
      </c>
      <c r="I18" s="74">
        <v>64670</v>
      </c>
      <c r="J18" s="74">
        <v>92000</v>
      </c>
      <c r="K18" s="138">
        <f t="shared" si="1"/>
        <v>105.14285714285714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74">
        <v>220000</v>
      </c>
      <c r="H19" s="74">
        <v>285000</v>
      </c>
      <c r="I19" s="74">
        <v>137118</v>
      </c>
      <c r="J19" s="74">
        <v>200000</v>
      </c>
      <c r="K19" s="138">
        <f t="shared" si="1"/>
        <v>70.175438596491219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4">
        <v>100000</v>
      </c>
      <c r="H20" s="74">
        <v>98000</v>
      </c>
      <c r="I20" s="74">
        <v>69812</v>
      </c>
      <c r="J20" s="74">
        <v>100000</v>
      </c>
      <c r="K20" s="138">
        <f t="shared" si="1"/>
        <v>102.04081632653062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74">
        <v>27000</v>
      </c>
      <c r="H21" s="74">
        <v>31500</v>
      </c>
      <c r="I21" s="74">
        <v>23254</v>
      </c>
      <c r="J21" s="74">
        <v>33000</v>
      </c>
      <c r="K21" s="138">
        <f t="shared" si="1"/>
        <v>104.76190476190477</v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92000</v>
      </c>
      <c r="H22" s="74">
        <v>72000</v>
      </c>
      <c r="I22" s="74">
        <v>47737</v>
      </c>
      <c r="J22" s="74">
        <v>75000</v>
      </c>
      <c r="K22" s="138">
        <f t="shared" si="1"/>
        <v>104.16666666666667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16000</v>
      </c>
      <c r="H23" s="74">
        <v>18000</v>
      </c>
      <c r="I23" s="74">
        <v>12823</v>
      </c>
      <c r="J23" s="74">
        <v>18000</v>
      </c>
      <c r="K23" s="138">
        <f t="shared" si="1"/>
        <v>100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150000</v>
      </c>
      <c r="H24" s="74">
        <v>125000</v>
      </c>
      <c r="I24" s="74">
        <v>53928</v>
      </c>
      <c r="J24" s="74">
        <v>150000</v>
      </c>
      <c r="K24" s="138">
        <f t="shared" si="1"/>
        <v>120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  <c r="L25" s="82"/>
    </row>
    <row r="26" spans="2:12" s="1" customFormat="1" ht="17.100000000000001" customHeight="1">
      <c r="B26" s="17"/>
      <c r="C26" s="12"/>
      <c r="D26" s="12"/>
      <c r="E26" s="54"/>
      <c r="F26" s="12"/>
      <c r="G26" s="74"/>
      <c r="H26" s="74"/>
      <c r="I26" s="74"/>
      <c r="J26" s="74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150000</v>
      </c>
      <c r="H27" s="99">
        <f>SUM(H28:H29)</f>
        <v>187000</v>
      </c>
      <c r="I27" s="99">
        <f t="shared" ref="I27" si="3">SUM(I28:I29)</f>
        <v>109710</v>
      </c>
      <c r="J27" s="99">
        <f>SUM(J28:J29)</f>
        <v>100000</v>
      </c>
      <c r="K27" s="180">
        <f t="shared" si="1"/>
        <v>53.475935828877006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4">
        <v>50000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4">
        <v>100000</v>
      </c>
      <c r="H29" s="74">
        <v>187000</v>
      </c>
      <c r="I29" s="74">
        <v>109710</v>
      </c>
      <c r="J29" s="74">
        <v>100000</v>
      </c>
      <c r="K29" s="138">
        <f t="shared" si="1"/>
        <v>53.475935828877006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20"/>
      <c r="J30" s="2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9">
        <v>213</v>
      </c>
      <c r="H31" s="99">
        <v>202</v>
      </c>
      <c r="I31" s="99">
        <v>198</v>
      </c>
      <c r="J31" s="99">
        <f>198+11</f>
        <v>209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6315560</v>
      </c>
      <c r="H32" s="20">
        <f>H7+H12+H15+H27</f>
        <v>6037990</v>
      </c>
      <c r="I32" s="20">
        <f t="shared" ref="I32" si="4">I7+I12+I15+I27</f>
        <v>4283608</v>
      </c>
      <c r="J32" s="20">
        <f>J7+J12+J15+J27</f>
        <v>6190850</v>
      </c>
      <c r="K32" s="180">
        <f t="shared" si="1"/>
        <v>102.53163718389729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6315560</v>
      </c>
      <c r="H33" s="20">
        <f>H32</f>
        <v>6037990</v>
      </c>
      <c r="I33" s="20">
        <f t="shared" ref="I33" si="5">I32</f>
        <v>4283608</v>
      </c>
      <c r="J33" s="20">
        <f>J32</f>
        <v>6190850</v>
      </c>
      <c r="K33" s="180">
        <f>IF(H33=0,"",J33/H33*100)</f>
        <v>102.53163718389729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6315560</v>
      </c>
      <c r="H34" s="20">
        <f>H33</f>
        <v>6037990</v>
      </c>
      <c r="I34" s="20">
        <f t="shared" ref="I34" si="6">I33</f>
        <v>4283608</v>
      </c>
      <c r="J34" s="20">
        <f>J33</f>
        <v>6190850</v>
      </c>
      <c r="K34" s="180">
        <f t="shared" si="1"/>
        <v>102.53163718389729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131</v>
      </c>
      <c r="C2" s="481"/>
      <c r="D2" s="481"/>
      <c r="E2" s="481"/>
      <c r="F2" s="481"/>
      <c r="G2" s="481"/>
      <c r="H2" s="415"/>
      <c r="I2" s="415"/>
      <c r="J2" s="260"/>
      <c r="K2" s="26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132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76250</v>
      </c>
      <c r="H7" s="356">
        <f>SUM(H8:H11)</f>
        <v>74940</v>
      </c>
      <c r="I7" s="356">
        <f t="shared" ref="I7" si="0">SUM(I8:I11)</f>
        <v>54954</v>
      </c>
      <c r="J7" s="356">
        <f>SUM(J8:J11)</f>
        <v>99420</v>
      </c>
      <c r="K7" s="137">
        <f>IF(H7=0,"",J7/H7*100)</f>
        <v>132.66613290632506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65450</v>
      </c>
      <c r="H8" s="358">
        <f>63160+600</f>
        <v>63760</v>
      </c>
      <c r="I8" s="358">
        <v>47116</v>
      </c>
      <c r="J8" s="358">
        <f>64830+1000+1950+13100</f>
        <v>80880</v>
      </c>
      <c r="K8" s="138">
        <f>IF(H8=0,"",J8/H8*100)</f>
        <v>126.85069008782936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10800</v>
      </c>
      <c r="H9" s="358">
        <f>10300+100+3*260</f>
        <v>11180</v>
      </c>
      <c r="I9" s="358">
        <v>7838</v>
      </c>
      <c r="J9" s="358">
        <f>10210+1000+7330</f>
        <v>18540</v>
      </c>
      <c r="K9" s="138">
        <f t="shared" ref="K9:K34" si="1">IF(H9=0,"",J9/H9*100)</f>
        <v>165.83184257602863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7330</v>
      </c>
      <c r="H12" s="356">
        <f>H13</f>
        <v>6820</v>
      </c>
      <c r="I12" s="356">
        <f t="shared" ref="I12" si="2">I13</f>
        <v>5025</v>
      </c>
      <c r="J12" s="356">
        <f>J13</f>
        <v>8850</v>
      </c>
      <c r="K12" s="180">
        <f t="shared" si="1"/>
        <v>129.76539589442814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7330</v>
      </c>
      <c r="H13" s="358">
        <f>6740+80</f>
        <v>6820</v>
      </c>
      <c r="I13" s="358">
        <v>5025</v>
      </c>
      <c r="J13" s="358">
        <f>6890+300+210+1450</f>
        <v>8850</v>
      </c>
      <c r="K13" s="138">
        <f t="shared" si="1"/>
        <v>129.76539589442814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45600</v>
      </c>
      <c r="H15" s="44">
        <f>SUM(H16:H25)</f>
        <v>88200</v>
      </c>
      <c r="I15" s="44">
        <f t="shared" ref="I15" si="3">SUM(I16:I25)</f>
        <v>42825</v>
      </c>
      <c r="J15" s="44">
        <f>SUM(J16:J25)</f>
        <v>80100</v>
      </c>
      <c r="K15" s="180">
        <f t="shared" si="1"/>
        <v>90.816326530612244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4">
        <v>3000</v>
      </c>
      <c r="H16" s="74">
        <v>3600</v>
      </c>
      <c r="I16" s="74">
        <v>2512</v>
      </c>
      <c r="J16" s="74">
        <v>3500</v>
      </c>
      <c r="K16" s="138">
        <f t="shared" si="1"/>
        <v>97.222222222222214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4">
        <v>0</v>
      </c>
      <c r="H17" s="74">
        <v>0</v>
      </c>
      <c r="I17" s="74">
        <v>0</v>
      </c>
      <c r="J17" s="74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74">
        <v>3000</v>
      </c>
      <c r="H18" s="74">
        <v>3000</v>
      </c>
      <c r="I18" s="74">
        <v>1946</v>
      </c>
      <c r="J18" s="74">
        <v>3000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74">
        <v>800</v>
      </c>
      <c r="H19" s="74">
        <v>2200</v>
      </c>
      <c r="I19" s="74">
        <v>1881</v>
      </c>
      <c r="J19" s="74">
        <v>2200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4">
        <v>0</v>
      </c>
      <c r="H20" s="74">
        <v>0</v>
      </c>
      <c r="I20" s="74">
        <v>0</v>
      </c>
      <c r="J20" s="74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74">
        <v>0</v>
      </c>
      <c r="H21" s="74">
        <v>0</v>
      </c>
      <c r="I21" s="74">
        <v>0</v>
      </c>
      <c r="J21" s="74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4">
        <v>2800</v>
      </c>
      <c r="H22" s="74">
        <v>1400</v>
      </c>
      <c r="I22" s="74">
        <v>487</v>
      </c>
      <c r="J22" s="74">
        <v>1400</v>
      </c>
      <c r="K22" s="138">
        <f t="shared" si="1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74">
        <v>36000</v>
      </c>
      <c r="H24" s="74">
        <v>78000</v>
      </c>
      <c r="I24" s="74">
        <v>35999</v>
      </c>
      <c r="J24" s="74">
        <v>70000</v>
      </c>
      <c r="K24" s="138">
        <f t="shared" si="1"/>
        <v>89.743589743589752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54"/>
      <c r="F26" s="12"/>
      <c r="G26" s="40"/>
      <c r="H26" s="40"/>
      <c r="I26" s="40"/>
      <c r="J26" s="40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3000</v>
      </c>
      <c r="H27" s="20">
        <f>SUM(H28:H29)</f>
        <v>3000</v>
      </c>
      <c r="I27" s="20">
        <f t="shared" ref="I27" si="4">SUM(I28:I29)</f>
        <v>506</v>
      </c>
      <c r="J27" s="20">
        <f>SUM(J28:J29)</f>
        <v>1000</v>
      </c>
      <c r="K27" s="180">
        <f t="shared" si="1"/>
        <v>33.333333333333329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40">
        <v>0</v>
      </c>
      <c r="J28" s="40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3000</v>
      </c>
      <c r="H29" s="40">
        <v>3000</v>
      </c>
      <c r="I29" s="40">
        <v>506</v>
      </c>
      <c r="J29" s="40">
        <v>1000</v>
      </c>
      <c r="K29" s="138">
        <f t="shared" si="1"/>
        <v>33.333333333333329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0">
        <v>3</v>
      </c>
      <c r="H31" s="20">
        <v>3</v>
      </c>
      <c r="I31" s="20">
        <v>3</v>
      </c>
      <c r="J31" s="20">
        <v>4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132180</v>
      </c>
      <c r="H32" s="20">
        <f>H7+H12+H15+H27</f>
        <v>172960</v>
      </c>
      <c r="I32" s="20">
        <f t="shared" ref="I32" si="5">I7+I12+I15+I27</f>
        <v>103310</v>
      </c>
      <c r="J32" s="20">
        <f>J7+J12+J15+J27</f>
        <v>189370</v>
      </c>
      <c r="K32" s="180">
        <f t="shared" si="1"/>
        <v>109.48774283071229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/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B2:O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5" s="103" customFormat="1" ht="15" customHeight="1">
      <c r="B2" s="481" t="s">
        <v>196</v>
      </c>
      <c r="C2" s="481"/>
      <c r="D2" s="481"/>
      <c r="E2" s="481"/>
      <c r="F2" s="481"/>
      <c r="G2" s="481"/>
      <c r="H2" s="415"/>
      <c r="I2" s="415"/>
      <c r="J2" s="260"/>
      <c r="K2" s="261"/>
    </row>
    <row r="3" spans="2:15" s="1" customFormat="1" ht="16.5" thickBot="1">
      <c r="E3" s="2"/>
      <c r="F3" s="482"/>
      <c r="G3" s="482"/>
      <c r="H3" s="416"/>
      <c r="I3" s="416"/>
      <c r="J3" s="162"/>
      <c r="K3" s="163"/>
    </row>
    <row r="4" spans="2:15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5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5" s="2" customFormat="1" ht="17.100000000000001" customHeight="1">
      <c r="B6" s="10" t="s">
        <v>132</v>
      </c>
      <c r="C6" s="11" t="s">
        <v>133</v>
      </c>
      <c r="D6" s="11" t="s">
        <v>125</v>
      </c>
      <c r="E6" s="9"/>
      <c r="F6" s="9"/>
      <c r="G6" s="150"/>
      <c r="H6" s="150"/>
      <c r="I6" s="150"/>
      <c r="J6" s="150"/>
      <c r="K6" s="136"/>
    </row>
    <row r="7" spans="2:15" s="1" customFormat="1" ht="17.100000000000001" customHeight="1">
      <c r="B7" s="17"/>
      <c r="C7" s="12"/>
      <c r="D7" s="12"/>
      <c r="E7" s="9">
        <v>611000</v>
      </c>
      <c r="F7" s="12" t="s">
        <v>164</v>
      </c>
      <c r="G7" s="376">
        <f>SUM(G8:G11)</f>
        <v>1167310</v>
      </c>
      <c r="H7" s="376">
        <f>SUM(H8:H11)</f>
        <v>1114940</v>
      </c>
      <c r="I7" s="376">
        <f t="shared" ref="I7" si="0">SUM(I8:I11)</f>
        <v>831825</v>
      </c>
      <c r="J7" s="376">
        <f>SUM(J8:J11)</f>
        <v>1132260</v>
      </c>
      <c r="K7" s="137">
        <f>IF(H7=0,"",J7/H7*100)</f>
        <v>101.55344682225052</v>
      </c>
    </row>
    <row r="8" spans="2:15" ht="17.100000000000001" customHeight="1">
      <c r="B8" s="14"/>
      <c r="C8" s="15"/>
      <c r="D8" s="15"/>
      <c r="E8" s="16">
        <v>611100</v>
      </c>
      <c r="F8" s="26" t="s">
        <v>207</v>
      </c>
      <c r="G8" s="378">
        <v>977910</v>
      </c>
      <c r="H8" s="378">
        <f>934790+2000-2730</f>
        <v>934060</v>
      </c>
      <c r="I8" s="378">
        <v>702516</v>
      </c>
      <c r="J8" s="378">
        <f>912320+6000+11000+17500+330</f>
        <v>947150</v>
      </c>
      <c r="K8" s="138">
        <f>IF(H8=0,"",J8/H8*100)</f>
        <v>101.40140890306833</v>
      </c>
    </row>
    <row r="9" spans="2:15" ht="17.100000000000001" customHeight="1">
      <c r="B9" s="14"/>
      <c r="C9" s="15"/>
      <c r="D9" s="15"/>
      <c r="E9" s="16">
        <v>611200</v>
      </c>
      <c r="F9" s="15" t="s">
        <v>208</v>
      </c>
      <c r="G9" s="378">
        <v>189400</v>
      </c>
      <c r="H9" s="378">
        <f>168800+1600-700+43*260</f>
        <v>180880</v>
      </c>
      <c r="I9" s="378">
        <v>129309</v>
      </c>
      <c r="J9" s="378">
        <f>170090+3000+6*1470+3200</f>
        <v>185110</v>
      </c>
      <c r="K9" s="138">
        <f t="shared" ref="K9:K34" si="1">IF(H9=0,"",J9/H9*100)</f>
        <v>102.33856700574965</v>
      </c>
    </row>
    <row r="10" spans="2:15" ht="17.100000000000001" customHeight="1">
      <c r="B10" s="14"/>
      <c r="C10" s="15"/>
      <c r="D10" s="15"/>
      <c r="E10" s="16">
        <v>611200</v>
      </c>
      <c r="F10" s="327" t="s">
        <v>643</v>
      </c>
      <c r="G10" s="377">
        <v>0</v>
      </c>
      <c r="H10" s="377">
        <v>0</v>
      </c>
      <c r="I10" s="377">
        <v>0</v>
      </c>
      <c r="J10" s="377">
        <v>0</v>
      </c>
      <c r="K10" s="138" t="str">
        <f t="shared" si="1"/>
        <v/>
      </c>
      <c r="M10" s="81"/>
    </row>
    <row r="11" spans="2:15" ht="17.100000000000001" customHeight="1">
      <c r="B11" s="14"/>
      <c r="C11" s="15"/>
      <c r="D11" s="15"/>
      <c r="E11" s="16"/>
      <c r="F11" s="26"/>
      <c r="G11" s="378"/>
      <c r="H11" s="378"/>
      <c r="I11" s="378"/>
      <c r="J11" s="378"/>
      <c r="K11" s="138" t="str">
        <f t="shared" si="1"/>
        <v/>
      </c>
    </row>
    <row r="12" spans="2:15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76">
        <f>G13</f>
        <v>105990</v>
      </c>
      <c r="H12" s="376">
        <f>H13</f>
        <v>101130</v>
      </c>
      <c r="I12" s="376">
        <f t="shared" ref="I12" si="2">I13</f>
        <v>75792</v>
      </c>
      <c r="J12" s="376">
        <f>J13</f>
        <v>100830</v>
      </c>
      <c r="K12" s="180">
        <f t="shared" si="1"/>
        <v>99.703352121032324</v>
      </c>
    </row>
    <row r="13" spans="2:15" ht="17.100000000000001" customHeight="1">
      <c r="B13" s="14"/>
      <c r="C13" s="15"/>
      <c r="D13" s="15"/>
      <c r="E13" s="16">
        <v>612100</v>
      </c>
      <c r="F13" s="18" t="s">
        <v>83</v>
      </c>
      <c r="G13" s="378">
        <v>105990</v>
      </c>
      <c r="H13" s="378">
        <f>101110+300-280</f>
        <v>101130</v>
      </c>
      <c r="I13" s="378">
        <v>75792</v>
      </c>
      <c r="J13" s="378">
        <f>97000+700+1200+1880+50</f>
        <v>100830</v>
      </c>
      <c r="K13" s="138">
        <f t="shared" si="1"/>
        <v>99.703352121032324</v>
      </c>
    </row>
    <row r="14" spans="2:15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  <c r="O14" s="82"/>
    </row>
    <row r="15" spans="2:15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338500</v>
      </c>
      <c r="H15" s="44">
        <f>SUM(H16:H25)</f>
        <v>316500</v>
      </c>
      <c r="I15" s="44">
        <f t="shared" ref="I15" si="3">SUM(I16:I25)</f>
        <v>174716</v>
      </c>
      <c r="J15" s="44">
        <f>SUM(J16:J25)</f>
        <v>324500</v>
      </c>
      <c r="K15" s="180">
        <f t="shared" si="1"/>
        <v>102.52764612954186</v>
      </c>
    </row>
    <row r="16" spans="2:15" ht="17.100000000000001" customHeight="1">
      <c r="B16" s="14"/>
      <c r="C16" s="15"/>
      <c r="D16" s="15"/>
      <c r="E16" s="16">
        <v>613100</v>
      </c>
      <c r="F16" s="15" t="s">
        <v>84</v>
      </c>
      <c r="G16" s="40">
        <v>6500</v>
      </c>
      <c r="H16" s="40">
        <v>6500</v>
      </c>
      <c r="I16" s="40">
        <v>3560</v>
      </c>
      <c r="J16" s="40">
        <v>6500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17000</v>
      </c>
      <c r="H17" s="40">
        <v>17000</v>
      </c>
      <c r="I17" s="40">
        <v>9831</v>
      </c>
      <c r="J17" s="40">
        <v>17000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130000</v>
      </c>
      <c r="H18" s="40">
        <v>120000</v>
      </c>
      <c r="I18" s="40">
        <v>66796</v>
      </c>
      <c r="J18" s="40">
        <v>120000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108">
        <v>35000</v>
      </c>
      <c r="H19" s="108">
        <v>35000</v>
      </c>
      <c r="I19" s="108">
        <v>16920</v>
      </c>
      <c r="J19" s="108">
        <v>35000</v>
      </c>
      <c r="K19" s="138">
        <f t="shared" si="1"/>
        <v>100</v>
      </c>
      <c r="L19" s="73"/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40">
        <v>12000</v>
      </c>
      <c r="H20" s="40">
        <v>12000</v>
      </c>
      <c r="I20" s="40">
        <v>7869</v>
      </c>
      <c r="J20" s="40">
        <v>12000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14000</v>
      </c>
      <c r="H22" s="108">
        <v>12000</v>
      </c>
      <c r="I22" s="108">
        <v>4443</v>
      </c>
      <c r="J22" s="108">
        <v>12000</v>
      </c>
      <c r="K22" s="138">
        <f t="shared" si="1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4000</v>
      </c>
      <c r="H23" s="108">
        <v>4000</v>
      </c>
      <c r="I23" s="108">
        <v>2058</v>
      </c>
      <c r="J23" s="108">
        <v>4000</v>
      </c>
      <c r="K23" s="138">
        <f t="shared" si="1"/>
        <v>100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120000</v>
      </c>
      <c r="H24" s="108">
        <v>110000</v>
      </c>
      <c r="I24" s="108">
        <v>63239</v>
      </c>
      <c r="J24" s="108">
        <v>118000</v>
      </c>
      <c r="K24" s="138">
        <f t="shared" si="1"/>
        <v>107.27272727272728</v>
      </c>
      <c r="L24" s="98"/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54"/>
      <c r="F26" s="12"/>
      <c r="G26" s="108"/>
      <c r="H26" s="108"/>
      <c r="I26" s="108"/>
      <c r="J26" s="108"/>
      <c r="K26" s="138" t="str">
        <f t="shared" si="1"/>
        <v/>
      </c>
    </row>
    <row r="27" spans="2:12" ht="17.100000000000001" customHeight="1">
      <c r="B27" s="14"/>
      <c r="C27" s="15"/>
      <c r="D27" s="15"/>
      <c r="E27" s="16"/>
      <c r="F27" s="15"/>
      <c r="G27" s="99"/>
      <c r="H27" s="99"/>
      <c r="I27" s="99"/>
      <c r="J27" s="99"/>
      <c r="K27" s="138" t="str">
        <f t="shared" si="1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99">
        <f>G29+G30</f>
        <v>30000</v>
      </c>
      <c r="H28" s="99">
        <f>H29+H30</f>
        <v>30000</v>
      </c>
      <c r="I28" s="99">
        <f t="shared" ref="I28" si="4">I29+I30</f>
        <v>26260</v>
      </c>
      <c r="J28" s="99">
        <f>J29+J30</f>
        <v>16000</v>
      </c>
      <c r="K28" s="180">
        <f t="shared" si="1"/>
        <v>53.333333333333336</v>
      </c>
    </row>
    <row r="29" spans="2:12" ht="17.100000000000001" customHeight="1">
      <c r="B29" s="14"/>
      <c r="C29" s="15"/>
      <c r="D29" s="15"/>
      <c r="E29" s="16">
        <v>821200</v>
      </c>
      <c r="F29" s="15" t="s">
        <v>91</v>
      </c>
      <c r="G29" s="108">
        <v>5000</v>
      </c>
      <c r="H29" s="108">
        <v>5000</v>
      </c>
      <c r="I29" s="108">
        <v>4970</v>
      </c>
      <c r="J29" s="108">
        <v>1000</v>
      </c>
      <c r="K29" s="138">
        <f t="shared" si="1"/>
        <v>20</v>
      </c>
    </row>
    <row r="30" spans="2:12" ht="17.100000000000001" customHeight="1">
      <c r="B30" s="14"/>
      <c r="C30" s="15"/>
      <c r="D30" s="15"/>
      <c r="E30" s="16">
        <v>821300</v>
      </c>
      <c r="F30" s="15" t="s">
        <v>92</v>
      </c>
      <c r="G30" s="108">
        <v>25000</v>
      </c>
      <c r="H30" s="108">
        <v>25000</v>
      </c>
      <c r="I30" s="108">
        <v>21290</v>
      </c>
      <c r="J30" s="108">
        <v>15000</v>
      </c>
      <c r="K30" s="138">
        <f t="shared" si="1"/>
        <v>60</v>
      </c>
    </row>
    <row r="31" spans="2:12" ht="17.100000000000001" customHeight="1">
      <c r="B31" s="14"/>
      <c r="C31" s="15"/>
      <c r="D31" s="15"/>
      <c r="E31" s="16"/>
      <c r="F31" s="15"/>
      <c r="G31" s="40"/>
      <c r="H31" s="40"/>
      <c r="I31" s="40"/>
      <c r="J31" s="40"/>
      <c r="K31" s="138" t="str">
        <f t="shared" si="1"/>
        <v/>
      </c>
    </row>
    <row r="32" spans="2:12" s="1" customFormat="1" ht="17.100000000000001" customHeight="1">
      <c r="B32" s="17"/>
      <c r="C32" s="12"/>
      <c r="D32" s="12"/>
      <c r="E32" s="9"/>
      <c r="F32" s="12" t="s">
        <v>93</v>
      </c>
      <c r="G32" s="121">
        <v>45</v>
      </c>
      <c r="H32" s="121">
        <v>43</v>
      </c>
      <c r="I32" s="121">
        <v>43</v>
      </c>
      <c r="J32" s="121">
        <v>44</v>
      </c>
      <c r="K32" s="138"/>
    </row>
    <row r="33" spans="2:11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1641800</v>
      </c>
      <c r="H33" s="20">
        <f>H7+H12+H15+H28</f>
        <v>1562570</v>
      </c>
      <c r="I33" s="20">
        <f t="shared" ref="I33" si="5">I7+I12+I15+I28</f>
        <v>1108593</v>
      </c>
      <c r="J33" s="20">
        <f>J7+J12+J15+J28</f>
        <v>1573590</v>
      </c>
      <c r="K33" s="180">
        <f>IF(H33=0,"",J33/H33*100)</f>
        <v>100.70524840487147</v>
      </c>
    </row>
    <row r="34" spans="2:11" s="1" customFormat="1" ht="17.100000000000001" customHeight="1">
      <c r="B34" s="17"/>
      <c r="C34" s="12"/>
      <c r="D34" s="12"/>
      <c r="E34" s="9"/>
      <c r="F34" s="12" t="s">
        <v>94</v>
      </c>
      <c r="G34" s="20">
        <f>G33</f>
        <v>1641800</v>
      </c>
      <c r="H34" s="20">
        <f>H33</f>
        <v>1562570</v>
      </c>
      <c r="I34" s="20">
        <f t="shared" ref="I34" si="6">I33</f>
        <v>1108593</v>
      </c>
      <c r="J34" s="20">
        <f>J33</f>
        <v>1573590</v>
      </c>
      <c r="K34" s="180">
        <f t="shared" si="1"/>
        <v>100.70524840487147</v>
      </c>
    </row>
    <row r="35" spans="2:11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39"/>
      <c r="K35" s="139"/>
    </row>
    <row r="36" spans="2:11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41"/>
      <c r="K36" s="141"/>
    </row>
    <row r="37" spans="2:11" ht="17.100000000000001" customHeight="1">
      <c r="K37" s="259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229</v>
      </c>
      <c r="C2" s="481"/>
      <c r="D2" s="481"/>
      <c r="E2" s="481"/>
      <c r="F2" s="481"/>
      <c r="G2" s="481"/>
      <c r="H2" s="415"/>
      <c r="I2" s="415"/>
      <c r="J2" s="260"/>
      <c r="K2" s="26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132</v>
      </c>
      <c r="C6" s="11" t="s">
        <v>134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33600</v>
      </c>
      <c r="H7" s="356">
        <f>SUM(H8:H11)</f>
        <v>31070</v>
      </c>
      <c r="I7" s="356">
        <f t="shared" ref="I7" si="0">SUM(I8:I11)</f>
        <v>22828</v>
      </c>
      <c r="J7" s="356">
        <f>SUM(J8:J11)</f>
        <v>44960</v>
      </c>
      <c r="K7" s="137">
        <f>IF(H7=0,"",J7/H7*100)</f>
        <v>144.7055037013196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28200</v>
      </c>
      <c r="H8" s="358">
        <f>27160+150</f>
        <v>27310</v>
      </c>
      <c r="I8" s="358">
        <v>20238</v>
      </c>
      <c r="J8" s="358">
        <f>27670+300+8200+830+250</f>
        <v>37250</v>
      </c>
      <c r="K8" s="138">
        <f>IF(H8=0,"",J8/H8*100)</f>
        <v>136.39692420358841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5400</v>
      </c>
      <c r="H9" s="358">
        <f>3480+20+260</f>
        <v>3760</v>
      </c>
      <c r="I9" s="358">
        <v>2590</v>
      </c>
      <c r="J9" s="358">
        <f>3640+100+1470+2500</f>
        <v>7710</v>
      </c>
      <c r="K9" s="138">
        <f t="shared" ref="K9:K34" si="1">IF(H9=0,"",J9/H9*100)</f>
        <v>205.05319148936172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3240</v>
      </c>
      <c r="H12" s="356">
        <f>H13</f>
        <v>2920</v>
      </c>
      <c r="I12" s="356">
        <f t="shared" ref="I12" si="2">I13</f>
        <v>2149</v>
      </c>
      <c r="J12" s="356">
        <f>J13</f>
        <v>4060</v>
      </c>
      <c r="K12" s="180">
        <f t="shared" si="1"/>
        <v>139.04109589041096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3240</v>
      </c>
      <c r="H13" s="358">
        <f>2890+30</f>
        <v>2920</v>
      </c>
      <c r="I13" s="358">
        <v>2149</v>
      </c>
      <c r="J13" s="358">
        <f>2940+100+900+90+30</f>
        <v>4060</v>
      </c>
      <c r="K13" s="138">
        <f t="shared" si="1"/>
        <v>139.04109589041096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4200</v>
      </c>
      <c r="H15" s="44">
        <f>SUM(H16:H25)</f>
        <v>3900</v>
      </c>
      <c r="I15" s="44">
        <f t="shared" ref="I15" si="3">SUM(I16:I25)</f>
        <v>1699</v>
      </c>
      <c r="J15" s="44">
        <f>SUM(J16:J25)</f>
        <v>4200</v>
      </c>
      <c r="K15" s="138">
        <f t="shared" si="1"/>
        <v>107.69230769230769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</v>
      </c>
      <c r="H16" s="40">
        <v>200</v>
      </c>
      <c r="I16" s="40">
        <v>0</v>
      </c>
      <c r="J16" s="40">
        <v>500</v>
      </c>
      <c r="K16" s="138">
        <f t="shared" si="1"/>
        <v>250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40">
        <v>0</v>
      </c>
      <c r="J17" s="40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1000</v>
      </c>
      <c r="H18" s="40">
        <v>1000</v>
      </c>
      <c r="I18" s="40">
        <v>512</v>
      </c>
      <c r="J18" s="40">
        <v>1000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1000</v>
      </c>
      <c r="H19" s="40">
        <v>1000</v>
      </c>
      <c r="I19" s="40">
        <v>352</v>
      </c>
      <c r="J19" s="40">
        <v>1000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40">
        <v>0</v>
      </c>
      <c r="J20" s="40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0</v>
      </c>
      <c r="H22" s="40">
        <v>0</v>
      </c>
      <c r="I22" s="40">
        <v>0</v>
      </c>
      <c r="J22" s="40">
        <v>0</v>
      </c>
      <c r="K22" s="138" t="str">
        <f t="shared" si="1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40">
        <v>0</v>
      </c>
      <c r="H23" s="40">
        <v>0</v>
      </c>
      <c r="I23" s="40">
        <v>0</v>
      </c>
      <c r="J23" s="40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40">
        <v>1700</v>
      </c>
      <c r="H24" s="40">
        <v>1700</v>
      </c>
      <c r="I24" s="40">
        <v>835</v>
      </c>
      <c r="J24" s="40">
        <v>1700</v>
      </c>
      <c r="K24" s="138">
        <f t="shared" si="1"/>
        <v>100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40">
        <v>0</v>
      </c>
      <c r="H25" s="40">
        <v>0</v>
      </c>
      <c r="I25" s="40">
        <v>0</v>
      </c>
      <c r="J25" s="40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54"/>
      <c r="F26" s="12"/>
      <c r="G26" s="40"/>
      <c r="H26" s="40"/>
      <c r="I26" s="40"/>
      <c r="J26" s="40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500</v>
      </c>
      <c r="H27" s="20">
        <f>SUM(H28:H29)</f>
        <v>500</v>
      </c>
      <c r="I27" s="20">
        <f t="shared" ref="I27" si="4">SUM(I28:I29)</f>
        <v>0</v>
      </c>
      <c r="J27" s="20">
        <f>SUM(J28:J29)</f>
        <v>3000</v>
      </c>
      <c r="K27" s="180">
        <f t="shared" si="1"/>
        <v>600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40">
        <v>0</v>
      </c>
      <c r="J28" s="40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500</v>
      </c>
      <c r="H29" s="40">
        <v>500</v>
      </c>
      <c r="I29" s="40">
        <v>0</v>
      </c>
      <c r="J29" s="40">
        <v>3000</v>
      </c>
      <c r="K29" s="138">
        <f t="shared" si="1"/>
        <v>600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9">
        <v>1</v>
      </c>
      <c r="H31" s="99">
        <v>1</v>
      </c>
      <c r="I31" s="99">
        <v>1</v>
      </c>
      <c r="J31" s="99">
        <v>2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41540</v>
      </c>
      <c r="H32" s="20">
        <f>H7+H12+H15+H27</f>
        <v>38390</v>
      </c>
      <c r="I32" s="20">
        <f t="shared" ref="I32" si="5">I7+I12+I15+I27</f>
        <v>26676</v>
      </c>
      <c r="J32" s="20">
        <f>J7+J12+J15+J27</f>
        <v>56220</v>
      </c>
      <c r="K32" s="180">
        <f t="shared" si="1"/>
        <v>146.44438655899975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41540</v>
      </c>
      <c r="H33" s="20">
        <f>H32</f>
        <v>38390</v>
      </c>
      <c r="I33" s="20">
        <f t="shared" ref="I33" si="6">I32</f>
        <v>26676</v>
      </c>
      <c r="J33" s="20">
        <f>J32</f>
        <v>56220</v>
      </c>
      <c r="K33" s="180">
        <f>IF(H33=0,"",J33/H33*100)</f>
        <v>146.44438655899975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B2:M59"/>
  <sheetViews>
    <sheetView topLeftCell="C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228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132</v>
      </c>
      <c r="C6" s="11" t="s">
        <v>134</v>
      </c>
      <c r="D6" s="11" t="s">
        <v>118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30120</v>
      </c>
      <c r="H7" s="356">
        <f>SUM(H8:H11)</f>
        <v>18780</v>
      </c>
      <c r="I7" s="356">
        <f t="shared" ref="I7" si="0">SUM(I8:I11)</f>
        <v>13876</v>
      </c>
      <c r="J7" s="356">
        <f>SUM(J8:J11)</f>
        <v>38280</v>
      </c>
      <c r="K7" s="137">
        <f>IF(H7=0,"",J7/H7*100)</f>
        <v>203.83386581469648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24970</v>
      </c>
      <c r="H8" s="358">
        <f>12280+100</f>
        <v>12380</v>
      </c>
      <c r="I8" s="358">
        <v>9152</v>
      </c>
      <c r="J8" s="358">
        <f>12480+300+17800+380+540</f>
        <v>31500</v>
      </c>
      <c r="K8" s="138">
        <f>IF(H8=0,"",J8/H8*100)</f>
        <v>254.4426494345719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5150</v>
      </c>
      <c r="H9" s="358">
        <f>2740+100+260</f>
        <v>3100</v>
      </c>
      <c r="I9" s="358">
        <v>2106</v>
      </c>
      <c r="J9" s="358">
        <f>2710+100+1470+2500</f>
        <v>6780</v>
      </c>
      <c r="K9" s="138">
        <f t="shared" ref="K9:K34" si="1">IF(H9=0,"",J9/H9*100)</f>
        <v>218.70967741935482</v>
      </c>
    </row>
    <row r="10" spans="2:13" ht="17.100000000000001" customHeight="1">
      <c r="B10" s="14"/>
      <c r="C10" s="15"/>
      <c r="D10" s="15"/>
      <c r="E10" s="16">
        <v>611200</v>
      </c>
      <c r="F10" s="26" t="s">
        <v>773</v>
      </c>
      <c r="G10" s="355">
        <v>0</v>
      </c>
      <c r="H10" s="355">
        <v>3300</v>
      </c>
      <c r="I10" s="355">
        <v>2618</v>
      </c>
      <c r="J10" s="355">
        <v>0</v>
      </c>
      <c r="K10" s="138">
        <f t="shared" si="1"/>
        <v>0</v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3180</v>
      </c>
      <c r="H12" s="356">
        <f>H13</f>
        <v>1350</v>
      </c>
      <c r="I12" s="356">
        <f t="shared" ref="I12" si="2">I13</f>
        <v>987</v>
      </c>
      <c r="J12" s="356">
        <f>J13</f>
        <v>3500</v>
      </c>
      <c r="K12" s="180">
        <f t="shared" si="1"/>
        <v>259.25925925925924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3180</v>
      </c>
      <c r="H13" s="358">
        <f>1330+20</f>
        <v>1350</v>
      </c>
      <c r="I13" s="358">
        <v>987</v>
      </c>
      <c r="J13" s="358">
        <f>1350+100+1950+40+60</f>
        <v>3500</v>
      </c>
      <c r="K13" s="138">
        <f t="shared" si="1"/>
        <v>259.25925925925924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2450</v>
      </c>
      <c r="H15" s="44">
        <f>SUM(H16:H25)</f>
        <v>5850</v>
      </c>
      <c r="I15" s="44">
        <f t="shared" ref="I15" si="3">SUM(I16:I25)</f>
        <v>3269</v>
      </c>
      <c r="J15" s="44">
        <f>SUM(J16:J25)</f>
        <v>2450</v>
      </c>
      <c r="K15" s="180">
        <f t="shared" si="1"/>
        <v>41.880341880341881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</v>
      </c>
      <c r="H16" s="40">
        <v>500</v>
      </c>
      <c r="I16" s="40">
        <v>0</v>
      </c>
      <c r="J16" s="40">
        <v>500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40">
        <v>0</v>
      </c>
      <c r="J17" s="40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950</v>
      </c>
      <c r="H18" s="40">
        <v>950</v>
      </c>
      <c r="I18" s="40">
        <v>402</v>
      </c>
      <c r="J18" s="40">
        <v>950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500</v>
      </c>
      <c r="H19" s="40">
        <v>500</v>
      </c>
      <c r="I19" s="40">
        <v>98</v>
      </c>
      <c r="J19" s="40">
        <v>500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40">
        <v>0</v>
      </c>
      <c r="J20" s="40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0</v>
      </c>
      <c r="H22" s="40">
        <v>0</v>
      </c>
      <c r="I22" s="40">
        <v>0</v>
      </c>
      <c r="J22" s="40">
        <v>0</v>
      </c>
      <c r="K22" s="138" t="str">
        <f t="shared" si="1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40">
        <v>0</v>
      </c>
      <c r="H23" s="40">
        <v>0</v>
      </c>
      <c r="I23" s="40">
        <v>0</v>
      </c>
      <c r="J23" s="40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500</v>
      </c>
      <c r="H24" s="108">
        <v>500</v>
      </c>
      <c r="I24" s="108">
        <v>64</v>
      </c>
      <c r="J24" s="108">
        <v>500</v>
      </c>
      <c r="K24" s="138">
        <f t="shared" si="1"/>
        <v>100</v>
      </c>
    </row>
    <row r="25" spans="2:11" ht="17.100000000000001" customHeight="1">
      <c r="B25" s="14"/>
      <c r="C25" s="15"/>
      <c r="D25" s="15"/>
      <c r="E25" s="16">
        <v>613900</v>
      </c>
      <c r="F25" s="26" t="s">
        <v>774</v>
      </c>
      <c r="G25" s="40">
        <v>0</v>
      </c>
      <c r="H25" s="40">
        <v>3400</v>
      </c>
      <c r="I25" s="40">
        <v>2705</v>
      </c>
      <c r="J25" s="40">
        <v>0</v>
      </c>
      <c r="K25" s="138">
        <f t="shared" si="1"/>
        <v>0</v>
      </c>
    </row>
    <row r="26" spans="2:11" s="1" customFormat="1" ht="17.100000000000001" customHeight="1">
      <c r="B26" s="17"/>
      <c r="C26" s="12"/>
      <c r="D26" s="12"/>
      <c r="E26" s="54"/>
      <c r="F26" s="12"/>
      <c r="G26" s="40"/>
      <c r="H26" s="40"/>
      <c r="I26" s="40"/>
      <c r="J26" s="40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1000</v>
      </c>
      <c r="H27" s="20">
        <f>SUM(H28:H29)</f>
        <v>1000</v>
      </c>
      <c r="I27" s="20">
        <f t="shared" ref="I27" si="4">SUM(I28:I29)</f>
        <v>0</v>
      </c>
      <c r="J27" s="20">
        <f>SUM(J28:J29)</f>
        <v>1000</v>
      </c>
      <c r="K27" s="180">
        <f t="shared" si="1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40">
        <v>0</v>
      </c>
      <c r="J28" s="40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40">
        <v>1000</v>
      </c>
      <c r="H29" s="40">
        <v>1000</v>
      </c>
      <c r="I29" s="40">
        <v>0</v>
      </c>
      <c r="J29" s="40">
        <v>1000</v>
      </c>
      <c r="K29" s="138">
        <f t="shared" si="1"/>
        <v>100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9">
        <v>2</v>
      </c>
      <c r="H31" s="99">
        <v>1</v>
      </c>
      <c r="I31" s="99">
        <v>1</v>
      </c>
      <c r="J31" s="99">
        <v>2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36750</v>
      </c>
      <c r="H32" s="20">
        <f>H7+H12+H15+H27</f>
        <v>26980</v>
      </c>
      <c r="I32" s="20">
        <f t="shared" ref="I32" si="5">I7+I12+I15+I27</f>
        <v>18132</v>
      </c>
      <c r="J32" s="20">
        <f>J7+J12+J15+J27</f>
        <v>45230</v>
      </c>
      <c r="K32" s="180">
        <f t="shared" si="1"/>
        <v>167.64269829503334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36750</v>
      </c>
      <c r="H33" s="20">
        <f>H32</f>
        <v>26980</v>
      </c>
      <c r="I33" s="20">
        <f t="shared" ref="I33" si="6">I32</f>
        <v>18132</v>
      </c>
      <c r="J33" s="20">
        <f>J32</f>
        <v>45230</v>
      </c>
      <c r="K33" s="180">
        <f>IF(H33=0,"",J33/H33*100)</f>
        <v>167.64269829503334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G33+'12'!G33+'11'!G34+'10'!G32</f>
        <v>1852270</v>
      </c>
      <c r="H34" s="20">
        <f>H33+'12'!H33+'11'!H34+'10'!H32</f>
        <v>1800900</v>
      </c>
      <c r="I34" s="20">
        <f>I33+'12'!I33+'11'!I34+'10'!I32</f>
        <v>1256711</v>
      </c>
      <c r="J34" s="20">
        <f>J33+'12'!J33+'11'!J34+'10'!J32</f>
        <v>1864410</v>
      </c>
      <c r="K34" s="180">
        <f t="shared" si="1"/>
        <v>103.52657004830918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opLeftCell="A10" zoomScaleNormal="100" workbookViewId="0">
      <selection activeCell="J37" sqref="J37"/>
    </sheetView>
  </sheetViews>
  <sheetFormatPr defaultRowHeight="12.75"/>
  <cols>
    <col min="1" max="1" width="4" style="50" customWidth="1"/>
    <col min="7" max="7" width="15.7109375" customWidth="1"/>
    <col min="8" max="8" width="7.42578125" customWidth="1"/>
    <col min="9" max="9" width="14.7109375" customWidth="1"/>
    <col min="10" max="10" width="9.140625" style="50"/>
  </cols>
  <sheetData>
    <row r="1" spans="1:10" ht="15.75">
      <c r="A1" s="453" t="s">
        <v>236</v>
      </c>
      <c r="B1" s="453"/>
      <c r="C1" s="453"/>
      <c r="D1" s="453"/>
      <c r="E1" s="453"/>
      <c r="F1" s="453"/>
      <c r="G1" s="453"/>
      <c r="H1" s="453"/>
      <c r="I1" s="453"/>
    </row>
    <row r="3" spans="1:10" s="62" customFormat="1">
      <c r="A3" s="119" t="s">
        <v>280</v>
      </c>
      <c r="B3" s="461" t="s">
        <v>317</v>
      </c>
      <c r="C3" s="462"/>
      <c r="D3" s="462"/>
      <c r="E3" s="462"/>
      <c r="F3" s="462"/>
      <c r="G3" s="462"/>
      <c r="H3" s="462"/>
      <c r="I3" s="463"/>
      <c r="J3" s="119" t="s">
        <v>263</v>
      </c>
    </row>
    <row r="4" spans="1:10" s="47" customFormat="1" ht="17.100000000000001" customHeight="1">
      <c r="A4" s="115" t="s">
        <v>237</v>
      </c>
      <c r="B4" s="454" t="s">
        <v>238</v>
      </c>
      <c r="C4" s="457"/>
      <c r="D4" s="457"/>
      <c r="E4" s="457"/>
      <c r="F4" s="457"/>
      <c r="G4" s="457"/>
      <c r="H4" s="457"/>
      <c r="I4" s="458"/>
      <c r="J4" s="115">
        <v>1</v>
      </c>
    </row>
    <row r="5" spans="1:10" s="47" customFormat="1" ht="17.100000000000001" customHeight="1">
      <c r="A5" s="115" t="s">
        <v>239</v>
      </c>
      <c r="B5" s="454" t="s">
        <v>240</v>
      </c>
      <c r="C5" s="457"/>
      <c r="D5" s="457"/>
      <c r="E5" s="457"/>
      <c r="F5" s="457"/>
      <c r="G5" s="457"/>
      <c r="H5" s="457"/>
      <c r="I5" s="458"/>
      <c r="J5" s="115">
        <v>2</v>
      </c>
    </row>
    <row r="6" spans="1:10" s="47" customFormat="1" ht="17.100000000000001" customHeight="1">
      <c r="A6" s="115" t="s">
        <v>241</v>
      </c>
      <c r="B6" s="454" t="s">
        <v>525</v>
      </c>
      <c r="C6" s="457"/>
      <c r="D6" s="457"/>
      <c r="E6" s="457"/>
      <c r="F6" s="457"/>
      <c r="G6" s="457"/>
      <c r="H6" s="457"/>
      <c r="I6" s="458"/>
      <c r="J6" s="115">
        <v>6</v>
      </c>
    </row>
    <row r="7" spans="1:10" s="47" customFormat="1" ht="17.100000000000001" customHeight="1">
      <c r="A7" s="115" t="s">
        <v>242</v>
      </c>
      <c r="B7" s="454" t="s">
        <v>243</v>
      </c>
      <c r="C7" s="457"/>
      <c r="D7" s="457"/>
      <c r="E7" s="457"/>
      <c r="F7" s="457"/>
      <c r="G7" s="457"/>
      <c r="H7" s="457"/>
      <c r="I7" s="458"/>
      <c r="J7" s="115">
        <v>7</v>
      </c>
    </row>
    <row r="8" spans="1:10" s="47" customFormat="1" ht="17.100000000000001" customHeight="1">
      <c r="A8" s="115" t="s">
        <v>281</v>
      </c>
      <c r="B8" s="454" t="s">
        <v>244</v>
      </c>
      <c r="C8" s="457"/>
      <c r="D8" s="457"/>
      <c r="E8" s="457"/>
      <c r="F8" s="457"/>
      <c r="G8" s="457"/>
      <c r="H8" s="457"/>
      <c r="I8" s="458"/>
      <c r="J8" s="115">
        <v>8</v>
      </c>
    </row>
    <row r="9" spans="1:10" s="47" customFormat="1" ht="17.100000000000001" customHeight="1">
      <c r="A9" s="115" t="s">
        <v>282</v>
      </c>
      <c r="B9" s="454" t="s">
        <v>248</v>
      </c>
      <c r="C9" s="457"/>
      <c r="D9" s="457"/>
      <c r="E9" s="457"/>
      <c r="F9" s="457"/>
      <c r="G9" s="457"/>
      <c r="H9" s="457"/>
      <c r="I9" s="458"/>
      <c r="J9" s="115">
        <v>9</v>
      </c>
    </row>
    <row r="10" spans="1:10" s="47" customFormat="1" ht="17.100000000000001" customHeight="1">
      <c r="A10" s="115" t="s">
        <v>283</v>
      </c>
      <c r="B10" s="454" t="s">
        <v>245</v>
      </c>
      <c r="C10" s="457"/>
      <c r="D10" s="457"/>
      <c r="E10" s="457"/>
      <c r="F10" s="457"/>
      <c r="G10" s="457"/>
      <c r="H10" s="457"/>
      <c r="I10" s="458"/>
      <c r="J10" s="115">
        <v>10</v>
      </c>
    </row>
    <row r="11" spans="1:10" s="47" customFormat="1" ht="17.100000000000001" customHeight="1">
      <c r="A11" s="115" t="s">
        <v>284</v>
      </c>
      <c r="B11" s="454" t="s">
        <v>246</v>
      </c>
      <c r="C11" s="457"/>
      <c r="D11" s="457"/>
      <c r="E11" s="457"/>
      <c r="F11" s="457"/>
      <c r="G11" s="457"/>
      <c r="H11" s="457"/>
      <c r="I11" s="458"/>
      <c r="J11" s="115">
        <v>11</v>
      </c>
    </row>
    <row r="12" spans="1:10" s="47" customFormat="1" ht="17.100000000000001" customHeight="1">
      <c r="A12" s="115" t="s">
        <v>285</v>
      </c>
      <c r="B12" s="454" t="s">
        <v>247</v>
      </c>
      <c r="C12" s="457"/>
      <c r="D12" s="457"/>
      <c r="E12" s="457"/>
      <c r="F12" s="457"/>
      <c r="G12" s="457"/>
      <c r="H12" s="457"/>
      <c r="I12" s="458"/>
      <c r="J12" s="115">
        <v>12</v>
      </c>
    </row>
    <row r="13" spans="1:10" s="47" customFormat="1" ht="17.100000000000001" customHeight="1">
      <c r="A13" s="115" t="s">
        <v>286</v>
      </c>
      <c r="B13" s="454" t="s">
        <v>249</v>
      </c>
      <c r="C13" s="457"/>
      <c r="D13" s="457"/>
      <c r="E13" s="457"/>
      <c r="F13" s="457"/>
      <c r="G13" s="457"/>
      <c r="H13" s="457"/>
      <c r="I13" s="458"/>
      <c r="J13" s="115">
        <v>13</v>
      </c>
    </row>
    <row r="14" spans="1:10" s="47" customFormat="1" ht="17.100000000000001" customHeight="1">
      <c r="A14" s="115" t="s">
        <v>287</v>
      </c>
      <c r="B14" s="454" t="s">
        <v>764</v>
      </c>
      <c r="C14" s="455"/>
      <c r="D14" s="455"/>
      <c r="E14" s="455"/>
      <c r="F14" s="455"/>
      <c r="G14" s="455"/>
      <c r="H14" s="455"/>
      <c r="I14" s="456"/>
      <c r="J14" s="115">
        <v>14</v>
      </c>
    </row>
    <row r="15" spans="1:10" s="47" customFormat="1" ht="17.100000000000001" customHeight="1">
      <c r="A15" s="115" t="s">
        <v>288</v>
      </c>
      <c r="B15" s="454" t="s">
        <v>250</v>
      </c>
      <c r="C15" s="457"/>
      <c r="D15" s="457"/>
      <c r="E15" s="457"/>
      <c r="F15" s="457"/>
      <c r="G15" s="457"/>
      <c r="H15" s="457"/>
      <c r="I15" s="458"/>
      <c r="J15" s="115">
        <v>15</v>
      </c>
    </row>
    <row r="16" spans="1:10" s="47" customFormat="1" ht="17.100000000000001" customHeight="1">
      <c r="A16" s="115" t="s">
        <v>289</v>
      </c>
      <c r="B16" s="454" t="s">
        <v>251</v>
      </c>
      <c r="C16" s="457"/>
      <c r="D16" s="457"/>
      <c r="E16" s="457"/>
      <c r="F16" s="457"/>
      <c r="G16" s="457"/>
      <c r="H16" s="457"/>
      <c r="I16" s="458"/>
      <c r="J16" s="115">
        <v>16</v>
      </c>
    </row>
    <row r="17" spans="1:10" s="47" customFormat="1" ht="17.100000000000001" customHeight="1">
      <c r="A17" s="115" t="s">
        <v>290</v>
      </c>
      <c r="B17" s="454" t="s">
        <v>252</v>
      </c>
      <c r="C17" s="457"/>
      <c r="D17" s="457"/>
      <c r="E17" s="457"/>
      <c r="F17" s="457"/>
      <c r="G17" s="457"/>
      <c r="H17" s="457"/>
      <c r="I17" s="458"/>
      <c r="J17" s="115">
        <v>17</v>
      </c>
    </row>
    <row r="18" spans="1:10" s="47" customFormat="1" ht="17.100000000000001" customHeight="1">
      <c r="A18" s="115" t="s">
        <v>291</v>
      </c>
      <c r="B18" s="454" t="s">
        <v>253</v>
      </c>
      <c r="C18" s="457"/>
      <c r="D18" s="457"/>
      <c r="E18" s="457"/>
      <c r="F18" s="457"/>
      <c r="G18" s="457"/>
      <c r="H18" s="457"/>
      <c r="I18" s="458"/>
      <c r="J18" s="115">
        <v>18</v>
      </c>
    </row>
    <row r="19" spans="1:10" s="47" customFormat="1" ht="17.100000000000001" customHeight="1">
      <c r="A19" s="115" t="s">
        <v>292</v>
      </c>
      <c r="B19" s="454" t="s">
        <v>254</v>
      </c>
      <c r="C19" s="457"/>
      <c r="D19" s="457"/>
      <c r="E19" s="457"/>
      <c r="F19" s="457"/>
      <c r="G19" s="457"/>
      <c r="H19" s="457"/>
      <c r="I19" s="458"/>
      <c r="J19" s="115">
        <v>19</v>
      </c>
    </row>
    <row r="20" spans="1:10" s="47" customFormat="1" ht="17.100000000000001" customHeight="1">
      <c r="A20" s="115" t="s">
        <v>293</v>
      </c>
      <c r="B20" s="454" t="s">
        <v>255</v>
      </c>
      <c r="C20" s="457"/>
      <c r="D20" s="457"/>
      <c r="E20" s="457"/>
      <c r="F20" s="457"/>
      <c r="G20" s="457"/>
      <c r="H20" s="457"/>
      <c r="I20" s="458"/>
      <c r="J20" s="115">
        <v>20</v>
      </c>
    </row>
    <row r="21" spans="1:10" s="47" customFormat="1" ht="17.100000000000001" customHeight="1">
      <c r="A21" s="115" t="s">
        <v>294</v>
      </c>
      <c r="B21" s="454" t="s">
        <v>256</v>
      </c>
      <c r="C21" s="457"/>
      <c r="D21" s="457"/>
      <c r="E21" s="457"/>
      <c r="F21" s="457"/>
      <c r="G21" s="457"/>
      <c r="H21" s="457"/>
      <c r="I21" s="458"/>
      <c r="J21" s="115">
        <v>21</v>
      </c>
    </row>
    <row r="22" spans="1:10" s="47" customFormat="1" ht="17.100000000000001" customHeight="1">
      <c r="A22" s="115" t="s">
        <v>295</v>
      </c>
      <c r="B22" s="454" t="s">
        <v>257</v>
      </c>
      <c r="C22" s="457"/>
      <c r="D22" s="457"/>
      <c r="E22" s="457"/>
      <c r="F22" s="457"/>
      <c r="G22" s="457"/>
      <c r="H22" s="457"/>
      <c r="I22" s="458"/>
      <c r="J22" s="115">
        <v>22</v>
      </c>
    </row>
    <row r="23" spans="1:10" s="47" customFormat="1" ht="17.100000000000001" customHeight="1">
      <c r="A23" s="115" t="s">
        <v>296</v>
      </c>
      <c r="B23" s="454" t="s">
        <v>258</v>
      </c>
      <c r="C23" s="457"/>
      <c r="D23" s="457"/>
      <c r="E23" s="457"/>
      <c r="F23" s="457"/>
      <c r="G23" s="457"/>
      <c r="H23" s="457"/>
      <c r="I23" s="458"/>
      <c r="J23" s="115">
        <v>23</v>
      </c>
    </row>
    <row r="24" spans="1:10" s="47" customFormat="1" ht="17.100000000000001" customHeight="1">
      <c r="A24" s="115" t="s">
        <v>297</v>
      </c>
      <c r="B24" s="454" t="s">
        <v>259</v>
      </c>
      <c r="C24" s="457"/>
      <c r="D24" s="457"/>
      <c r="E24" s="457"/>
      <c r="F24" s="457"/>
      <c r="G24" s="457"/>
      <c r="H24" s="457"/>
      <c r="I24" s="458"/>
      <c r="J24" s="115">
        <v>24</v>
      </c>
    </row>
    <row r="25" spans="1:10" s="47" customFormat="1" ht="17.100000000000001" customHeight="1">
      <c r="A25" s="115" t="s">
        <v>298</v>
      </c>
      <c r="B25" s="454" t="s">
        <v>260</v>
      </c>
      <c r="C25" s="457"/>
      <c r="D25" s="457"/>
      <c r="E25" s="457"/>
      <c r="F25" s="457"/>
      <c r="G25" s="457"/>
      <c r="H25" s="457"/>
      <c r="I25" s="458"/>
      <c r="J25" s="115">
        <v>25</v>
      </c>
    </row>
    <row r="26" spans="1:10" s="47" customFormat="1" ht="17.100000000000001" customHeight="1">
      <c r="A26" s="115" t="s">
        <v>299</v>
      </c>
      <c r="B26" s="454" t="s">
        <v>261</v>
      </c>
      <c r="C26" s="457"/>
      <c r="D26" s="457"/>
      <c r="E26" s="457"/>
      <c r="F26" s="457"/>
      <c r="G26" s="457"/>
      <c r="H26" s="457"/>
      <c r="I26" s="458"/>
      <c r="J26" s="115">
        <v>26</v>
      </c>
    </row>
    <row r="27" spans="1:10" s="47" customFormat="1" ht="17.100000000000001" customHeight="1">
      <c r="A27" s="115" t="s">
        <v>300</v>
      </c>
      <c r="B27" s="454" t="s">
        <v>262</v>
      </c>
      <c r="C27" s="457"/>
      <c r="D27" s="457"/>
      <c r="E27" s="457"/>
      <c r="F27" s="457"/>
      <c r="G27" s="457"/>
      <c r="H27" s="457"/>
      <c r="I27" s="458"/>
      <c r="J27" s="115">
        <v>27</v>
      </c>
    </row>
    <row r="28" spans="1:10" s="47" customFormat="1" ht="17.100000000000001" customHeight="1">
      <c r="A28" s="115" t="s">
        <v>301</v>
      </c>
      <c r="B28" s="454" t="s">
        <v>264</v>
      </c>
      <c r="C28" s="457"/>
      <c r="D28" s="457"/>
      <c r="E28" s="457"/>
      <c r="F28" s="457"/>
      <c r="G28" s="457"/>
      <c r="H28" s="457"/>
      <c r="I28" s="458"/>
      <c r="J28" s="115">
        <v>28</v>
      </c>
    </row>
    <row r="29" spans="1:10" s="47" customFormat="1" ht="17.100000000000001" customHeight="1">
      <c r="A29" s="115" t="s">
        <v>302</v>
      </c>
      <c r="B29" s="454" t="s">
        <v>322</v>
      </c>
      <c r="C29" s="457"/>
      <c r="D29" s="457"/>
      <c r="E29" s="457"/>
      <c r="F29" s="457"/>
      <c r="G29" s="457"/>
      <c r="H29" s="457"/>
      <c r="I29" s="458"/>
      <c r="J29" s="115">
        <v>29</v>
      </c>
    </row>
    <row r="30" spans="1:10" s="47" customFormat="1" ht="17.100000000000001" customHeight="1">
      <c r="A30" s="115" t="s">
        <v>303</v>
      </c>
      <c r="B30" s="454" t="s">
        <v>323</v>
      </c>
      <c r="C30" s="457"/>
      <c r="D30" s="457"/>
      <c r="E30" s="457"/>
      <c r="F30" s="457"/>
      <c r="G30" s="457"/>
      <c r="H30" s="457"/>
      <c r="I30" s="458"/>
      <c r="J30" s="115">
        <v>30</v>
      </c>
    </row>
    <row r="31" spans="1:10" s="47" customFormat="1" ht="17.100000000000001" customHeight="1">
      <c r="A31" s="115" t="s">
        <v>304</v>
      </c>
      <c r="B31" s="454" t="s">
        <v>265</v>
      </c>
      <c r="C31" s="457"/>
      <c r="D31" s="457"/>
      <c r="E31" s="457"/>
      <c r="F31" s="457"/>
      <c r="G31" s="457"/>
      <c r="H31" s="457"/>
      <c r="I31" s="458"/>
      <c r="J31" s="115">
        <v>31</v>
      </c>
    </row>
    <row r="32" spans="1:10" s="47" customFormat="1" ht="17.100000000000001" customHeight="1">
      <c r="A32" s="115" t="s">
        <v>305</v>
      </c>
      <c r="B32" s="454" t="s">
        <v>266</v>
      </c>
      <c r="C32" s="457"/>
      <c r="D32" s="457"/>
      <c r="E32" s="457"/>
      <c r="F32" s="457"/>
      <c r="G32" s="457"/>
      <c r="H32" s="457"/>
      <c r="I32" s="458"/>
      <c r="J32" s="115">
        <v>32</v>
      </c>
    </row>
    <row r="33" spans="1:10" s="47" customFormat="1" ht="17.100000000000001" customHeight="1">
      <c r="A33" s="115" t="s">
        <v>306</v>
      </c>
      <c r="B33" s="454" t="s">
        <v>267</v>
      </c>
      <c r="C33" s="457"/>
      <c r="D33" s="457"/>
      <c r="E33" s="457"/>
      <c r="F33" s="457"/>
      <c r="G33" s="457"/>
      <c r="H33" s="457"/>
      <c r="I33" s="458"/>
      <c r="J33" s="115">
        <v>33</v>
      </c>
    </row>
    <row r="34" spans="1:10" s="47" customFormat="1" ht="17.100000000000001" customHeight="1">
      <c r="A34" s="115" t="s">
        <v>307</v>
      </c>
      <c r="B34" s="454" t="s">
        <v>268</v>
      </c>
      <c r="C34" s="457"/>
      <c r="D34" s="457"/>
      <c r="E34" s="457"/>
      <c r="F34" s="457"/>
      <c r="G34" s="457"/>
      <c r="H34" s="457"/>
      <c r="I34" s="458"/>
      <c r="J34" s="115">
        <v>34</v>
      </c>
    </row>
    <row r="35" spans="1:10" s="47" customFormat="1" ht="17.100000000000001" customHeight="1">
      <c r="A35" s="115" t="s">
        <v>308</v>
      </c>
      <c r="B35" s="454" t="s">
        <v>269</v>
      </c>
      <c r="C35" s="457"/>
      <c r="D35" s="457"/>
      <c r="E35" s="457"/>
      <c r="F35" s="457"/>
      <c r="G35" s="457"/>
      <c r="H35" s="457"/>
      <c r="I35" s="458"/>
      <c r="J35" s="115">
        <v>35</v>
      </c>
    </row>
    <row r="36" spans="1:10" s="47" customFormat="1" ht="17.100000000000001" customHeight="1">
      <c r="A36" s="115" t="s">
        <v>309</v>
      </c>
      <c r="B36" s="454" t="s">
        <v>270</v>
      </c>
      <c r="C36" s="457"/>
      <c r="D36" s="457"/>
      <c r="E36" s="457"/>
      <c r="F36" s="457"/>
      <c r="G36" s="457"/>
      <c r="H36" s="457"/>
      <c r="I36" s="458"/>
      <c r="J36" s="115">
        <v>36</v>
      </c>
    </row>
    <row r="37" spans="1:10" s="47" customFormat="1" ht="17.100000000000001" customHeight="1">
      <c r="A37" s="115" t="s">
        <v>310</v>
      </c>
      <c r="B37" s="454" t="s">
        <v>271</v>
      </c>
      <c r="C37" s="457"/>
      <c r="D37" s="457"/>
      <c r="E37" s="457"/>
      <c r="F37" s="457"/>
      <c r="G37" s="457"/>
      <c r="H37" s="457"/>
      <c r="I37" s="458"/>
      <c r="J37" s="115">
        <v>37</v>
      </c>
    </row>
    <row r="38" spans="1:10" s="47" customFormat="1" ht="17.100000000000001" customHeight="1">
      <c r="A38" s="115" t="s">
        <v>311</v>
      </c>
      <c r="B38" s="454" t="s">
        <v>272</v>
      </c>
      <c r="C38" s="457"/>
      <c r="D38" s="457"/>
      <c r="E38" s="457"/>
      <c r="F38" s="457"/>
      <c r="G38" s="457"/>
      <c r="H38" s="457"/>
      <c r="I38" s="458"/>
      <c r="J38" s="115">
        <v>38</v>
      </c>
    </row>
    <row r="39" spans="1:10" s="47" customFormat="1" ht="17.100000000000001" customHeight="1">
      <c r="A39" s="115" t="s">
        <v>312</v>
      </c>
      <c r="B39" s="454" t="s">
        <v>273</v>
      </c>
      <c r="C39" s="457"/>
      <c r="D39" s="457"/>
      <c r="E39" s="457"/>
      <c r="F39" s="457"/>
      <c r="G39" s="457"/>
      <c r="H39" s="457"/>
      <c r="I39" s="458"/>
      <c r="J39" s="115">
        <v>39</v>
      </c>
    </row>
    <row r="40" spans="1:10" s="47" customFormat="1" ht="17.100000000000001" customHeight="1">
      <c r="A40" s="115" t="s">
        <v>313</v>
      </c>
      <c r="B40" s="454" t="s">
        <v>274</v>
      </c>
      <c r="C40" s="457"/>
      <c r="D40" s="457"/>
      <c r="E40" s="457"/>
      <c r="F40" s="457"/>
      <c r="G40" s="457"/>
      <c r="H40" s="457"/>
      <c r="I40" s="458"/>
      <c r="J40" s="115">
        <v>40</v>
      </c>
    </row>
    <row r="41" spans="1:10" s="47" customFormat="1" ht="17.100000000000001" customHeight="1">
      <c r="A41" s="115" t="s">
        <v>314</v>
      </c>
      <c r="B41" s="454" t="s">
        <v>275</v>
      </c>
      <c r="C41" s="457"/>
      <c r="D41" s="457"/>
      <c r="E41" s="457"/>
      <c r="F41" s="457"/>
      <c r="G41" s="457"/>
      <c r="H41" s="457"/>
      <c r="I41" s="458"/>
      <c r="J41" s="115">
        <v>41</v>
      </c>
    </row>
    <row r="42" spans="1:10" s="47" customFormat="1" ht="17.100000000000001" customHeight="1">
      <c r="A42" s="115" t="s">
        <v>315</v>
      </c>
      <c r="B42" s="454" t="s">
        <v>276</v>
      </c>
      <c r="C42" s="457"/>
      <c r="D42" s="457"/>
      <c r="E42" s="457"/>
      <c r="F42" s="457"/>
      <c r="G42" s="457"/>
      <c r="H42" s="457"/>
      <c r="I42" s="458"/>
      <c r="J42" s="115">
        <v>42</v>
      </c>
    </row>
    <row r="43" spans="1:10" s="47" customFormat="1" ht="17.100000000000001" customHeight="1">
      <c r="A43" s="115" t="s">
        <v>316</v>
      </c>
      <c r="B43" s="454" t="s">
        <v>277</v>
      </c>
      <c r="C43" s="457"/>
      <c r="D43" s="457"/>
      <c r="E43" s="457"/>
      <c r="F43" s="457"/>
      <c r="G43" s="457"/>
      <c r="H43" s="457"/>
      <c r="I43" s="458"/>
      <c r="J43" s="115">
        <v>43</v>
      </c>
    </row>
    <row r="44" spans="1:10" s="47" customFormat="1" ht="17.100000000000001" customHeight="1">
      <c r="A44" s="115" t="s">
        <v>321</v>
      </c>
      <c r="B44" s="454" t="s">
        <v>278</v>
      </c>
      <c r="C44" s="457"/>
      <c r="D44" s="457"/>
      <c r="E44" s="457"/>
      <c r="F44" s="457"/>
      <c r="G44" s="457"/>
      <c r="H44" s="457"/>
      <c r="I44" s="458"/>
      <c r="J44" s="115">
        <v>44</v>
      </c>
    </row>
    <row r="45" spans="1:10" s="47" customFormat="1" ht="17.25" customHeight="1">
      <c r="A45" s="115" t="s">
        <v>332</v>
      </c>
      <c r="B45" s="460" t="s">
        <v>722</v>
      </c>
      <c r="C45" s="455"/>
      <c r="D45" s="455"/>
      <c r="E45" s="455"/>
      <c r="F45" s="455"/>
      <c r="G45" s="455"/>
      <c r="H45" s="455"/>
      <c r="I45" s="456"/>
      <c r="J45" s="115">
        <v>45</v>
      </c>
    </row>
    <row r="46" spans="1:10" s="47" customFormat="1" ht="17.100000000000001" customHeight="1">
      <c r="A46" s="115" t="s">
        <v>504</v>
      </c>
      <c r="B46" s="242" t="s">
        <v>723</v>
      </c>
      <c r="C46" s="243"/>
      <c r="D46" s="243"/>
      <c r="E46" s="243"/>
      <c r="F46" s="243"/>
      <c r="G46" s="243"/>
      <c r="H46" s="243"/>
      <c r="I46" s="244"/>
      <c r="J46" s="115">
        <v>46</v>
      </c>
    </row>
    <row r="47" spans="1:10" s="47" customFormat="1" ht="17.100000000000001" customHeight="1">
      <c r="A47" s="115" t="s">
        <v>505</v>
      </c>
      <c r="B47" s="242" t="s">
        <v>724</v>
      </c>
      <c r="C47" s="243"/>
      <c r="D47" s="243"/>
      <c r="E47" s="243"/>
      <c r="F47" s="243"/>
      <c r="G47" s="243"/>
      <c r="H47" s="243"/>
      <c r="I47" s="244"/>
      <c r="J47" s="115">
        <v>48</v>
      </c>
    </row>
    <row r="48" spans="1:10" s="47" customFormat="1" ht="17.100000000000001" customHeight="1">
      <c r="A48" s="115" t="s">
        <v>530</v>
      </c>
      <c r="B48" s="459" t="s">
        <v>279</v>
      </c>
      <c r="C48" s="459"/>
      <c r="D48" s="459"/>
      <c r="E48" s="459"/>
      <c r="F48" s="459"/>
      <c r="G48" s="459"/>
      <c r="H48" s="459"/>
      <c r="I48" s="459"/>
      <c r="J48" s="115">
        <v>49</v>
      </c>
    </row>
    <row r="49" spans="1:10" s="47" customFormat="1" ht="14.25">
      <c r="A49" s="117"/>
      <c r="B49" s="114"/>
      <c r="C49" s="114"/>
      <c r="D49" s="114"/>
      <c r="E49" s="114"/>
      <c r="F49" s="114"/>
      <c r="G49" s="114"/>
      <c r="H49" s="114"/>
      <c r="I49" s="114"/>
      <c r="J49" s="116"/>
    </row>
    <row r="50" spans="1:10" s="47" customFormat="1" ht="14.25">
      <c r="A50" s="118"/>
      <c r="J50" s="118"/>
    </row>
    <row r="51" spans="1:10" s="47" customFormat="1" ht="14.25">
      <c r="A51" s="118"/>
      <c r="J51" s="118"/>
    </row>
    <row r="52" spans="1:10" s="47" customFormat="1" ht="14.25">
      <c r="A52" s="118"/>
      <c r="J52" s="118"/>
    </row>
  </sheetData>
  <mergeCells count="45">
    <mergeCell ref="B36:I36"/>
    <mergeCell ref="B37:I37"/>
    <mergeCell ref="B5:I5"/>
    <mergeCell ref="B3:I3"/>
    <mergeCell ref="B32:I32"/>
    <mergeCell ref="B31:I31"/>
    <mergeCell ref="B9:I9"/>
    <mergeCell ref="B8:I8"/>
    <mergeCell ref="B7:I7"/>
    <mergeCell ref="B6:I6"/>
    <mergeCell ref="B12:I12"/>
    <mergeCell ref="B11:I11"/>
    <mergeCell ref="B4:I4"/>
    <mergeCell ref="B10:I10"/>
    <mergeCell ref="B19:I19"/>
    <mergeCell ref="B18:I18"/>
    <mergeCell ref="B35:I35"/>
    <mergeCell ref="B34:I34"/>
    <mergeCell ref="B33:I33"/>
    <mergeCell ref="B22:I22"/>
    <mergeCell ref="B28:I28"/>
    <mergeCell ref="B29:I29"/>
    <mergeCell ref="B30:I30"/>
    <mergeCell ref="B48:I48"/>
    <mergeCell ref="B38:I38"/>
    <mergeCell ref="B39:I39"/>
    <mergeCell ref="B40:I40"/>
    <mergeCell ref="B44:I44"/>
    <mergeCell ref="B43:I43"/>
    <mergeCell ref="B42:I42"/>
    <mergeCell ref="B45:I45"/>
    <mergeCell ref="B41:I41"/>
    <mergeCell ref="A1:I1"/>
    <mergeCell ref="B14:I14"/>
    <mergeCell ref="B27:I27"/>
    <mergeCell ref="B26:I26"/>
    <mergeCell ref="B25:I25"/>
    <mergeCell ref="B24:I24"/>
    <mergeCell ref="B23:I23"/>
    <mergeCell ref="B21:I21"/>
    <mergeCell ref="B20:I20"/>
    <mergeCell ref="B17:I17"/>
    <mergeCell ref="B16:I16"/>
    <mergeCell ref="B15:I15"/>
    <mergeCell ref="B13:I13"/>
  </mergeCells>
  <phoneticPr fontId="0" type="noConversion"/>
  <pageMargins left="0.65" right="0.39" top="0.63" bottom="0.47" header="0.5" footer="0.43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197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132</v>
      </c>
      <c r="C6" s="11" t="s">
        <v>198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58660</v>
      </c>
      <c r="H7" s="356">
        <f>SUM(H8:H11)</f>
        <v>57090</v>
      </c>
      <c r="I7" s="356">
        <f t="shared" ref="I7" si="0">SUM(I8:I11)</f>
        <v>41926</v>
      </c>
      <c r="J7" s="356">
        <f>SUM(J8:J11)</f>
        <v>70480</v>
      </c>
      <c r="K7" s="137">
        <f>IF(H7=0,"",J7/H7*100)</f>
        <v>123.45419513049572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52660</v>
      </c>
      <c r="H8" s="358">
        <f>51010+400</f>
        <v>51410</v>
      </c>
      <c r="I8" s="358">
        <v>38075</v>
      </c>
      <c r="J8" s="358">
        <f>51760+500+1560+7800</f>
        <v>61620</v>
      </c>
      <c r="K8" s="138">
        <f>IF(H8=0,"",J8/H8*100)</f>
        <v>119.85994942618167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6000</v>
      </c>
      <c r="H9" s="358">
        <f>5110+50+2*260</f>
        <v>5680</v>
      </c>
      <c r="I9" s="358">
        <v>3851</v>
      </c>
      <c r="J9" s="358">
        <f>5420+200+3240</f>
        <v>8860</v>
      </c>
      <c r="K9" s="138">
        <f t="shared" ref="K9:K34" si="1">IF(H9=0,"",J9/H9*100)</f>
        <v>155.98591549295776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5970</v>
      </c>
      <c r="H12" s="356">
        <f>H13</f>
        <v>5480</v>
      </c>
      <c r="I12" s="356">
        <f t="shared" ref="I12" si="2">I13</f>
        <v>4045</v>
      </c>
      <c r="J12" s="356">
        <f>J13</f>
        <v>6730</v>
      </c>
      <c r="K12" s="180">
        <f t="shared" si="1"/>
        <v>122.81021897810218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5970</v>
      </c>
      <c r="H13" s="358">
        <f>5420+60</f>
        <v>5480</v>
      </c>
      <c r="I13" s="358">
        <v>4045</v>
      </c>
      <c r="J13" s="358">
        <f>5500+200+170+860</f>
        <v>6730</v>
      </c>
      <c r="K13" s="138">
        <f t="shared" si="1"/>
        <v>122.81021897810218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5800</v>
      </c>
      <c r="H15" s="44">
        <f>SUM(H16:H25)</f>
        <v>5600</v>
      </c>
      <c r="I15" s="44">
        <f t="shared" ref="I15" si="3">SUM(I16:I25)</f>
        <v>3634</v>
      </c>
      <c r="J15" s="44">
        <f>SUM(J16:J25)</f>
        <v>5600</v>
      </c>
      <c r="K15" s="180">
        <f t="shared" si="1"/>
        <v>100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1900</v>
      </c>
      <c r="H16" s="40">
        <v>1900</v>
      </c>
      <c r="I16" s="40">
        <v>1298</v>
      </c>
      <c r="J16" s="40">
        <v>1900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40">
        <v>0</v>
      </c>
      <c r="J17" s="40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1600</v>
      </c>
      <c r="H18" s="40">
        <v>1500</v>
      </c>
      <c r="I18" s="40">
        <v>1009</v>
      </c>
      <c r="J18" s="40">
        <v>1500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900</v>
      </c>
      <c r="H19" s="40">
        <v>1000</v>
      </c>
      <c r="I19" s="40">
        <v>837</v>
      </c>
      <c r="J19" s="40">
        <v>1000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40">
        <v>0</v>
      </c>
      <c r="J20" s="40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400</v>
      </c>
      <c r="H22" s="40">
        <v>200</v>
      </c>
      <c r="I22" s="40">
        <v>41</v>
      </c>
      <c r="J22" s="40">
        <v>200</v>
      </c>
      <c r="K22" s="138">
        <f t="shared" si="1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40">
        <v>0</v>
      </c>
      <c r="H23" s="40">
        <v>0</v>
      </c>
      <c r="I23" s="40">
        <v>0</v>
      </c>
      <c r="J23" s="40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1000</v>
      </c>
      <c r="H24" s="108">
        <v>1000</v>
      </c>
      <c r="I24" s="108">
        <v>449</v>
      </c>
      <c r="J24" s="108">
        <v>1000</v>
      </c>
      <c r="K24" s="138">
        <f t="shared" si="1"/>
        <v>100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54"/>
      <c r="F26" s="12"/>
      <c r="G26" s="40"/>
      <c r="H26" s="40"/>
      <c r="I26" s="40"/>
      <c r="J26" s="40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G28+G29</f>
        <v>0</v>
      </c>
      <c r="H27" s="20">
        <f>H28+H29</f>
        <v>0</v>
      </c>
      <c r="I27" s="20">
        <f t="shared" ref="I27" si="4">I28+I29</f>
        <v>0</v>
      </c>
      <c r="J27" s="20">
        <f>J28+J29</f>
        <v>1000</v>
      </c>
      <c r="K27" s="138" t="str">
        <f t="shared" si="1"/>
        <v/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40">
        <v>0</v>
      </c>
      <c r="H28" s="40">
        <v>0</v>
      </c>
      <c r="I28" s="40">
        <v>0</v>
      </c>
      <c r="J28" s="40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0</v>
      </c>
      <c r="H29" s="108">
        <v>0</v>
      </c>
      <c r="I29" s="108">
        <v>0</v>
      </c>
      <c r="J29" s="108">
        <v>1000</v>
      </c>
      <c r="K29" s="138" t="str">
        <f t="shared" si="1"/>
        <v/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0">
        <v>2</v>
      </c>
      <c r="H31" s="20">
        <v>2</v>
      </c>
      <c r="I31" s="20">
        <v>2</v>
      </c>
      <c r="J31" s="20">
        <v>3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70430</v>
      </c>
      <c r="H32" s="20">
        <f>H7+H12+H15+H27</f>
        <v>68170</v>
      </c>
      <c r="I32" s="20">
        <f t="shared" ref="I32" si="5">I7+I12+I15+I27</f>
        <v>49605</v>
      </c>
      <c r="J32" s="20">
        <f>J7+J12+J15+J27</f>
        <v>83810</v>
      </c>
      <c r="K32" s="180">
        <f t="shared" si="1"/>
        <v>122.94264339152119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70430</v>
      </c>
      <c r="H33" s="20">
        <f>H32</f>
        <v>68170</v>
      </c>
      <c r="I33" s="20">
        <f t="shared" ref="I33" si="6">I32</f>
        <v>49605</v>
      </c>
      <c r="J33" s="20">
        <f>J32</f>
        <v>83810</v>
      </c>
      <c r="K33" s="180">
        <f>IF(H33=0,"",J33/H33*100)</f>
        <v>122.94264339152119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G33+'13'!G33+'12'!G33+'11'!G34+'10'!G32</f>
        <v>1922700</v>
      </c>
      <c r="H34" s="20">
        <f>H33+'13'!H33+'12'!H33+'11'!H34+'10'!H32</f>
        <v>1869070</v>
      </c>
      <c r="I34" s="20">
        <f>I33+'13'!I33+'12'!I33+'11'!I34+'10'!I32</f>
        <v>1306316</v>
      </c>
      <c r="J34" s="20">
        <f>J33+'13'!J33+'12'!J33+'11'!J34+'10'!J32</f>
        <v>1948220</v>
      </c>
      <c r="K34" s="180">
        <f t="shared" si="1"/>
        <v>104.23472636123847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B2:M59"/>
  <sheetViews>
    <sheetView topLeftCell="B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178</v>
      </c>
      <c r="C2" s="481"/>
      <c r="D2" s="481"/>
      <c r="E2" s="481"/>
      <c r="F2" s="481"/>
      <c r="G2" s="481"/>
      <c r="H2" s="415"/>
      <c r="I2" s="415"/>
      <c r="J2" s="260"/>
      <c r="K2" s="26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135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172860</v>
      </c>
      <c r="H7" s="356">
        <f>SUM(H8:H10)</f>
        <v>170790</v>
      </c>
      <c r="I7" s="356">
        <f t="shared" ref="I7" si="0">SUM(I8:I10)</f>
        <v>125034</v>
      </c>
      <c r="J7" s="356">
        <f>SUM(J8:J10)</f>
        <v>192100</v>
      </c>
      <c r="K7" s="137">
        <f>IF(H7=0,"",J7/H7*100)</f>
        <v>112.47731131799286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143960</v>
      </c>
      <c r="H8" s="358">
        <f>140670+1000</f>
        <v>141670</v>
      </c>
      <c r="I8" s="358">
        <v>104853</v>
      </c>
      <c r="J8" s="358">
        <f>143220+1000+11400+4300+350</f>
        <v>160270</v>
      </c>
      <c r="K8" s="138">
        <f>IF(H8=0,"",J8/H8*100)</f>
        <v>113.12910284463895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28900</v>
      </c>
      <c r="H9" s="358">
        <f>26800+500+7*260</f>
        <v>29120</v>
      </c>
      <c r="I9" s="358">
        <v>20181</v>
      </c>
      <c r="J9" s="358">
        <f>27060+800+840+1470+1660</f>
        <v>31830</v>
      </c>
      <c r="K9" s="138">
        <f t="shared" ref="K9:K34" si="1">IF(H9=0,"",J9/H9*100)</f>
        <v>109.30631868131869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16630</v>
      </c>
      <c r="H12" s="356">
        <f>H13</f>
        <v>15200</v>
      </c>
      <c r="I12" s="356">
        <f t="shared" ref="I12" si="2">I13</f>
        <v>11182</v>
      </c>
      <c r="J12" s="356">
        <f>J13</f>
        <v>17410</v>
      </c>
      <c r="K12" s="180">
        <f t="shared" si="1"/>
        <v>114.53947368421053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16630</v>
      </c>
      <c r="H13" s="358">
        <f>15000+200</f>
        <v>15200</v>
      </c>
      <c r="I13" s="358">
        <v>11182</v>
      </c>
      <c r="J13" s="358">
        <f>15260+400+1250+460+40</f>
        <v>17410</v>
      </c>
      <c r="K13" s="138">
        <f t="shared" si="1"/>
        <v>114.53947368421053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SUM(G16:G26)</f>
        <v>24600</v>
      </c>
      <c r="H15" s="44">
        <f>SUM(H16:H26)</f>
        <v>74600</v>
      </c>
      <c r="I15" s="44">
        <f t="shared" ref="I15" si="3">SUM(I16:I26)</f>
        <v>12324</v>
      </c>
      <c r="J15" s="44">
        <f>SUM(J16:J26)</f>
        <v>74600</v>
      </c>
      <c r="K15" s="180">
        <f t="shared" si="1"/>
        <v>100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5000</v>
      </c>
      <c r="H16" s="40">
        <v>5000</v>
      </c>
      <c r="I16" s="40">
        <v>2996</v>
      </c>
      <c r="J16" s="40">
        <v>5000</v>
      </c>
      <c r="K16" s="138">
        <f t="shared" si="1"/>
        <v>100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40">
        <v>0</v>
      </c>
      <c r="J17" s="40">
        <v>0</v>
      </c>
      <c r="K17" s="138" t="str">
        <f t="shared" si="1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209</v>
      </c>
      <c r="G18" s="40">
        <v>3500</v>
      </c>
      <c r="H18" s="40">
        <v>3500</v>
      </c>
      <c r="I18" s="40">
        <v>2022</v>
      </c>
      <c r="J18" s="40">
        <v>3500</v>
      </c>
      <c r="K18" s="138">
        <f t="shared" si="1"/>
        <v>100</v>
      </c>
    </row>
    <row r="19" spans="2:13" ht="17.100000000000001" customHeight="1">
      <c r="B19" s="14"/>
      <c r="C19" s="15"/>
      <c r="D19" s="15"/>
      <c r="E19" s="16">
        <v>613400</v>
      </c>
      <c r="F19" s="15" t="s">
        <v>166</v>
      </c>
      <c r="G19" s="40">
        <v>100</v>
      </c>
      <c r="H19" s="40">
        <v>100</v>
      </c>
      <c r="I19" s="40">
        <v>17</v>
      </c>
      <c r="J19" s="40">
        <v>100</v>
      </c>
      <c r="K19" s="138">
        <f t="shared" si="1"/>
        <v>100</v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40">
        <v>0</v>
      </c>
      <c r="H20" s="40">
        <v>0</v>
      </c>
      <c r="I20" s="40">
        <v>0</v>
      </c>
      <c r="J20" s="40">
        <v>0</v>
      </c>
      <c r="K20" s="138" t="str">
        <f t="shared" si="1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40">
        <v>1000</v>
      </c>
      <c r="H22" s="40">
        <v>2300</v>
      </c>
      <c r="I22" s="40">
        <v>2157</v>
      </c>
      <c r="J22" s="40">
        <v>1000</v>
      </c>
      <c r="K22" s="138">
        <f t="shared" si="1"/>
        <v>43.478260869565219</v>
      </c>
    </row>
    <row r="23" spans="2:13" ht="17.100000000000001" customHeight="1">
      <c r="B23" s="14"/>
      <c r="C23" s="15"/>
      <c r="D23" s="15"/>
      <c r="E23" s="16">
        <v>613800</v>
      </c>
      <c r="F23" s="15" t="s">
        <v>167</v>
      </c>
      <c r="G23" s="40">
        <v>0</v>
      </c>
      <c r="H23" s="40">
        <v>0</v>
      </c>
      <c r="I23" s="40">
        <v>0</v>
      </c>
      <c r="J23" s="40">
        <v>0</v>
      </c>
      <c r="K23" s="138" t="str">
        <f t="shared" si="1"/>
        <v/>
      </c>
      <c r="M23" s="73"/>
    </row>
    <row r="24" spans="2:13" ht="17.100000000000001" customHeight="1">
      <c r="B24" s="14"/>
      <c r="C24" s="15"/>
      <c r="D24" s="15"/>
      <c r="E24" s="16">
        <v>613900</v>
      </c>
      <c r="F24" s="15" t="s">
        <v>168</v>
      </c>
      <c r="G24" s="108">
        <v>15000</v>
      </c>
      <c r="H24" s="108">
        <v>13700</v>
      </c>
      <c r="I24" s="108">
        <v>5132</v>
      </c>
      <c r="J24" s="108">
        <v>15000</v>
      </c>
      <c r="K24" s="138">
        <f t="shared" si="1"/>
        <v>109.48905109489051</v>
      </c>
      <c r="M24" s="73"/>
    </row>
    <row r="25" spans="2:13" ht="17.100000000000001" customHeight="1">
      <c r="B25" s="14"/>
      <c r="C25" s="15"/>
      <c r="D25" s="15"/>
      <c r="E25" s="16">
        <v>613900</v>
      </c>
      <c r="F25" s="327" t="s">
        <v>644</v>
      </c>
      <c r="G25" s="40">
        <v>0</v>
      </c>
      <c r="H25" s="40">
        <v>0</v>
      </c>
      <c r="I25" s="40">
        <v>0</v>
      </c>
      <c r="J25" s="40">
        <v>0</v>
      </c>
      <c r="K25" s="138" t="str">
        <f t="shared" si="1"/>
        <v/>
      </c>
    </row>
    <row r="26" spans="2:13" ht="17.100000000000001" customHeight="1">
      <c r="B26" s="14"/>
      <c r="C26" s="15"/>
      <c r="D26" s="15"/>
      <c r="E26" s="16">
        <v>613900</v>
      </c>
      <c r="F26" s="26" t="s">
        <v>673</v>
      </c>
      <c r="G26" s="40">
        <v>0</v>
      </c>
      <c r="H26" s="40">
        <v>50000</v>
      </c>
      <c r="I26" s="40">
        <v>0</v>
      </c>
      <c r="J26" s="40">
        <v>50000</v>
      </c>
      <c r="K26" s="138">
        <f t="shared" si="1"/>
        <v>100</v>
      </c>
    </row>
    <row r="27" spans="2:13" ht="17.100000000000001" customHeight="1">
      <c r="B27" s="14"/>
      <c r="C27" s="15"/>
      <c r="D27" s="15"/>
      <c r="E27" s="16"/>
      <c r="F27" s="15"/>
      <c r="G27" s="20"/>
      <c r="H27" s="20"/>
      <c r="I27" s="20"/>
      <c r="J27" s="20"/>
      <c r="K27" s="138" t="str">
        <f t="shared" si="1"/>
        <v/>
      </c>
    </row>
    <row r="28" spans="2:13" s="1" customFormat="1" ht="17.100000000000001" customHeight="1">
      <c r="B28" s="17"/>
      <c r="C28" s="12"/>
      <c r="D28" s="12"/>
      <c r="E28" s="9">
        <v>614000</v>
      </c>
      <c r="F28" s="12" t="s">
        <v>211</v>
      </c>
      <c r="G28" s="20">
        <f>SUM(G29:G29)</f>
        <v>900000</v>
      </c>
      <c r="H28" s="20">
        <f>SUM(H29:H29)</f>
        <v>900000</v>
      </c>
      <c r="I28" s="20">
        <f t="shared" ref="I28" si="4">SUM(I29:I29)</f>
        <v>149062</v>
      </c>
      <c r="J28" s="20">
        <f>SUM(J29:J29)</f>
        <v>1300000</v>
      </c>
      <c r="K28" s="180">
        <f t="shared" si="1"/>
        <v>144.44444444444443</v>
      </c>
    </row>
    <row r="29" spans="2:13" s="1" customFormat="1" ht="17.100000000000001" customHeight="1">
      <c r="B29" s="17"/>
      <c r="C29" s="12"/>
      <c r="D29" s="69"/>
      <c r="E29" s="120">
        <v>614500</v>
      </c>
      <c r="F29" s="106" t="s">
        <v>818</v>
      </c>
      <c r="G29" s="108">
        <v>900000</v>
      </c>
      <c r="H29" s="108">
        <v>900000</v>
      </c>
      <c r="I29" s="108">
        <v>149062</v>
      </c>
      <c r="J29" s="108">
        <v>1300000</v>
      </c>
      <c r="K29" s="138">
        <f t="shared" si="1"/>
        <v>144.44444444444443</v>
      </c>
    </row>
    <row r="30" spans="2:13" ht="17.100000000000001" customHeight="1">
      <c r="B30" s="14"/>
      <c r="C30" s="15"/>
      <c r="D30" s="15"/>
      <c r="E30" s="16"/>
      <c r="F30" s="26"/>
      <c r="G30" s="108"/>
      <c r="H30" s="108"/>
      <c r="I30" s="108"/>
      <c r="J30" s="108"/>
      <c r="K30" s="138" t="str">
        <f t="shared" si="1"/>
        <v/>
      </c>
    </row>
    <row r="31" spans="2:13" ht="17.100000000000001" customHeight="1">
      <c r="B31" s="17"/>
      <c r="C31" s="12"/>
      <c r="D31" s="12"/>
      <c r="E31" s="9">
        <v>821000</v>
      </c>
      <c r="F31" s="12" t="s">
        <v>90</v>
      </c>
      <c r="G31" s="99">
        <f>SUM(G32:G33)</f>
        <v>2000</v>
      </c>
      <c r="H31" s="99">
        <f>SUM(H32:H33)</f>
        <v>2000</v>
      </c>
      <c r="I31" s="99">
        <f t="shared" ref="I31" si="5">SUM(I32:I33)</f>
        <v>0</v>
      </c>
      <c r="J31" s="99">
        <f>SUM(J32:J33)</f>
        <v>1000</v>
      </c>
      <c r="K31" s="180">
        <f t="shared" si="1"/>
        <v>50</v>
      </c>
    </row>
    <row r="32" spans="2:13" ht="17.100000000000001" customHeight="1">
      <c r="B32" s="14"/>
      <c r="C32" s="15"/>
      <c r="D32" s="15"/>
      <c r="E32" s="16">
        <v>821200</v>
      </c>
      <c r="F32" s="15" t="s">
        <v>91</v>
      </c>
      <c r="G32" s="108">
        <v>0</v>
      </c>
      <c r="H32" s="108">
        <v>0</v>
      </c>
      <c r="I32" s="108">
        <v>0</v>
      </c>
      <c r="J32" s="108">
        <v>0</v>
      </c>
      <c r="K32" s="138" t="str">
        <f t="shared" si="1"/>
        <v/>
      </c>
    </row>
    <row r="33" spans="2:11" ht="17.100000000000001" customHeight="1">
      <c r="B33" s="14"/>
      <c r="C33" s="15"/>
      <c r="D33" s="15"/>
      <c r="E33" s="16">
        <v>821300</v>
      </c>
      <c r="F33" s="15" t="s">
        <v>92</v>
      </c>
      <c r="G33" s="108">
        <v>2000</v>
      </c>
      <c r="H33" s="108">
        <v>2000</v>
      </c>
      <c r="I33" s="108">
        <v>0</v>
      </c>
      <c r="J33" s="108">
        <v>1000</v>
      </c>
      <c r="K33" s="138">
        <f>IF(H33=0,"",J33/H33*100)</f>
        <v>50</v>
      </c>
    </row>
    <row r="34" spans="2:11" ht="17.100000000000001" customHeight="1">
      <c r="B34" s="14"/>
      <c r="C34" s="15"/>
      <c r="D34" s="15"/>
      <c r="E34" s="16"/>
      <c r="F34" s="15"/>
      <c r="G34" s="40"/>
      <c r="H34" s="40"/>
      <c r="I34" s="40"/>
      <c r="J34" s="40"/>
      <c r="K34" s="138" t="str">
        <f t="shared" si="1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99">
        <v>7</v>
      </c>
      <c r="H35" s="99">
        <v>7</v>
      </c>
      <c r="I35" s="99">
        <v>7</v>
      </c>
      <c r="J35" s="99">
        <v>8</v>
      </c>
      <c r="K35" s="138"/>
    </row>
    <row r="36" spans="2:11" ht="17.100000000000001" customHeight="1">
      <c r="B36" s="17"/>
      <c r="C36" s="12"/>
      <c r="D36" s="12"/>
      <c r="E36" s="9"/>
      <c r="F36" s="12" t="s">
        <v>113</v>
      </c>
      <c r="G36" s="20">
        <f>G7+G12+G15+G28+G31</f>
        <v>1116090</v>
      </c>
      <c r="H36" s="20">
        <f>H7+H12+H15+H28+H31</f>
        <v>1162590</v>
      </c>
      <c r="I36" s="20">
        <f t="shared" ref="I36" si="6">I7+I12+I15+I28+I31</f>
        <v>297602</v>
      </c>
      <c r="J36" s="20">
        <f>J7+J12+J15+J28+J31</f>
        <v>1585110</v>
      </c>
      <c r="K36" s="137">
        <f>IF(H36=0,"",J36/H36*100)</f>
        <v>136.34299280055737</v>
      </c>
    </row>
    <row r="37" spans="2:11" ht="17.100000000000001" customHeight="1">
      <c r="B37" s="17"/>
      <c r="C37" s="12"/>
      <c r="D37" s="12"/>
      <c r="E37" s="9"/>
      <c r="F37" s="12" t="s">
        <v>94</v>
      </c>
      <c r="G37" s="20">
        <f>G36</f>
        <v>1116090</v>
      </c>
      <c r="H37" s="20">
        <f>H36</f>
        <v>1162590</v>
      </c>
      <c r="I37" s="20">
        <f t="shared" ref="I37" si="7">I36</f>
        <v>297602</v>
      </c>
      <c r="J37" s="20">
        <f>J36</f>
        <v>1585110</v>
      </c>
      <c r="K37" s="137">
        <f t="shared" ref="K37:K38" si="8">IF(H37=0,"",J37/H37*100)</f>
        <v>136.34299280055737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1116090</v>
      </c>
      <c r="H38" s="20">
        <f>H37</f>
        <v>1162590</v>
      </c>
      <c r="I38" s="20">
        <f t="shared" ref="I38" si="9">I37</f>
        <v>297602</v>
      </c>
      <c r="J38" s="20">
        <f>J37</f>
        <v>1585110</v>
      </c>
      <c r="K38" s="137">
        <f t="shared" si="8"/>
        <v>136.34299280055737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41"/>
      <c r="H39" s="41"/>
      <c r="I39" s="41"/>
      <c r="J39" s="41"/>
      <c r="K39" s="141"/>
    </row>
    <row r="40" spans="2:11" s="1" customFormat="1" ht="17.100000000000001" customHeight="1">
      <c r="B40" s="13"/>
      <c r="C40" s="13"/>
      <c r="D40" s="13"/>
      <c r="E40" s="24"/>
      <c r="F40" s="73"/>
      <c r="G40" s="82"/>
      <c r="H40" s="82"/>
      <c r="I40" s="82"/>
      <c r="J40" s="82"/>
      <c r="K40" s="127"/>
    </row>
    <row r="41" spans="2:11" s="1" customFormat="1" ht="17.100000000000001" customHeight="1">
      <c r="B41" s="73"/>
      <c r="C41" s="13"/>
      <c r="D41" s="13"/>
      <c r="E41" s="24"/>
      <c r="F41" s="13"/>
      <c r="G41" s="82"/>
      <c r="H41" s="82"/>
      <c r="I41" s="82"/>
      <c r="J41" s="82"/>
      <c r="K41" s="127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B2:M61"/>
  <sheetViews>
    <sheetView topLeftCell="A19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137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136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2" customFormat="1" ht="17.100000000000001" customHeight="1">
      <c r="B7" s="10"/>
      <c r="C7" s="11"/>
      <c r="D7" s="11"/>
      <c r="E7" s="9">
        <v>600000</v>
      </c>
      <c r="F7" s="27" t="s">
        <v>121</v>
      </c>
      <c r="G7" s="25">
        <f>G8</f>
        <v>15000</v>
      </c>
      <c r="H7" s="25">
        <f>H8</f>
        <v>15000</v>
      </c>
      <c r="I7" s="25">
        <f t="shared" ref="I7" si="0">I8</f>
        <v>6700</v>
      </c>
      <c r="J7" s="25">
        <f>J8</f>
        <v>15000</v>
      </c>
      <c r="K7" s="137">
        <f>IF(H7=0,"",J7/H7*100)</f>
        <v>100</v>
      </c>
    </row>
    <row r="8" spans="2:13" s="2" customFormat="1" ht="17.100000000000001" customHeight="1">
      <c r="B8" s="10"/>
      <c r="C8" s="11"/>
      <c r="D8" s="11"/>
      <c r="E8" s="51">
        <v>600000</v>
      </c>
      <c r="F8" s="52" t="s">
        <v>109</v>
      </c>
      <c r="G8" s="74">
        <v>15000</v>
      </c>
      <c r="H8" s="74">
        <v>15000</v>
      </c>
      <c r="I8" s="74">
        <v>6700</v>
      </c>
      <c r="J8" s="74">
        <v>15000</v>
      </c>
      <c r="K8" s="138">
        <f>IF(H8=0,"",J8/H8*100)</f>
        <v>100</v>
      </c>
    </row>
    <row r="9" spans="2:13" s="2" customFormat="1" ht="17.100000000000001" customHeight="1">
      <c r="B9" s="10"/>
      <c r="C9" s="11"/>
      <c r="D9" s="11"/>
      <c r="E9" s="9"/>
      <c r="F9" s="9"/>
      <c r="G9" s="74"/>
      <c r="H9" s="74"/>
      <c r="I9" s="74"/>
      <c r="J9" s="74"/>
      <c r="K9" s="138" t="str">
        <f t="shared" ref="K9:K32" si="1">IF(H9=0,"",J9/H9*100)</f>
        <v/>
      </c>
    </row>
    <row r="10" spans="2:13" s="1" customFormat="1" ht="17.100000000000001" customHeight="1">
      <c r="B10" s="17"/>
      <c r="C10" s="12"/>
      <c r="D10" s="12"/>
      <c r="E10" s="9">
        <v>611000</v>
      </c>
      <c r="F10" s="12" t="s">
        <v>164</v>
      </c>
      <c r="G10" s="356">
        <f>SUM(G11:G13)</f>
        <v>369600</v>
      </c>
      <c r="H10" s="356">
        <f>SUM(H11:H13)</f>
        <v>364890</v>
      </c>
      <c r="I10" s="356">
        <f t="shared" ref="I10" si="2">SUM(I11:I13)</f>
        <v>262736</v>
      </c>
      <c r="J10" s="356">
        <f>SUM(J11:J13)</f>
        <v>386910</v>
      </c>
      <c r="K10" s="180">
        <f t="shared" si="1"/>
        <v>106.03469538765107</v>
      </c>
    </row>
    <row r="11" spans="2:13" ht="17.100000000000001" customHeight="1">
      <c r="B11" s="14"/>
      <c r="C11" s="15"/>
      <c r="D11" s="15"/>
      <c r="E11" s="16">
        <v>611100</v>
      </c>
      <c r="F11" s="26" t="s">
        <v>207</v>
      </c>
      <c r="G11" s="358">
        <v>302100</v>
      </c>
      <c r="H11" s="358">
        <f>297520+2500</f>
        <v>300020</v>
      </c>
      <c r="I11" s="358">
        <v>221192</v>
      </c>
      <c r="J11" s="358">
        <f>306460+2000+9200</f>
        <v>317660</v>
      </c>
      <c r="K11" s="138">
        <f t="shared" si="1"/>
        <v>105.87960802613159</v>
      </c>
    </row>
    <row r="12" spans="2:13" ht="17.100000000000001" customHeight="1">
      <c r="B12" s="14"/>
      <c r="C12" s="15"/>
      <c r="D12" s="15"/>
      <c r="E12" s="16">
        <v>611200</v>
      </c>
      <c r="F12" s="15" t="s">
        <v>208</v>
      </c>
      <c r="G12" s="355">
        <v>67500</v>
      </c>
      <c r="H12" s="355">
        <f>59970+1000+15*260</f>
        <v>64870</v>
      </c>
      <c r="I12" s="355">
        <v>41544</v>
      </c>
      <c r="J12" s="355">
        <f>62550+2000+4700</f>
        <v>69250</v>
      </c>
      <c r="K12" s="138">
        <f t="shared" si="1"/>
        <v>106.75196546940033</v>
      </c>
    </row>
    <row r="13" spans="2:13" ht="17.100000000000001" customHeight="1">
      <c r="B13" s="14"/>
      <c r="C13" s="15"/>
      <c r="D13" s="15"/>
      <c r="E13" s="16">
        <v>611200</v>
      </c>
      <c r="F13" s="327" t="s">
        <v>643</v>
      </c>
      <c r="G13" s="355">
        <v>0</v>
      </c>
      <c r="H13" s="355">
        <v>0</v>
      </c>
      <c r="I13" s="355">
        <v>0</v>
      </c>
      <c r="J13" s="355">
        <v>0</v>
      </c>
      <c r="K13" s="138" t="str">
        <f t="shared" si="1"/>
        <v/>
      </c>
      <c r="M13" s="81"/>
    </row>
    <row r="14" spans="2:13" ht="17.100000000000001" customHeight="1">
      <c r="B14" s="14"/>
      <c r="C14" s="15"/>
      <c r="D14" s="15"/>
      <c r="E14" s="16"/>
      <c r="F14" s="26"/>
      <c r="G14" s="355"/>
      <c r="H14" s="355"/>
      <c r="I14" s="355"/>
      <c r="J14" s="355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612000</v>
      </c>
      <c r="F15" s="12" t="s">
        <v>163</v>
      </c>
      <c r="G15" s="356">
        <f>G16+G17</f>
        <v>33330</v>
      </c>
      <c r="H15" s="356">
        <f>H16+H17</f>
        <v>32250</v>
      </c>
      <c r="I15" s="356">
        <f t="shared" ref="I15" si="3">I16+I17</f>
        <v>23749</v>
      </c>
      <c r="J15" s="356">
        <f>J16+J17</f>
        <v>34240</v>
      </c>
      <c r="K15" s="180">
        <f t="shared" si="1"/>
        <v>106.1705426356589</v>
      </c>
    </row>
    <row r="16" spans="2:13" ht="17.100000000000001" customHeight="1">
      <c r="B16" s="14"/>
      <c r="C16" s="15"/>
      <c r="D16" s="15"/>
      <c r="E16" s="16">
        <v>612100</v>
      </c>
      <c r="F16" s="18" t="s">
        <v>83</v>
      </c>
      <c r="G16" s="355">
        <v>33330</v>
      </c>
      <c r="H16" s="355">
        <f>31900+350</f>
        <v>32250</v>
      </c>
      <c r="I16" s="355">
        <v>23749</v>
      </c>
      <c r="J16" s="355">
        <f>32660+600+980</f>
        <v>34240</v>
      </c>
      <c r="K16" s="138">
        <f t="shared" si="1"/>
        <v>106.1705426356589</v>
      </c>
    </row>
    <row r="17" spans="2:13" ht="17.100000000000001" customHeight="1">
      <c r="B17" s="14"/>
      <c r="C17" s="15"/>
      <c r="D17" s="15"/>
      <c r="E17" s="16"/>
      <c r="F17" s="15"/>
      <c r="G17" s="39"/>
      <c r="H17" s="39"/>
      <c r="I17" s="39"/>
      <c r="J17" s="39"/>
      <c r="K17" s="138" t="str">
        <f t="shared" si="1"/>
        <v/>
      </c>
    </row>
    <row r="18" spans="2:13" s="1" customFormat="1" ht="17.100000000000001" customHeight="1">
      <c r="B18" s="17"/>
      <c r="C18" s="12"/>
      <c r="D18" s="12"/>
      <c r="E18" s="9">
        <v>613000</v>
      </c>
      <c r="F18" s="12" t="s">
        <v>165</v>
      </c>
      <c r="G18" s="44">
        <f>SUM(G19:G29)</f>
        <v>117600</v>
      </c>
      <c r="H18" s="44">
        <f>SUM(H19:H29)</f>
        <v>125700</v>
      </c>
      <c r="I18" s="44">
        <f t="shared" ref="I18" si="4">SUM(I19:I29)</f>
        <v>79440</v>
      </c>
      <c r="J18" s="44">
        <f>SUM(J19:J29)</f>
        <v>139000</v>
      </c>
      <c r="K18" s="180">
        <f t="shared" si="1"/>
        <v>110.5807478122514</v>
      </c>
    </row>
    <row r="19" spans="2:13" ht="17.100000000000001" customHeight="1">
      <c r="B19" s="14"/>
      <c r="C19" s="15"/>
      <c r="D19" s="15"/>
      <c r="E19" s="16">
        <v>613100</v>
      </c>
      <c r="F19" s="15" t="s">
        <v>84</v>
      </c>
      <c r="G19" s="39">
        <v>4500</v>
      </c>
      <c r="H19" s="39">
        <v>5500</v>
      </c>
      <c r="I19" s="39">
        <v>3243</v>
      </c>
      <c r="J19" s="39">
        <v>5500</v>
      </c>
      <c r="K19" s="138">
        <f t="shared" si="1"/>
        <v>100</v>
      </c>
    </row>
    <row r="20" spans="2:13" ht="17.100000000000001" customHeight="1">
      <c r="B20" s="14"/>
      <c r="C20" s="15"/>
      <c r="D20" s="15"/>
      <c r="E20" s="16">
        <v>613200</v>
      </c>
      <c r="F20" s="15" t="s">
        <v>85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3" ht="17.100000000000001" customHeight="1">
      <c r="B21" s="14"/>
      <c r="C21" s="15"/>
      <c r="D21" s="15"/>
      <c r="E21" s="16">
        <v>613300</v>
      </c>
      <c r="F21" s="26" t="s">
        <v>209</v>
      </c>
      <c r="G21" s="39">
        <v>5900</v>
      </c>
      <c r="H21" s="39">
        <v>7000</v>
      </c>
      <c r="I21" s="39">
        <v>5180</v>
      </c>
      <c r="J21" s="39">
        <v>7000</v>
      </c>
      <c r="K21" s="138">
        <f t="shared" si="1"/>
        <v>100</v>
      </c>
    </row>
    <row r="22" spans="2:13" ht="17.100000000000001" customHeight="1">
      <c r="B22" s="14"/>
      <c r="C22" s="15"/>
      <c r="D22" s="15"/>
      <c r="E22" s="16">
        <v>613400</v>
      </c>
      <c r="F22" s="15" t="s">
        <v>166</v>
      </c>
      <c r="G22" s="39">
        <v>3000</v>
      </c>
      <c r="H22" s="39">
        <v>2600</v>
      </c>
      <c r="I22" s="39">
        <v>1870</v>
      </c>
      <c r="J22" s="39">
        <v>3000</v>
      </c>
      <c r="K22" s="138">
        <f t="shared" si="1"/>
        <v>115.38461538461537</v>
      </c>
    </row>
    <row r="23" spans="2:13" ht="17.100000000000001" customHeight="1">
      <c r="B23" s="14"/>
      <c r="C23" s="15"/>
      <c r="D23" s="15"/>
      <c r="E23" s="16">
        <v>613500</v>
      </c>
      <c r="F23" s="15" t="s">
        <v>86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3" ht="17.100000000000001" customHeight="1">
      <c r="B24" s="14"/>
      <c r="C24" s="15"/>
      <c r="D24" s="15"/>
      <c r="E24" s="16">
        <v>613600</v>
      </c>
      <c r="F24" s="26" t="s">
        <v>210</v>
      </c>
      <c r="G24" s="74">
        <v>0</v>
      </c>
      <c r="H24" s="74">
        <v>0</v>
      </c>
      <c r="I24" s="74">
        <v>0</v>
      </c>
      <c r="J24" s="74">
        <v>0</v>
      </c>
      <c r="K24" s="138" t="str">
        <f t="shared" si="1"/>
        <v/>
      </c>
    </row>
    <row r="25" spans="2:13" ht="17.100000000000001" customHeight="1">
      <c r="B25" s="14"/>
      <c r="C25" s="15"/>
      <c r="D25" s="15"/>
      <c r="E25" s="16">
        <v>613700</v>
      </c>
      <c r="F25" s="15" t="s">
        <v>87</v>
      </c>
      <c r="G25" s="108">
        <v>2000</v>
      </c>
      <c r="H25" s="108">
        <v>1500</v>
      </c>
      <c r="I25" s="108">
        <v>388</v>
      </c>
      <c r="J25" s="108">
        <v>1500</v>
      </c>
      <c r="K25" s="138">
        <f t="shared" si="1"/>
        <v>100</v>
      </c>
    </row>
    <row r="26" spans="2:13" ht="17.100000000000001" customHeight="1">
      <c r="B26" s="14"/>
      <c r="C26" s="15"/>
      <c r="D26" s="15"/>
      <c r="E26" s="16">
        <v>613800</v>
      </c>
      <c r="F26" s="15" t="s">
        <v>167</v>
      </c>
      <c r="G26" s="74">
        <v>7200</v>
      </c>
      <c r="H26" s="74">
        <v>7200</v>
      </c>
      <c r="I26" s="74">
        <v>3775</v>
      </c>
      <c r="J26" s="74">
        <v>7200</v>
      </c>
      <c r="K26" s="138">
        <f t="shared" si="1"/>
        <v>100</v>
      </c>
    </row>
    <row r="27" spans="2:13" ht="17.100000000000001" customHeight="1">
      <c r="B27" s="14"/>
      <c r="C27" s="15"/>
      <c r="D27" s="15"/>
      <c r="E27" s="16">
        <v>613900</v>
      </c>
      <c r="F27" s="15" t="s">
        <v>168</v>
      </c>
      <c r="G27" s="151">
        <v>21500</v>
      </c>
      <c r="H27" s="151">
        <v>28400</v>
      </c>
      <c r="I27" s="151">
        <v>20938</v>
      </c>
      <c r="J27" s="151">
        <v>34800</v>
      </c>
      <c r="K27" s="138">
        <f t="shared" si="1"/>
        <v>122.53521126760563</v>
      </c>
    </row>
    <row r="28" spans="2:13" ht="17.100000000000001" customHeight="1">
      <c r="B28" s="14"/>
      <c r="C28" s="15"/>
      <c r="D28" s="15"/>
      <c r="E28" s="58">
        <v>613900</v>
      </c>
      <c r="F28" s="26" t="s">
        <v>647</v>
      </c>
      <c r="G28" s="74">
        <v>73500</v>
      </c>
      <c r="H28" s="74">
        <v>73500</v>
      </c>
      <c r="I28" s="74">
        <v>44046</v>
      </c>
      <c r="J28" s="74">
        <v>80000</v>
      </c>
      <c r="K28" s="138">
        <f t="shared" si="1"/>
        <v>108.84353741496599</v>
      </c>
    </row>
    <row r="29" spans="2:13" ht="17.100000000000001" customHeight="1">
      <c r="B29" s="14"/>
      <c r="C29" s="15"/>
      <c r="D29" s="15"/>
      <c r="E29" s="16">
        <v>613900</v>
      </c>
      <c r="F29" s="327" t="s">
        <v>644</v>
      </c>
      <c r="G29" s="74">
        <v>0</v>
      </c>
      <c r="H29" s="74">
        <v>0</v>
      </c>
      <c r="I29" s="74">
        <v>0</v>
      </c>
      <c r="J29" s="74">
        <v>0</v>
      </c>
      <c r="K29" s="138" t="str">
        <f t="shared" si="1"/>
        <v/>
      </c>
    </row>
    <row r="30" spans="2:13" ht="17.100000000000001" customHeight="1">
      <c r="B30" s="14"/>
      <c r="C30" s="15"/>
      <c r="D30" s="15"/>
      <c r="E30" s="58"/>
      <c r="F30" s="15"/>
      <c r="G30" s="74"/>
      <c r="H30" s="74"/>
      <c r="I30" s="74"/>
      <c r="J30" s="74"/>
      <c r="K30" s="138" t="str">
        <f t="shared" si="1"/>
        <v/>
      </c>
    </row>
    <row r="31" spans="2:13" s="1" customFormat="1" ht="17.100000000000001" customHeight="1">
      <c r="B31" s="17"/>
      <c r="C31" s="12"/>
      <c r="D31" s="31"/>
      <c r="E31" s="9">
        <v>614000</v>
      </c>
      <c r="F31" s="12" t="s">
        <v>211</v>
      </c>
      <c r="G31" s="99">
        <f>SUM(G32:G34)</f>
        <v>330000</v>
      </c>
      <c r="H31" s="99">
        <f>SUM(H32:H34)</f>
        <v>350000</v>
      </c>
      <c r="I31" s="99">
        <f t="shared" ref="I31" si="5">SUM(I32:I34)</f>
        <v>184453</v>
      </c>
      <c r="J31" s="99">
        <f>SUM(J32:J34)</f>
        <v>461000</v>
      </c>
      <c r="K31" s="180">
        <f t="shared" si="1"/>
        <v>131.71428571428572</v>
      </c>
    </row>
    <row r="32" spans="2:13" ht="17.100000000000001" customHeight="1">
      <c r="B32" s="14"/>
      <c r="C32" s="15"/>
      <c r="D32" s="30"/>
      <c r="E32" s="16">
        <v>614100</v>
      </c>
      <c r="F32" s="53" t="s">
        <v>330</v>
      </c>
      <c r="G32" s="74">
        <v>250000</v>
      </c>
      <c r="H32" s="74">
        <v>270000</v>
      </c>
      <c r="I32" s="74">
        <v>125000</v>
      </c>
      <c r="J32" s="74">
        <v>350000</v>
      </c>
      <c r="K32" s="138">
        <f t="shared" si="1"/>
        <v>129.62962962962962</v>
      </c>
      <c r="L32" s="98"/>
      <c r="M32" s="73"/>
    </row>
    <row r="33" spans="2:13" ht="17.100000000000001" customHeight="1">
      <c r="B33" s="14"/>
      <c r="C33" s="15"/>
      <c r="D33" s="30"/>
      <c r="E33" s="56">
        <v>614800</v>
      </c>
      <c r="F33" s="53" t="s">
        <v>111</v>
      </c>
      <c r="G33" s="74">
        <v>50000</v>
      </c>
      <c r="H33" s="74">
        <v>50600</v>
      </c>
      <c r="I33" s="74">
        <v>50557</v>
      </c>
      <c r="J33" s="74">
        <v>51000</v>
      </c>
      <c r="K33" s="138">
        <f>IF(H33=0,"",J33/H33*100)</f>
        <v>100.79051383399209</v>
      </c>
      <c r="L33" s="73"/>
    </row>
    <row r="34" spans="2:13" ht="27.75" customHeight="1">
      <c r="B34" s="14"/>
      <c r="C34" s="15"/>
      <c r="D34" s="30"/>
      <c r="E34" s="56">
        <v>614800</v>
      </c>
      <c r="F34" s="420" t="s">
        <v>737</v>
      </c>
      <c r="G34" s="74">
        <v>30000</v>
      </c>
      <c r="H34" s="74">
        <v>29400</v>
      </c>
      <c r="I34" s="74">
        <v>8896</v>
      </c>
      <c r="J34" s="74">
        <v>60000</v>
      </c>
      <c r="K34" s="138">
        <f t="shared" ref="K34:K53" si="6">IF(H34=0,"",J34/H34*100)</f>
        <v>204.08163265306123</v>
      </c>
      <c r="L34" s="73"/>
    </row>
    <row r="35" spans="2:13" ht="17.100000000000001" customHeight="1">
      <c r="B35" s="14"/>
      <c r="C35" s="15"/>
      <c r="D35" s="30"/>
      <c r="E35" s="95"/>
      <c r="F35" s="53"/>
      <c r="G35" s="74"/>
      <c r="H35" s="74"/>
      <c r="I35" s="74"/>
      <c r="J35" s="74"/>
      <c r="K35" s="138" t="str">
        <f t="shared" si="6"/>
        <v/>
      </c>
    </row>
    <row r="36" spans="2:13" ht="17.100000000000001" customHeight="1">
      <c r="B36" s="14"/>
      <c r="C36" s="15"/>
      <c r="D36" s="15"/>
      <c r="E36" s="89">
        <v>616000</v>
      </c>
      <c r="F36" s="32" t="s">
        <v>214</v>
      </c>
      <c r="G36" s="152">
        <f>SUM(G37:G39)</f>
        <v>80500</v>
      </c>
      <c r="H36" s="152">
        <f>SUM(H37:H39)</f>
        <v>70900</v>
      </c>
      <c r="I36" s="152">
        <f t="shared" ref="I36" si="7">SUM(I37:I39)</f>
        <v>48768</v>
      </c>
      <c r="J36" s="152">
        <f>SUM(J37:J39)</f>
        <v>65500</v>
      </c>
      <c r="K36" s="180">
        <f t="shared" si="6"/>
        <v>92.383638928067697</v>
      </c>
    </row>
    <row r="37" spans="2:13" ht="17.100000000000001" customHeight="1">
      <c r="B37" s="14"/>
      <c r="C37" s="15"/>
      <c r="D37" s="15"/>
      <c r="E37" s="70">
        <v>616300</v>
      </c>
      <c r="F37" s="60" t="s">
        <v>327</v>
      </c>
      <c r="G37" s="74">
        <v>11000</v>
      </c>
      <c r="H37" s="74">
        <v>7400</v>
      </c>
      <c r="I37" s="74">
        <v>6039</v>
      </c>
      <c r="J37" s="74">
        <v>0</v>
      </c>
      <c r="K37" s="138">
        <f t="shared" si="6"/>
        <v>0</v>
      </c>
      <c r="M37" s="82"/>
    </row>
    <row r="38" spans="2:13" ht="17.100000000000001" customHeight="1">
      <c r="B38" s="14"/>
      <c r="C38" s="15"/>
      <c r="D38" s="15"/>
      <c r="E38" s="70">
        <v>616300</v>
      </c>
      <c r="F38" s="60" t="s">
        <v>219</v>
      </c>
      <c r="G38" s="74">
        <v>25000</v>
      </c>
      <c r="H38" s="74">
        <v>22900</v>
      </c>
      <c r="I38" s="74">
        <v>22861</v>
      </c>
      <c r="J38" s="74">
        <v>24000</v>
      </c>
      <c r="K38" s="138">
        <f t="shared" si="6"/>
        <v>104.80349344978166</v>
      </c>
    </row>
    <row r="39" spans="2:13" ht="17.100000000000001" customHeight="1">
      <c r="B39" s="14"/>
      <c r="C39" s="15"/>
      <c r="D39" s="15"/>
      <c r="E39" s="70">
        <v>616300</v>
      </c>
      <c r="F39" s="60" t="s">
        <v>223</v>
      </c>
      <c r="G39" s="74">
        <v>44500</v>
      </c>
      <c r="H39" s="74">
        <v>40600</v>
      </c>
      <c r="I39" s="74">
        <v>19868</v>
      </c>
      <c r="J39" s="74">
        <v>41500</v>
      </c>
      <c r="K39" s="138">
        <f t="shared" si="6"/>
        <v>102.21674876847291</v>
      </c>
    </row>
    <row r="40" spans="2:13" ht="17.100000000000001" customHeight="1">
      <c r="B40" s="14"/>
      <c r="C40" s="15"/>
      <c r="D40" s="15"/>
      <c r="E40" s="16"/>
      <c r="F40" s="15"/>
      <c r="G40" s="99"/>
      <c r="H40" s="99"/>
      <c r="I40" s="99"/>
      <c r="J40" s="99"/>
      <c r="K40" s="138" t="str">
        <f t="shared" si="6"/>
        <v/>
      </c>
    </row>
    <row r="41" spans="2:13" ht="17.100000000000001" customHeight="1">
      <c r="B41" s="17"/>
      <c r="C41" s="12"/>
      <c r="D41" s="12"/>
      <c r="E41" s="9">
        <v>821000</v>
      </c>
      <c r="F41" s="12" t="s">
        <v>90</v>
      </c>
      <c r="G41" s="99">
        <f>SUM(G42:G43)</f>
        <v>5000</v>
      </c>
      <c r="H41" s="99">
        <f>SUM(H42:H43)</f>
        <v>7000</v>
      </c>
      <c r="I41" s="99">
        <f t="shared" ref="I41" si="8">SUM(I42:I43)</f>
        <v>0</v>
      </c>
      <c r="J41" s="99">
        <f>SUM(J42:J43)</f>
        <v>3000</v>
      </c>
      <c r="K41" s="180">
        <f t="shared" si="6"/>
        <v>42.857142857142854</v>
      </c>
    </row>
    <row r="42" spans="2:13" ht="17.100000000000001" customHeight="1">
      <c r="B42" s="14"/>
      <c r="C42" s="15"/>
      <c r="D42" s="15"/>
      <c r="E42" s="16">
        <v>821200</v>
      </c>
      <c r="F42" s="15" t="s">
        <v>91</v>
      </c>
      <c r="G42" s="108">
        <v>0</v>
      </c>
      <c r="H42" s="108">
        <v>0</v>
      </c>
      <c r="I42" s="108">
        <v>0</v>
      </c>
      <c r="J42" s="108">
        <v>0</v>
      </c>
      <c r="K42" s="138" t="str">
        <f t="shared" si="6"/>
        <v/>
      </c>
    </row>
    <row r="43" spans="2:13" s="1" customFormat="1" ht="17.100000000000001" customHeight="1">
      <c r="B43" s="14"/>
      <c r="C43" s="15"/>
      <c r="D43" s="15"/>
      <c r="E43" s="16">
        <v>821300</v>
      </c>
      <c r="F43" s="15" t="s">
        <v>92</v>
      </c>
      <c r="G43" s="108">
        <v>5000</v>
      </c>
      <c r="H43" s="108">
        <v>7000</v>
      </c>
      <c r="I43" s="108">
        <v>0</v>
      </c>
      <c r="J43" s="108">
        <v>3000</v>
      </c>
      <c r="K43" s="138">
        <f t="shared" si="6"/>
        <v>42.857142857142854</v>
      </c>
    </row>
    <row r="44" spans="2:13" ht="17.100000000000001" customHeight="1">
      <c r="B44" s="14"/>
      <c r="C44" s="15"/>
      <c r="D44" s="15"/>
      <c r="E44" s="16"/>
      <c r="F44" s="15"/>
      <c r="G44" s="74"/>
      <c r="H44" s="74"/>
      <c r="I44" s="74"/>
      <c r="J44" s="74"/>
      <c r="K44" s="138" t="str">
        <f t="shared" si="6"/>
        <v/>
      </c>
    </row>
    <row r="45" spans="2:13" ht="17.100000000000001" customHeight="1">
      <c r="B45" s="17"/>
      <c r="C45" s="12"/>
      <c r="D45" s="12"/>
      <c r="E45" s="9">
        <v>823000</v>
      </c>
      <c r="F45" s="12" t="s">
        <v>220</v>
      </c>
      <c r="G45" s="99">
        <f>SUM(G46:G48)</f>
        <v>1384620</v>
      </c>
      <c r="H45" s="99">
        <f>SUM(H46:H48)</f>
        <v>1384620</v>
      </c>
      <c r="I45" s="99">
        <f t="shared" ref="I45" si="9">SUM(I46:I48)</f>
        <v>1384615</v>
      </c>
      <c r="J45" s="99">
        <f t="shared" ref="J45" si="10">SUM(J46:J48)</f>
        <v>525500</v>
      </c>
      <c r="K45" s="180">
        <f t="shared" si="6"/>
        <v>37.952651268940215</v>
      </c>
    </row>
    <row r="46" spans="2:13" ht="17.100000000000001" customHeight="1">
      <c r="B46" s="14"/>
      <c r="C46" s="15"/>
      <c r="D46" s="15"/>
      <c r="E46" s="16">
        <v>823300</v>
      </c>
      <c r="F46" s="26" t="s">
        <v>324</v>
      </c>
      <c r="G46" s="108">
        <v>1384620</v>
      </c>
      <c r="H46" s="108">
        <v>1384620</v>
      </c>
      <c r="I46" s="108">
        <v>1384615</v>
      </c>
      <c r="J46" s="108">
        <v>0</v>
      </c>
      <c r="K46" s="138">
        <f t="shared" si="6"/>
        <v>0</v>
      </c>
    </row>
    <row r="47" spans="2:13" ht="17.100000000000001" customHeight="1">
      <c r="B47" s="14"/>
      <c r="C47" s="15"/>
      <c r="D47" s="15"/>
      <c r="E47" s="16">
        <v>823300</v>
      </c>
      <c r="F47" s="26" t="s">
        <v>749</v>
      </c>
      <c r="G47" s="108">
        <v>0</v>
      </c>
      <c r="H47" s="108">
        <v>0</v>
      </c>
      <c r="I47" s="108">
        <v>0</v>
      </c>
      <c r="J47" s="108">
        <v>95000</v>
      </c>
      <c r="K47" s="138" t="str">
        <f t="shared" si="6"/>
        <v/>
      </c>
    </row>
    <row r="48" spans="2:13" ht="17.100000000000001" customHeight="1">
      <c r="B48" s="14"/>
      <c r="C48" s="15"/>
      <c r="D48" s="15"/>
      <c r="E48" s="16">
        <v>823300</v>
      </c>
      <c r="F48" s="26" t="s">
        <v>748</v>
      </c>
      <c r="G48" s="108">
        <v>0</v>
      </c>
      <c r="H48" s="108">
        <v>0</v>
      </c>
      <c r="I48" s="108">
        <v>0</v>
      </c>
      <c r="J48" s="108">
        <v>430500</v>
      </c>
      <c r="K48" s="138" t="str">
        <f t="shared" si="6"/>
        <v/>
      </c>
    </row>
    <row r="49" spans="2:11" ht="17.100000000000001" customHeight="1">
      <c r="B49" s="14"/>
      <c r="C49" s="15"/>
      <c r="D49" s="15"/>
      <c r="E49" s="16"/>
      <c r="F49" s="15"/>
      <c r="G49" s="15"/>
      <c r="H49" s="15"/>
      <c r="I49" s="15"/>
      <c r="J49" s="15"/>
      <c r="K49" s="138" t="str">
        <f t="shared" si="6"/>
        <v/>
      </c>
    </row>
    <row r="50" spans="2:11" ht="17.100000000000001" customHeight="1">
      <c r="B50" s="17"/>
      <c r="C50" s="12"/>
      <c r="D50" s="12"/>
      <c r="E50" s="9"/>
      <c r="F50" s="12" t="s">
        <v>93</v>
      </c>
      <c r="G50" s="361">
        <v>15</v>
      </c>
      <c r="H50" s="361">
        <v>15</v>
      </c>
      <c r="I50" s="361">
        <v>15</v>
      </c>
      <c r="J50" s="361">
        <v>15</v>
      </c>
      <c r="K50" s="138"/>
    </row>
    <row r="51" spans="2:11" ht="17.100000000000001" customHeight="1">
      <c r="B51" s="17"/>
      <c r="C51" s="12"/>
      <c r="D51" s="12"/>
      <c r="E51" s="9"/>
      <c r="F51" s="12" t="s">
        <v>113</v>
      </c>
      <c r="G51" s="20">
        <f>G7+G10+G15+G18+G31+G36+G41+G45</f>
        <v>2335650</v>
      </c>
      <c r="H51" s="20">
        <f>H7+H10+H15+H18+H31+H36+H41+H45</f>
        <v>2350360</v>
      </c>
      <c r="I51" s="20">
        <f t="shared" ref="I51" si="11">I7+I10+I15+I18+I31+I36+I41+I45</f>
        <v>1990461</v>
      </c>
      <c r="J51" s="20">
        <f>J7+J10+J15+J18+J31+J36+J41+J45</f>
        <v>1630150</v>
      </c>
      <c r="K51" s="180">
        <f>IF(H51=0,"",J51/H51*100)</f>
        <v>69.35746013376675</v>
      </c>
    </row>
    <row r="52" spans="2:11" s="1" customFormat="1" ht="17.100000000000001" customHeight="1">
      <c r="B52" s="17"/>
      <c r="C52" s="12"/>
      <c r="D52" s="12"/>
      <c r="E52" s="9"/>
      <c r="F52" s="12" t="s">
        <v>94</v>
      </c>
      <c r="G52" s="20">
        <f>G51</f>
        <v>2335650</v>
      </c>
      <c r="H52" s="20">
        <f>H51</f>
        <v>2350360</v>
      </c>
      <c r="I52" s="20">
        <f t="shared" ref="I52" si="12">I51</f>
        <v>1990461</v>
      </c>
      <c r="J52" s="20">
        <f>J51</f>
        <v>1630150</v>
      </c>
      <c r="K52" s="180">
        <f t="shared" si="6"/>
        <v>69.35746013376675</v>
      </c>
    </row>
    <row r="53" spans="2:11" s="1" customFormat="1" ht="17.100000000000001" customHeight="1">
      <c r="B53" s="17"/>
      <c r="C53" s="12"/>
      <c r="D53" s="12"/>
      <c r="E53" s="9"/>
      <c r="F53" s="12" t="s">
        <v>95</v>
      </c>
      <c r="G53" s="20">
        <f>G52</f>
        <v>2335650</v>
      </c>
      <c r="H53" s="20">
        <f>H52</f>
        <v>2350360</v>
      </c>
      <c r="I53" s="20">
        <f t="shared" ref="I53" si="13">I52</f>
        <v>1990461</v>
      </c>
      <c r="J53" s="20">
        <f>J52</f>
        <v>1630150</v>
      </c>
      <c r="K53" s="180">
        <f t="shared" si="6"/>
        <v>69.35746013376675</v>
      </c>
    </row>
    <row r="54" spans="2:11" s="1" customFormat="1" ht="17.100000000000001" customHeight="1" thickBot="1">
      <c r="B54" s="21"/>
      <c r="C54" s="22"/>
      <c r="D54" s="22"/>
      <c r="E54" s="23"/>
      <c r="F54" s="22"/>
      <c r="G54" s="22"/>
      <c r="H54" s="22"/>
      <c r="I54" s="22"/>
      <c r="J54" s="22"/>
      <c r="K54" s="141"/>
    </row>
    <row r="55" spans="2:11" s="1" customFormat="1" ht="17.100000000000001" customHeight="1">
      <c r="B55" s="13"/>
      <c r="C55" s="13"/>
      <c r="D55" s="13"/>
      <c r="E55" s="24"/>
      <c r="F55" s="13"/>
      <c r="G55" s="13"/>
      <c r="H55" s="13"/>
      <c r="I55" s="13"/>
      <c r="J55" s="13"/>
      <c r="K55" s="127"/>
    </row>
    <row r="56" spans="2:11" ht="17.100000000000001" customHeight="1"/>
    <row r="57" spans="2:11" ht="17.100000000000001" customHeight="1"/>
    <row r="58" spans="2:11" ht="17.100000000000001" customHeight="1"/>
    <row r="59" spans="2:11" ht="17.100000000000001" customHeight="1"/>
    <row r="60" spans="2:11" ht="17.100000000000001" customHeight="1"/>
    <row r="61" spans="2:11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&amp;R23</oddFooter>
  </headerFooter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B2:M59"/>
  <sheetViews>
    <sheetView topLeftCell="C4" zoomScaleNormal="100" zoomScaleSheetLayoutView="13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3" t="s">
        <v>138</v>
      </c>
      <c r="C2" s="483"/>
      <c r="D2" s="483"/>
      <c r="E2" s="483"/>
      <c r="F2" s="483"/>
      <c r="G2" s="483"/>
      <c r="H2" s="483"/>
      <c r="I2" s="483"/>
      <c r="J2" s="483"/>
      <c r="K2" s="13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139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231460</v>
      </c>
      <c r="H7" s="356">
        <f>SUM(H8:H11)</f>
        <v>196510</v>
      </c>
      <c r="I7" s="356">
        <f t="shared" ref="I7" si="0">SUM(I8:I11)</f>
        <v>140242</v>
      </c>
      <c r="J7" s="356">
        <f>SUM(J8:J11)</f>
        <v>234390</v>
      </c>
      <c r="K7" s="137">
        <f>IF(H7=0,"",J7/H7*100)</f>
        <v>119.27637270367921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192660</v>
      </c>
      <c r="H8" s="355">
        <f>161540+1500</f>
        <v>163040</v>
      </c>
      <c r="I8" s="355">
        <v>117858</v>
      </c>
      <c r="J8" s="355">
        <f>175080+1200+15000+5260+450</f>
        <v>196990</v>
      </c>
      <c r="K8" s="138">
        <f>IF(H8=0,"",J8/H8*100)</f>
        <v>120.82311089303239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38800</v>
      </c>
      <c r="H9" s="355">
        <f>30890+500+8*260</f>
        <v>33470</v>
      </c>
      <c r="I9" s="355">
        <v>22384</v>
      </c>
      <c r="J9" s="355">
        <f>34400+0+3000</f>
        <v>37400</v>
      </c>
      <c r="K9" s="138">
        <f t="shared" ref="K9:K38" si="1">IF(H9=0,"",J9/H9*100)</f>
        <v>111.74185838063937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21580</v>
      </c>
      <c r="H12" s="356">
        <f>H13</f>
        <v>17410</v>
      </c>
      <c r="I12" s="356">
        <f t="shared" ref="I12" si="2">I13</f>
        <v>12549</v>
      </c>
      <c r="J12" s="356">
        <f>J13</f>
        <v>21380</v>
      </c>
      <c r="K12" s="180">
        <f t="shared" si="1"/>
        <v>122.80298678920161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21580</v>
      </c>
      <c r="H13" s="355">
        <f>17210+200</f>
        <v>17410</v>
      </c>
      <c r="I13" s="355">
        <v>12549</v>
      </c>
      <c r="J13" s="355">
        <f>18620+500+1650+560+50</f>
        <v>21380</v>
      </c>
      <c r="K13" s="138">
        <f t="shared" si="1"/>
        <v>122.80298678920161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92610</v>
      </c>
      <c r="H15" s="44">
        <f>SUM(H16:H25)</f>
        <v>86110</v>
      </c>
      <c r="I15" s="44">
        <f t="shared" ref="I15" si="3">SUM(I16:I25)</f>
        <v>60160</v>
      </c>
      <c r="J15" s="44">
        <f>SUM(J16:J25)</f>
        <v>85110</v>
      </c>
      <c r="K15" s="180">
        <f t="shared" si="1"/>
        <v>98.83869469283475</v>
      </c>
      <c r="M15" s="83"/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3510</v>
      </c>
      <c r="H16" s="39">
        <v>3510</v>
      </c>
      <c r="I16" s="39">
        <v>2598</v>
      </c>
      <c r="J16" s="39">
        <v>3510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39">
        <v>15000</v>
      </c>
      <c r="H18" s="39">
        <v>15000</v>
      </c>
      <c r="I18" s="39">
        <v>11286</v>
      </c>
      <c r="J18" s="39">
        <v>15000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74">
        <v>600</v>
      </c>
      <c r="H19" s="74">
        <v>600</v>
      </c>
      <c r="I19" s="74">
        <v>0</v>
      </c>
      <c r="J19" s="74">
        <v>600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4">
        <v>0</v>
      </c>
      <c r="H20" s="74">
        <v>0</v>
      </c>
      <c r="I20" s="74">
        <v>0</v>
      </c>
      <c r="J20" s="74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74">
        <v>0</v>
      </c>
      <c r="H21" s="74">
        <v>0</v>
      </c>
      <c r="I21" s="74">
        <v>0</v>
      </c>
      <c r="J21" s="74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3500</v>
      </c>
      <c r="H22" s="74">
        <v>3500</v>
      </c>
      <c r="I22" s="74">
        <v>3242</v>
      </c>
      <c r="J22" s="74">
        <v>1000</v>
      </c>
      <c r="K22" s="138">
        <f t="shared" si="1"/>
        <v>28.571428571428569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70000</v>
      </c>
      <c r="H24" s="108">
        <v>63500</v>
      </c>
      <c r="I24" s="108">
        <v>43034</v>
      </c>
      <c r="J24" s="108">
        <v>65000</v>
      </c>
      <c r="K24" s="138">
        <f t="shared" si="1"/>
        <v>102.36220472440945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74">
        <v>0</v>
      </c>
      <c r="H25" s="74">
        <v>0</v>
      </c>
      <c r="I25" s="74">
        <v>0</v>
      </c>
      <c r="J25" s="74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211</v>
      </c>
      <c r="G27" s="99">
        <f>SUM(G28:G29)</f>
        <v>3000000</v>
      </c>
      <c r="H27" s="99">
        <f>SUM(H28:H29)</f>
        <v>3130000</v>
      </c>
      <c r="I27" s="99">
        <f t="shared" ref="I27" si="4">SUM(I28:I29)</f>
        <v>1856956</v>
      </c>
      <c r="J27" s="99">
        <f>SUM(J28:J29)</f>
        <v>4080000</v>
      </c>
      <c r="K27" s="180">
        <f t="shared" si="1"/>
        <v>130.3514376996805</v>
      </c>
    </row>
    <row r="28" spans="2:12" ht="26.25" customHeight="1">
      <c r="B28" s="14"/>
      <c r="C28" s="15"/>
      <c r="D28" s="30"/>
      <c r="E28" s="16">
        <v>614100</v>
      </c>
      <c r="F28" s="421" t="s">
        <v>738</v>
      </c>
      <c r="G28" s="108">
        <v>300000</v>
      </c>
      <c r="H28" s="108">
        <v>430000</v>
      </c>
      <c r="I28" s="108">
        <v>278000</v>
      </c>
      <c r="J28" s="108">
        <v>650000</v>
      </c>
      <c r="K28" s="138">
        <f t="shared" si="1"/>
        <v>151.16279069767441</v>
      </c>
    </row>
    <row r="29" spans="2:12" ht="17.100000000000001" customHeight="1">
      <c r="B29" s="14"/>
      <c r="C29" s="15"/>
      <c r="D29" s="15"/>
      <c r="E29" s="16">
        <v>614200</v>
      </c>
      <c r="F29" s="26" t="s">
        <v>105</v>
      </c>
      <c r="G29" s="108">
        <v>2700000</v>
      </c>
      <c r="H29" s="108">
        <v>2700000</v>
      </c>
      <c r="I29" s="108">
        <v>1578956</v>
      </c>
      <c r="J29" s="108">
        <v>3430000</v>
      </c>
      <c r="K29" s="138">
        <f t="shared" si="1"/>
        <v>127.03703703703704</v>
      </c>
    </row>
    <row r="30" spans="2:12" ht="17.100000000000001" customHeight="1">
      <c r="B30" s="14"/>
      <c r="C30" s="15"/>
      <c r="D30" s="15"/>
      <c r="E30" s="16"/>
      <c r="F30" s="15"/>
      <c r="G30" s="74"/>
      <c r="H30" s="74"/>
      <c r="I30" s="74"/>
      <c r="J30" s="74"/>
      <c r="K30" s="138" t="str">
        <f t="shared" si="1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90</v>
      </c>
      <c r="G31" s="99">
        <f>G32+G33</f>
        <v>1500</v>
      </c>
      <c r="H31" s="99">
        <f>H32+H33</f>
        <v>1500</v>
      </c>
      <c r="I31" s="99">
        <f t="shared" ref="I31" si="5">I32+I33</f>
        <v>789</v>
      </c>
      <c r="J31" s="99">
        <f>J32+J33</f>
        <v>1500</v>
      </c>
      <c r="K31" s="180">
        <f t="shared" si="1"/>
        <v>100</v>
      </c>
    </row>
    <row r="32" spans="2:12" s="1" customFormat="1" ht="17.100000000000001" customHeight="1">
      <c r="B32" s="14"/>
      <c r="C32" s="15"/>
      <c r="D32" s="15"/>
      <c r="E32" s="16">
        <v>821200</v>
      </c>
      <c r="F32" s="15" t="s">
        <v>91</v>
      </c>
      <c r="G32" s="74">
        <v>0</v>
      </c>
      <c r="H32" s="74">
        <v>0</v>
      </c>
      <c r="I32" s="74">
        <v>0</v>
      </c>
      <c r="J32" s="74">
        <v>0</v>
      </c>
      <c r="K32" s="138" t="str">
        <f t="shared" si="1"/>
        <v/>
      </c>
      <c r="L32" s="1" t="s">
        <v>176</v>
      </c>
    </row>
    <row r="33" spans="2:11" ht="17.100000000000001" customHeight="1">
      <c r="B33" s="14"/>
      <c r="C33" s="15"/>
      <c r="D33" s="15"/>
      <c r="E33" s="16">
        <v>821300</v>
      </c>
      <c r="F33" s="15" t="s">
        <v>92</v>
      </c>
      <c r="G33" s="74">
        <v>1500</v>
      </c>
      <c r="H33" s="74">
        <v>1500</v>
      </c>
      <c r="I33" s="74">
        <v>789</v>
      </c>
      <c r="J33" s="74">
        <v>1500</v>
      </c>
      <c r="K33" s="138">
        <f t="shared" si="1"/>
        <v>100</v>
      </c>
    </row>
    <row r="34" spans="2:11" ht="17.100000000000001" customHeight="1">
      <c r="B34" s="14"/>
      <c r="C34" s="15"/>
      <c r="D34" s="15"/>
      <c r="E34" s="16"/>
      <c r="F34" s="15"/>
      <c r="G34" s="74"/>
      <c r="H34" s="74"/>
      <c r="I34" s="74"/>
      <c r="J34" s="74"/>
      <c r="K34" s="138" t="str">
        <f t="shared" si="1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99">
        <v>10</v>
      </c>
      <c r="H35" s="99">
        <v>8</v>
      </c>
      <c r="I35" s="99">
        <v>8</v>
      </c>
      <c r="J35" s="99">
        <v>9</v>
      </c>
      <c r="K35" s="138"/>
    </row>
    <row r="36" spans="2:11" s="1" customFormat="1" ht="17.100000000000001" customHeight="1">
      <c r="B36" s="17"/>
      <c r="C36" s="12"/>
      <c r="D36" s="12"/>
      <c r="E36" s="9"/>
      <c r="F36" s="12" t="s">
        <v>113</v>
      </c>
      <c r="G36" s="20">
        <f>G7+G12+G15+G27+G31</f>
        <v>3347150</v>
      </c>
      <c r="H36" s="20">
        <f>H7+H12+H15+H27+H31</f>
        <v>3431530</v>
      </c>
      <c r="I36" s="20">
        <f t="shared" ref="I36" si="6">I7+I12+I15+I27+I31</f>
        <v>2070696</v>
      </c>
      <c r="J36" s="20">
        <f>J7+J12+J15+J27+J31</f>
        <v>4422380</v>
      </c>
      <c r="K36" s="180">
        <f t="shared" si="1"/>
        <v>128.87487505573316</v>
      </c>
    </row>
    <row r="37" spans="2:11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3347150</v>
      </c>
      <c r="H37" s="20">
        <f>H36</f>
        <v>3431530</v>
      </c>
      <c r="I37" s="20">
        <f t="shared" ref="I37" si="7">I36</f>
        <v>2070696</v>
      </c>
      <c r="J37" s="20">
        <f>J36</f>
        <v>4422380</v>
      </c>
      <c r="K37" s="180">
        <f t="shared" si="1"/>
        <v>128.87487505573316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3347150</v>
      </c>
      <c r="H38" s="20">
        <f>H37</f>
        <v>3431530</v>
      </c>
      <c r="I38" s="20">
        <f t="shared" ref="I38" si="8">I37</f>
        <v>2070696</v>
      </c>
      <c r="J38" s="20">
        <f>J37</f>
        <v>4422380</v>
      </c>
      <c r="K38" s="180">
        <f t="shared" si="1"/>
        <v>128.87487505573316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22"/>
      <c r="H39" s="22"/>
      <c r="I39" s="22"/>
      <c r="J39" s="22"/>
      <c r="K39" s="141"/>
    </row>
    <row r="40" spans="2:11" ht="17.100000000000001" customHeight="1"/>
    <row r="41" spans="2:11" ht="17.100000000000001" customHeight="1"/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>
      <c r="B45" s="73"/>
    </row>
    <row r="46" spans="2:11" ht="17.100000000000001" customHeight="1">
      <c r="B46" s="73"/>
    </row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B2:M59"/>
  <sheetViews>
    <sheetView topLeftCell="C10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179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140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221810</v>
      </c>
      <c r="H7" s="356">
        <f>SUM(H8:H11)</f>
        <v>224460</v>
      </c>
      <c r="I7" s="356">
        <f t="shared" ref="I7" si="0">SUM(I8:I11)</f>
        <v>163967</v>
      </c>
      <c r="J7" s="356">
        <f>SUM(J8:J11)</f>
        <v>230270</v>
      </c>
      <c r="K7" s="137">
        <f>IF(H7=0,"",J7/H7*100)</f>
        <v>102.58843446493809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182810</v>
      </c>
      <c r="H8" s="358">
        <f>180080+1500+1000</f>
        <v>182580</v>
      </c>
      <c r="I8" s="358">
        <v>133875</v>
      </c>
      <c r="J8" s="358">
        <f>185300+1500+5560</f>
        <v>192360</v>
      </c>
      <c r="K8" s="138">
        <f>IF(H8=0,"",J8/H8*100)</f>
        <v>105.35655603023332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39000</v>
      </c>
      <c r="H9" s="358">
        <f>39040+500+9*260</f>
        <v>41880</v>
      </c>
      <c r="I9" s="358">
        <v>30092</v>
      </c>
      <c r="J9" s="358">
        <f>36410+1500</f>
        <v>37910</v>
      </c>
      <c r="K9" s="138">
        <f t="shared" ref="K9:K40" si="1">IF(H9=0,"",J9/H9*100)</f>
        <v>90.520534861509077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20330</v>
      </c>
      <c r="H12" s="356">
        <f>H13</f>
        <v>19580</v>
      </c>
      <c r="I12" s="356">
        <f t="shared" ref="I12" si="2">I13</f>
        <v>14293</v>
      </c>
      <c r="J12" s="356">
        <f>J13</f>
        <v>21070</v>
      </c>
      <c r="K12" s="180">
        <f t="shared" si="1"/>
        <v>107.60980592441267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20330</v>
      </c>
      <c r="H13" s="358">
        <f>19230+350</f>
        <v>19580</v>
      </c>
      <c r="I13" s="358">
        <v>14293</v>
      </c>
      <c r="J13" s="358">
        <f>19770+700+600</f>
        <v>21070</v>
      </c>
      <c r="K13" s="138">
        <f t="shared" si="1"/>
        <v>107.60980592441267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SUM(G16:G26)</f>
        <v>317800</v>
      </c>
      <c r="H15" s="44">
        <f>SUM(H16:H26)</f>
        <v>224550</v>
      </c>
      <c r="I15" s="44">
        <f t="shared" ref="I15" si="3">SUM(I16:I26)</f>
        <v>103976</v>
      </c>
      <c r="J15" s="44">
        <f>SUM(J16:J26)</f>
        <v>217800</v>
      </c>
      <c r="K15" s="180">
        <f t="shared" si="1"/>
        <v>96.993987975951896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1800</v>
      </c>
      <c r="H16" s="40">
        <v>1800</v>
      </c>
      <c r="I16" s="40">
        <v>536</v>
      </c>
      <c r="J16" s="40">
        <v>1800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0</v>
      </c>
      <c r="H17" s="40">
        <v>0</v>
      </c>
      <c r="I17" s="40">
        <v>0</v>
      </c>
      <c r="J17" s="40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5000</v>
      </c>
      <c r="H18" s="40">
        <v>5000</v>
      </c>
      <c r="I18" s="40">
        <v>2857</v>
      </c>
      <c r="J18" s="40">
        <v>5000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0</v>
      </c>
      <c r="H19" s="40">
        <v>0</v>
      </c>
      <c r="I19" s="40">
        <v>0</v>
      </c>
      <c r="J19" s="40">
        <v>0</v>
      </c>
      <c r="K19" s="138" t="str">
        <f t="shared" si="1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0</v>
      </c>
      <c r="H20" s="108">
        <v>0</v>
      </c>
      <c r="I20" s="108">
        <v>0</v>
      </c>
      <c r="J20" s="108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58">
        <v>613700</v>
      </c>
      <c r="F22" s="15" t="s">
        <v>87</v>
      </c>
      <c r="G22" s="108">
        <v>1000</v>
      </c>
      <c r="H22" s="108">
        <v>4750</v>
      </c>
      <c r="I22" s="108">
        <v>3214</v>
      </c>
      <c r="J22" s="108">
        <v>1000</v>
      </c>
      <c r="K22" s="138">
        <f t="shared" si="1"/>
        <v>21.052631578947366</v>
      </c>
    </row>
    <row r="23" spans="2:12" ht="17.100000000000001" customHeight="1">
      <c r="B23" s="14"/>
      <c r="C23" s="15"/>
      <c r="D23" s="30"/>
      <c r="E23" s="16">
        <v>613700</v>
      </c>
      <c r="F23" s="57" t="s">
        <v>88</v>
      </c>
      <c r="G23" s="108">
        <v>300000</v>
      </c>
      <c r="H23" s="108">
        <v>200000</v>
      </c>
      <c r="I23" s="108">
        <v>92759</v>
      </c>
      <c r="J23" s="108">
        <v>200000</v>
      </c>
      <c r="K23" s="138">
        <f t="shared" si="1"/>
        <v>100</v>
      </c>
    </row>
    <row r="24" spans="2:12" ht="17.100000000000001" customHeight="1">
      <c r="B24" s="14"/>
      <c r="C24" s="15"/>
      <c r="D24" s="15"/>
      <c r="E24" s="55">
        <v>613800</v>
      </c>
      <c r="F24" s="15" t="s">
        <v>167</v>
      </c>
      <c r="G24" s="108">
        <v>0</v>
      </c>
      <c r="H24" s="108">
        <v>0</v>
      </c>
      <c r="I24" s="108">
        <v>0</v>
      </c>
      <c r="J24" s="108">
        <v>0</v>
      </c>
      <c r="K24" s="138" t="str">
        <f t="shared" si="1"/>
        <v/>
      </c>
    </row>
    <row r="25" spans="2:12" ht="17.100000000000001" customHeight="1">
      <c r="B25" s="14"/>
      <c r="C25" s="15"/>
      <c r="D25" s="15"/>
      <c r="E25" s="16">
        <v>613900</v>
      </c>
      <c r="F25" s="15" t="s">
        <v>168</v>
      </c>
      <c r="G25" s="108">
        <v>10000</v>
      </c>
      <c r="H25" s="108">
        <v>13000</v>
      </c>
      <c r="I25" s="108">
        <v>4610</v>
      </c>
      <c r="J25" s="108">
        <v>10000</v>
      </c>
      <c r="K25" s="138">
        <f t="shared" si="1"/>
        <v>76.923076923076934</v>
      </c>
      <c r="L25" s="98"/>
    </row>
    <row r="26" spans="2:12" ht="17.100000000000001" customHeight="1">
      <c r="B26" s="14"/>
      <c r="C26" s="15"/>
      <c r="D26" s="15"/>
      <c r="E26" s="16">
        <v>613900</v>
      </c>
      <c r="F26" s="327" t="s">
        <v>644</v>
      </c>
      <c r="G26" s="108">
        <v>0</v>
      </c>
      <c r="H26" s="108">
        <v>0</v>
      </c>
      <c r="I26" s="108">
        <v>0</v>
      </c>
      <c r="J26" s="108">
        <v>0</v>
      </c>
      <c r="K26" s="138" t="str">
        <f t="shared" si="1"/>
        <v/>
      </c>
    </row>
    <row r="27" spans="2:12" ht="17.100000000000001" customHeight="1">
      <c r="B27" s="14"/>
      <c r="C27" s="15"/>
      <c r="D27" s="15"/>
      <c r="E27" s="16"/>
      <c r="F27" s="15"/>
      <c r="G27" s="108"/>
      <c r="H27" s="108"/>
      <c r="I27" s="108"/>
      <c r="J27" s="108"/>
      <c r="K27" s="138" t="str">
        <f t="shared" si="1"/>
        <v/>
      </c>
    </row>
    <row r="28" spans="2:12" s="1" customFormat="1" ht="17.100000000000001" customHeight="1">
      <c r="B28" s="17"/>
      <c r="C28" s="12"/>
      <c r="D28" s="12"/>
      <c r="E28" s="9">
        <v>614000</v>
      </c>
      <c r="F28" s="12" t="s">
        <v>211</v>
      </c>
      <c r="G28" s="99">
        <f>SUM(G29:G30)</f>
        <v>160000</v>
      </c>
      <c r="H28" s="99">
        <f>SUM(H29:H30)</f>
        <v>160000</v>
      </c>
      <c r="I28" s="99">
        <f t="shared" ref="I28" si="4">SUM(I29:I30)</f>
        <v>84521</v>
      </c>
      <c r="J28" s="99">
        <f>SUM(J29:J30)</f>
        <v>210000</v>
      </c>
      <c r="K28" s="180">
        <f t="shared" si="1"/>
        <v>131.25</v>
      </c>
    </row>
    <row r="29" spans="2:12" ht="17.100000000000001" customHeight="1">
      <c r="B29" s="14"/>
      <c r="C29" s="15"/>
      <c r="D29" s="30"/>
      <c r="E29" s="55">
        <v>614100</v>
      </c>
      <c r="F29" s="63" t="s">
        <v>177</v>
      </c>
      <c r="G29" s="108">
        <v>140000</v>
      </c>
      <c r="H29" s="108">
        <v>160000</v>
      </c>
      <c r="I29" s="108">
        <v>84521</v>
      </c>
      <c r="J29" s="108">
        <v>180000</v>
      </c>
      <c r="K29" s="138">
        <f t="shared" si="1"/>
        <v>112.5</v>
      </c>
    </row>
    <row r="30" spans="2:12" ht="17.100000000000001" customHeight="1">
      <c r="B30" s="14"/>
      <c r="C30" s="15"/>
      <c r="D30" s="15"/>
      <c r="E30" s="16">
        <v>614100</v>
      </c>
      <c r="F30" s="26" t="s">
        <v>227</v>
      </c>
      <c r="G30" s="108">
        <v>20000</v>
      </c>
      <c r="H30" s="108">
        <v>0</v>
      </c>
      <c r="I30" s="108">
        <v>0</v>
      </c>
      <c r="J30" s="108">
        <v>30000</v>
      </c>
      <c r="K30" s="138" t="str">
        <f t="shared" si="1"/>
        <v/>
      </c>
    </row>
    <row r="31" spans="2:12" ht="17.100000000000001" customHeight="1">
      <c r="B31" s="14"/>
      <c r="C31" s="15"/>
      <c r="D31" s="15"/>
      <c r="E31" s="16"/>
      <c r="F31" s="15"/>
      <c r="G31" s="108"/>
      <c r="H31" s="108"/>
      <c r="I31" s="108"/>
      <c r="J31" s="108"/>
      <c r="K31" s="138" t="str">
        <f t="shared" si="1"/>
        <v/>
      </c>
    </row>
    <row r="32" spans="2:12" s="1" customFormat="1" ht="17.100000000000001" customHeight="1">
      <c r="B32" s="17"/>
      <c r="C32" s="12"/>
      <c r="D32" s="12"/>
      <c r="E32" s="9">
        <v>821000</v>
      </c>
      <c r="F32" s="12" t="s">
        <v>90</v>
      </c>
      <c r="G32" s="99">
        <f>SUM(G33:G35)</f>
        <v>603000</v>
      </c>
      <c r="H32" s="99">
        <f>SUM(H33:H35)</f>
        <v>743000</v>
      </c>
      <c r="I32" s="99">
        <f t="shared" ref="I32" si="5">SUM(I33:I35)</f>
        <v>47559</v>
      </c>
      <c r="J32" s="99">
        <f>SUM(J33:J35)</f>
        <v>894000</v>
      </c>
      <c r="K32" s="180">
        <f t="shared" si="1"/>
        <v>120.32301480484522</v>
      </c>
    </row>
    <row r="33" spans="2:13" ht="17.100000000000001" customHeight="1">
      <c r="B33" s="14"/>
      <c r="C33" s="15"/>
      <c r="D33" s="15"/>
      <c r="E33" s="16">
        <v>821200</v>
      </c>
      <c r="F33" s="15" t="s">
        <v>91</v>
      </c>
      <c r="G33" s="108">
        <v>0</v>
      </c>
      <c r="H33" s="108">
        <v>0</v>
      </c>
      <c r="I33" s="108">
        <v>0</v>
      </c>
      <c r="J33" s="108">
        <v>0</v>
      </c>
      <c r="K33" s="138" t="str">
        <f t="shared" si="1"/>
        <v/>
      </c>
    </row>
    <row r="34" spans="2:13" ht="17.100000000000001" customHeight="1">
      <c r="B34" s="14"/>
      <c r="C34" s="15"/>
      <c r="D34" s="15"/>
      <c r="E34" s="16">
        <v>821300</v>
      </c>
      <c r="F34" s="15" t="s">
        <v>92</v>
      </c>
      <c r="G34" s="108">
        <v>3000</v>
      </c>
      <c r="H34" s="108">
        <v>3000</v>
      </c>
      <c r="I34" s="108">
        <v>0</v>
      </c>
      <c r="J34" s="108">
        <v>2000</v>
      </c>
      <c r="K34" s="138">
        <f t="shared" si="1"/>
        <v>66.666666666666657</v>
      </c>
    </row>
    <row r="35" spans="2:13" ht="17.100000000000001" customHeight="1">
      <c r="B35" s="14"/>
      <c r="C35" s="15"/>
      <c r="D35" s="15"/>
      <c r="E35" s="110">
        <v>821600</v>
      </c>
      <c r="F35" s="101" t="s">
        <v>104</v>
      </c>
      <c r="G35" s="108">
        <v>600000</v>
      </c>
      <c r="H35" s="108">
        <v>740000</v>
      </c>
      <c r="I35" s="108">
        <v>47559</v>
      </c>
      <c r="J35" s="108">
        <v>892000</v>
      </c>
      <c r="K35" s="138">
        <f t="shared" si="1"/>
        <v>120.54054054054053</v>
      </c>
      <c r="M35" s="82"/>
    </row>
    <row r="36" spans="2:13" ht="17.100000000000001" customHeight="1">
      <c r="B36" s="14"/>
      <c r="C36" s="15"/>
      <c r="D36" s="15"/>
      <c r="E36" s="16"/>
      <c r="F36" s="15"/>
      <c r="G36" s="99"/>
      <c r="H36" s="99"/>
      <c r="I36" s="99"/>
      <c r="J36" s="99"/>
      <c r="K36" s="138" t="str">
        <f t="shared" si="1"/>
        <v/>
      </c>
    </row>
    <row r="37" spans="2:13" s="1" customFormat="1" ht="17.100000000000001" customHeight="1">
      <c r="B37" s="17"/>
      <c r="C37" s="12"/>
      <c r="D37" s="12"/>
      <c r="E37" s="9"/>
      <c r="F37" s="12" t="s">
        <v>93</v>
      </c>
      <c r="G37" s="99">
        <v>9</v>
      </c>
      <c r="H37" s="99">
        <v>9</v>
      </c>
      <c r="I37" s="99">
        <v>9</v>
      </c>
      <c r="J37" s="99">
        <v>9</v>
      </c>
      <c r="K37" s="138"/>
    </row>
    <row r="38" spans="2:13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G7+G12+G15+G28+G32</f>
        <v>1322940</v>
      </c>
      <c r="H38" s="20">
        <f>H7+H12+H15+H28+H32</f>
        <v>1371590</v>
      </c>
      <c r="I38" s="20">
        <f t="shared" ref="I38" si="6">I7+I12+I15+I28+I32</f>
        <v>414316</v>
      </c>
      <c r="J38" s="20">
        <f>J7+J12+J15+J28+J32</f>
        <v>1573140</v>
      </c>
      <c r="K38" s="180">
        <f t="shared" si="1"/>
        <v>114.69462448690935</v>
      </c>
    </row>
    <row r="39" spans="2:13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1322940</v>
      </c>
      <c r="H39" s="20">
        <f>H38</f>
        <v>1371590</v>
      </c>
      <c r="I39" s="20">
        <f t="shared" ref="I39" si="7">I38</f>
        <v>414316</v>
      </c>
      <c r="J39" s="20">
        <f>J38</f>
        <v>1573140</v>
      </c>
      <c r="K39" s="180">
        <f t="shared" si="1"/>
        <v>114.69462448690935</v>
      </c>
    </row>
    <row r="40" spans="2:13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1322940</v>
      </c>
      <c r="H40" s="20">
        <f>H39</f>
        <v>1371590</v>
      </c>
      <c r="I40" s="20">
        <f t="shared" ref="I40" si="8">I39</f>
        <v>414316</v>
      </c>
      <c r="J40" s="20">
        <f>J39</f>
        <v>1573140</v>
      </c>
      <c r="K40" s="180">
        <f t="shared" si="1"/>
        <v>114.69462448690935</v>
      </c>
    </row>
    <row r="41" spans="2:13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41"/>
      <c r="K41" s="141"/>
    </row>
    <row r="42" spans="2:13" ht="17.100000000000001" customHeight="1"/>
    <row r="43" spans="2:13" ht="17.100000000000001" customHeight="1">
      <c r="B43" s="73"/>
    </row>
    <row r="44" spans="2:13" ht="17.100000000000001" customHeight="1">
      <c r="B44" s="73"/>
    </row>
    <row r="45" spans="2:13" ht="17.100000000000001" customHeight="1">
      <c r="B45" s="73"/>
    </row>
    <row r="46" spans="2:13" ht="17.100000000000001" customHeight="1"/>
    <row r="47" spans="2:13" ht="17.100000000000001" customHeight="1"/>
    <row r="48" spans="2:13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B2:M59"/>
  <sheetViews>
    <sheetView topLeftCell="C1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141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142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529540</v>
      </c>
      <c r="H7" s="356">
        <f>SUM(H8:H11)</f>
        <v>496030</v>
      </c>
      <c r="I7" s="356">
        <f t="shared" ref="I7" si="0">SUM(I8:I11)</f>
        <v>361660</v>
      </c>
      <c r="J7" s="356">
        <f>SUM(J8:J11)</f>
        <v>563400</v>
      </c>
      <c r="K7" s="137">
        <f>IF(H7=0,"",J7/H7*100)</f>
        <v>113.58183980807613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438340</v>
      </c>
      <c r="H8" s="355">
        <f>401570+2000+4100</f>
        <v>407670</v>
      </c>
      <c r="I8" s="355">
        <v>300216</v>
      </c>
      <c r="J8" s="355">
        <f>426130+2500+2*13700+12790+830</f>
        <v>469650</v>
      </c>
      <c r="K8" s="138">
        <f>IF(H8=0,"",J8/H8*100)</f>
        <v>115.203473397601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9">
        <v>91200</v>
      </c>
      <c r="H9" s="359">
        <f>81100+1000+800+21*260</f>
        <v>88360</v>
      </c>
      <c r="I9" s="359">
        <v>61444</v>
      </c>
      <c r="J9" s="359">
        <f>84170+2500+2*840+2*2700</f>
        <v>93750</v>
      </c>
      <c r="K9" s="138">
        <f t="shared" ref="K9:K40" si="1">IF(H9=0,"",J9/H9*100)</f>
        <v>106.10004526935263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48530</v>
      </c>
      <c r="H12" s="356">
        <f>H13</f>
        <v>44360</v>
      </c>
      <c r="I12" s="356">
        <f t="shared" ref="I12" si="2">I13</f>
        <v>32746</v>
      </c>
      <c r="J12" s="356">
        <f>J13</f>
        <v>50910</v>
      </c>
      <c r="K12" s="180">
        <f t="shared" si="1"/>
        <v>114.76555455365194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48530</v>
      </c>
      <c r="H13" s="355">
        <f>43560+800</f>
        <v>44360</v>
      </c>
      <c r="I13" s="355">
        <v>32746</v>
      </c>
      <c r="J13" s="355">
        <f>45450+1000+2*1500+1370+90</f>
        <v>50910</v>
      </c>
      <c r="K13" s="138">
        <f t="shared" si="1"/>
        <v>114.76555455365194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65490</v>
      </c>
      <c r="H15" s="44">
        <f>SUM(H16:H25)</f>
        <v>98990</v>
      </c>
      <c r="I15" s="44">
        <f t="shared" ref="I15" si="3">SUM(I16:I25)</f>
        <v>61567</v>
      </c>
      <c r="J15" s="44">
        <f>SUM(J16:J25)</f>
        <v>73990</v>
      </c>
      <c r="K15" s="180">
        <f t="shared" si="1"/>
        <v>74.744923729669665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4">
        <v>7000</v>
      </c>
      <c r="H16" s="74">
        <v>10500</v>
      </c>
      <c r="I16" s="74">
        <v>7250</v>
      </c>
      <c r="J16" s="74">
        <v>10500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74">
        <v>0</v>
      </c>
      <c r="H17" s="74">
        <v>0</v>
      </c>
      <c r="I17" s="74">
        <v>0</v>
      </c>
      <c r="J17" s="74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74">
        <v>6500</v>
      </c>
      <c r="H18" s="74">
        <v>6500</v>
      </c>
      <c r="I18" s="74">
        <v>4352</v>
      </c>
      <c r="J18" s="74">
        <v>6500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74">
        <v>2100</v>
      </c>
      <c r="H19" s="74">
        <v>2100</v>
      </c>
      <c r="I19" s="74">
        <v>682</v>
      </c>
      <c r="J19" s="74">
        <v>2100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4">
        <v>1890</v>
      </c>
      <c r="H20" s="74">
        <v>1890</v>
      </c>
      <c r="I20" s="74">
        <v>0</v>
      </c>
      <c r="J20" s="74">
        <v>1890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74">
        <v>5500</v>
      </c>
      <c r="H21" s="74">
        <v>5500</v>
      </c>
      <c r="I21" s="74">
        <v>3753</v>
      </c>
      <c r="J21" s="74">
        <v>5500</v>
      </c>
      <c r="K21" s="138">
        <f t="shared" si="1"/>
        <v>100</v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7500</v>
      </c>
      <c r="H22" s="74">
        <v>7500</v>
      </c>
      <c r="I22" s="74">
        <v>2177</v>
      </c>
      <c r="J22" s="74">
        <v>7500</v>
      </c>
      <c r="K22" s="138">
        <f t="shared" si="1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35000</v>
      </c>
      <c r="H24" s="74">
        <v>65000</v>
      </c>
      <c r="I24" s="74">
        <v>43353</v>
      </c>
      <c r="J24" s="74">
        <v>40000</v>
      </c>
      <c r="K24" s="138">
        <f t="shared" si="1"/>
        <v>61.53846153846154</v>
      </c>
      <c r="L24" s="98"/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74">
        <v>0</v>
      </c>
      <c r="H25" s="74">
        <v>0</v>
      </c>
      <c r="I25" s="74">
        <v>0</v>
      </c>
      <c r="J25" s="74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211</v>
      </c>
      <c r="G27" s="99">
        <f>SUM(G28:G31)</f>
        <v>1865000</v>
      </c>
      <c r="H27" s="99">
        <f>SUM(H28:H31)</f>
        <v>1895000</v>
      </c>
      <c r="I27" s="99">
        <f t="shared" ref="I27:J27" si="4">SUM(I28:I31)</f>
        <v>688390</v>
      </c>
      <c r="J27" s="99">
        <f t="shared" si="4"/>
        <v>2150000</v>
      </c>
      <c r="K27" s="180">
        <f t="shared" si="1"/>
        <v>113.45646437994723</v>
      </c>
    </row>
    <row r="28" spans="2:12" s="1" customFormat="1" ht="17.100000000000001" customHeight="1">
      <c r="B28" s="17"/>
      <c r="C28" s="12"/>
      <c r="D28" s="31"/>
      <c r="E28" s="51">
        <v>614100</v>
      </c>
      <c r="F28" s="18" t="s">
        <v>162</v>
      </c>
      <c r="G28" s="108">
        <v>150000</v>
      </c>
      <c r="H28" s="108">
        <v>180000</v>
      </c>
      <c r="I28" s="108">
        <v>41044</v>
      </c>
      <c r="J28" s="108">
        <v>150000</v>
      </c>
      <c r="K28" s="138">
        <f t="shared" si="1"/>
        <v>83.333333333333343</v>
      </c>
    </row>
    <row r="29" spans="2:12" ht="17.100000000000001" customHeight="1">
      <c r="B29" s="14"/>
      <c r="C29" s="15"/>
      <c r="D29" s="15"/>
      <c r="E29" s="16">
        <v>614500</v>
      </c>
      <c r="F29" s="29" t="s">
        <v>474</v>
      </c>
      <c r="G29" s="108">
        <v>900000</v>
      </c>
      <c r="H29" s="108">
        <v>900000</v>
      </c>
      <c r="I29" s="108">
        <v>316468</v>
      </c>
      <c r="J29" s="108">
        <v>1100000</v>
      </c>
      <c r="K29" s="138">
        <f t="shared" si="1"/>
        <v>122.22222222222223</v>
      </c>
    </row>
    <row r="30" spans="2:12" ht="17.100000000000001" customHeight="1">
      <c r="B30" s="14"/>
      <c r="C30" s="15"/>
      <c r="D30" s="15"/>
      <c r="E30" s="16">
        <v>614500</v>
      </c>
      <c r="F30" s="29" t="s">
        <v>475</v>
      </c>
      <c r="G30" s="108">
        <v>400000</v>
      </c>
      <c r="H30" s="108">
        <v>400000</v>
      </c>
      <c r="I30" s="108">
        <v>186860</v>
      </c>
      <c r="J30" s="108">
        <v>500000</v>
      </c>
      <c r="K30" s="138">
        <f t="shared" si="1"/>
        <v>125</v>
      </c>
    </row>
    <row r="31" spans="2:12" ht="17.100000000000001" customHeight="1">
      <c r="B31" s="14"/>
      <c r="C31" s="15"/>
      <c r="D31" s="15"/>
      <c r="E31" s="51">
        <v>614500</v>
      </c>
      <c r="F31" s="29" t="s">
        <v>476</v>
      </c>
      <c r="G31" s="108">
        <v>415000</v>
      </c>
      <c r="H31" s="108">
        <v>415000</v>
      </c>
      <c r="I31" s="108">
        <v>144018</v>
      </c>
      <c r="J31" s="108">
        <v>400000</v>
      </c>
      <c r="K31" s="138">
        <f t="shared" si="1"/>
        <v>96.385542168674704</v>
      </c>
    </row>
    <row r="32" spans="2:12" ht="17.100000000000001" customHeight="1">
      <c r="B32" s="14"/>
      <c r="C32" s="15"/>
      <c r="D32" s="15"/>
      <c r="E32" s="16"/>
      <c r="F32" s="26"/>
      <c r="G32" s="74"/>
      <c r="H32" s="74"/>
      <c r="I32" s="74"/>
      <c r="J32" s="74"/>
      <c r="K32" s="138" t="str">
        <f t="shared" si="1"/>
        <v/>
      </c>
    </row>
    <row r="33" spans="2:11" s="1" customFormat="1" ht="17.100000000000001" customHeight="1">
      <c r="B33" s="17"/>
      <c r="C33" s="12"/>
      <c r="D33" s="12"/>
      <c r="E33" s="9">
        <v>821000</v>
      </c>
      <c r="F33" s="12" t="s">
        <v>90</v>
      </c>
      <c r="G33" s="99">
        <f>SUM(G34:G36)</f>
        <v>13000</v>
      </c>
      <c r="H33" s="99">
        <f>SUM(H34:H36)</f>
        <v>13000</v>
      </c>
      <c r="I33" s="99">
        <f t="shared" ref="I33" si="5">SUM(I34:I36)</f>
        <v>855</v>
      </c>
      <c r="J33" s="99">
        <f>SUM(J34:J36)</f>
        <v>13000</v>
      </c>
      <c r="K33" s="180">
        <f t="shared" si="1"/>
        <v>100</v>
      </c>
    </row>
    <row r="34" spans="2:11" ht="17.100000000000001" customHeight="1">
      <c r="B34" s="14"/>
      <c r="C34" s="15"/>
      <c r="D34" s="15"/>
      <c r="E34" s="16">
        <v>821200</v>
      </c>
      <c r="F34" s="15" t="s">
        <v>91</v>
      </c>
      <c r="G34" s="74">
        <v>0</v>
      </c>
      <c r="H34" s="74">
        <v>0</v>
      </c>
      <c r="I34" s="74">
        <v>0</v>
      </c>
      <c r="J34" s="74">
        <v>0</v>
      </c>
      <c r="K34" s="138" t="str">
        <f t="shared" si="1"/>
        <v/>
      </c>
    </row>
    <row r="35" spans="2:11" ht="17.100000000000001" customHeight="1">
      <c r="B35" s="14"/>
      <c r="C35" s="15"/>
      <c r="D35" s="15"/>
      <c r="E35" s="16">
        <v>821300</v>
      </c>
      <c r="F35" s="15" t="s">
        <v>92</v>
      </c>
      <c r="G35" s="74">
        <v>13000</v>
      </c>
      <c r="H35" s="74">
        <v>13000</v>
      </c>
      <c r="I35" s="74">
        <v>855</v>
      </c>
      <c r="J35" s="74">
        <v>13000</v>
      </c>
      <c r="K35" s="138">
        <f t="shared" si="1"/>
        <v>100</v>
      </c>
    </row>
    <row r="36" spans="2:11" ht="17.100000000000001" customHeight="1">
      <c r="B36" s="14"/>
      <c r="C36" s="15"/>
      <c r="D36" s="15"/>
      <c r="E36" s="16"/>
      <c r="F36" s="26"/>
      <c r="G36" s="74"/>
      <c r="H36" s="74"/>
      <c r="I36" s="74"/>
      <c r="J36" s="74"/>
      <c r="K36" s="138" t="str">
        <f t="shared" si="1"/>
        <v/>
      </c>
    </row>
    <row r="37" spans="2:11" s="1" customFormat="1" ht="17.100000000000001" customHeight="1">
      <c r="B37" s="17"/>
      <c r="C37" s="12"/>
      <c r="D37" s="12"/>
      <c r="E37" s="9"/>
      <c r="F37" s="12" t="s">
        <v>93</v>
      </c>
      <c r="G37" s="20">
        <v>22</v>
      </c>
      <c r="H37" s="20">
        <v>21</v>
      </c>
      <c r="I37" s="20">
        <v>20</v>
      </c>
      <c r="J37" s="20">
        <v>23</v>
      </c>
      <c r="K37" s="138"/>
    </row>
    <row r="38" spans="2:11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G7+G12+G15+G27+G33</f>
        <v>2521560</v>
      </c>
      <c r="H38" s="20">
        <f>H7+H12+H15+H27+H33</f>
        <v>2547380</v>
      </c>
      <c r="I38" s="20">
        <f t="shared" ref="I38" si="6">I7+I12+I15+I27+I33</f>
        <v>1145218</v>
      </c>
      <c r="J38" s="20">
        <f>J7+J12+J15+J27+J33</f>
        <v>2851300</v>
      </c>
      <c r="K38" s="180">
        <f t="shared" si="1"/>
        <v>111.93068957124575</v>
      </c>
    </row>
    <row r="39" spans="2:11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2521560</v>
      </c>
      <c r="H39" s="20">
        <f>H38</f>
        <v>2547380</v>
      </c>
      <c r="I39" s="20">
        <f t="shared" ref="I39" si="7">I38</f>
        <v>1145218</v>
      </c>
      <c r="J39" s="20">
        <f>J38</f>
        <v>2851300</v>
      </c>
      <c r="K39" s="180">
        <f t="shared" si="1"/>
        <v>111.93068957124575</v>
      </c>
    </row>
    <row r="40" spans="2:11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2521560</v>
      </c>
      <c r="H40" s="20">
        <f>H39</f>
        <v>2547380</v>
      </c>
      <c r="I40" s="20">
        <f t="shared" ref="I40" si="8">I39</f>
        <v>1145218</v>
      </c>
      <c r="J40" s="20">
        <f>J39</f>
        <v>2851300</v>
      </c>
      <c r="K40" s="180">
        <f t="shared" si="1"/>
        <v>111.93068957124575</v>
      </c>
    </row>
    <row r="41" spans="2:11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41"/>
      <c r="K41" s="141"/>
    </row>
    <row r="42" spans="2:11" ht="17.100000000000001" customHeight="1"/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>
      <c r="B45" s="73"/>
    </row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B2:M61"/>
  <sheetViews>
    <sheetView topLeftCell="A20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143</v>
      </c>
      <c r="C2" s="481"/>
      <c r="D2" s="481"/>
      <c r="E2" s="481"/>
      <c r="F2" s="481"/>
      <c r="G2" s="481"/>
      <c r="H2" s="415"/>
      <c r="I2" s="415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76">
        <f>SUM(G8:G11)</f>
        <v>271280</v>
      </c>
      <c r="H7" s="376">
        <f>SUM(H8:H11)</f>
        <v>248760</v>
      </c>
      <c r="I7" s="376">
        <f t="shared" ref="I7" si="0">SUM(I8:I11)</f>
        <v>181080</v>
      </c>
      <c r="J7" s="376">
        <f>SUM(J8:J11)</f>
        <v>276210</v>
      </c>
      <c r="K7" s="137">
        <f>IF(H7=0,"",J7/H7*100)</f>
        <v>111.03473227206946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78">
        <v>231880</v>
      </c>
      <c r="H8" s="378">
        <f>210710+1500-1000</f>
        <v>211210</v>
      </c>
      <c r="I8" s="378">
        <v>155459</v>
      </c>
      <c r="J8" s="378">
        <f>229670+1400+6560</f>
        <v>237630</v>
      </c>
      <c r="K8" s="138">
        <f>IF(H8=0,"",J8/H8*100)</f>
        <v>112.50887742057667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78">
        <v>39400</v>
      </c>
      <c r="H9" s="378">
        <f>34450+500+10*260</f>
        <v>37550</v>
      </c>
      <c r="I9" s="378">
        <v>25621</v>
      </c>
      <c r="J9" s="378">
        <f>36340+1400+840</f>
        <v>38580</v>
      </c>
      <c r="K9" s="138">
        <f t="shared" ref="K9:K52" si="1">IF(H9=0,"",J9/H9*100)</f>
        <v>102.74300932090546</v>
      </c>
      <c r="M9" s="82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77">
        <v>0</v>
      </c>
      <c r="H10" s="377">
        <v>0</v>
      </c>
      <c r="I10" s="377">
        <v>0</v>
      </c>
      <c r="J10" s="377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78"/>
      <c r="H11" s="378"/>
      <c r="I11" s="378"/>
      <c r="J11" s="37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76">
        <f>G13</f>
        <v>24730</v>
      </c>
      <c r="H12" s="376">
        <f>H13</f>
        <v>23230</v>
      </c>
      <c r="I12" s="376">
        <f t="shared" ref="I12" si="2">I13</f>
        <v>17199</v>
      </c>
      <c r="J12" s="376">
        <f>J13</f>
        <v>25030</v>
      </c>
      <c r="K12" s="180">
        <f t="shared" si="1"/>
        <v>107.74860094705123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78">
        <v>24730</v>
      </c>
      <c r="H13" s="378">
        <f>23080+250-100</f>
        <v>23230</v>
      </c>
      <c r="I13" s="378">
        <v>17199</v>
      </c>
      <c r="J13" s="378">
        <f>23620+700+710</f>
        <v>25030</v>
      </c>
      <c r="K13" s="138">
        <f t="shared" si="1"/>
        <v>107.74860094705123</v>
      </c>
    </row>
    <row r="14" spans="2:13" ht="17.100000000000001" customHeight="1">
      <c r="B14" s="14"/>
      <c r="C14" s="15"/>
      <c r="D14" s="15"/>
      <c r="E14" s="16"/>
      <c r="F14" s="15"/>
      <c r="G14" s="108"/>
      <c r="H14" s="108"/>
      <c r="I14" s="108"/>
      <c r="J14" s="108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99">
        <f>SUM(G16:G27)</f>
        <v>93300</v>
      </c>
      <c r="H15" s="99">
        <f>SUM(H16:H27)</f>
        <v>116600</v>
      </c>
      <c r="I15" s="99">
        <f t="shared" ref="I15" si="3">SUM(I16:I27)</f>
        <v>73914</v>
      </c>
      <c r="J15" s="99">
        <f>SUM(J16:J27)</f>
        <v>91300</v>
      </c>
      <c r="K15" s="180">
        <f t="shared" si="1"/>
        <v>78.301886792452834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8">
        <v>4500</v>
      </c>
      <c r="H16" s="108">
        <v>5000</v>
      </c>
      <c r="I16" s="108">
        <v>3640</v>
      </c>
      <c r="J16" s="108">
        <v>4500</v>
      </c>
      <c r="K16" s="138">
        <f t="shared" si="1"/>
        <v>90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108">
        <v>0</v>
      </c>
      <c r="H17" s="108">
        <v>0</v>
      </c>
      <c r="I17" s="108">
        <v>0</v>
      </c>
      <c r="J17" s="108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108">
        <v>4100</v>
      </c>
      <c r="H18" s="108">
        <v>3300</v>
      </c>
      <c r="I18" s="108">
        <v>2283</v>
      </c>
      <c r="J18" s="108">
        <v>4100</v>
      </c>
      <c r="K18" s="138">
        <f t="shared" si="1"/>
        <v>124.24242424242425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108">
        <v>7700</v>
      </c>
      <c r="H19" s="108">
        <v>16300</v>
      </c>
      <c r="I19" s="108">
        <v>14</v>
      </c>
      <c r="J19" s="108">
        <v>7700</v>
      </c>
      <c r="K19" s="138">
        <f t="shared" si="1"/>
        <v>47.239263803680984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0</v>
      </c>
      <c r="H20" s="108">
        <v>0</v>
      </c>
      <c r="I20" s="108">
        <v>0</v>
      </c>
      <c r="J20" s="108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3000</v>
      </c>
      <c r="H22" s="108">
        <v>3000</v>
      </c>
      <c r="I22" s="108">
        <v>2052</v>
      </c>
      <c r="J22" s="108">
        <v>1000</v>
      </c>
      <c r="K22" s="138">
        <f t="shared" si="1"/>
        <v>33.333333333333329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613800</v>
      </c>
      <c r="F24" s="26" t="s">
        <v>187</v>
      </c>
      <c r="G24" s="108">
        <v>0</v>
      </c>
      <c r="H24" s="108">
        <v>0</v>
      </c>
      <c r="I24" s="108">
        <v>0</v>
      </c>
      <c r="J24" s="108">
        <v>0</v>
      </c>
      <c r="K24" s="138" t="str">
        <f t="shared" si="1"/>
        <v/>
      </c>
    </row>
    <row r="25" spans="2:12" ht="17.100000000000001" customHeight="1">
      <c r="B25" s="14"/>
      <c r="C25" s="15"/>
      <c r="D25" s="15"/>
      <c r="E25" s="16">
        <v>613900</v>
      </c>
      <c r="F25" s="26" t="s">
        <v>168</v>
      </c>
      <c r="G25" s="108">
        <v>19000</v>
      </c>
      <c r="H25" s="108">
        <v>23000</v>
      </c>
      <c r="I25" s="108">
        <v>15934</v>
      </c>
      <c r="J25" s="108">
        <v>19000</v>
      </c>
      <c r="K25" s="138">
        <f t="shared" si="1"/>
        <v>82.608695652173907</v>
      </c>
    </row>
    <row r="26" spans="2:12" ht="17.100000000000001" customHeight="1">
      <c r="B26" s="14"/>
      <c r="C26" s="15"/>
      <c r="D26" s="15"/>
      <c r="E26" s="16">
        <v>613900</v>
      </c>
      <c r="F26" s="26" t="s">
        <v>181</v>
      </c>
      <c r="G26" s="108">
        <v>55000</v>
      </c>
      <c r="H26" s="108">
        <v>66000</v>
      </c>
      <c r="I26" s="108">
        <v>49991</v>
      </c>
      <c r="J26" s="108">
        <v>55000</v>
      </c>
      <c r="K26" s="138">
        <f t="shared" si="1"/>
        <v>83.333333333333343</v>
      </c>
    </row>
    <row r="27" spans="2:12" ht="17.100000000000001" customHeight="1">
      <c r="B27" s="14"/>
      <c r="C27" s="15"/>
      <c r="D27" s="15"/>
      <c r="E27" s="16">
        <v>613900</v>
      </c>
      <c r="F27" s="327" t="s">
        <v>644</v>
      </c>
      <c r="G27" s="108">
        <v>0</v>
      </c>
      <c r="H27" s="108">
        <v>0</v>
      </c>
      <c r="I27" s="108">
        <v>0</v>
      </c>
      <c r="J27" s="108">
        <v>0</v>
      </c>
      <c r="K27" s="138" t="str">
        <f t="shared" si="1"/>
        <v/>
      </c>
    </row>
    <row r="28" spans="2:12" ht="17.100000000000001" customHeight="1">
      <c r="B28" s="14"/>
      <c r="C28" s="15"/>
      <c r="D28" s="15"/>
      <c r="E28" s="16"/>
      <c r="F28" s="15"/>
      <c r="G28" s="108"/>
      <c r="H28" s="108"/>
      <c r="I28" s="108"/>
      <c r="J28" s="108"/>
      <c r="K28" s="138" t="str">
        <f t="shared" si="1"/>
        <v/>
      </c>
    </row>
    <row r="29" spans="2:12" s="1" customFormat="1" ht="17.100000000000001" customHeight="1">
      <c r="B29" s="17"/>
      <c r="C29" s="12"/>
      <c r="D29" s="12"/>
      <c r="E29" s="9">
        <v>614000</v>
      </c>
      <c r="F29" s="12" t="s">
        <v>211</v>
      </c>
      <c r="G29" s="99">
        <f>SUM(G30:G36)</f>
        <v>1070000</v>
      </c>
      <c r="H29" s="99">
        <f>SUM(H30:H36)</f>
        <v>1130000</v>
      </c>
      <c r="I29" s="99">
        <f t="shared" ref="I29" si="4">SUM(I30:I36)</f>
        <v>811539</v>
      </c>
      <c r="J29" s="99">
        <f>SUM(J30:J36)</f>
        <v>1210000</v>
      </c>
      <c r="K29" s="180">
        <f t="shared" si="1"/>
        <v>107.07964601769913</v>
      </c>
    </row>
    <row r="30" spans="2:12" s="171" customFormat="1" ht="27.75" customHeight="1">
      <c r="B30" s="164"/>
      <c r="C30" s="165"/>
      <c r="D30" s="166"/>
      <c r="E30" s="167">
        <v>614100</v>
      </c>
      <c r="F30" s="168" t="s">
        <v>230</v>
      </c>
      <c r="G30" s="169">
        <v>160000</v>
      </c>
      <c r="H30" s="169">
        <v>150000</v>
      </c>
      <c r="I30" s="169">
        <v>120650</v>
      </c>
      <c r="J30" s="169">
        <v>160000</v>
      </c>
      <c r="K30" s="138">
        <f t="shared" si="1"/>
        <v>106.66666666666667</v>
      </c>
      <c r="L30" s="170"/>
    </row>
    <row r="31" spans="2:12" ht="17.100000000000001" customHeight="1">
      <c r="B31" s="14"/>
      <c r="C31" s="15"/>
      <c r="D31" s="15"/>
      <c r="E31" s="109">
        <v>614100</v>
      </c>
      <c r="F31" s="106" t="s">
        <v>100</v>
      </c>
      <c r="G31" s="108">
        <v>300000</v>
      </c>
      <c r="H31" s="108">
        <v>320000</v>
      </c>
      <c r="I31" s="108">
        <v>264150</v>
      </c>
      <c r="J31" s="108">
        <v>350000</v>
      </c>
      <c r="K31" s="138">
        <f t="shared" si="1"/>
        <v>109.375</v>
      </c>
    </row>
    <row r="32" spans="2:12" ht="17.100000000000001" customHeight="1">
      <c r="B32" s="14"/>
      <c r="C32" s="15"/>
      <c r="D32" s="15"/>
      <c r="E32" s="109">
        <v>614100</v>
      </c>
      <c r="F32" s="106" t="s">
        <v>477</v>
      </c>
      <c r="G32" s="108">
        <v>295000</v>
      </c>
      <c r="H32" s="108">
        <v>300000</v>
      </c>
      <c r="I32" s="108">
        <v>173939</v>
      </c>
      <c r="J32" s="108">
        <v>295000</v>
      </c>
      <c r="K32" s="138">
        <f t="shared" si="1"/>
        <v>98.333333333333329</v>
      </c>
    </row>
    <row r="33" spans="2:12" ht="17.100000000000001" customHeight="1">
      <c r="B33" s="14"/>
      <c r="C33" s="15"/>
      <c r="D33" s="15"/>
      <c r="E33" s="16">
        <v>614200</v>
      </c>
      <c r="F33" s="29" t="s">
        <v>112</v>
      </c>
      <c r="G33" s="108">
        <v>120000</v>
      </c>
      <c r="H33" s="108">
        <v>120000</v>
      </c>
      <c r="I33" s="108">
        <v>88800</v>
      </c>
      <c r="J33" s="108">
        <v>150000</v>
      </c>
      <c r="K33" s="138">
        <f t="shared" si="1"/>
        <v>125</v>
      </c>
    </row>
    <row r="34" spans="2:12" s="171" customFormat="1" ht="29.25" customHeight="1">
      <c r="B34" s="164"/>
      <c r="C34" s="165"/>
      <c r="D34" s="165"/>
      <c r="E34" s="167">
        <v>614200</v>
      </c>
      <c r="F34" s="172" t="s">
        <v>325</v>
      </c>
      <c r="G34" s="169">
        <v>15000</v>
      </c>
      <c r="H34" s="169">
        <v>10000</v>
      </c>
      <c r="I34" s="169">
        <v>0</v>
      </c>
      <c r="J34" s="169">
        <v>15000</v>
      </c>
      <c r="K34" s="138">
        <f t="shared" si="1"/>
        <v>150</v>
      </c>
    </row>
    <row r="35" spans="2:12" ht="17.100000000000001" customHeight="1">
      <c r="B35" s="14"/>
      <c r="C35" s="15"/>
      <c r="D35" s="15"/>
      <c r="E35" s="51">
        <v>614300</v>
      </c>
      <c r="F35" s="29" t="s">
        <v>101</v>
      </c>
      <c r="G35" s="108">
        <v>30000</v>
      </c>
      <c r="H35" s="108">
        <v>30000</v>
      </c>
      <c r="I35" s="108">
        <v>14000</v>
      </c>
      <c r="J35" s="108">
        <v>40000</v>
      </c>
      <c r="K35" s="138">
        <f t="shared" si="1"/>
        <v>133.33333333333331</v>
      </c>
    </row>
    <row r="36" spans="2:12" ht="17.100000000000001" customHeight="1">
      <c r="B36" s="14"/>
      <c r="C36" s="15"/>
      <c r="D36" s="15"/>
      <c r="E36" s="51">
        <v>614300</v>
      </c>
      <c r="F36" s="29" t="s">
        <v>102</v>
      </c>
      <c r="G36" s="108">
        <v>150000</v>
      </c>
      <c r="H36" s="108">
        <v>200000</v>
      </c>
      <c r="I36" s="108">
        <v>150000</v>
      </c>
      <c r="J36" s="108">
        <v>200000</v>
      </c>
      <c r="K36" s="138">
        <f t="shared" si="1"/>
        <v>100</v>
      </c>
      <c r="L36" s="98"/>
    </row>
    <row r="37" spans="2:12" ht="17.100000000000001" customHeight="1">
      <c r="B37" s="14"/>
      <c r="C37" s="15"/>
      <c r="D37" s="15"/>
      <c r="E37" s="51"/>
      <c r="F37" s="29"/>
      <c r="G37" s="108"/>
      <c r="H37" s="108"/>
      <c r="I37" s="108"/>
      <c r="J37" s="108"/>
      <c r="K37" s="138" t="str">
        <f t="shared" si="1"/>
        <v/>
      </c>
      <c r="L37" s="98"/>
    </row>
    <row r="38" spans="2:12" ht="17.100000000000001" customHeight="1">
      <c r="B38" s="14"/>
      <c r="C38" s="15"/>
      <c r="D38" s="15"/>
      <c r="E38" s="9">
        <v>615000</v>
      </c>
      <c r="F38" s="32" t="s">
        <v>89</v>
      </c>
      <c r="G38" s="99">
        <f>G39</f>
        <v>0</v>
      </c>
      <c r="H38" s="99">
        <f>H39</f>
        <v>0</v>
      </c>
      <c r="I38" s="99">
        <f t="shared" ref="I38" si="5">I39</f>
        <v>0</v>
      </c>
      <c r="J38" s="99">
        <f>J39</f>
        <v>0</v>
      </c>
      <c r="K38" s="138" t="str">
        <f t="shared" si="1"/>
        <v/>
      </c>
      <c r="L38" s="98"/>
    </row>
    <row r="39" spans="2:12" ht="17.100000000000001" customHeight="1">
      <c r="B39" s="14"/>
      <c r="C39" s="15"/>
      <c r="D39" s="15"/>
      <c r="E39" s="16">
        <v>615100</v>
      </c>
      <c r="F39" s="60" t="s">
        <v>89</v>
      </c>
      <c r="G39" s="108">
        <v>0</v>
      </c>
      <c r="H39" s="108">
        <v>0</v>
      </c>
      <c r="I39" s="108">
        <v>0</v>
      </c>
      <c r="J39" s="108">
        <v>0</v>
      </c>
      <c r="K39" s="138" t="str">
        <f t="shared" si="1"/>
        <v/>
      </c>
      <c r="L39" s="98"/>
    </row>
    <row r="40" spans="2:12" ht="17.100000000000001" customHeight="1">
      <c r="B40" s="14"/>
      <c r="C40" s="15"/>
      <c r="D40" s="15"/>
      <c r="E40" s="51"/>
      <c r="F40" s="29"/>
      <c r="G40" s="108"/>
      <c r="H40" s="108"/>
      <c r="I40" s="108"/>
      <c r="J40" s="108"/>
      <c r="K40" s="138" t="str">
        <f t="shared" si="1"/>
        <v/>
      </c>
    </row>
    <row r="41" spans="2:12" ht="17.100000000000001" customHeight="1">
      <c r="B41" s="14"/>
      <c r="C41" s="15"/>
      <c r="D41" s="15"/>
      <c r="E41" s="9">
        <v>616000</v>
      </c>
      <c r="F41" s="32" t="s">
        <v>212</v>
      </c>
      <c r="G41" s="99">
        <f>G42</f>
        <v>9300</v>
      </c>
      <c r="H41" s="99">
        <f>H42</f>
        <v>9330</v>
      </c>
      <c r="I41" s="99">
        <f t="shared" ref="I41" si="6">I42</f>
        <v>9325</v>
      </c>
      <c r="J41" s="99">
        <f>J42</f>
        <v>6500</v>
      </c>
      <c r="K41" s="180">
        <f t="shared" si="1"/>
        <v>69.667738478027857</v>
      </c>
    </row>
    <row r="42" spans="2:12" ht="17.100000000000001" customHeight="1">
      <c r="B42" s="14"/>
      <c r="C42" s="15"/>
      <c r="D42" s="15"/>
      <c r="E42" s="16">
        <v>616300</v>
      </c>
      <c r="F42" s="60" t="s">
        <v>221</v>
      </c>
      <c r="G42" s="108">
        <v>9300</v>
      </c>
      <c r="H42" s="108">
        <v>9330</v>
      </c>
      <c r="I42" s="108">
        <v>9325</v>
      </c>
      <c r="J42" s="108">
        <v>6500</v>
      </c>
      <c r="K42" s="138">
        <f t="shared" si="1"/>
        <v>69.667738478027857</v>
      </c>
    </row>
    <row r="43" spans="2:12" ht="17.100000000000001" customHeight="1">
      <c r="B43" s="14"/>
      <c r="C43" s="15"/>
      <c r="D43" s="15"/>
      <c r="E43" s="16"/>
      <c r="F43" s="15"/>
      <c r="G43" s="74"/>
      <c r="H43" s="74"/>
      <c r="I43" s="74"/>
      <c r="J43" s="74"/>
      <c r="K43" s="138" t="str">
        <f t="shared" si="1"/>
        <v/>
      </c>
    </row>
    <row r="44" spans="2:12" s="1" customFormat="1" ht="17.100000000000001" customHeight="1">
      <c r="B44" s="17"/>
      <c r="C44" s="12"/>
      <c r="D44" s="12"/>
      <c r="E44" s="9">
        <v>821000</v>
      </c>
      <c r="F44" s="12" t="s">
        <v>90</v>
      </c>
      <c r="G44" s="99">
        <f>SUM(G45:G46)</f>
        <v>16100</v>
      </c>
      <c r="H44" s="99">
        <f>SUM(H45:H46)</f>
        <v>16100</v>
      </c>
      <c r="I44" s="99">
        <f t="shared" ref="I44" si="7">SUM(I45:I46)</f>
        <v>326</v>
      </c>
      <c r="J44" s="99">
        <f>SUM(J45:J46)</f>
        <v>1000</v>
      </c>
      <c r="K44" s="180">
        <f t="shared" si="1"/>
        <v>6.2111801242236027</v>
      </c>
    </row>
    <row r="45" spans="2:12" ht="17.100000000000001" customHeight="1">
      <c r="B45" s="14"/>
      <c r="C45" s="15"/>
      <c r="D45" s="15"/>
      <c r="E45" s="16">
        <v>821200</v>
      </c>
      <c r="F45" s="15" t="s">
        <v>91</v>
      </c>
      <c r="G45" s="74">
        <v>0</v>
      </c>
      <c r="H45" s="74">
        <v>0</v>
      </c>
      <c r="I45" s="74">
        <v>0</v>
      </c>
      <c r="J45" s="74">
        <v>0</v>
      </c>
      <c r="K45" s="138" t="str">
        <f t="shared" si="1"/>
        <v/>
      </c>
    </row>
    <row r="46" spans="2:12" ht="17.100000000000001" customHeight="1">
      <c r="B46" s="14"/>
      <c r="C46" s="15"/>
      <c r="D46" s="15"/>
      <c r="E46" s="16">
        <v>821300</v>
      </c>
      <c r="F46" s="15" t="s">
        <v>92</v>
      </c>
      <c r="G46" s="108">
        <v>16100</v>
      </c>
      <c r="H46" s="108">
        <v>16100</v>
      </c>
      <c r="I46" s="108">
        <v>326</v>
      </c>
      <c r="J46" s="108">
        <v>1000</v>
      </c>
      <c r="K46" s="138">
        <f t="shared" si="1"/>
        <v>6.2111801242236027</v>
      </c>
    </row>
    <row r="47" spans="2:12" ht="17.100000000000001" customHeight="1">
      <c r="B47" s="14"/>
      <c r="C47" s="15"/>
      <c r="D47" s="15"/>
      <c r="E47" s="16"/>
      <c r="F47" s="15"/>
      <c r="G47" s="74"/>
      <c r="H47" s="74"/>
      <c r="I47" s="74"/>
      <c r="J47" s="74"/>
      <c r="K47" s="138" t="str">
        <f t="shared" si="1"/>
        <v/>
      </c>
    </row>
    <row r="48" spans="2:12" ht="17.100000000000001" customHeight="1">
      <c r="B48" s="14"/>
      <c r="C48" s="15"/>
      <c r="D48" s="15"/>
      <c r="E48" s="9">
        <v>823000</v>
      </c>
      <c r="F48" s="12" t="s">
        <v>213</v>
      </c>
      <c r="G48" s="99">
        <f>G49</f>
        <v>75000</v>
      </c>
      <c r="H48" s="99">
        <f>H49</f>
        <v>74980</v>
      </c>
      <c r="I48" s="99">
        <f t="shared" ref="I48" si="8">I49</f>
        <v>74940</v>
      </c>
      <c r="J48" s="99">
        <f>J49</f>
        <v>75000</v>
      </c>
      <c r="K48" s="180">
        <f t="shared" si="1"/>
        <v>100.02667377967458</v>
      </c>
    </row>
    <row r="49" spans="2:11" ht="17.100000000000001" customHeight="1">
      <c r="B49" s="14"/>
      <c r="C49" s="15"/>
      <c r="D49" s="15"/>
      <c r="E49" s="16">
        <v>823300</v>
      </c>
      <c r="F49" s="26" t="s">
        <v>186</v>
      </c>
      <c r="G49" s="108">
        <v>75000</v>
      </c>
      <c r="H49" s="108">
        <v>74980</v>
      </c>
      <c r="I49" s="108">
        <v>74940</v>
      </c>
      <c r="J49" s="108">
        <v>75000</v>
      </c>
      <c r="K49" s="138">
        <f t="shared" si="1"/>
        <v>100.02667377967458</v>
      </c>
    </row>
    <row r="50" spans="2:11" ht="17.100000000000001" customHeight="1">
      <c r="B50" s="14"/>
      <c r="C50" s="15"/>
      <c r="D50" s="15"/>
      <c r="E50" s="16"/>
      <c r="F50" s="26"/>
      <c r="G50" s="74"/>
      <c r="H50" s="74"/>
      <c r="I50" s="74"/>
      <c r="J50" s="74"/>
      <c r="K50" s="138" t="str">
        <f t="shared" si="1"/>
        <v/>
      </c>
    </row>
    <row r="51" spans="2:11" s="1" customFormat="1" ht="17.100000000000001" customHeight="1">
      <c r="B51" s="17"/>
      <c r="C51" s="12"/>
      <c r="D51" s="12"/>
      <c r="E51" s="9"/>
      <c r="F51" s="12" t="s">
        <v>93</v>
      </c>
      <c r="G51" s="20">
        <v>10</v>
      </c>
      <c r="H51" s="20">
        <v>10</v>
      </c>
      <c r="I51" s="20">
        <v>10</v>
      </c>
      <c r="J51" s="20">
        <v>10</v>
      </c>
      <c r="K51" s="138"/>
    </row>
    <row r="52" spans="2:11" s="1" customFormat="1" ht="17.100000000000001" customHeight="1">
      <c r="B52" s="17"/>
      <c r="C52" s="12"/>
      <c r="D52" s="12"/>
      <c r="E52" s="9"/>
      <c r="F52" s="12" t="s">
        <v>113</v>
      </c>
      <c r="G52" s="20">
        <f>G7+G12+G15+G29+G38+G41+G44+G48</f>
        <v>1559710</v>
      </c>
      <c r="H52" s="20">
        <f>H7+H12+H15+H29+H38+H41+H44+H48</f>
        <v>1619000</v>
      </c>
      <c r="I52" s="20">
        <f t="shared" ref="I52" si="9">I7+I12+I15+I29+I38+I41+I44+I48</f>
        <v>1168323</v>
      </c>
      <c r="J52" s="20">
        <f>J7+J12+J15+J29+J38+J41+J44+J48</f>
        <v>1685040</v>
      </c>
      <c r="K52" s="180">
        <f t="shared" si="1"/>
        <v>104.07906114885732</v>
      </c>
    </row>
    <row r="53" spans="2:11" s="1" customFormat="1" ht="17.100000000000001" customHeight="1">
      <c r="B53" s="17"/>
      <c r="C53" s="12"/>
      <c r="D53" s="12"/>
      <c r="E53" s="9"/>
      <c r="F53" s="12" t="s">
        <v>94</v>
      </c>
      <c r="G53" s="15"/>
      <c r="H53" s="15"/>
      <c r="I53" s="15"/>
      <c r="J53" s="15"/>
      <c r="K53" s="139"/>
    </row>
    <row r="54" spans="2:11" s="1" customFormat="1" ht="17.100000000000001" customHeight="1">
      <c r="B54" s="17"/>
      <c r="C54" s="12"/>
      <c r="D54" s="12"/>
      <c r="E54" s="9"/>
      <c r="F54" s="12" t="s">
        <v>95</v>
      </c>
      <c r="G54" s="15"/>
      <c r="H54" s="15"/>
      <c r="I54" s="15"/>
      <c r="J54" s="15"/>
      <c r="K54" s="139"/>
    </row>
    <row r="55" spans="2:11" ht="8.25" customHeight="1" thickBot="1">
      <c r="B55" s="21"/>
      <c r="C55" s="22"/>
      <c r="D55" s="22"/>
      <c r="E55" s="23"/>
      <c r="F55" s="22"/>
      <c r="G55" s="22"/>
      <c r="H55" s="22"/>
      <c r="I55" s="22"/>
      <c r="J55" s="22"/>
      <c r="K55" s="141"/>
    </row>
    <row r="56" spans="2:11" ht="17.100000000000001" customHeight="1"/>
    <row r="57" spans="2:11" ht="17.100000000000001" customHeight="1"/>
    <row r="58" spans="2:11" ht="17.100000000000001" customHeight="1">
      <c r="B58" s="73"/>
    </row>
    <row r="59" spans="2:11" ht="17.100000000000001" customHeight="1">
      <c r="B59" s="73"/>
    </row>
    <row r="60" spans="2:11">
      <c r="B60" s="73"/>
    </row>
    <row r="61" spans="2:11">
      <c r="B61" s="73"/>
    </row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B2:N59"/>
  <sheetViews>
    <sheetView topLeftCell="C1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2" width="9.140625" style="13"/>
    <col min="13" max="13" width="10.140625" style="13" bestFit="1" customWidth="1"/>
    <col min="14" max="16384" width="9.140625" style="13"/>
  </cols>
  <sheetData>
    <row r="2" spans="2:14" ht="15" customHeight="1">
      <c r="B2" s="483" t="s">
        <v>169</v>
      </c>
      <c r="C2" s="483"/>
      <c r="D2" s="483"/>
      <c r="E2" s="483"/>
      <c r="F2" s="483"/>
      <c r="G2" s="483"/>
      <c r="H2" s="417"/>
      <c r="I2" s="417"/>
    </row>
    <row r="3" spans="2:14" s="1" customFormat="1" ht="16.5" thickBot="1">
      <c r="E3" s="2"/>
      <c r="F3" s="482"/>
      <c r="G3" s="482"/>
      <c r="H3" s="416"/>
      <c r="I3" s="416"/>
      <c r="J3" s="162"/>
      <c r="K3" s="163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4" s="2" customFormat="1" ht="17.100000000000001" customHeight="1">
      <c r="B6" s="10" t="s">
        <v>144</v>
      </c>
      <c r="C6" s="11" t="s">
        <v>133</v>
      </c>
      <c r="D6" s="11" t="s">
        <v>118</v>
      </c>
      <c r="E6" s="9"/>
      <c r="F6" s="9"/>
      <c r="G6" s="150"/>
      <c r="H6" s="150"/>
      <c r="I6" s="150"/>
      <c r="J6" s="150"/>
      <c r="K6" s="136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1125570</v>
      </c>
      <c r="H7" s="356">
        <f>SUM(H8:H11)</f>
        <v>1091780</v>
      </c>
      <c r="I7" s="356">
        <f t="shared" ref="I7" si="0">SUM(I8:I11)</f>
        <v>810214</v>
      </c>
      <c r="J7" s="356">
        <f>SUM(J8:J11)</f>
        <v>1104340</v>
      </c>
      <c r="K7" s="137">
        <f>IF(H7=0,"",J7/H7*100)</f>
        <v>101.15041491875654</v>
      </c>
      <c r="M7" s="83"/>
      <c r="N7" s="83"/>
    </row>
    <row r="8" spans="2:14" ht="17.100000000000001" customHeight="1">
      <c r="B8" s="14"/>
      <c r="C8" s="15"/>
      <c r="D8" s="15"/>
      <c r="E8" s="16">
        <v>611100</v>
      </c>
      <c r="F8" s="26" t="s">
        <v>207</v>
      </c>
      <c r="G8" s="358">
        <v>909260</v>
      </c>
      <c r="H8" s="358">
        <f>859160+5000+3650+1300</f>
        <v>869110</v>
      </c>
      <c r="I8" s="358">
        <v>653100</v>
      </c>
      <c r="J8" s="358">
        <f>856320+2000+8230+25690</f>
        <v>892240</v>
      </c>
      <c r="K8" s="138">
        <f>IF(H8=0,"",J8/H8*100)</f>
        <v>102.66134321317209</v>
      </c>
    </row>
    <row r="9" spans="2:14" ht="17.100000000000001" customHeight="1">
      <c r="B9" s="14"/>
      <c r="C9" s="15"/>
      <c r="D9" s="15"/>
      <c r="E9" s="16">
        <v>611200</v>
      </c>
      <c r="F9" s="15" t="s">
        <v>208</v>
      </c>
      <c r="G9" s="358">
        <v>216310</v>
      </c>
      <c r="H9" s="358">
        <f>204370+2000+2520+53*260</f>
        <v>222670</v>
      </c>
      <c r="I9" s="358">
        <v>157114</v>
      </c>
      <c r="J9" s="358">
        <f>194450+1500+4*1470+3*840+7750</f>
        <v>212100</v>
      </c>
      <c r="K9" s="138">
        <f t="shared" ref="K9:K34" si="1">IF(H9=0,"",J9/H9*100)</f>
        <v>95.253065073876144</v>
      </c>
      <c r="M9" s="82"/>
    </row>
    <row r="10" spans="2:14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4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96800</v>
      </c>
      <c r="H12" s="356">
        <f>H13</f>
        <v>93320</v>
      </c>
      <c r="I12" s="356">
        <f t="shared" ref="I12" si="2">I13</f>
        <v>70111</v>
      </c>
      <c r="J12" s="356">
        <f>J13</f>
        <v>98200</v>
      </c>
      <c r="K12" s="180">
        <f t="shared" si="1"/>
        <v>105.22931847406774</v>
      </c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358">
        <v>96800</v>
      </c>
      <c r="H13" s="358">
        <f>92200+700+420</f>
        <v>93320</v>
      </c>
      <c r="I13" s="358">
        <v>70111</v>
      </c>
      <c r="J13" s="358">
        <f>94850+500+2850</f>
        <v>98200</v>
      </c>
      <c r="K13" s="138">
        <f t="shared" si="1"/>
        <v>105.22931847406774</v>
      </c>
    </row>
    <row r="14" spans="2:14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167500</v>
      </c>
      <c r="H15" s="44">
        <f>SUM(H16:H25)</f>
        <v>156500</v>
      </c>
      <c r="I15" s="44">
        <f t="shared" ref="I15" si="3">SUM(I16:I25)</f>
        <v>87113</v>
      </c>
      <c r="J15" s="44">
        <f>SUM(J16:J25)</f>
        <v>155500</v>
      </c>
      <c r="K15" s="180">
        <f t="shared" si="1"/>
        <v>99.361022364217249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40">
        <v>6000</v>
      </c>
      <c r="H16" s="40">
        <v>6000</v>
      </c>
      <c r="I16" s="40">
        <v>3816</v>
      </c>
      <c r="J16" s="40">
        <v>6000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70000</v>
      </c>
      <c r="H17" s="40">
        <v>65000</v>
      </c>
      <c r="I17" s="40">
        <v>24261</v>
      </c>
      <c r="J17" s="40">
        <v>60000</v>
      </c>
      <c r="K17" s="138">
        <f t="shared" si="1"/>
        <v>92.307692307692307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8000</v>
      </c>
      <c r="H18" s="40">
        <v>8000</v>
      </c>
      <c r="I18" s="40">
        <v>6638</v>
      </c>
      <c r="J18" s="40">
        <v>8000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22000</v>
      </c>
      <c r="H19" s="40">
        <v>20000</v>
      </c>
      <c r="I19" s="40">
        <v>13872</v>
      </c>
      <c r="J19" s="40">
        <v>22000</v>
      </c>
      <c r="K19" s="138">
        <f t="shared" si="1"/>
        <v>110.00000000000001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1500</v>
      </c>
      <c r="H20" s="108">
        <v>2500</v>
      </c>
      <c r="I20" s="108">
        <v>1115</v>
      </c>
      <c r="J20" s="108">
        <v>2500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40">
        <v>15000</v>
      </c>
      <c r="H22" s="40">
        <v>15000</v>
      </c>
      <c r="I22" s="40">
        <v>9018</v>
      </c>
      <c r="J22" s="40">
        <v>17000</v>
      </c>
      <c r="K22" s="138">
        <f t="shared" si="1"/>
        <v>113.33333333333333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40">
        <v>0</v>
      </c>
      <c r="H23" s="40">
        <v>0</v>
      </c>
      <c r="I23" s="40">
        <v>0</v>
      </c>
      <c r="J23" s="40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45000</v>
      </c>
      <c r="H24" s="108">
        <v>40000</v>
      </c>
      <c r="I24" s="108">
        <v>28393</v>
      </c>
      <c r="J24" s="108">
        <v>40000</v>
      </c>
      <c r="K24" s="138">
        <f t="shared" si="1"/>
        <v>100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0">
        <v>0</v>
      </c>
      <c r="H25" s="100">
        <v>0</v>
      </c>
      <c r="I25" s="100">
        <v>0</v>
      </c>
      <c r="J25" s="100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40"/>
      <c r="H26" s="40"/>
      <c r="I26" s="40"/>
      <c r="J26" s="40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SUM(G28:G30)</f>
        <v>81000</v>
      </c>
      <c r="H27" s="20">
        <f>SUM(H28:H30)</f>
        <v>81000</v>
      </c>
      <c r="I27" s="20">
        <f t="shared" ref="I27" si="4">SUM(I28:I30)</f>
        <v>4000</v>
      </c>
      <c r="J27" s="20">
        <f>SUM(J28:J30)</f>
        <v>30000</v>
      </c>
      <c r="K27" s="180">
        <f t="shared" si="1"/>
        <v>37.037037037037038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8">
        <v>77000</v>
      </c>
      <c r="H28" s="108">
        <v>77000</v>
      </c>
      <c r="I28" s="108">
        <v>0</v>
      </c>
      <c r="J28" s="108">
        <v>25000</v>
      </c>
      <c r="K28" s="138">
        <f t="shared" si="1"/>
        <v>32.467532467532465</v>
      </c>
      <c r="L28" s="73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8">
        <v>4000</v>
      </c>
      <c r="H29" s="108">
        <v>4000</v>
      </c>
      <c r="I29" s="108">
        <v>4000</v>
      </c>
      <c r="J29" s="108">
        <v>5000</v>
      </c>
      <c r="K29" s="138">
        <f t="shared" si="1"/>
        <v>125</v>
      </c>
    </row>
    <row r="30" spans="2:12" ht="17.100000000000001" customHeight="1">
      <c r="B30" s="14"/>
      <c r="C30" s="15"/>
      <c r="D30" s="15"/>
      <c r="E30" s="16"/>
      <c r="F30" s="26"/>
      <c r="G30" s="40"/>
      <c r="H30" s="40"/>
      <c r="I30" s="40"/>
      <c r="J30" s="4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768</v>
      </c>
      <c r="H31" s="25" t="s">
        <v>663</v>
      </c>
      <c r="I31" s="25" t="s">
        <v>741</v>
      </c>
      <c r="J31" s="25" t="s">
        <v>741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1470870</v>
      </c>
      <c r="H32" s="20">
        <f>H7+H12+H15+H27</f>
        <v>1422600</v>
      </c>
      <c r="I32" s="20">
        <f t="shared" ref="I32" si="5">I7+I12+I15+I27</f>
        <v>971438</v>
      </c>
      <c r="J32" s="20">
        <f>J7+J12+J15+J27</f>
        <v>1388040</v>
      </c>
      <c r="K32" s="180">
        <f t="shared" si="1"/>
        <v>97.570645297342892</v>
      </c>
    </row>
    <row r="33" spans="2:14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  <c r="N33" s="1" t="s">
        <v>176</v>
      </c>
    </row>
    <row r="34" spans="2:14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4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4" ht="17.100000000000001" customHeight="1"/>
    <row r="37" spans="2:14" ht="17.100000000000001" customHeight="1">
      <c r="B37" s="73"/>
    </row>
    <row r="38" spans="2:14" ht="17.100000000000001" customHeight="1">
      <c r="B38" s="73"/>
    </row>
    <row r="39" spans="2:14" ht="17.100000000000001" customHeight="1">
      <c r="B39" s="73"/>
    </row>
    <row r="40" spans="2:14" ht="17.100000000000001" customHeight="1">
      <c r="B40" s="73"/>
    </row>
    <row r="41" spans="2:14" ht="17.100000000000001" customHeight="1">
      <c r="B41" s="73"/>
    </row>
    <row r="42" spans="2:14" ht="17.100000000000001" customHeight="1">
      <c r="B42" s="73"/>
    </row>
    <row r="43" spans="2:14" ht="17.100000000000001" customHeight="1">
      <c r="B43" s="73"/>
    </row>
    <row r="44" spans="2:14" ht="17.100000000000001" customHeight="1">
      <c r="B44" s="73"/>
    </row>
    <row r="45" spans="2:14" ht="17.100000000000001" customHeight="1">
      <c r="B45" s="73"/>
    </row>
    <row r="46" spans="2:14" ht="17.100000000000001" customHeight="1">
      <c r="B46" s="73"/>
    </row>
    <row r="47" spans="2:14" ht="17.100000000000001" customHeight="1">
      <c r="B47" s="73"/>
    </row>
    <row r="48" spans="2:14" ht="17.100000000000001" customHeight="1">
      <c r="B48" s="73"/>
    </row>
    <row r="49" spans="2:2" ht="17.100000000000001" customHeight="1">
      <c r="B49" s="73"/>
    </row>
    <row r="50" spans="2:2" ht="17.100000000000001" customHeight="1">
      <c r="B50" s="73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B2:M59"/>
  <sheetViews>
    <sheetView topLeftCell="C1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3" t="s">
        <v>319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22" t="s">
        <v>144</v>
      </c>
      <c r="C6" s="123" t="s">
        <v>133</v>
      </c>
      <c r="D6" s="123" t="s">
        <v>125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1048080</v>
      </c>
      <c r="H7" s="356">
        <f>SUM(H8:H11)</f>
        <v>964670</v>
      </c>
      <c r="I7" s="356">
        <f t="shared" ref="I7" si="0">SUM(I8:I11)</f>
        <v>706869</v>
      </c>
      <c r="J7" s="356">
        <f>SUM(J8:J11)</f>
        <v>999600</v>
      </c>
      <c r="K7" s="137">
        <f>IF(H7=0,"",J7/H7*100)</f>
        <v>103.62092736376169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829230</v>
      </c>
      <c r="H8" s="358">
        <f>757980+7500</f>
        <v>765480</v>
      </c>
      <c r="I8" s="358">
        <v>570440</v>
      </c>
      <c r="J8" s="358">
        <f>743160+0+1200+2*8280+9120+22300+770</f>
        <v>793110</v>
      </c>
      <c r="K8" s="138">
        <f>IF(H8=0,"",J8/H8*100)</f>
        <v>103.60949992161781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218850</v>
      </c>
      <c r="H9" s="358">
        <f>184390+1800+50*260</f>
        <v>199190</v>
      </c>
      <c r="I9" s="358">
        <v>136429</v>
      </c>
      <c r="J9" s="358">
        <f>185030+3000+2*1470+3*840+3500+9500</f>
        <v>206490</v>
      </c>
      <c r="K9" s="138">
        <f t="shared" ref="K9:K34" si="1">IF(H9=0,"",J9/H9*100)</f>
        <v>103.66484261258096</v>
      </c>
      <c r="M9" s="73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88200</v>
      </c>
      <c r="H12" s="356">
        <f>H13</f>
        <v>82130</v>
      </c>
      <c r="I12" s="356">
        <f t="shared" ref="I12" si="2">I13</f>
        <v>61221</v>
      </c>
      <c r="J12" s="356">
        <f>J13</f>
        <v>84970</v>
      </c>
      <c r="K12" s="180">
        <f t="shared" si="1"/>
        <v>103.45793254596371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88200</v>
      </c>
      <c r="H13" s="358">
        <f>81230+900</f>
        <v>82130</v>
      </c>
      <c r="I13" s="358">
        <v>61221</v>
      </c>
      <c r="J13" s="358">
        <f>79660+0+2*910+1010+2390+90</f>
        <v>84970</v>
      </c>
      <c r="K13" s="138">
        <f t="shared" si="1"/>
        <v>103.45793254596371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168500</v>
      </c>
      <c r="H15" s="44">
        <f>SUM(H16:H25)</f>
        <v>206500</v>
      </c>
      <c r="I15" s="44">
        <f t="shared" ref="I15" si="3">SUM(I16:I25)</f>
        <v>121083</v>
      </c>
      <c r="J15" s="44">
        <f>SUM(J16:J25)</f>
        <v>206700</v>
      </c>
      <c r="K15" s="180">
        <f t="shared" si="1"/>
        <v>100.09685230024212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8">
        <v>5000</v>
      </c>
      <c r="H16" s="108">
        <v>6000</v>
      </c>
      <c r="I16" s="108">
        <v>4316</v>
      </c>
      <c r="J16" s="108">
        <v>6000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80000</v>
      </c>
      <c r="H17" s="40">
        <v>100000</v>
      </c>
      <c r="I17" s="40">
        <v>58589</v>
      </c>
      <c r="J17" s="40">
        <v>100000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108">
        <v>18000</v>
      </c>
      <c r="H18" s="108">
        <v>18000</v>
      </c>
      <c r="I18" s="108">
        <v>9306</v>
      </c>
      <c r="J18" s="108">
        <v>18000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108">
        <v>25000</v>
      </c>
      <c r="H19" s="108">
        <v>27000</v>
      </c>
      <c r="I19" s="108">
        <v>15708</v>
      </c>
      <c r="J19" s="108">
        <v>30000</v>
      </c>
      <c r="K19" s="138">
        <f t="shared" si="1"/>
        <v>111.11111111111111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500</v>
      </c>
      <c r="H20" s="108">
        <v>500</v>
      </c>
      <c r="I20" s="108">
        <v>147</v>
      </c>
      <c r="J20" s="108">
        <v>700</v>
      </c>
      <c r="K20" s="138">
        <f t="shared" si="1"/>
        <v>140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30000</v>
      </c>
      <c r="H22" s="108">
        <v>30000</v>
      </c>
      <c r="I22" s="108">
        <v>19924</v>
      </c>
      <c r="J22" s="108">
        <v>32000</v>
      </c>
      <c r="K22" s="138">
        <f t="shared" si="1"/>
        <v>106.66666666666667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10000</v>
      </c>
      <c r="H24" s="108">
        <v>25000</v>
      </c>
      <c r="I24" s="108">
        <v>13093</v>
      </c>
      <c r="J24" s="108">
        <v>20000</v>
      </c>
      <c r="K24" s="138">
        <f t="shared" si="1"/>
        <v>80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5000</v>
      </c>
      <c r="H27" s="99">
        <f>SUM(H28:H29)</f>
        <v>25000</v>
      </c>
      <c r="I27" s="99">
        <f t="shared" ref="I27" si="4">SUM(I28:I29)</f>
        <v>4971</v>
      </c>
      <c r="J27" s="99">
        <f>SUM(J28:J29)</f>
        <v>5000</v>
      </c>
      <c r="K27" s="180">
        <f t="shared" si="1"/>
        <v>20</v>
      </c>
    </row>
    <row r="28" spans="2:12" ht="17.100000000000001" customHeight="1">
      <c r="B28" s="14"/>
      <c r="C28" s="15"/>
      <c r="D28" s="15"/>
      <c r="E28" s="110">
        <v>821200</v>
      </c>
      <c r="F28" s="19" t="s">
        <v>91</v>
      </c>
      <c r="G28" s="108">
        <v>0</v>
      </c>
      <c r="H28" s="108">
        <v>0</v>
      </c>
      <c r="I28" s="108">
        <v>0</v>
      </c>
      <c r="J28" s="108">
        <v>0</v>
      </c>
      <c r="K28" s="138" t="str">
        <f t="shared" si="1"/>
        <v/>
      </c>
      <c r="L28" s="73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8">
        <v>5000</v>
      </c>
      <c r="H29" s="108">
        <v>25000</v>
      </c>
      <c r="I29" s="108">
        <v>4971</v>
      </c>
      <c r="J29" s="108">
        <v>5000</v>
      </c>
      <c r="K29" s="138">
        <f t="shared" si="1"/>
        <v>20</v>
      </c>
    </row>
    <row r="30" spans="2:12" ht="17.100000000000001" customHeight="1">
      <c r="B30" s="14"/>
      <c r="C30" s="15"/>
      <c r="D30" s="15"/>
      <c r="E30" s="16"/>
      <c r="F30" s="15"/>
      <c r="G30" s="108"/>
      <c r="H30" s="108"/>
      <c r="I30" s="108"/>
      <c r="J30" s="108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769</v>
      </c>
      <c r="H31" s="25" t="s">
        <v>665</v>
      </c>
      <c r="I31" s="25" t="s">
        <v>742</v>
      </c>
      <c r="J31" s="25" t="s">
        <v>757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1309780</v>
      </c>
      <c r="H32" s="20">
        <f>H7+H12+H15+H27</f>
        <v>1278300</v>
      </c>
      <c r="I32" s="20">
        <f t="shared" ref="I32" si="5">I7+I12+I15+I27</f>
        <v>894144</v>
      </c>
      <c r="J32" s="20">
        <f>J7+J12+J15+J27</f>
        <v>1296270</v>
      </c>
      <c r="K32" s="180">
        <f t="shared" si="1"/>
        <v>101.4057732926543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B2:M59"/>
  <sheetViews>
    <sheetView topLeftCell="A4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81" t="s">
        <v>320</v>
      </c>
      <c r="C2" s="481"/>
      <c r="D2" s="481"/>
      <c r="E2" s="481"/>
      <c r="F2" s="481"/>
      <c r="G2" s="481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22" t="s">
        <v>144</v>
      </c>
      <c r="C6" s="123" t="s">
        <v>133</v>
      </c>
      <c r="D6" s="123" t="s">
        <v>126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832760</v>
      </c>
      <c r="H7" s="356">
        <f>SUM(H8:H11)</f>
        <v>815970</v>
      </c>
      <c r="I7" s="356">
        <f t="shared" ref="I7" si="0">SUM(I8:I11)</f>
        <v>594791</v>
      </c>
      <c r="J7" s="356">
        <f>SUM(J8:J11)</f>
        <v>844620</v>
      </c>
      <c r="K7" s="137">
        <f>IF(H7=0,"",J7/H7*100)</f>
        <v>103.5111584984742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669160</v>
      </c>
      <c r="H8" s="358">
        <f>657760+4500</f>
        <v>662260</v>
      </c>
      <c r="I8" s="358">
        <v>492586</v>
      </c>
      <c r="J8" s="358">
        <f>658100+0+19750</f>
        <v>677850</v>
      </c>
      <c r="K8" s="138">
        <f>IF(H8=0,"",J8/H8*100)</f>
        <v>102.35406033883973</v>
      </c>
      <c r="L8" s="73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163600</v>
      </c>
      <c r="H9" s="358">
        <f>141230+1300+43*260</f>
        <v>153710</v>
      </c>
      <c r="I9" s="358">
        <v>102205</v>
      </c>
      <c r="J9" s="358">
        <f>157980+1500+1470+3*840+3300</f>
        <v>166770</v>
      </c>
      <c r="K9" s="138">
        <f t="shared" ref="K9:K34" si="1">IF(H9=0,"",J9/H9*100)</f>
        <v>108.49651941968644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72030</v>
      </c>
      <c r="H12" s="356">
        <f>H13</f>
        <v>70870</v>
      </c>
      <c r="I12" s="356">
        <f t="shared" ref="I12" si="2">I13</f>
        <v>52563</v>
      </c>
      <c r="J12" s="356">
        <f>J13</f>
        <v>72580</v>
      </c>
      <c r="K12" s="180">
        <f t="shared" si="1"/>
        <v>102.41286863270777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72030</v>
      </c>
      <c r="H13" s="358">
        <f>70270+600</f>
        <v>70870</v>
      </c>
      <c r="I13" s="358">
        <v>52563</v>
      </c>
      <c r="J13" s="358">
        <f>70460+0+2120</f>
        <v>72580</v>
      </c>
      <c r="K13" s="138">
        <f t="shared" si="1"/>
        <v>102.41286863270777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SUM(G16:G26)</f>
        <v>138500</v>
      </c>
      <c r="H15" s="44">
        <f>SUM(H16:H26)</f>
        <v>152500</v>
      </c>
      <c r="I15" s="44">
        <f t="shared" ref="I15" si="3">SUM(I16:I26)</f>
        <v>94212</v>
      </c>
      <c r="J15" s="44">
        <f>SUM(J16:J26)</f>
        <v>141210</v>
      </c>
      <c r="K15" s="180">
        <f t="shared" si="1"/>
        <v>92.596721311475406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8">
        <v>4000</v>
      </c>
      <c r="H16" s="108">
        <v>4500</v>
      </c>
      <c r="I16" s="108">
        <v>3384</v>
      </c>
      <c r="J16" s="108">
        <v>4000</v>
      </c>
      <c r="K16" s="138">
        <f t="shared" si="1"/>
        <v>88.888888888888886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45000</v>
      </c>
      <c r="H17" s="40">
        <v>50000</v>
      </c>
      <c r="I17" s="40">
        <v>29422</v>
      </c>
      <c r="J17" s="40">
        <v>50000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7500</v>
      </c>
      <c r="H18" s="40">
        <v>7500</v>
      </c>
      <c r="I18" s="40">
        <v>4774</v>
      </c>
      <c r="J18" s="40">
        <v>7500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15000</v>
      </c>
      <c r="H19" s="40">
        <v>17000</v>
      </c>
      <c r="I19" s="40">
        <v>10490</v>
      </c>
      <c r="J19" s="40">
        <v>17000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3000</v>
      </c>
      <c r="H20" s="108">
        <v>3000</v>
      </c>
      <c r="I20" s="108">
        <v>2437</v>
      </c>
      <c r="J20" s="108">
        <v>3000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14000</v>
      </c>
      <c r="H22" s="108">
        <v>12000</v>
      </c>
      <c r="I22" s="108">
        <v>6982</v>
      </c>
      <c r="J22" s="108">
        <v>14000</v>
      </c>
      <c r="K22" s="138">
        <f t="shared" si="1"/>
        <v>116.66666666666667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379">
        <v>50000</v>
      </c>
      <c r="H24" s="379">
        <v>43500</v>
      </c>
      <c r="I24" s="379">
        <v>36723</v>
      </c>
      <c r="J24" s="379">
        <v>25000</v>
      </c>
      <c r="K24" s="138">
        <f t="shared" si="1"/>
        <v>57.47126436781609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>
        <v>613900</v>
      </c>
      <c r="F26" s="101" t="s">
        <v>674</v>
      </c>
      <c r="G26" s="108">
        <v>0</v>
      </c>
      <c r="H26" s="108">
        <v>15000</v>
      </c>
      <c r="I26" s="108">
        <v>0</v>
      </c>
      <c r="J26" s="108">
        <v>20710</v>
      </c>
      <c r="K26" s="138">
        <f t="shared" si="1"/>
        <v>138.06666666666666</v>
      </c>
    </row>
    <row r="27" spans="2:12" s="1" customFormat="1" ht="17.100000000000001" customHeight="1">
      <c r="B27" s="17"/>
      <c r="C27" s="12"/>
      <c r="D27" s="12"/>
      <c r="E27" s="9"/>
      <c r="F27" s="12"/>
      <c r="G27" s="108"/>
      <c r="H27" s="108"/>
      <c r="I27" s="108"/>
      <c r="J27" s="108"/>
      <c r="K27" s="138" t="str">
        <f t="shared" si="1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99">
        <f>SUM(G29:G30)</f>
        <v>5000</v>
      </c>
      <c r="H28" s="99">
        <f>SUM(H29:H30)</f>
        <v>5000</v>
      </c>
      <c r="I28" s="99">
        <f t="shared" ref="I28" si="4">SUM(I29:I30)</f>
        <v>4937</v>
      </c>
      <c r="J28" s="99">
        <f>SUM(J29:J30)</f>
        <v>15200</v>
      </c>
      <c r="K28" s="180">
        <f t="shared" si="1"/>
        <v>304</v>
      </c>
    </row>
    <row r="29" spans="2:12" ht="17.100000000000001" customHeight="1">
      <c r="B29" s="14"/>
      <c r="C29" s="15"/>
      <c r="D29" s="15"/>
      <c r="E29" s="110">
        <v>821200</v>
      </c>
      <c r="F29" s="19" t="s">
        <v>91</v>
      </c>
      <c r="G29" s="108">
        <v>0</v>
      </c>
      <c r="H29" s="108">
        <v>0</v>
      </c>
      <c r="I29" s="108">
        <v>0</v>
      </c>
      <c r="J29" s="108">
        <v>0</v>
      </c>
      <c r="K29" s="138" t="str">
        <f t="shared" si="1"/>
        <v/>
      </c>
      <c r="L29" s="73"/>
    </row>
    <row r="30" spans="2:12" ht="17.100000000000001" customHeight="1">
      <c r="B30" s="14"/>
      <c r="C30" s="15"/>
      <c r="D30" s="15"/>
      <c r="E30" s="16">
        <v>821300</v>
      </c>
      <c r="F30" s="15" t="s">
        <v>92</v>
      </c>
      <c r="G30" s="108">
        <v>5000</v>
      </c>
      <c r="H30" s="108">
        <v>5000</v>
      </c>
      <c r="I30" s="108">
        <v>4937</v>
      </c>
      <c r="J30" s="108">
        <f>5000+10200</f>
        <v>15200</v>
      </c>
      <c r="K30" s="138">
        <f t="shared" si="1"/>
        <v>304</v>
      </c>
    </row>
    <row r="31" spans="2:12" ht="17.100000000000001" customHeight="1">
      <c r="B31" s="14"/>
      <c r="C31" s="15"/>
      <c r="D31" s="15"/>
      <c r="E31" s="16"/>
      <c r="F31" s="15"/>
      <c r="G31" s="40"/>
      <c r="H31" s="40"/>
      <c r="I31" s="40"/>
      <c r="J31" s="40"/>
      <c r="K31" s="138" t="str">
        <f t="shared" si="1"/>
        <v/>
      </c>
    </row>
    <row r="32" spans="2:12" s="1" customFormat="1" ht="17.100000000000001" customHeight="1">
      <c r="B32" s="17"/>
      <c r="C32" s="12"/>
      <c r="D32" s="12"/>
      <c r="E32" s="9"/>
      <c r="F32" s="12" t="s">
        <v>93</v>
      </c>
      <c r="G32" s="25" t="s">
        <v>770</v>
      </c>
      <c r="H32" s="25" t="s">
        <v>666</v>
      </c>
      <c r="I32" s="25" t="s">
        <v>666</v>
      </c>
      <c r="J32" s="25" t="s">
        <v>666</v>
      </c>
      <c r="K32" s="138"/>
    </row>
    <row r="33" spans="2:11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1048290</v>
      </c>
      <c r="H33" s="20">
        <f>H7+H12+H15+H28</f>
        <v>1044340</v>
      </c>
      <c r="I33" s="20">
        <f t="shared" ref="I33" si="5">I7+I12+I15+I28</f>
        <v>746503</v>
      </c>
      <c r="J33" s="20">
        <f>J7+J12+J15+J28</f>
        <v>1073610</v>
      </c>
      <c r="K33" s="180">
        <f>IF(H33=0,"",J33/H33*100)</f>
        <v>102.80272708121876</v>
      </c>
    </row>
    <row r="34" spans="2:11" s="1" customFormat="1" ht="17.100000000000001" customHeight="1">
      <c r="B34" s="17"/>
      <c r="C34" s="12"/>
      <c r="D34" s="12"/>
      <c r="E34" s="9"/>
      <c r="F34" s="12" t="s">
        <v>94</v>
      </c>
      <c r="G34" s="20">
        <f>G33+'22'!G32+'21'!G32</f>
        <v>3828940</v>
      </c>
      <c r="H34" s="20">
        <f>H33+'22'!H32+'21'!H32</f>
        <v>3745240</v>
      </c>
      <c r="I34" s="20">
        <f>I33+'22'!I32+'21'!I32</f>
        <v>2612085</v>
      </c>
      <c r="J34" s="20">
        <f>J33+'22'!J32+'21'!J32</f>
        <v>3757920</v>
      </c>
      <c r="K34" s="180">
        <f t="shared" si="1"/>
        <v>100.3385630827397</v>
      </c>
    </row>
    <row r="35" spans="2:11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39"/>
      <c r="K35" s="139"/>
    </row>
    <row r="36" spans="2:11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41"/>
      <c r="K36" s="141"/>
    </row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315"/>
  <sheetViews>
    <sheetView topLeftCell="A19" zoomScaleNormal="100" workbookViewId="0">
      <selection activeCell="J37" sqref="J37"/>
    </sheetView>
  </sheetViews>
  <sheetFormatPr defaultRowHeight="15" customHeight="1"/>
  <cols>
    <col min="1" max="1" width="50" customWidth="1"/>
    <col min="2" max="3" width="16.28515625" customWidth="1"/>
    <col min="4" max="4" width="14.85546875" customWidth="1"/>
    <col min="5" max="5" width="8" customWidth="1"/>
    <col min="6" max="6" width="6.42578125" customWidth="1"/>
    <col min="8" max="9" width="15.7109375" customWidth="1"/>
    <col min="10" max="10" width="8.7109375" customWidth="1"/>
  </cols>
  <sheetData>
    <row r="1" spans="1:27" ht="15" customHeight="1">
      <c r="A1" s="464" t="s">
        <v>664</v>
      </c>
      <c r="B1" s="464"/>
      <c r="C1" s="465"/>
      <c r="D1" s="465"/>
      <c r="E1" s="465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5" customHeight="1">
      <c r="A2" s="465"/>
      <c r="B2" s="465"/>
      <c r="C2" s="465"/>
      <c r="D2" s="465"/>
      <c r="E2" s="465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5" customHeight="1">
      <c r="A3" s="465"/>
      <c r="B3" s="465"/>
      <c r="C3" s="465"/>
      <c r="D3" s="465"/>
      <c r="E3" s="465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0.5" customHeight="1">
      <c r="A4" s="465"/>
      <c r="B4" s="465"/>
      <c r="C4" s="465"/>
      <c r="D4" s="465"/>
      <c r="E4" s="465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9" hidden="1" customHeight="1">
      <c r="A5" s="448"/>
      <c r="B5" s="448"/>
      <c r="C5" s="448"/>
      <c r="D5" s="448"/>
      <c r="E5" s="44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9" customHeight="1">
      <c r="A6" s="262"/>
      <c r="B6" s="423"/>
      <c r="C6" s="262"/>
      <c r="D6" s="262"/>
      <c r="E6" s="262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18.75" customHeight="1">
      <c r="A7" s="466" t="s">
        <v>725</v>
      </c>
      <c r="B7" s="466"/>
      <c r="C7" s="466"/>
      <c r="D7" s="466"/>
      <c r="E7" s="46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5" customHeight="1">
      <c r="A8" s="467" t="s">
        <v>726</v>
      </c>
      <c r="B8" s="467"/>
      <c r="C8" s="467"/>
      <c r="D8" s="467"/>
      <c r="E8" s="46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6.75" customHeight="1">
      <c r="A9" s="47"/>
      <c r="B9" s="46"/>
      <c r="C9" s="46"/>
      <c r="D9" s="4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15" customHeight="1">
      <c r="A10" s="211" t="s">
        <v>199</v>
      </c>
      <c r="B10" s="62"/>
      <c r="C10" s="62"/>
      <c r="D10" s="62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6.75" customHeight="1">
      <c r="A11" s="48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15" customHeight="1">
      <c r="A12" s="48" t="s">
        <v>200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1.75" customHeight="1">
      <c r="A13" s="468" t="s">
        <v>727</v>
      </c>
      <c r="B13" s="468"/>
      <c r="C13" s="469"/>
      <c r="D13" s="469"/>
      <c r="E13" s="469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9.75" customHeight="1">
      <c r="A14" s="374"/>
      <c r="B14" s="424"/>
      <c r="C14" s="330"/>
      <c r="D14" s="330"/>
      <c r="E14" s="330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6" customHeight="1">
      <c r="A15" s="64"/>
      <c r="B15" s="64"/>
      <c r="C15" s="6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68.25" customHeight="1">
      <c r="A16" s="222" t="s">
        <v>317</v>
      </c>
      <c r="B16" s="257" t="s">
        <v>642</v>
      </c>
      <c r="C16" s="257" t="s">
        <v>802</v>
      </c>
      <c r="D16" s="257" t="s">
        <v>728</v>
      </c>
      <c r="E16" s="257" t="s">
        <v>797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s="215" customFormat="1" ht="12.75" customHeight="1">
      <c r="A17" s="218">
        <v>1</v>
      </c>
      <c r="B17" s="219">
        <v>2</v>
      </c>
      <c r="C17" s="219">
        <v>3</v>
      </c>
      <c r="D17" s="219">
        <v>4</v>
      </c>
      <c r="E17" s="218">
        <v>5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</row>
    <row r="18" spans="1:27" ht="15" customHeight="1">
      <c r="A18" s="217" t="s">
        <v>463</v>
      </c>
      <c r="B18" s="225">
        <f>B19+B27+B28+B29+B30</f>
        <v>39962940</v>
      </c>
      <c r="C18" s="225">
        <f>C19+C27+C28+C29+C30</f>
        <v>40289760</v>
      </c>
      <c r="D18" s="225">
        <f>D19+D27+D28+D29+D30</f>
        <v>42444000</v>
      </c>
      <c r="E18" s="236">
        <f>IF(C18=0,,D18/C18*100)</f>
        <v>105.34686729332714</v>
      </c>
      <c r="F18" s="212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15" customHeight="1">
      <c r="A19" s="213" t="s">
        <v>459</v>
      </c>
      <c r="B19" s="221">
        <f>SUM(B20:B26)</f>
        <v>33587730</v>
      </c>
      <c r="C19" s="221">
        <f>SUM(C20:C26)</f>
        <v>35193230</v>
      </c>
      <c r="D19" s="221">
        <f>SUM(D20:D26)</f>
        <v>37013190</v>
      </c>
      <c r="E19" s="237">
        <f t="shared" ref="E19:E54" si="0">IF(C19=0,,D19/C19*100)</f>
        <v>105.17133550969888</v>
      </c>
      <c r="F19" s="21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15" customHeight="1">
      <c r="A20" s="214" t="s">
        <v>447</v>
      </c>
      <c r="B20" s="232">
        <f>Prihodi!D6</f>
        <v>2503780</v>
      </c>
      <c r="C20" s="232">
        <f>Prihodi!E6</f>
        <v>3764320</v>
      </c>
      <c r="D20" s="232">
        <f>Prihodi!G6</f>
        <v>3892300</v>
      </c>
      <c r="E20" s="321">
        <f t="shared" si="0"/>
        <v>103.39981723126621</v>
      </c>
      <c r="F20" s="212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15" customHeight="1">
      <c r="A21" s="214" t="s">
        <v>448</v>
      </c>
      <c r="B21" s="232">
        <f>Prihodi!D14</f>
        <v>3400</v>
      </c>
      <c r="C21" s="232">
        <f>Prihodi!E14</f>
        <v>1450</v>
      </c>
      <c r="D21" s="232">
        <f>Prihodi!G14</f>
        <v>1550</v>
      </c>
      <c r="E21" s="238">
        <f t="shared" si="0"/>
        <v>106.89655172413792</v>
      </c>
      <c r="F21" s="212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7" ht="15" customHeight="1">
      <c r="A22" s="214" t="s">
        <v>449</v>
      </c>
      <c r="B22" s="232">
        <f>Prihodi!D18</f>
        <v>275100</v>
      </c>
      <c r="C22" s="232">
        <f>Prihodi!E18</f>
        <v>388650</v>
      </c>
      <c r="D22" s="232">
        <f>Prihodi!G18</f>
        <v>402150</v>
      </c>
      <c r="E22" s="240">
        <f t="shared" si="0"/>
        <v>103.47356233114628</v>
      </c>
      <c r="F22" s="212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7" ht="15" customHeight="1">
      <c r="A23" s="214" t="s">
        <v>450</v>
      </c>
      <c r="B23" s="233">
        <f>Prihodi!D26</f>
        <v>4800</v>
      </c>
      <c r="C23" s="233">
        <f>Prihodi!E26</f>
        <v>2330</v>
      </c>
      <c r="D23" s="233">
        <f>Prihodi!G26</f>
        <v>2200</v>
      </c>
      <c r="E23" s="239">
        <f t="shared" si="0"/>
        <v>94.420600858369099</v>
      </c>
      <c r="F23" s="212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7" ht="15" customHeight="1">
      <c r="A24" s="214" t="s">
        <v>451</v>
      </c>
      <c r="B24" s="233">
        <f>Prihodi!D36</f>
        <v>2621680</v>
      </c>
      <c r="C24" s="233">
        <f>Prihodi!E36</f>
        <v>2566390</v>
      </c>
      <c r="D24" s="233">
        <f>Prihodi!G36</f>
        <v>2827910</v>
      </c>
      <c r="E24" s="239">
        <f t="shared" si="0"/>
        <v>110.19018933209684</v>
      </c>
      <c r="F24" s="212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7" ht="15" customHeight="1">
      <c r="A25" s="214" t="s">
        <v>452</v>
      </c>
      <c r="B25" s="233">
        <f>Prihodi!D45</f>
        <v>28178820</v>
      </c>
      <c r="C25" s="233">
        <f>Prihodi!E45</f>
        <v>28469880</v>
      </c>
      <c r="D25" s="233">
        <f>Prihodi!G45</f>
        <v>29886860</v>
      </c>
      <c r="E25" s="239">
        <f t="shared" si="0"/>
        <v>104.97711967876226</v>
      </c>
      <c r="F25" s="212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7" ht="15" customHeight="1">
      <c r="A26" s="214" t="s">
        <v>453</v>
      </c>
      <c r="B26" s="233">
        <f>Prihodi!D49</f>
        <v>150</v>
      </c>
      <c r="C26" s="233">
        <f>Prihodi!E49</f>
        <v>210</v>
      </c>
      <c r="D26" s="233">
        <f>Prihodi!G49</f>
        <v>220</v>
      </c>
      <c r="E26" s="239">
        <f t="shared" si="0"/>
        <v>104.76190476190477</v>
      </c>
      <c r="F26" s="212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7" ht="15" customHeight="1">
      <c r="A27" s="213" t="s">
        <v>454</v>
      </c>
      <c r="B27" s="221">
        <f>Prihodi!D55</f>
        <v>2661010</v>
      </c>
      <c r="C27" s="221">
        <f>Prihodi!E55</f>
        <v>2727620</v>
      </c>
      <c r="D27" s="221">
        <f>Prihodi!G55</f>
        <v>2391380</v>
      </c>
      <c r="E27" s="237">
        <f t="shared" si="0"/>
        <v>87.672769667329035</v>
      </c>
      <c r="F27" s="212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15" customHeight="1">
      <c r="A28" s="213" t="s">
        <v>528</v>
      </c>
      <c r="B28" s="221">
        <f>Prihodi!D146</f>
        <v>3158900</v>
      </c>
      <c r="C28" s="221">
        <f>Prihodi!E146</f>
        <v>1703220</v>
      </c>
      <c r="D28" s="221">
        <f>Prihodi!G146</f>
        <v>2828310</v>
      </c>
      <c r="E28" s="237">
        <f t="shared" si="0"/>
        <v>166.05664564765561</v>
      </c>
      <c r="F28" s="212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15" customHeight="1">
      <c r="A29" s="213" t="s">
        <v>529</v>
      </c>
      <c r="B29" s="221">
        <f>Prihodi!D174</f>
        <v>554000</v>
      </c>
      <c r="C29" s="221">
        <f>Prihodi!E174</f>
        <v>644220</v>
      </c>
      <c r="D29" s="221">
        <f>Prihodi!G174</f>
        <v>210200</v>
      </c>
      <c r="E29" s="237">
        <f t="shared" si="0"/>
        <v>32.628605134891806</v>
      </c>
      <c r="F29" s="212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15" customHeight="1">
      <c r="A30" s="213" t="s">
        <v>462</v>
      </c>
      <c r="B30" s="221">
        <f>Prihodi!D195</f>
        <v>1300</v>
      </c>
      <c r="C30" s="221">
        <f>Prihodi!E195</f>
        <v>21470</v>
      </c>
      <c r="D30" s="221">
        <f>Prihodi!G195</f>
        <v>920</v>
      </c>
      <c r="E30" s="237">
        <f t="shared" si="0"/>
        <v>4.2850489054494645</v>
      </c>
      <c r="F30" s="212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15" customHeight="1">
      <c r="A31" s="217" t="s">
        <v>623</v>
      </c>
      <c r="B31" s="225">
        <f>SUM(B32:B38)</f>
        <v>37313830</v>
      </c>
      <c r="C31" s="225">
        <f>SUM(C32:C38)</f>
        <v>36879110</v>
      </c>
      <c r="D31" s="225">
        <f>SUM(D32:D38)</f>
        <v>40365170</v>
      </c>
      <c r="E31" s="433">
        <f t="shared" si="0"/>
        <v>109.45266846190161</v>
      </c>
      <c r="F31" s="21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7" s="62" customFormat="1" ht="15" customHeight="1">
      <c r="A32" s="220" t="s">
        <v>624</v>
      </c>
      <c r="B32" s="322">
        <f>Rashodi!E8</f>
        <v>510000</v>
      </c>
      <c r="C32" s="322">
        <f>Rashodi!F8</f>
        <v>690000</v>
      </c>
      <c r="D32" s="322">
        <f>Rashodi!H8</f>
        <v>660000</v>
      </c>
      <c r="E32" s="324">
        <f t="shared" si="0"/>
        <v>95.652173913043484</v>
      </c>
      <c r="F32" s="223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7" s="62" customFormat="1" ht="15" customHeight="1">
      <c r="A33" s="220" t="s">
        <v>625</v>
      </c>
      <c r="B33" s="322">
        <f>Rashodi!E14</f>
        <v>20585650</v>
      </c>
      <c r="C33" s="322">
        <f>Rashodi!F14</f>
        <v>19585650</v>
      </c>
      <c r="D33" s="322">
        <f>Rashodi!H14</f>
        <v>20818240</v>
      </c>
      <c r="E33" s="324">
        <f t="shared" si="0"/>
        <v>106.29333210794638</v>
      </c>
      <c r="F33" s="223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7" ht="15" customHeight="1">
      <c r="A34" s="319" t="s">
        <v>626</v>
      </c>
      <c r="B34" s="323">
        <f>Rashodi!E20</f>
        <v>2005190</v>
      </c>
      <c r="C34" s="323">
        <f>Rashodi!F20</f>
        <v>1886580</v>
      </c>
      <c r="D34" s="323">
        <f>Rashodi!H20</f>
        <v>2016960</v>
      </c>
      <c r="E34" s="324">
        <f t="shared" si="0"/>
        <v>106.91091816938587</v>
      </c>
      <c r="F34" s="21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15" customHeight="1">
      <c r="A35" s="319" t="s">
        <v>627</v>
      </c>
      <c r="B35" s="323">
        <f>Rashodi!E23</f>
        <v>4503190</v>
      </c>
      <c r="C35" s="323">
        <f>Rashodi!F23</f>
        <v>4571650</v>
      </c>
      <c r="D35" s="323">
        <f>Rashodi!H23</f>
        <v>4531970</v>
      </c>
      <c r="E35" s="324">
        <f>IF(C35=0,,D35/C35*100)</f>
        <v>99.132042041713603</v>
      </c>
      <c r="F35" s="21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7" ht="15" customHeight="1">
      <c r="A36" s="319" t="s">
        <v>628</v>
      </c>
      <c r="B36" s="323">
        <f>Rashodi!E45</f>
        <v>9220000</v>
      </c>
      <c r="C36" s="323">
        <f>Rashodi!F45</f>
        <v>9665000</v>
      </c>
      <c r="D36" s="323">
        <f>Rashodi!H45</f>
        <v>11566000</v>
      </c>
      <c r="E36" s="324">
        <f t="shared" si="0"/>
        <v>119.66890843248837</v>
      </c>
      <c r="F36" s="212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7" ht="15" customHeight="1">
      <c r="A37" s="319" t="s">
        <v>629</v>
      </c>
      <c r="B37" s="323">
        <f>Rashodi!E86</f>
        <v>400000</v>
      </c>
      <c r="C37" s="323">
        <f>Rashodi!F86</f>
        <v>400000</v>
      </c>
      <c r="D37" s="323">
        <f>Rashodi!H86</f>
        <v>700000</v>
      </c>
      <c r="E37" s="324">
        <f>IF(C37=0,,D37/C37*100)</f>
        <v>175</v>
      </c>
      <c r="F37" s="212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7" ht="15" customHeight="1" thickBot="1">
      <c r="A38" s="320" t="s">
        <v>630</v>
      </c>
      <c r="B38" s="325">
        <f>Rashodi!E89</f>
        <v>89800</v>
      </c>
      <c r="C38" s="325">
        <f>Rashodi!F89</f>
        <v>80230</v>
      </c>
      <c r="D38" s="325">
        <f>Rashodi!H89</f>
        <v>72000</v>
      </c>
      <c r="E38" s="326">
        <f t="shared" si="0"/>
        <v>89.741991773650753</v>
      </c>
      <c r="F38" s="212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7" ht="15" customHeight="1" thickTop="1" thickBot="1">
      <c r="A39" s="226" t="s">
        <v>457</v>
      </c>
      <c r="B39" s="227">
        <f>B18-B31</f>
        <v>2649110</v>
      </c>
      <c r="C39" s="227">
        <f>C18-C31</f>
        <v>3410650</v>
      </c>
      <c r="D39" s="227">
        <f>D18-D31</f>
        <v>2078830</v>
      </c>
      <c r="E39" s="434">
        <f t="shared" si="0"/>
        <v>60.951138346063075</v>
      </c>
      <c r="F39" s="212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7" ht="15" customHeight="1" thickTop="1">
      <c r="A40" s="217" t="s">
        <v>455</v>
      </c>
      <c r="B40" s="225">
        <f>Prihodi!D201</f>
        <v>0</v>
      </c>
      <c r="C40" s="225">
        <f>Prihodi!E201</f>
        <v>53470</v>
      </c>
      <c r="D40" s="225">
        <f>Prihodi!G201</f>
        <v>0</v>
      </c>
      <c r="E40" s="433">
        <f t="shared" si="0"/>
        <v>0</v>
      </c>
      <c r="F40" s="212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7" ht="15" customHeight="1">
      <c r="A41" s="217" t="s">
        <v>456</v>
      </c>
      <c r="B41" s="225">
        <f>B42</f>
        <v>1167100</v>
      </c>
      <c r="C41" s="225">
        <f>C42</f>
        <v>1988650</v>
      </c>
      <c r="D41" s="225">
        <f>D42</f>
        <v>1476200</v>
      </c>
      <c r="E41" s="433">
        <f t="shared" si="0"/>
        <v>74.231262414200586</v>
      </c>
      <c r="F41" s="212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7" ht="15" customHeight="1" thickBot="1">
      <c r="A42" s="214" t="s">
        <v>631</v>
      </c>
      <c r="B42" s="232">
        <f>Rashodi!E95</f>
        <v>1167100</v>
      </c>
      <c r="C42" s="232">
        <f>Rashodi!F95</f>
        <v>1988650</v>
      </c>
      <c r="D42" s="232">
        <f>Rashodi!H95</f>
        <v>1476200</v>
      </c>
      <c r="E42" s="240">
        <f>IF(C42=0,,D42/C42*100)</f>
        <v>74.231262414200586</v>
      </c>
      <c r="F42" s="212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15" customHeight="1" thickTop="1" thickBot="1">
      <c r="A43" s="228" t="s">
        <v>458</v>
      </c>
      <c r="B43" s="229">
        <f>B40-B41</f>
        <v>-1167100</v>
      </c>
      <c r="C43" s="229">
        <f>C40-C41</f>
        <v>-1935180</v>
      </c>
      <c r="D43" s="229">
        <f>D40-D41</f>
        <v>-1476200</v>
      </c>
      <c r="E43" s="435">
        <f t="shared" si="0"/>
        <v>76.282309655949319</v>
      </c>
      <c r="F43" s="212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7" ht="24.75" customHeight="1" thickTop="1" thickBot="1">
      <c r="A44" s="226" t="s">
        <v>470</v>
      </c>
      <c r="B44" s="413">
        <f>B39+B43</f>
        <v>1482010</v>
      </c>
      <c r="C44" s="413">
        <f>C39+C43</f>
        <v>1475470</v>
      </c>
      <c r="D44" s="413">
        <f>D39+D43</f>
        <v>602630</v>
      </c>
      <c r="E44" s="434">
        <f t="shared" si="0"/>
        <v>40.843256724975767</v>
      </c>
      <c r="F44" s="212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7" ht="15" customHeight="1" thickTop="1">
      <c r="A45" s="217" t="s">
        <v>460</v>
      </c>
      <c r="B45" s="225">
        <f>0</f>
        <v>0</v>
      </c>
      <c r="C45" s="225">
        <f>0</f>
        <v>0</v>
      </c>
      <c r="D45" s="225">
        <f>0</f>
        <v>0</v>
      </c>
      <c r="E45" s="433">
        <f t="shared" si="0"/>
        <v>0</v>
      </c>
      <c r="F45" s="212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7" ht="26.25" customHeight="1">
      <c r="A46" s="196" t="s">
        <v>461</v>
      </c>
      <c r="B46" s="414">
        <f>B47</f>
        <v>1459620</v>
      </c>
      <c r="C46" s="414">
        <f>C47</f>
        <v>1459600</v>
      </c>
      <c r="D46" s="414">
        <f>D47</f>
        <v>600500</v>
      </c>
      <c r="E46" s="433">
        <f t="shared" si="0"/>
        <v>41.141408605097283</v>
      </c>
      <c r="F46" s="212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7" ht="15" customHeight="1" thickBot="1">
      <c r="A47" s="214" t="s">
        <v>464</v>
      </c>
      <c r="B47" s="232">
        <f>Rashodi!E101</f>
        <v>1459620</v>
      </c>
      <c r="C47" s="232">
        <f>Rashodi!F101</f>
        <v>1459600</v>
      </c>
      <c r="D47" s="232">
        <f>Rashodi!H101</f>
        <v>600500</v>
      </c>
      <c r="E47" s="240">
        <f t="shared" si="0"/>
        <v>41.141408605097283</v>
      </c>
      <c r="F47" s="212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15" customHeight="1" thickTop="1" thickBot="1">
      <c r="A48" s="228" t="s">
        <v>465</v>
      </c>
      <c r="B48" s="229">
        <f>B45-B46</f>
        <v>-1459620</v>
      </c>
      <c r="C48" s="229">
        <f>C45-C46</f>
        <v>-1459600</v>
      </c>
      <c r="D48" s="229">
        <f>D45-D46</f>
        <v>-600500</v>
      </c>
      <c r="E48" s="435">
        <f t="shared" si="0"/>
        <v>41.141408605097283</v>
      </c>
      <c r="F48" s="212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7" ht="15" customHeight="1" thickTop="1" thickBot="1">
      <c r="A49" s="228" t="s">
        <v>466</v>
      </c>
      <c r="B49" s="229">
        <f>B44+B48</f>
        <v>22390</v>
      </c>
      <c r="C49" s="229">
        <f>C44+C48</f>
        <v>15870</v>
      </c>
      <c r="D49" s="229">
        <f>D44+D48</f>
        <v>2130</v>
      </c>
      <c r="E49" s="435">
        <f t="shared" si="0"/>
        <v>13.42155009451796</v>
      </c>
      <c r="F49" s="212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7" ht="15" customHeight="1" thickTop="1" thickBot="1">
      <c r="A50" s="228" t="s">
        <v>467</v>
      </c>
      <c r="B50" s="229">
        <f>B49</f>
        <v>22390</v>
      </c>
      <c r="C50" s="229">
        <f>C49</f>
        <v>15870</v>
      </c>
      <c r="D50" s="229">
        <f>D49</f>
        <v>2130</v>
      </c>
      <c r="E50" s="435">
        <f t="shared" si="0"/>
        <v>13.42155009451796</v>
      </c>
      <c r="F50" s="212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7" ht="9.75" customHeight="1" thickTop="1">
      <c r="A51" s="230"/>
      <c r="B51" s="231"/>
      <c r="C51" s="231"/>
      <c r="D51" s="231"/>
      <c r="E51" s="436"/>
      <c r="F51" s="212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7" ht="15" customHeight="1">
      <c r="A52" s="217" t="s">
        <v>446</v>
      </c>
      <c r="B52" s="225">
        <f>B18+B40+B45</f>
        <v>39962940</v>
      </c>
      <c r="C52" s="225">
        <f>C18+C40+C45</f>
        <v>40343230</v>
      </c>
      <c r="D52" s="225">
        <f>D18+D40+D45</f>
        <v>42444000</v>
      </c>
      <c r="E52" s="433">
        <f t="shared" si="0"/>
        <v>105.2072429500563</v>
      </c>
      <c r="F52" s="212"/>
      <c r="G52" s="373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7" ht="15" customHeight="1">
      <c r="A53" s="217" t="s">
        <v>633</v>
      </c>
      <c r="B53" s="225">
        <f>B31+B41+B46</f>
        <v>39940550</v>
      </c>
      <c r="C53" s="225">
        <f>C31+C41+C46</f>
        <v>40327360</v>
      </c>
      <c r="D53" s="225">
        <f>D31+D41+D46</f>
        <v>42441870</v>
      </c>
      <c r="E53" s="433">
        <f t="shared" si="0"/>
        <v>105.24336331463304</v>
      </c>
      <c r="F53" s="212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7" ht="15" customHeight="1">
      <c r="A54" s="217" t="s">
        <v>632</v>
      </c>
      <c r="B54" s="225">
        <f>B52-B53</f>
        <v>22390</v>
      </c>
      <c r="C54" s="225">
        <f>C52-C53</f>
        <v>15870</v>
      </c>
      <c r="D54" s="225">
        <f>D52-D53</f>
        <v>2130</v>
      </c>
      <c r="E54" s="433">
        <f t="shared" si="0"/>
        <v>13.42155009451796</v>
      </c>
      <c r="G54" s="77"/>
      <c r="H54" s="373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7.5" customHeight="1">
      <c r="A55" s="223"/>
      <c r="B55" s="328"/>
      <c r="C55" s="328"/>
      <c r="D55" s="328"/>
      <c r="E55" s="329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5" customHeight="1">
      <c r="A56" s="48" t="s">
        <v>224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6.75" customHeight="1"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27" customHeight="1">
      <c r="A58" s="468" t="s">
        <v>765</v>
      </c>
      <c r="B58" s="468"/>
      <c r="C58" s="469"/>
      <c r="D58" s="469"/>
      <c r="E58" s="469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5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5" customHeight="1">
      <c r="A60" s="7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ht="1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ht="1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1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ht="1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ht="1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</row>
    <row r="77" spans="1:27" ht="1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</row>
    <row r="78" spans="1:27" ht="1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</row>
    <row r="79" spans="1:27" ht="1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</row>
    <row r="80" spans="1:27" ht="1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</row>
    <row r="81" spans="1:27" ht="1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</row>
    <row r="82" spans="1:27" ht="1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:27" ht="1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</row>
    <row r="84" spans="1:27" ht="1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</row>
    <row r="85" spans="1:27" ht="1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</row>
    <row r="86" spans="1:27" ht="1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</row>
    <row r="87" spans="1:27" ht="1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</row>
    <row r="88" spans="1:27" ht="1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</row>
    <row r="89" spans="1:27" ht="1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</row>
    <row r="90" spans="1:27" ht="1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</row>
    <row r="91" spans="1:27" ht="1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</row>
    <row r="92" spans="1:27" ht="1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</row>
    <row r="93" spans="1:27" ht="1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</row>
    <row r="94" spans="1:27" ht="1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</row>
    <row r="95" spans="1:27" ht="1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</row>
    <row r="96" spans="1:27" ht="1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</row>
    <row r="97" spans="1:27" ht="1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</row>
    <row r="98" spans="1:27" ht="1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27" ht="1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</row>
    <row r="100" spans="1:27" ht="1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:27" ht="1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7" ht="1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</row>
    <row r="103" spans="1:27" ht="1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:27" ht="1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</row>
    <row r="105" spans="1:27" ht="1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</row>
    <row r="106" spans="1:27" ht="1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</row>
    <row r="107" spans="1:27" ht="1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</row>
    <row r="108" spans="1:27" ht="1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</row>
    <row r="109" spans="1:27" ht="1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 ht="1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ht="1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 ht="1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:27" ht="1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 ht="1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 ht="1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 ht="1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 ht="1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:27" ht="1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</row>
    <row r="119" spans="1:27" ht="1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1:27" ht="1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</row>
    <row r="121" spans="1:27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1:27" ht="1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</row>
    <row r="123" spans="1:27" ht="1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:27" ht="1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ht="1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ht="1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ht="1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</row>
    <row r="128" spans="1:27" ht="1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</row>
    <row r="129" spans="1:27" ht="1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</row>
    <row r="130" spans="1:27" ht="1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:27" ht="1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1:27" ht="1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</row>
    <row r="133" spans="1:27" ht="1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</row>
    <row r="134" spans="1:27" ht="1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1:27" ht="1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1:27" ht="1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1:27" ht="1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1:27" ht="1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1:27" ht="1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:27" ht="1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</row>
    <row r="141" spans="1:27" ht="1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1:27" ht="1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</row>
    <row r="143" spans="1:27" ht="1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</row>
    <row r="144" spans="1:27" ht="1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:27" ht="1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ht="1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1:27" ht="1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1:27" ht="1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:27" ht="1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</row>
    <row r="150" spans="1:27" ht="1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</row>
    <row r="151" spans="1:27" ht="1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1:27" ht="1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</row>
    <row r="153" spans="1:27" ht="1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</row>
    <row r="154" spans="1:27" ht="1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1:27" ht="1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:27" ht="1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</row>
    <row r="157" spans="1:27" ht="1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</row>
    <row r="158" spans="1:27" ht="1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ht="1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</row>
    <row r="160" spans="1:27" ht="1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</row>
    <row r="161" spans="1:27" ht="1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</row>
    <row r="162" spans="1:27" ht="1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</row>
    <row r="163" spans="1:27" ht="1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</row>
    <row r="164" spans="1:27" ht="1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</row>
    <row r="165" spans="1:27" ht="1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</row>
    <row r="166" spans="1:27" ht="1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1:27" ht="1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</row>
    <row r="168" spans="1:27" ht="1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</row>
    <row r="169" spans="1:27" ht="1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</row>
    <row r="170" spans="1:27" ht="1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</row>
    <row r="171" spans="1:27" ht="1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</row>
    <row r="172" spans="1:27" ht="1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</row>
    <row r="173" spans="1:27" ht="1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</row>
    <row r="174" spans="1:27" ht="1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</row>
    <row r="175" spans="1:27" ht="1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</row>
    <row r="176" spans="1:27" ht="1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</row>
    <row r="177" spans="1:27" ht="1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</row>
    <row r="178" spans="1:27" ht="1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</row>
    <row r="179" spans="1:27" ht="15" customHeight="1"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</row>
    <row r="180" spans="1:27" ht="15" customHeight="1"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</row>
    <row r="181" spans="1:27" ht="15" customHeight="1"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</row>
    <row r="182" spans="1:27" ht="15" customHeight="1"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</row>
    <row r="183" spans="1:27" ht="15" customHeight="1"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</row>
    <row r="184" spans="1:27" ht="15" customHeight="1"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</row>
    <row r="185" spans="1:27" ht="15" customHeight="1"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</row>
    <row r="186" spans="1:27" ht="15" customHeight="1"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</row>
    <row r="187" spans="1:27" ht="15" customHeight="1"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</row>
    <row r="188" spans="1:27" ht="15" customHeight="1"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</row>
    <row r="189" spans="1:27" ht="15" customHeight="1"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</row>
    <row r="190" spans="1:27" ht="15" customHeight="1"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</row>
    <row r="191" spans="1:27" ht="15" customHeight="1"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</row>
    <row r="192" spans="1:27" ht="15" customHeight="1"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</row>
    <row r="193" spans="7:27" ht="15" customHeight="1"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</row>
    <row r="194" spans="7:27" ht="15" customHeight="1"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</row>
    <row r="195" spans="7:27" ht="15" customHeight="1"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</row>
    <row r="196" spans="7:27" ht="15" customHeight="1"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</row>
    <row r="197" spans="7:27" ht="15" customHeight="1"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</row>
    <row r="198" spans="7:27" ht="15" customHeight="1"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</row>
    <row r="199" spans="7:27" ht="15" customHeight="1"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</row>
    <row r="200" spans="7:27" ht="15" customHeight="1"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</row>
    <row r="201" spans="7:27" ht="15" customHeight="1"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</row>
    <row r="202" spans="7:27" ht="15" customHeight="1"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</row>
    <row r="203" spans="7:27" ht="15" customHeight="1"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</row>
    <row r="204" spans="7:27" ht="15" customHeight="1"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</row>
    <row r="205" spans="7:27" ht="15" customHeight="1"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</row>
    <row r="206" spans="7:27" ht="15" customHeight="1"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</row>
    <row r="207" spans="7:27" ht="15" customHeight="1"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</row>
    <row r="208" spans="7:27" ht="15" customHeight="1"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</row>
    <row r="209" spans="7:27" ht="15" customHeight="1"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</row>
    <row r="210" spans="7:27" ht="15" customHeight="1"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</row>
    <row r="211" spans="7:27" ht="15" customHeight="1"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</row>
    <row r="212" spans="7:27" ht="15" customHeight="1"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</row>
    <row r="213" spans="7:27" ht="15" customHeight="1"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</row>
    <row r="214" spans="7:27" ht="15" customHeight="1"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</row>
    <row r="215" spans="7:27" ht="15" customHeight="1"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</row>
    <row r="216" spans="7:27" ht="15" customHeight="1"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</row>
    <row r="217" spans="7:27" ht="15" customHeight="1"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</row>
    <row r="218" spans="7:27" ht="15" customHeight="1"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</row>
    <row r="219" spans="7:27" ht="15" customHeight="1"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</row>
    <row r="220" spans="7:27" ht="15" customHeight="1"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</row>
    <row r="221" spans="7:27" ht="15" customHeight="1"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</row>
    <row r="222" spans="7:27" ht="15" customHeight="1"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</row>
    <row r="223" spans="7:27" ht="15" customHeight="1"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</row>
    <row r="224" spans="7:27" ht="15" customHeight="1"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</row>
    <row r="225" spans="7:27" ht="15" customHeight="1"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</row>
    <row r="226" spans="7:27" ht="15" customHeight="1"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</row>
    <row r="227" spans="7:27" ht="15" customHeight="1"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</row>
    <row r="228" spans="7:27" ht="15" customHeight="1"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</row>
    <row r="229" spans="7:27" ht="15" customHeight="1"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</row>
    <row r="230" spans="7:27" ht="15" customHeight="1"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</row>
    <row r="231" spans="7:27" ht="15" customHeight="1"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  <row r="232" spans="7:27" ht="15" customHeight="1"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</row>
    <row r="233" spans="7:27" ht="15" customHeight="1"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</row>
    <row r="234" spans="7:27" ht="15" customHeight="1"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</row>
    <row r="235" spans="7:27" ht="15" customHeight="1"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</row>
    <row r="236" spans="7:27" ht="15" customHeight="1"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</row>
    <row r="237" spans="7:27" ht="15" customHeight="1"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</row>
    <row r="238" spans="7:27" ht="15" customHeight="1"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</row>
    <row r="239" spans="7:27" ht="15" customHeight="1"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</row>
    <row r="240" spans="7:27" ht="15" customHeight="1"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</row>
    <row r="241" spans="7:27" ht="15" customHeight="1"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</row>
    <row r="242" spans="7:27" ht="15" customHeight="1"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</row>
    <row r="243" spans="7:27" ht="15" customHeight="1"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</row>
    <row r="244" spans="7:27" ht="15" customHeight="1"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</row>
    <row r="245" spans="7:27" ht="15" customHeight="1"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</row>
    <row r="246" spans="7:27" ht="15" customHeight="1"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</row>
    <row r="247" spans="7:27" ht="15" customHeight="1"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</row>
    <row r="248" spans="7:27" ht="15" customHeight="1"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</row>
    <row r="249" spans="7:27" ht="15" customHeight="1"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</row>
    <row r="250" spans="7:27" ht="15" customHeight="1"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</row>
    <row r="251" spans="7:27" ht="15" customHeight="1"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</row>
    <row r="252" spans="7:27" ht="15" customHeight="1"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</row>
    <row r="253" spans="7:27" ht="15" customHeight="1"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</row>
    <row r="254" spans="7:27" ht="15" customHeight="1"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</row>
    <row r="255" spans="7:27" ht="15" customHeight="1"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</row>
    <row r="256" spans="7:27" ht="15" customHeight="1"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</row>
    <row r="257" spans="7:27" ht="15" customHeight="1"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</row>
    <row r="258" spans="7:27" ht="15" customHeight="1"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</row>
    <row r="259" spans="7:27" ht="15" customHeight="1"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</row>
    <row r="260" spans="7:27" ht="15" customHeight="1"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</row>
    <row r="261" spans="7:27" ht="15" customHeight="1"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</row>
    <row r="262" spans="7:27" ht="15" customHeight="1"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</row>
    <row r="263" spans="7:27" ht="15" customHeight="1"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</row>
    <row r="264" spans="7:27" ht="15" customHeight="1"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</row>
    <row r="265" spans="7:27" ht="15" customHeight="1"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</row>
    <row r="266" spans="7:27" ht="15" customHeight="1"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</row>
    <row r="267" spans="7:27" ht="15" customHeight="1"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</row>
    <row r="268" spans="7:27" ht="15" customHeight="1"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</row>
    <row r="269" spans="7:27" ht="15" customHeight="1"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</row>
    <row r="270" spans="7:27" ht="15" customHeight="1"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</row>
    <row r="271" spans="7:27" ht="15" customHeight="1"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</row>
    <row r="272" spans="7:27" ht="15" customHeight="1"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</row>
    <row r="273" spans="7:27" ht="15" customHeight="1"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</row>
    <row r="274" spans="7:27" ht="15" customHeight="1"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</row>
    <row r="275" spans="7:27" ht="15" customHeight="1"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</row>
    <row r="276" spans="7:27" ht="15" customHeight="1"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</row>
    <row r="277" spans="7:27" ht="15" customHeight="1"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</row>
    <row r="278" spans="7:27" ht="15" customHeight="1"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</row>
    <row r="279" spans="7:27" ht="15" customHeight="1"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</row>
    <row r="280" spans="7:27" ht="15" customHeight="1"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</row>
    <row r="281" spans="7:27" ht="15" customHeight="1"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</row>
    <row r="282" spans="7:27" ht="15" customHeight="1"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</row>
    <row r="283" spans="7:27" ht="15" customHeight="1"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</row>
    <row r="284" spans="7:27" ht="15" customHeight="1"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</row>
    <row r="285" spans="7:27" ht="15" customHeight="1"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</row>
    <row r="286" spans="7:27" ht="15" customHeight="1"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</row>
    <row r="287" spans="7:27" ht="15" customHeight="1"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</row>
    <row r="288" spans="7:27" ht="15" customHeight="1"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</row>
    <row r="289" spans="7:27" ht="15" customHeight="1"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</row>
    <row r="290" spans="7:27" ht="15" customHeight="1"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</row>
    <row r="291" spans="7:27" ht="15" customHeight="1"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</row>
    <row r="292" spans="7:27" ht="15" customHeight="1"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</row>
    <row r="293" spans="7:27" ht="15" customHeight="1"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</row>
    <row r="294" spans="7:27" ht="15" customHeight="1"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</row>
    <row r="295" spans="7:27" ht="15" customHeight="1"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</row>
    <row r="296" spans="7:27" ht="15" customHeight="1"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</row>
    <row r="297" spans="7:27" ht="15" customHeight="1"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</row>
    <row r="298" spans="7:27" ht="15" customHeight="1"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</row>
    <row r="299" spans="7:27" ht="15" customHeight="1"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</row>
    <row r="300" spans="7:27" ht="15" customHeight="1"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</row>
    <row r="301" spans="7:27" ht="15" customHeight="1"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</row>
    <row r="302" spans="7:27" ht="15" customHeight="1"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</row>
    <row r="303" spans="7:27" ht="15" customHeight="1"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</row>
    <row r="304" spans="7:27" ht="15" customHeight="1"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</row>
    <row r="305" spans="7:27" ht="15" customHeight="1"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</row>
    <row r="306" spans="7:27" ht="15" customHeight="1"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</row>
    <row r="307" spans="7:27" ht="15" customHeight="1"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</row>
    <row r="308" spans="7:27" ht="15" customHeight="1"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</row>
    <row r="309" spans="7:27" ht="15" customHeight="1"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</row>
    <row r="310" spans="7:27" ht="15" customHeight="1"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</row>
    <row r="311" spans="7:27" ht="15" customHeight="1"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</row>
    <row r="312" spans="7:27" ht="15" customHeight="1"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</row>
    <row r="313" spans="7:27" ht="15" customHeight="1"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</row>
    <row r="314" spans="7:27" ht="15" customHeight="1"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</row>
    <row r="315" spans="7:27" ht="15" customHeight="1"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</row>
  </sheetData>
  <mergeCells count="5">
    <mergeCell ref="A1:E5"/>
    <mergeCell ref="A7:E7"/>
    <mergeCell ref="A8:E8"/>
    <mergeCell ref="A13:E13"/>
    <mergeCell ref="A58:E58"/>
  </mergeCells>
  <phoneticPr fontId="0" type="noConversion"/>
  <pageMargins left="0.71" right="0.31" top="0.52" bottom="0.5" header="0.5" footer="0.5"/>
  <pageSetup paperSize="9" scale="88" orientation="portrait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B2:M59"/>
  <sheetViews>
    <sheetView topLeftCell="C1" zoomScaleNormal="100" zoomScaleSheetLayoutView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1" t="s">
        <v>145</v>
      </c>
      <c r="C2" s="481"/>
      <c r="D2" s="481"/>
      <c r="E2" s="481"/>
      <c r="F2" s="481"/>
      <c r="G2" s="481"/>
      <c r="H2" s="415"/>
      <c r="I2" s="415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1039400</v>
      </c>
      <c r="H7" s="356">
        <f>SUM(H8:H11)</f>
        <v>1006340</v>
      </c>
      <c r="I7" s="356">
        <f t="shared" ref="I7" si="0">SUM(I8:I11)</f>
        <v>716019</v>
      </c>
      <c r="J7" s="356">
        <f>SUM(J8:J11)</f>
        <v>1050680</v>
      </c>
      <c r="K7" s="137">
        <f>IF(H7=0,"",J7/H7*100)</f>
        <v>104.4060655444482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863900</v>
      </c>
      <c r="H8" s="358">
        <f>815260+8000+2350+1870</f>
        <v>827480</v>
      </c>
      <c r="I8" s="358">
        <v>596642</v>
      </c>
      <c r="J8" s="358">
        <f>817970+3000+4000+16600+7000+24540+500</f>
        <v>873610</v>
      </c>
      <c r="K8" s="138">
        <f>IF(H8=0,"",J8/H8*100)</f>
        <v>105.57475709382705</v>
      </c>
      <c r="L8" s="98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175500</v>
      </c>
      <c r="H9" s="358">
        <f>160410+1600+2700+630+52*260</f>
        <v>178860</v>
      </c>
      <c r="I9" s="358">
        <v>119377</v>
      </c>
      <c r="J9" s="358">
        <f>162680+3500+3*840+1470+2500+3000+1400</f>
        <v>177070</v>
      </c>
      <c r="K9" s="138">
        <f t="shared" ref="K9:K34" si="1">IF(H9=0,"",J9/H9*100)</f>
        <v>98.999217264899926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92000</v>
      </c>
      <c r="H12" s="356">
        <f>H13</f>
        <v>87550</v>
      </c>
      <c r="I12" s="356">
        <f t="shared" ref="I12" si="2">I13</f>
        <v>65262</v>
      </c>
      <c r="J12" s="356">
        <f>J13</f>
        <v>93510</v>
      </c>
      <c r="K12" s="180">
        <f t="shared" si="1"/>
        <v>106.80753854940035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92000</v>
      </c>
      <c r="H13" s="358">
        <f>86340+1000+210</f>
        <v>87550</v>
      </c>
      <c r="I13" s="358">
        <v>65262</v>
      </c>
      <c r="J13" s="358">
        <f>87520+700+1830+770+2630+60</f>
        <v>93510</v>
      </c>
      <c r="K13" s="138">
        <f t="shared" si="1"/>
        <v>106.80753854940035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98500</v>
      </c>
      <c r="H15" s="44">
        <f>SUM(H16:H25)</f>
        <v>97500</v>
      </c>
      <c r="I15" s="44">
        <f t="shared" ref="I15" si="3">SUM(I16:I25)</f>
        <v>58133</v>
      </c>
      <c r="J15" s="44">
        <f>SUM(J16:J25)</f>
        <v>100500</v>
      </c>
      <c r="K15" s="180">
        <f t="shared" si="1"/>
        <v>103.07692307692307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8">
        <v>5000</v>
      </c>
      <c r="H16" s="108">
        <v>5000</v>
      </c>
      <c r="I16" s="108">
        <v>4081</v>
      </c>
      <c r="J16" s="108">
        <v>5000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08">
        <v>30000</v>
      </c>
      <c r="H17" s="108">
        <v>32000</v>
      </c>
      <c r="I17" s="108">
        <v>17714</v>
      </c>
      <c r="J17" s="108">
        <v>30000</v>
      </c>
      <c r="K17" s="138">
        <f t="shared" si="1"/>
        <v>93.75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108">
        <v>6000</v>
      </c>
      <c r="H18" s="108">
        <v>6000</v>
      </c>
      <c r="I18" s="108">
        <v>3512</v>
      </c>
      <c r="J18" s="108">
        <v>6000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108">
        <v>12000</v>
      </c>
      <c r="H19" s="108">
        <v>12000</v>
      </c>
      <c r="I19" s="108">
        <v>8198</v>
      </c>
      <c r="J19" s="108">
        <v>12000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8">
        <v>500</v>
      </c>
      <c r="H20" s="108">
        <v>500</v>
      </c>
      <c r="I20" s="108">
        <v>75</v>
      </c>
      <c r="J20" s="108">
        <v>500</v>
      </c>
      <c r="K20" s="138">
        <f t="shared" si="1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">
        <v>9000</v>
      </c>
      <c r="H22" s="108">
        <v>8000</v>
      </c>
      <c r="I22" s="108">
        <v>2417</v>
      </c>
      <c r="J22" s="108">
        <v>11000</v>
      </c>
      <c r="K22" s="138">
        <f t="shared" si="1"/>
        <v>137.5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36000</v>
      </c>
      <c r="H24" s="108">
        <v>34000</v>
      </c>
      <c r="I24" s="108">
        <v>22136</v>
      </c>
      <c r="J24" s="108">
        <v>36000</v>
      </c>
      <c r="K24" s="138">
        <f t="shared" si="1"/>
        <v>105.88235294117648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3000</v>
      </c>
      <c r="H27" s="99">
        <f>SUM(H28:H29)</f>
        <v>8000</v>
      </c>
      <c r="I27" s="99">
        <f t="shared" ref="I27" si="4">SUM(I28:I29)</f>
        <v>663</v>
      </c>
      <c r="J27" s="99">
        <f>SUM(J28:J29)</f>
        <v>5000</v>
      </c>
      <c r="K27" s="180">
        <f t="shared" si="1"/>
        <v>62.5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5000</v>
      </c>
      <c r="I28" s="108">
        <v>0</v>
      </c>
      <c r="J28" s="108">
        <v>0</v>
      </c>
      <c r="K28" s="138">
        <f t="shared" si="1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3000</v>
      </c>
      <c r="H29" s="108">
        <v>3000</v>
      </c>
      <c r="I29" s="108">
        <v>663</v>
      </c>
      <c r="J29" s="108">
        <v>5000</v>
      </c>
      <c r="K29" s="138">
        <f t="shared" si="1"/>
        <v>166.66666666666669</v>
      </c>
    </row>
    <row r="30" spans="2:11" ht="17.100000000000001" customHeight="1">
      <c r="B30" s="14"/>
      <c r="C30" s="15"/>
      <c r="D30" s="15"/>
      <c r="E30" s="16"/>
      <c r="F30" s="15"/>
      <c r="G30" s="108"/>
      <c r="H30" s="108"/>
      <c r="I30" s="108"/>
      <c r="J30" s="108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746</v>
      </c>
      <c r="H31" s="25" t="s">
        <v>667</v>
      </c>
      <c r="I31" s="25" t="s">
        <v>667</v>
      </c>
      <c r="J31" s="25" t="s">
        <v>758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1232900</v>
      </c>
      <c r="H32" s="20">
        <f>H7+H12+H15+H27</f>
        <v>1199390</v>
      </c>
      <c r="I32" s="20">
        <f t="shared" ref="I32" si="5">I7+I12+I15+I27</f>
        <v>840077</v>
      </c>
      <c r="J32" s="20">
        <f>J7+J12+J15+J27</f>
        <v>1249690</v>
      </c>
      <c r="K32" s="180">
        <f t="shared" si="1"/>
        <v>104.19379851424475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B2:M59"/>
  <sheetViews>
    <sheetView topLeftCell="C28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3" t="s">
        <v>170</v>
      </c>
      <c r="C2" s="483"/>
      <c r="D2" s="483"/>
      <c r="E2" s="483"/>
      <c r="F2" s="483"/>
      <c r="G2" s="483"/>
      <c r="H2" s="483"/>
      <c r="I2" s="483"/>
      <c r="J2" s="483"/>
      <c r="K2" s="13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118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2144800</v>
      </c>
      <c r="H7" s="356">
        <f>SUM(H8:H11)</f>
        <v>2072170</v>
      </c>
      <c r="I7" s="356">
        <f t="shared" ref="I7" si="0">SUM(I8:I11)</f>
        <v>1517255</v>
      </c>
      <c r="J7" s="356">
        <f>SUM(J8:J11)</f>
        <v>2157050</v>
      </c>
      <c r="K7" s="137">
        <f>IF(H7=0,"",J7/H7*100)</f>
        <v>104.0961890192407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1746600</v>
      </c>
      <c r="H8" s="355">
        <f>1667680+7000</f>
        <v>1674680</v>
      </c>
      <c r="I8" s="355">
        <v>1241743</v>
      </c>
      <c r="J8" s="355">
        <f>1718040+0+660+7000+51550</f>
        <v>1777250</v>
      </c>
      <c r="K8" s="138">
        <f>IF(H8=0,"",J8/H8*100)</f>
        <v>106.12475219146344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398200</v>
      </c>
      <c r="H9" s="355">
        <f>364160+3700+2590+104*260</f>
        <v>397490</v>
      </c>
      <c r="I9" s="355">
        <v>275512</v>
      </c>
      <c r="J9" s="355">
        <f>366560+4000+3*1470+840+2590+1400</f>
        <v>379800</v>
      </c>
      <c r="K9" s="138">
        <f t="shared" ref="K9:K34" si="1">IF(H9=0,"",J9/H9*100)</f>
        <v>95.54957357417797</v>
      </c>
      <c r="M9" s="82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187190</v>
      </c>
      <c r="H12" s="356">
        <f>H13</f>
        <v>183580</v>
      </c>
      <c r="I12" s="356">
        <f t="shared" ref="I12" si="2">I13</f>
        <v>136940</v>
      </c>
      <c r="J12" s="356">
        <f>J13</f>
        <v>190200</v>
      </c>
      <c r="K12" s="180">
        <f t="shared" si="1"/>
        <v>103.60605730471728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187190</v>
      </c>
      <c r="H13" s="355">
        <f>182580+1000</f>
        <v>183580</v>
      </c>
      <c r="I13" s="355">
        <v>136940</v>
      </c>
      <c r="J13" s="355">
        <f>183910+0+770+5520</f>
        <v>190200</v>
      </c>
      <c r="K13" s="138">
        <f t="shared" si="1"/>
        <v>103.60605730471728</v>
      </c>
    </row>
    <row r="14" spans="2:13" ht="17.100000000000001" customHeight="1">
      <c r="B14" s="14"/>
      <c r="C14" s="15"/>
      <c r="D14" s="15"/>
      <c r="E14" s="16"/>
      <c r="F14" s="15"/>
      <c r="G14" s="74"/>
      <c r="H14" s="74"/>
      <c r="I14" s="74"/>
      <c r="J14" s="74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215000</v>
      </c>
      <c r="H15" s="44">
        <f>SUM(H16:H25)</f>
        <v>210000</v>
      </c>
      <c r="I15" s="44">
        <f t="shared" ref="I15" si="3">SUM(I16:I25)</f>
        <v>142015</v>
      </c>
      <c r="J15" s="44">
        <f>SUM(J16:J25)</f>
        <v>222000</v>
      </c>
      <c r="K15" s="180">
        <f t="shared" si="1"/>
        <v>105.71428571428572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12000</v>
      </c>
      <c r="H16" s="39">
        <v>12000</v>
      </c>
      <c r="I16" s="39">
        <v>7773</v>
      </c>
      <c r="J16" s="39">
        <v>12000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77000</v>
      </c>
      <c r="H17" s="39">
        <v>77000</v>
      </c>
      <c r="I17" s="39">
        <v>46687</v>
      </c>
      <c r="J17" s="39">
        <v>77000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39">
        <v>11000</v>
      </c>
      <c r="H18" s="39">
        <v>11000</v>
      </c>
      <c r="I18" s="39">
        <v>8089</v>
      </c>
      <c r="J18" s="39">
        <v>11000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74">
        <v>20000</v>
      </c>
      <c r="H19" s="74">
        <v>20000</v>
      </c>
      <c r="I19" s="74">
        <v>14810</v>
      </c>
      <c r="J19" s="74">
        <v>22000</v>
      </c>
      <c r="K19" s="138">
        <f t="shared" si="1"/>
        <v>110.00000000000001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4">
        <v>1500</v>
      </c>
      <c r="H20" s="74">
        <v>1500</v>
      </c>
      <c r="I20" s="74">
        <v>891</v>
      </c>
      <c r="J20" s="74">
        <v>1500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74">
        <v>0</v>
      </c>
      <c r="H21" s="74">
        <v>0</v>
      </c>
      <c r="I21" s="74">
        <v>0</v>
      </c>
      <c r="J21" s="74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21500</v>
      </c>
      <c r="H22" s="74">
        <v>16500</v>
      </c>
      <c r="I22" s="74">
        <v>8909</v>
      </c>
      <c r="J22" s="74">
        <v>26500</v>
      </c>
      <c r="K22" s="138">
        <f t="shared" si="1"/>
        <v>160.60606060606059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72000</v>
      </c>
      <c r="H24" s="74">
        <v>72000</v>
      </c>
      <c r="I24" s="74">
        <v>54856</v>
      </c>
      <c r="J24" s="74">
        <v>72000</v>
      </c>
      <c r="K24" s="138">
        <f t="shared" si="1"/>
        <v>100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74"/>
      <c r="H26" s="74"/>
      <c r="I26" s="74"/>
      <c r="J26" s="74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SUM(G28:G30)</f>
        <v>7000</v>
      </c>
      <c r="H27" s="99">
        <f>SUM(H28:H30)</f>
        <v>95700</v>
      </c>
      <c r="I27" s="99">
        <f t="shared" ref="I27" si="4">SUM(I28:I30)</f>
        <v>2186</v>
      </c>
      <c r="J27" s="99">
        <f>SUM(J28:J30)</f>
        <v>7000</v>
      </c>
      <c r="K27" s="180">
        <f t="shared" si="1"/>
        <v>7.3145245559038656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78000</v>
      </c>
      <c r="I28" s="74">
        <v>0</v>
      </c>
      <c r="J28" s="74">
        <v>0</v>
      </c>
      <c r="K28" s="138">
        <f t="shared" si="1"/>
        <v>0</v>
      </c>
      <c r="L28" s="73"/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4">
        <v>7000</v>
      </c>
      <c r="H29" s="74">
        <v>17700</v>
      </c>
      <c r="I29" s="74">
        <v>2186</v>
      </c>
      <c r="J29" s="74">
        <v>7000</v>
      </c>
      <c r="K29" s="138">
        <f t="shared" si="1"/>
        <v>39.548022598870055</v>
      </c>
    </row>
    <row r="30" spans="2:12" ht="17.100000000000001" customHeight="1">
      <c r="B30" s="14"/>
      <c r="C30" s="15"/>
      <c r="D30" s="15"/>
      <c r="E30" s="16"/>
      <c r="F30" s="26"/>
      <c r="G30" s="74"/>
      <c r="H30" s="74"/>
      <c r="I30" s="74"/>
      <c r="J30" s="74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5" t="s">
        <v>771</v>
      </c>
      <c r="H31" s="25" t="s">
        <v>668</v>
      </c>
      <c r="I31" s="25" t="s">
        <v>743</v>
      </c>
      <c r="J31" s="25" t="s">
        <v>753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2553990</v>
      </c>
      <c r="H32" s="20">
        <f>H7+H12+H15+H27</f>
        <v>2561450</v>
      </c>
      <c r="I32" s="20">
        <f t="shared" ref="I32" si="5">I7+I12+I15+I27</f>
        <v>1798396</v>
      </c>
      <c r="J32" s="20">
        <f>J7+J12+J15+J27</f>
        <v>2576250</v>
      </c>
      <c r="K32" s="180">
        <f t="shared" si="1"/>
        <v>100.57779773175351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B2:M59"/>
  <sheetViews>
    <sheetView topLeftCell="B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171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125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581300</v>
      </c>
      <c r="H7" s="356">
        <f>SUM(H8:H11)</f>
        <v>568430</v>
      </c>
      <c r="I7" s="356">
        <f t="shared" ref="I7" si="0">SUM(I8:I11)</f>
        <v>412437</v>
      </c>
      <c r="J7" s="356">
        <f>SUM(J8:J11)</f>
        <v>611040</v>
      </c>
      <c r="K7" s="137">
        <f>IF(H7=0,"",J7/H7*100)</f>
        <v>107.49608570976197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475800</v>
      </c>
      <c r="H8" s="358">
        <f>465300+4500</f>
        <v>469800</v>
      </c>
      <c r="I8" s="358">
        <v>346822</v>
      </c>
      <c r="J8" s="358">
        <f>482230+0+7000+14470</f>
        <v>503700</v>
      </c>
      <c r="K8" s="138">
        <f>IF(H8=0,"",J8/H8*100)</f>
        <v>107.21583652618136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105500</v>
      </c>
      <c r="H9" s="358">
        <f>89810+500+32*260</f>
        <v>98630</v>
      </c>
      <c r="I9" s="358">
        <v>65615</v>
      </c>
      <c r="J9" s="358">
        <f>100820+0+3*840+2600+1400</f>
        <v>107340</v>
      </c>
      <c r="K9" s="138">
        <f t="shared" ref="K9:K34" si="1">IF(H9=0,"",J9/H9*100)</f>
        <v>108.83098448747846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8"/>
      <c r="H11" s="358"/>
      <c r="I11" s="358"/>
      <c r="J11" s="358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51300</v>
      </c>
      <c r="H12" s="356">
        <f>H13</f>
        <v>51100</v>
      </c>
      <c r="I12" s="356">
        <f t="shared" ref="I12" si="2">I13</f>
        <v>37789</v>
      </c>
      <c r="J12" s="356">
        <f>J13</f>
        <v>53920</v>
      </c>
      <c r="K12" s="180">
        <f t="shared" si="1"/>
        <v>105.51859099804307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51300</v>
      </c>
      <c r="H13" s="358">
        <f>50500+600</f>
        <v>51100</v>
      </c>
      <c r="I13" s="358">
        <v>37789</v>
      </c>
      <c r="J13" s="358">
        <f>51600+0+770+1550</f>
        <v>53920</v>
      </c>
      <c r="K13" s="138">
        <f t="shared" si="1"/>
        <v>105.51859099804307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51100</v>
      </c>
      <c r="H15" s="44">
        <f>SUM(H16:H25)</f>
        <v>51600</v>
      </c>
      <c r="I15" s="44">
        <f t="shared" ref="I15" si="3">SUM(I16:I25)</f>
        <v>39183</v>
      </c>
      <c r="J15" s="44">
        <f>SUM(J16:J25)</f>
        <v>54600</v>
      </c>
      <c r="K15" s="180">
        <f t="shared" si="1"/>
        <v>105.81395348837211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3500</v>
      </c>
      <c r="H16" s="40">
        <v>3500</v>
      </c>
      <c r="I16" s="40">
        <v>2873</v>
      </c>
      <c r="J16" s="40">
        <v>3500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20500</v>
      </c>
      <c r="H17" s="40">
        <v>20500</v>
      </c>
      <c r="I17" s="40">
        <v>16190</v>
      </c>
      <c r="J17" s="40">
        <v>20500</v>
      </c>
      <c r="K17" s="138">
        <f t="shared" si="1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3300</v>
      </c>
      <c r="H18" s="40">
        <v>3300</v>
      </c>
      <c r="I18" s="40">
        <v>2363</v>
      </c>
      <c r="J18" s="40">
        <v>3300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8000</v>
      </c>
      <c r="H19" s="40">
        <v>8000</v>
      </c>
      <c r="I19" s="40">
        <v>5975</v>
      </c>
      <c r="J19" s="40">
        <v>9000</v>
      </c>
      <c r="K19" s="138">
        <f t="shared" si="1"/>
        <v>112.5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300</v>
      </c>
      <c r="H20" s="40">
        <v>300</v>
      </c>
      <c r="I20" s="40">
        <v>108</v>
      </c>
      <c r="J20" s="40">
        <v>300</v>
      </c>
      <c r="K20" s="138">
        <f t="shared" si="1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">
        <v>8500</v>
      </c>
      <c r="H22" s="108">
        <v>8500</v>
      </c>
      <c r="I22" s="108">
        <v>6155</v>
      </c>
      <c r="J22" s="108">
        <v>10500</v>
      </c>
      <c r="K22" s="138">
        <f t="shared" si="1"/>
        <v>123.52941176470588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7000</v>
      </c>
      <c r="H24" s="108">
        <v>7500</v>
      </c>
      <c r="I24" s="108">
        <v>5519</v>
      </c>
      <c r="J24" s="108">
        <v>7500</v>
      </c>
      <c r="K24" s="138">
        <f t="shared" si="1"/>
        <v>100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2000</v>
      </c>
      <c r="H27" s="99">
        <f>SUM(H28:H29)</f>
        <v>55050</v>
      </c>
      <c r="I27" s="99">
        <f t="shared" ref="I27" si="4">SUM(I28:I29)</f>
        <v>1431</v>
      </c>
      <c r="J27" s="99">
        <f>SUM(J28:J29)</f>
        <v>35000</v>
      </c>
      <c r="K27" s="180">
        <f t="shared" si="1"/>
        <v>63.578564940962757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52000</v>
      </c>
      <c r="I28" s="108">
        <v>0</v>
      </c>
      <c r="J28" s="108">
        <v>30000</v>
      </c>
      <c r="K28" s="138">
        <f t="shared" si="1"/>
        <v>57.692307692307686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2000</v>
      </c>
      <c r="H29" s="108">
        <v>3050</v>
      </c>
      <c r="I29" s="108">
        <v>1431</v>
      </c>
      <c r="J29" s="108">
        <v>5000</v>
      </c>
      <c r="K29" s="138">
        <f t="shared" si="1"/>
        <v>163.9344262295082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747</v>
      </c>
      <c r="H31" s="25" t="s">
        <v>669</v>
      </c>
      <c r="I31" s="25" t="s">
        <v>669</v>
      </c>
      <c r="J31" s="25" t="s">
        <v>669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685700</v>
      </c>
      <c r="H32" s="20">
        <f>H7+H12+H15+H27</f>
        <v>726180</v>
      </c>
      <c r="I32" s="20">
        <f t="shared" ref="I32" si="5">I7+I12+I15+I27</f>
        <v>490840</v>
      </c>
      <c r="J32" s="20">
        <f>J7+J12+J15+J27</f>
        <v>754560</v>
      </c>
      <c r="K32" s="180">
        <f t="shared" si="1"/>
        <v>103.90812195323474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>
      <c r="B45" s="73"/>
    </row>
    <row r="46" spans="2:11" ht="17.100000000000001" customHeight="1">
      <c r="B46" s="73"/>
    </row>
    <row r="47" spans="2:11" ht="17.100000000000001" customHeight="1">
      <c r="B47" s="73"/>
    </row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B2:M59"/>
  <sheetViews>
    <sheetView topLeftCell="C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172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126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819400</v>
      </c>
      <c r="H7" s="356">
        <f>SUM(H8:H10)</f>
        <v>752770</v>
      </c>
      <c r="I7" s="356">
        <f t="shared" ref="I7" si="0">SUM(I8:I10)</f>
        <v>543687</v>
      </c>
      <c r="J7" s="356">
        <f>SUM(J8:J10)</f>
        <v>805680</v>
      </c>
      <c r="K7" s="137">
        <f>IF(H7=0,"",J7/H7*100)</f>
        <v>107.02870730767697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672000</v>
      </c>
      <c r="H8" s="358">
        <f>613060+2500+3090</f>
        <v>618650</v>
      </c>
      <c r="I8" s="358">
        <v>457114</v>
      </c>
      <c r="J8" s="358">
        <f>633490+2000+3290+7000+19010</f>
        <v>664790</v>
      </c>
      <c r="K8" s="138">
        <f>IF(H8=0,"",J8/H8*100)</f>
        <v>107.45817505859532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147400</v>
      </c>
      <c r="H9" s="358">
        <f>119590+700+2910+42*260</f>
        <v>134120</v>
      </c>
      <c r="I9" s="358">
        <v>86573</v>
      </c>
      <c r="J9" s="358">
        <f>132930+0+4*840+3200+1400</f>
        <v>140890</v>
      </c>
      <c r="K9" s="138">
        <f t="shared" ref="K9:K34" si="1">IF(H9=0,"",J9/H9*100)</f>
        <v>105.04771846107963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71600</v>
      </c>
      <c r="H12" s="356">
        <f>H13</f>
        <v>67320</v>
      </c>
      <c r="I12" s="356">
        <f t="shared" ref="I12" si="2">I13</f>
        <v>50249</v>
      </c>
      <c r="J12" s="356">
        <f>J13</f>
        <v>72470</v>
      </c>
      <c r="K12" s="180">
        <f t="shared" si="1"/>
        <v>107.65002970885324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71600</v>
      </c>
      <c r="H13" s="358">
        <f>66970+350</f>
        <v>67320</v>
      </c>
      <c r="I13" s="358">
        <v>50249</v>
      </c>
      <c r="J13" s="358">
        <f>69030+600+770+2070</f>
        <v>72470</v>
      </c>
      <c r="K13" s="138">
        <f t="shared" si="1"/>
        <v>107.65002970885324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61050</v>
      </c>
      <c r="H15" s="44">
        <f>SUM(H16:H25)</f>
        <v>64350</v>
      </c>
      <c r="I15" s="44">
        <f t="shared" ref="I15" si="3">SUM(I16:I25)</f>
        <v>37209</v>
      </c>
      <c r="J15" s="44">
        <f>SUM(J16:J25)</f>
        <v>63550</v>
      </c>
      <c r="K15" s="180">
        <f t="shared" si="1"/>
        <v>98.756798756798759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3500</v>
      </c>
      <c r="H16" s="40">
        <v>4800</v>
      </c>
      <c r="I16" s="40">
        <v>4081</v>
      </c>
      <c r="J16" s="40">
        <v>4500</v>
      </c>
      <c r="K16" s="138">
        <f t="shared" si="1"/>
        <v>93.75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30000</v>
      </c>
      <c r="H17" s="40">
        <v>30000</v>
      </c>
      <c r="I17" s="40">
        <v>13862</v>
      </c>
      <c r="J17" s="40">
        <v>30000</v>
      </c>
      <c r="K17" s="138">
        <f t="shared" si="1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108">
        <v>3050</v>
      </c>
      <c r="H18" s="108">
        <v>3050</v>
      </c>
      <c r="I18" s="108">
        <v>2367</v>
      </c>
      <c r="J18" s="108">
        <v>3050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108">
        <v>8500</v>
      </c>
      <c r="H19" s="108">
        <v>8300</v>
      </c>
      <c r="I19" s="108">
        <v>5547</v>
      </c>
      <c r="J19" s="108">
        <v>9000</v>
      </c>
      <c r="K19" s="138">
        <f t="shared" si="1"/>
        <v>108.43373493975903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8">
        <v>0</v>
      </c>
      <c r="H20" s="108">
        <v>0</v>
      </c>
      <c r="I20" s="108">
        <v>0</v>
      </c>
      <c r="J20" s="108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">
        <v>7000</v>
      </c>
      <c r="H22" s="108">
        <v>9000</v>
      </c>
      <c r="I22" s="108">
        <v>4753</v>
      </c>
      <c r="J22" s="108">
        <v>9000</v>
      </c>
      <c r="K22" s="138">
        <f t="shared" si="1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9000</v>
      </c>
      <c r="H24" s="108">
        <v>9200</v>
      </c>
      <c r="I24" s="108">
        <v>6599</v>
      </c>
      <c r="J24" s="108">
        <v>8000</v>
      </c>
      <c r="K24" s="138">
        <f t="shared" si="1"/>
        <v>86.956521739130437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11000</v>
      </c>
      <c r="H27" s="99">
        <f>SUM(H28:H29)</f>
        <v>11000</v>
      </c>
      <c r="I27" s="99">
        <f t="shared" ref="I27" si="4">SUM(I28:I29)</f>
        <v>0</v>
      </c>
      <c r="J27" s="99">
        <f>SUM(J28:J29)</f>
        <v>13500</v>
      </c>
      <c r="K27" s="180">
        <f t="shared" si="1"/>
        <v>122.72727272727273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10000</v>
      </c>
      <c r="H28" s="108">
        <v>10000</v>
      </c>
      <c r="I28" s="108">
        <v>0</v>
      </c>
      <c r="J28" s="108">
        <v>13500</v>
      </c>
      <c r="K28" s="138">
        <f t="shared" si="1"/>
        <v>135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1000</v>
      </c>
      <c r="H29" s="108">
        <v>1000</v>
      </c>
      <c r="I29" s="108">
        <v>0</v>
      </c>
      <c r="J29" s="108">
        <v>0</v>
      </c>
      <c r="K29" s="138">
        <f t="shared" si="1"/>
        <v>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759</v>
      </c>
      <c r="H31" s="25" t="s">
        <v>670</v>
      </c>
      <c r="I31" s="25" t="s">
        <v>744</v>
      </c>
      <c r="J31" s="25" t="s">
        <v>744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963050</v>
      </c>
      <c r="H32" s="20">
        <f>H7+H12+H15+H27</f>
        <v>895440</v>
      </c>
      <c r="I32" s="20">
        <f t="shared" ref="I32" si="5">I7+I12+I15+I27</f>
        <v>631145</v>
      </c>
      <c r="J32" s="20">
        <f>J7+J12+J15+J27</f>
        <v>955200</v>
      </c>
      <c r="K32" s="180">
        <f t="shared" si="1"/>
        <v>106.67381399088715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B2:M59"/>
  <sheetViews>
    <sheetView topLeftCell="C25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1" t="s">
        <v>173</v>
      </c>
      <c r="C2" s="481"/>
      <c r="D2" s="481"/>
      <c r="E2" s="481"/>
      <c r="F2" s="481"/>
      <c r="G2" s="481"/>
      <c r="H2" s="415"/>
      <c r="I2" s="415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147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886720</v>
      </c>
      <c r="H7" s="356">
        <f>SUM(H8:H10)</f>
        <v>843450</v>
      </c>
      <c r="I7" s="356">
        <f t="shared" ref="I7" si="0">SUM(I8:I10)</f>
        <v>627382</v>
      </c>
      <c r="J7" s="356">
        <f>SUM(J8:J10)</f>
        <v>864760</v>
      </c>
      <c r="K7" s="137">
        <f>IF(H7=0,"",J7/H7*100)</f>
        <v>102.52652795067876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714720</v>
      </c>
      <c r="H8" s="358">
        <f>677420+6500</f>
        <v>683920</v>
      </c>
      <c r="I8" s="358">
        <v>515339</v>
      </c>
      <c r="J8" s="358">
        <f>650610+2000+230+7000+16600+10600+19520+820</f>
        <v>707380</v>
      </c>
      <c r="K8" s="138">
        <f>IF(H8=0,"",J8/H8*100)</f>
        <v>103.43022575739853</v>
      </c>
      <c r="L8" s="73"/>
      <c r="M8" s="82"/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172000</v>
      </c>
      <c r="H9" s="358">
        <f>147390+700+44*260</f>
        <v>159530</v>
      </c>
      <c r="I9" s="358">
        <v>112043</v>
      </c>
      <c r="J9" s="358">
        <f>144490+1000+840+1470+2580+1400+3000+2600</f>
        <v>157380</v>
      </c>
      <c r="K9" s="138">
        <f t="shared" ref="K9:K34" si="1">IF(H9=0,"",J9/H9*100)</f>
        <v>98.652291105121293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75000</v>
      </c>
      <c r="H12" s="356">
        <f>H13</f>
        <v>73070</v>
      </c>
      <c r="I12" s="356">
        <f t="shared" ref="I12" si="2">I13</f>
        <v>54884</v>
      </c>
      <c r="J12" s="356">
        <f>J13</f>
        <v>76420</v>
      </c>
      <c r="K12" s="180">
        <f t="shared" si="1"/>
        <v>104.58464486109212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75000</v>
      </c>
      <c r="H13" s="358">
        <f>72270+800</f>
        <v>73070</v>
      </c>
      <c r="I13" s="358">
        <v>54884</v>
      </c>
      <c r="J13" s="358">
        <f>69760+700+770+1830+1170+2100+90</f>
        <v>76420</v>
      </c>
      <c r="K13" s="138">
        <f t="shared" si="1"/>
        <v>104.58464486109212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92100</v>
      </c>
      <c r="H15" s="44">
        <f>SUM(H16:H25)</f>
        <v>90400</v>
      </c>
      <c r="I15" s="44">
        <f t="shared" ref="I15" si="3">SUM(I16:I25)</f>
        <v>43618</v>
      </c>
      <c r="J15" s="44">
        <f>SUM(J16:J25)</f>
        <v>99600</v>
      </c>
      <c r="K15" s="180">
        <f t="shared" si="1"/>
        <v>110.17699115044249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4000</v>
      </c>
      <c r="I16" s="40">
        <v>2958</v>
      </c>
      <c r="J16" s="40">
        <v>4000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55000</v>
      </c>
      <c r="H17" s="40">
        <v>52000</v>
      </c>
      <c r="I17" s="40">
        <v>14236</v>
      </c>
      <c r="J17" s="40">
        <v>55000</v>
      </c>
      <c r="K17" s="138">
        <f t="shared" si="1"/>
        <v>105.76923076923077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4500</v>
      </c>
      <c r="H18" s="40">
        <v>4500</v>
      </c>
      <c r="I18" s="40">
        <v>3185</v>
      </c>
      <c r="J18" s="40">
        <v>4500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8500</v>
      </c>
      <c r="H19" s="40">
        <v>10000</v>
      </c>
      <c r="I19" s="40">
        <v>8061</v>
      </c>
      <c r="J19" s="40">
        <v>12000</v>
      </c>
      <c r="K19" s="138">
        <f t="shared" si="1"/>
        <v>120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8">
        <v>1000</v>
      </c>
      <c r="H20" s="108">
        <v>1000</v>
      </c>
      <c r="I20" s="108">
        <v>709</v>
      </c>
      <c r="J20" s="108">
        <v>1000</v>
      </c>
      <c r="K20" s="138">
        <f t="shared" si="1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">
        <v>8000</v>
      </c>
      <c r="H22" s="108">
        <v>8000</v>
      </c>
      <c r="I22" s="108">
        <v>5855</v>
      </c>
      <c r="J22" s="108">
        <v>12000</v>
      </c>
      <c r="K22" s="138">
        <f t="shared" si="1"/>
        <v>150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2100</v>
      </c>
      <c r="H23" s="108">
        <v>900</v>
      </c>
      <c r="I23" s="108">
        <v>856</v>
      </c>
      <c r="J23" s="108">
        <v>2100</v>
      </c>
      <c r="K23" s="138">
        <f t="shared" si="1"/>
        <v>233.33333333333334</v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9000</v>
      </c>
      <c r="H24" s="108">
        <v>10000</v>
      </c>
      <c r="I24" s="108">
        <v>7758</v>
      </c>
      <c r="J24" s="108">
        <v>9000</v>
      </c>
      <c r="K24" s="138">
        <f t="shared" si="1"/>
        <v>90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54">
        <v>0</v>
      </c>
      <c r="H25" s="154">
        <v>0</v>
      </c>
      <c r="I25" s="154">
        <v>0</v>
      </c>
      <c r="J25" s="154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12000</v>
      </c>
      <c r="H27" s="99">
        <f>SUM(H28:H29)</f>
        <v>64000</v>
      </c>
      <c r="I27" s="99">
        <f t="shared" ref="I27" si="4">SUM(I28:I29)</f>
        <v>11905</v>
      </c>
      <c r="J27" s="99">
        <f>SUM(J28:J29)</f>
        <v>30000</v>
      </c>
      <c r="K27" s="180">
        <f t="shared" si="1"/>
        <v>46.875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10000</v>
      </c>
      <c r="H28" s="108">
        <f>7000+52000</f>
        <v>59000</v>
      </c>
      <c r="I28" s="108">
        <v>6979</v>
      </c>
      <c r="J28" s="108">
        <v>25000</v>
      </c>
      <c r="K28" s="138">
        <f t="shared" si="1"/>
        <v>42.372881355932201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2000</v>
      </c>
      <c r="H29" s="108">
        <v>5000</v>
      </c>
      <c r="I29" s="108">
        <v>4926</v>
      </c>
      <c r="J29" s="108">
        <v>5000</v>
      </c>
      <c r="K29" s="138">
        <f t="shared" si="1"/>
        <v>100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121" t="s">
        <v>772</v>
      </c>
      <c r="H31" s="121" t="s">
        <v>671</v>
      </c>
      <c r="I31" s="121" t="s">
        <v>744</v>
      </c>
      <c r="J31" s="121" t="s">
        <v>759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1065820</v>
      </c>
      <c r="H32" s="20">
        <f>H7+H12+H15+H27</f>
        <v>1070920</v>
      </c>
      <c r="I32" s="20">
        <f t="shared" ref="I32" si="5">I7+I12+I15+I27</f>
        <v>737789</v>
      </c>
      <c r="J32" s="20">
        <f>J7+J12+J15+J27</f>
        <v>1070780</v>
      </c>
      <c r="K32" s="180">
        <f t="shared" si="1"/>
        <v>99.9869271280768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B2:M59"/>
  <sheetViews>
    <sheetView topLeftCell="C28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174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148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419600</v>
      </c>
      <c r="H7" s="356">
        <f>SUM(H8:H10)</f>
        <v>397520</v>
      </c>
      <c r="I7" s="356">
        <f t="shared" ref="I7" si="0">SUM(I8:I10)</f>
        <v>285234</v>
      </c>
      <c r="J7" s="356">
        <f>SUM(J8:J10)</f>
        <v>447110</v>
      </c>
      <c r="K7" s="137">
        <f>IF(H7=0,"",J7/H7*100)</f>
        <v>112.47484403300463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332900</v>
      </c>
      <c r="H8" s="358">
        <f>314910+3000</f>
        <v>317910</v>
      </c>
      <c r="I8" s="358">
        <v>232554</v>
      </c>
      <c r="J8" s="358">
        <f>340340+500+7000+10210</f>
        <v>358050</v>
      </c>
      <c r="K8" s="138">
        <f>IF(H8=0,"",J8/H8*100)</f>
        <v>112.62621496649996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86700</v>
      </c>
      <c r="H9" s="358">
        <f>73850+300+21*260</f>
        <v>79610</v>
      </c>
      <c r="I9" s="358">
        <v>52680</v>
      </c>
      <c r="J9" s="358">
        <f>86820+0+840+1400</f>
        <v>89060</v>
      </c>
      <c r="K9" s="138">
        <f t="shared" ref="K9:K34" si="1">IF(H9=0,"",J9/H9*100)</f>
        <v>111.87036804421555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35600</v>
      </c>
      <c r="H12" s="356">
        <f>H13</f>
        <v>32950</v>
      </c>
      <c r="I12" s="356">
        <f t="shared" ref="I12" si="2">I13</f>
        <v>25736</v>
      </c>
      <c r="J12" s="356">
        <f>J13</f>
        <v>38370</v>
      </c>
      <c r="K12" s="180">
        <f t="shared" si="1"/>
        <v>116.44916540212442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35600</v>
      </c>
      <c r="H13" s="358">
        <f>32550+400</f>
        <v>32950</v>
      </c>
      <c r="I13" s="358">
        <v>25736</v>
      </c>
      <c r="J13" s="358">
        <f>36400+100+770+1100</f>
        <v>38370</v>
      </c>
      <c r="K13" s="138">
        <f t="shared" si="1"/>
        <v>116.44916540212442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48800</v>
      </c>
      <c r="H15" s="44">
        <f>SUM(H16:H25)</f>
        <v>48300</v>
      </c>
      <c r="I15" s="44">
        <f t="shared" ref="I15" si="3">SUM(I16:I25)</f>
        <v>27088</v>
      </c>
      <c r="J15" s="44">
        <f>SUM(J16:J25)</f>
        <v>49400</v>
      </c>
      <c r="K15" s="180">
        <f t="shared" si="1"/>
        <v>102.27743271221532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3500</v>
      </c>
      <c r="I16" s="40">
        <v>2431</v>
      </c>
      <c r="J16" s="40">
        <v>4000</v>
      </c>
      <c r="K16" s="138">
        <f t="shared" si="1"/>
        <v>114.28571428571428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18000</v>
      </c>
      <c r="H17" s="40">
        <v>18000</v>
      </c>
      <c r="I17" s="40">
        <v>4028</v>
      </c>
      <c r="J17" s="40">
        <v>18000</v>
      </c>
      <c r="K17" s="138">
        <f t="shared" si="1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2800</v>
      </c>
      <c r="H18" s="40">
        <v>2800</v>
      </c>
      <c r="I18" s="40">
        <v>1989</v>
      </c>
      <c r="J18" s="40">
        <v>2800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40">
        <v>9000</v>
      </c>
      <c r="H19" s="40">
        <v>9000</v>
      </c>
      <c r="I19" s="40">
        <v>6492</v>
      </c>
      <c r="J19" s="40">
        <v>9000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40">
        <v>500</v>
      </c>
      <c r="H20" s="40">
        <v>500</v>
      </c>
      <c r="I20" s="40">
        <v>257</v>
      </c>
      <c r="J20" s="40">
        <v>600</v>
      </c>
      <c r="K20" s="138">
        <f t="shared" si="1"/>
        <v>120</v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40">
        <v>6000</v>
      </c>
      <c r="H22" s="40">
        <v>9600</v>
      </c>
      <c r="I22" s="40">
        <v>7476</v>
      </c>
      <c r="J22" s="40">
        <v>8000</v>
      </c>
      <c r="K22" s="138">
        <f t="shared" si="1"/>
        <v>83.333333333333343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8500</v>
      </c>
      <c r="H24" s="108">
        <v>4900</v>
      </c>
      <c r="I24" s="108">
        <v>4415</v>
      </c>
      <c r="J24" s="108">
        <v>7000</v>
      </c>
      <c r="K24" s="138">
        <f t="shared" si="1"/>
        <v>142.85714285714286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2000</v>
      </c>
      <c r="H27" s="99">
        <f>SUM(H28:H29)</f>
        <v>2000</v>
      </c>
      <c r="I27" s="99">
        <f t="shared" ref="I27" si="4">SUM(I28:I29)</f>
        <v>2000</v>
      </c>
      <c r="J27" s="99">
        <f>SUM(J28:J29)</f>
        <v>2500</v>
      </c>
      <c r="K27" s="180">
        <f t="shared" si="1"/>
        <v>125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0</v>
      </c>
      <c r="I28" s="108">
        <v>0</v>
      </c>
      <c r="J28" s="108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2000</v>
      </c>
      <c r="H29" s="108">
        <v>2000</v>
      </c>
      <c r="I29" s="108">
        <v>2000</v>
      </c>
      <c r="J29" s="108">
        <v>2500</v>
      </c>
      <c r="K29" s="138">
        <f t="shared" si="1"/>
        <v>125</v>
      </c>
    </row>
    <row r="30" spans="2:11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649</v>
      </c>
      <c r="H31" s="25" t="s">
        <v>649</v>
      </c>
      <c r="I31" s="25" t="s">
        <v>649</v>
      </c>
      <c r="J31" s="25" t="s">
        <v>649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506000</v>
      </c>
      <c r="H32" s="20">
        <f>H7+H12+H15+H27</f>
        <v>480770</v>
      </c>
      <c r="I32" s="20">
        <f t="shared" ref="I32" si="5">I7+I12+I15+I27</f>
        <v>340058</v>
      </c>
      <c r="J32" s="20">
        <f>J7+J12+J15+J27</f>
        <v>537380</v>
      </c>
      <c r="K32" s="180">
        <f t="shared" si="1"/>
        <v>111.77486116022214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39"/>
      <c r="K34" s="138" t="str">
        <f t="shared" si="1"/>
        <v/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B2:M59"/>
  <sheetViews>
    <sheetView topLeftCell="C3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175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144</v>
      </c>
      <c r="C6" s="11" t="s">
        <v>146</v>
      </c>
      <c r="D6" s="11" t="s">
        <v>149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597200</v>
      </c>
      <c r="H7" s="356">
        <f>SUM(H8:H10)</f>
        <v>547340</v>
      </c>
      <c r="I7" s="356">
        <f t="shared" ref="I7" si="0">SUM(I8:I10)</f>
        <v>400226</v>
      </c>
      <c r="J7" s="356">
        <f>SUM(J8:J10)</f>
        <v>559040</v>
      </c>
      <c r="K7" s="137">
        <f>IF(H7=0,"",J7/H7*100)</f>
        <v>102.13761099133993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484500</v>
      </c>
      <c r="H8" s="358">
        <f>440870+4500</f>
        <v>445370</v>
      </c>
      <c r="I8" s="358">
        <v>331230</v>
      </c>
      <c r="J8" s="358">
        <f>437050+5000+3000+13120</f>
        <v>458170</v>
      </c>
      <c r="K8" s="138">
        <f>IF(H8=0,"",J8/H8*100)</f>
        <v>102.87401486404562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112700</v>
      </c>
      <c r="H9" s="358">
        <f>93730+700+29*260</f>
        <v>101970</v>
      </c>
      <c r="I9" s="358">
        <v>68996</v>
      </c>
      <c r="J9" s="358">
        <f>96610+0+2*840+2580</f>
        <v>100870</v>
      </c>
      <c r="K9" s="138">
        <f t="shared" ref="K9:K34" si="1">IF(H9=0,"",J9/H9*100)</f>
        <v>98.921251348435817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53100</v>
      </c>
      <c r="H12" s="356">
        <f>H13</f>
        <v>48570</v>
      </c>
      <c r="I12" s="356">
        <f t="shared" ref="I12" si="2">I13</f>
        <v>36222</v>
      </c>
      <c r="J12" s="356">
        <f>J13</f>
        <v>49360</v>
      </c>
      <c r="K12" s="180">
        <f t="shared" si="1"/>
        <v>101.62651842701256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53100</v>
      </c>
      <c r="H13" s="358">
        <f>47970+600</f>
        <v>48570</v>
      </c>
      <c r="I13" s="358">
        <v>36222</v>
      </c>
      <c r="J13" s="358">
        <f>46750+1200+1410</f>
        <v>49360</v>
      </c>
      <c r="K13" s="138">
        <f t="shared" si="1"/>
        <v>101.62651842701256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62400</v>
      </c>
      <c r="H15" s="44">
        <f>SUM(H16:H25)</f>
        <v>62400</v>
      </c>
      <c r="I15" s="44">
        <f t="shared" ref="I15" si="3">SUM(I16:I25)</f>
        <v>40057</v>
      </c>
      <c r="J15" s="44">
        <f>SUM(J16:J25)</f>
        <v>64400</v>
      </c>
      <c r="K15" s="180">
        <f t="shared" si="1"/>
        <v>103.20512820512822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3500</v>
      </c>
      <c r="H16" s="40">
        <v>3500</v>
      </c>
      <c r="I16" s="40">
        <v>2242</v>
      </c>
      <c r="J16" s="40">
        <v>3500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40">
        <v>30500</v>
      </c>
      <c r="H17" s="40">
        <v>30500</v>
      </c>
      <c r="I17" s="40">
        <v>17614</v>
      </c>
      <c r="J17" s="40">
        <v>30500</v>
      </c>
      <c r="K17" s="138">
        <f t="shared" si="1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40">
        <v>3400</v>
      </c>
      <c r="H18" s="40">
        <v>2900</v>
      </c>
      <c r="I18" s="40">
        <v>2108</v>
      </c>
      <c r="J18" s="40">
        <v>3400</v>
      </c>
      <c r="K18" s="138">
        <f t="shared" si="1"/>
        <v>117.24137931034481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108">
        <v>8000</v>
      </c>
      <c r="H19" s="108">
        <v>7500</v>
      </c>
      <c r="I19" s="108">
        <v>4670</v>
      </c>
      <c r="J19" s="108">
        <v>9000</v>
      </c>
      <c r="K19" s="138">
        <f t="shared" si="1"/>
        <v>120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8">
        <v>1000</v>
      </c>
      <c r="H20" s="108">
        <v>1000</v>
      </c>
      <c r="I20" s="108">
        <v>732</v>
      </c>
      <c r="J20" s="108">
        <v>1000</v>
      </c>
      <c r="K20" s="138">
        <f t="shared" si="1"/>
        <v>100</v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">
        <v>8000</v>
      </c>
      <c r="H22" s="108">
        <v>8000</v>
      </c>
      <c r="I22" s="108">
        <v>5911</v>
      </c>
      <c r="J22" s="108">
        <v>9000</v>
      </c>
      <c r="K22" s="138">
        <f t="shared" si="1"/>
        <v>112.5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108">
        <v>8000</v>
      </c>
      <c r="H24" s="108">
        <v>9000</v>
      </c>
      <c r="I24" s="108">
        <v>6780</v>
      </c>
      <c r="J24" s="108">
        <v>8000</v>
      </c>
      <c r="K24" s="138">
        <f t="shared" si="1"/>
        <v>88.888888888888886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SUM(G28:G30)</f>
        <v>2000</v>
      </c>
      <c r="H27" s="99">
        <f>SUM(H28:H30)</f>
        <v>2000</v>
      </c>
      <c r="I27" s="99">
        <f t="shared" ref="I27" si="4">SUM(I28:I30)</f>
        <v>1845</v>
      </c>
      <c r="J27" s="99">
        <f>SUM(J28:J30)</f>
        <v>3000</v>
      </c>
      <c r="K27" s="180">
        <f t="shared" si="1"/>
        <v>150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520</v>
      </c>
      <c r="I28" s="108">
        <v>520</v>
      </c>
      <c r="J28" s="108">
        <v>0</v>
      </c>
      <c r="K28" s="138">
        <f t="shared" si="1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8">
        <v>2000</v>
      </c>
      <c r="H29" s="108">
        <v>1480</v>
      </c>
      <c r="I29" s="108">
        <v>1325</v>
      </c>
      <c r="J29" s="108">
        <v>3000</v>
      </c>
      <c r="K29" s="138">
        <f t="shared" si="1"/>
        <v>202.70270270270271</v>
      </c>
    </row>
    <row r="30" spans="2:11" ht="17.100000000000001" customHeight="1">
      <c r="B30" s="14"/>
      <c r="C30" s="15"/>
      <c r="D30" s="15"/>
      <c r="E30" s="16"/>
      <c r="F30" s="26"/>
      <c r="G30" s="108"/>
      <c r="H30" s="108"/>
      <c r="I30" s="108"/>
      <c r="J30" s="108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 t="s">
        <v>747</v>
      </c>
      <c r="H31" s="25" t="s">
        <v>672</v>
      </c>
      <c r="I31" s="25" t="s">
        <v>745</v>
      </c>
      <c r="J31" s="25" t="s">
        <v>672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714700</v>
      </c>
      <c r="H32" s="20">
        <f>H7+H12+H15+H27</f>
        <v>660310</v>
      </c>
      <c r="I32" s="20">
        <f t="shared" ref="I32" si="5">I7+I12+I15+I27</f>
        <v>478350</v>
      </c>
      <c r="J32" s="20">
        <f>J7+J12+J15+J27</f>
        <v>675800</v>
      </c>
      <c r="K32" s="180">
        <f t="shared" si="1"/>
        <v>102.34586784994926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G32+'29'!G32+'28'!G32+'27'!G32+'26'!G32+'25'!G32+'24'!G32</f>
        <v>7722160</v>
      </c>
      <c r="H33" s="20">
        <f>H32+'29'!H32+'28'!H32+'27'!H32+'26'!H32+'25'!H32+'24'!H32</f>
        <v>7594460</v>
      </c>
      <c r="I33" s="20">
        <f>I32+'29'!I32+'28'!I32+'27'!I32+'26'!I32+'25'!I32+'24'!I32</f>
        <v>5316655</v>
      </c>
      <c r="J33" s="20">
        <f>J32+'29'!J32+'28'!J32+'27'!J32+'26'!J32+'25'!J32+'24'!J32</f>
        <v>7819660</v>
      </c>
      <c r="K33" s="180">
        <f>IF(H33=0,"",J33/H33*100)</f>
        <v>102.96531945655123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G33+'23'!G34+'20'!G52</f>
        <v>13110810</v>
      </c>
      <c r="H34" s="20">
        <f>H33+'23'!H34+'20'!H52</f>
        <v>12958700</v>
      </c>
      <c r="I34" s="20">
        <f>I33+'23'!I34+'20'!I52</f>
        <v>9097063</v>
      </c>
      <c r="J34" s="20">
        <f>J33+'23'!J34+'20'!J52</f>
        <v>13262620</v>
      </c>
      <c r="K34" s="180">
        <f t="shared" si="1"/>
        <v>102.34529698195034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B2:M59"/>
  <sheetViews>
    <sheetView topLeftCell="C3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1" t="s">
        <v>180</v>
      </c>
      <c r="C2" s="481"/>
      <c r="D2" s="481"/>
      <c r="E2" s="481"/>
      <c r="F2" s="481"/>
      <c r="G2" s="481"/>
      <c r="H2" s="415"/>
      <c r="I2" s="415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150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226200</v>
      </c>
      <c r="H7" s="356">
        <f>SUM(H8:H10)</f>
        <v>218280</v>
      </c>
      <c r="I7" s="356">
        <f t="shared" ref="I7" si="0">SUM(I8:I10)</f>
        <v>159110</v>
      </c>
      <c r="J7" s="356">
        <f>SUM(J8:J10)</f>
        <v>246970</v>
      </c>
      <c r="K7" s="137">
        <f>IF(H7=0,"",J7/H7*100)</f>
        <v>113.14366868242625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179800</v>
      </c>
      <c r="H8" s="358">
        <f>169970+1500</f>
        <v>171470</v>
      </c>
      <c r="I8" s="358">
        <v>126025</v>
      </c>
      <c r="J8" s="358">
        <f>176010+1000+16500+5280+500</f>
        <v>199290</v>
      </c>
      <c r="K8" s="138">
        <f>IF(H8=0,"",J8/H8*100)</f>
        <v>116.22441243366185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46400</v>
      </c>
      <c r="H9" s="358">
        <f>43610+600+10*260</f>
        <v>46810</v>
      </c>
      <c r="I9" s="358">
        <v>33085</v>
      </c>
      <c r="J9" s="358">
        <f>42580+1000+4100</f>
        <v>47680</v>
      </c>
      <c r="K9" s="138">
        <f t="shared" ref="K9:K37" si="1">IF(H9=0,"",J9/H9*100)</f>
        <v>101.85857722708822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20520</v>
      </c>
      <c r="H12" s="356">
        <f>H13</f>
        <v>18460</v>
      </c>
      <c r="I12" s="356">
        <f t="shared" ref="I12" si="2">I13</f>
        <v>13501</v>
      </c>
      <c r="J12" s="356">
        <f>J13</f>
        <v>21470</v>
      </c>
      <c r="K12" s="180">
        <f t="shared" si="1"/>
        <v>116.30552546045503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20520</v>
      </c>
      <c r="H13" s="358">
        <f>18210+250</f>
        <v>18460</v>
      </c>
      <c r="I13" s="358">
        <v>13501</v>
      </c>
      <c r="J13" s="358">
        <f>18840+200+1800+570+60</f>
        <v>21470</v>
      </c>
      <c r="K13" s="138">
        <f t="shared" si="1"/>
        <v>116.30552546045503</v>
      </c>
    </row>
    <row r="14" spans="2:13" ht="17.100000000000001" customHeight="1">
      <c r="B14" s="14"/>
      <c r="C14" s="15"/>
      <c r="D14" s="15"/>
      <c r="E14" s="16"/>
      <c r="F14" s="15"/>
      <c r="G14" s="99"/>
      <c r="H14" s="99"/>
      <c r="I14" s="99"/>
      <c r="J14" s="9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99">
        <f>SUM(G16:G25)</f>
        <v>39800</v>
      </c>
      <c r="H15" s="99">
        <f>SUM(H16:H25)</f>
        <v>56800</v>
      </c>
      <c r="I15" s="99">
        <f t="shared" ref="I15" si="3">SUM(I16:I25)</f>
        <v>33034</v>
      </c>
      <c r="J15" s="99">
        <f>SUM(J16:J25)</f>
        <v>39800</v>
      </c>
      <c r="K15" s="180">
        <f t="shared" si="1"/>
        <v>70.070422535211264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108">
        <v>3500</v>
      </c>
      <c r="H16" s="108">
        <v>3500</v>
      </c>
      <c r="I16" s="108">
        <v>1736</v>
      </c>
      <c r="J16" s="108">
        <v>3500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108">
        <v>0</v>
      </c>
      <c r="H17" s="108">
        <v>0</v>
      </c>
      <c r="I17" s="108">
        <v>0</v>
      </c>
      <c r="J17" s="108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108">
        <v>3300</v>
      </c>
      <c r="H18" s="108">
        <v>3300</v>
      </c>
      <c r="I18" s="108">
        <v>2521</v>
      </c>
      <c r="J18" s="108">
        <v>3300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108">
        <v>2500</v>
      </c>
      <c r="H19" s="108">
        <v>2500</v>
      </c>
      <c r="I19" s="108">
        <v>964</v>
      </c>
      <c r="J19" s="108">
        <v>2500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0</v>
      </c>
      <c r="H20" s="108">
        <v>0</v>
      </c>
      <c r="I20" s="108">
        <v>0</v>
      </c>
      <c r="J20" s="108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6500</v>
      </c>
      <c r="H22" s="108">
        <v>6500</v>
      </c>
      <c r="I22" s="108">
        <v>4221</v>
      </c>
      <c r="J22" s="108">
        <v>6500</v>
      </c>
      <c r="K22" s="138">
        <f t="shared" si="1"/>
        <v>100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0</v>
      </c>
      <c r="H23" s="108">
        <v>0</v>
      </c>
      <c r="I23" s="108">
        <v>0</v>
      </c>
      <c r="J23" s="108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24000</v>
      </c>
      <c r="H24" s="108">
        <v>41000</v>
      </c>
      <c r="I24" s="108">
        <v>23592</v>
      </c>
      <c r="J24" s="108">
        <v>24000</v>
      </c>
      <c r="K24" s="138">
        <f t="shared" si="1"/>
        <v>58.536585365853654</v>
      </c>
      <c r="L24" s="98"/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211</v>
      </c>
      <c r="G27" s="99">
        <f>G28</f>
        <v>1000000</v>
      </c>
      <c r="H27" s="99">
        <f>H28</f>
        <v>1000000</v>
      </c>
      <c r="I27" s="99">
        <f t="shared" ref="I27:J27" si="4">I28</f>
        <v>518134</v>
      </c>
      <c r="J27" s="99">
        <f t="shared" si="4"/>
        <v>1100000</v>
      </c>
      <c r="K27" s="180">
        <f t="shared" si="1"/>
        <v>110.00000000000001</v>
      </c>
    </row>
    <row r="28" spans="2:12" ht="17.100000000000001" customHeight="1">
      <c r="B28" s="14"/>
      <c r="C28" s="15"/>
      <c r="D28" s="15"/>
      <c r="E28" s="16">
        <v>614200</v>
      </c>
      <c r="F28" s="29" t="s">
        <v>114</v>
      </c>
      <c r="G28" s="108">
        <v>1000000</v>
      </c>
      <c r="H28" s="108">
        <v>1000000</v>
      </c>
      <c r="I28" s="108">
        <v>518134</v>
      </c>
      <c r="J28" s="108">
        <v>1100000</v>
      </c>
      <c r="K28" s="138">
        <f t="shared" si="1"/>
        <v>110.00000000000001</v>
      </c>
    </row>
    <row r="29" spans="2:12" ht="17.100000000000001" customHeight="1">
      <c r="B29" s="14"/>
      <c r="C29" s="15"/>
      <c r="D29" s="15"/>
      <c r="E29" s="16"/>
      <c r="F29" s="15"/>
      <c r="G29" s="108"/>
      <c r="H29" s="108"/>
      <c r="I29" s="108"/>
      <c r="J29" s="108"/>
      <c r="K29" s="138" t="str">
        <f t="shared" si="1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99">
        <f>SUM(G31:G32)</f>
        <v>1000</v>
      </c>
      <c r="H30" s="99">
        <f>SUM(H31:H32)</f>
        <v>1200</v>
      </c>
      <c r="I30" s="99">
        <f t="shared" ref="I30" si="5">SUM(I31:I32)</f>
        <v>0</v>
      </c>
      <c r="J30" s="99">
        <f>SUM(J31:J32)</f>
        <v>1000</v>
      </c>
      <c r="K30" s="138">
        <f t="shared" si="1"/>
        <v>83.333333333333343</v>
      </c>
    </row>
    <row r="31" spans="2:12" ht="17.100000000000001" customHeight="1">
      <c r="B31" s="14"/>
      <c r="C31" s="15"/>
      <c r="D31" s="15"/>
      <c r="E31" s="16">
        <v>821200</v>
      </c>
      <c r="F31" s="15" t="s">
        <v>91</v>
      </c>
      <c r="G31" s="108">
        <v>0</v>
      </c>
      <c r="H31" s="108">
        <v>0</v>
      </c>
      <c r="I31" s="108">
        <v>0</v>
      </c>
      <c r="J31" s="108">
        <v>0</v>
      </c>
      <c r="K31" s="138" t="str">
        <f t="shared" si="1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92</v>
      </c>
      <c r="G32" s="108">
        <v>1000</v>
      </c>
      <c r="H32" s="108">
        <v>1200</v>
      </c>
      <c r="I32" s="108">
        <v>0</v>
      </c>
      <c r="J32" s="108">
        <v>1000</v>
      </c>
      <c r="K32" s="138">
        <f t="shared" si="1"/>
        <v>83.333333333333343</v>
      </c>
    </row>
    <row r="33" spans="2:11" ht="17.100000000000001" customHeight="1">
      <c r="B33" s="14"/>
      <c r="C33" s="15"/>
      <c r="D33" s="15"/>
      <c r="E33" s="16"/>
      <c r="F33" s="15"/>
      <c r="G33" s="108"/>
      <c r="H33" s="108"/>
      <c r="I33" s="108"/>
      <c r="J33" s="108"/>
      <c r="K33" s="138" t="str">
        <f t="shared" si="1"/>
        <v/>
      </c>
    </row>
    <row r="34" spans="2:11" s="1" customFormat="1" ht="17.100000000000001" customHeight="1">
      <c r="B34" s="17"/>
      <c r="C34" s="12"/>
      <c r="D34" s="12"/>
      <c r="E34" s="9"/>
      <c r="F34" s="12" t="s">
        <v>93</v>
      </c>
      <c r="G34" s="20">
        <v>11</v>
      </c>
      <c r="H34" s="20">
        <v>10</v>
      </c>
      <c r="I34" s="20">
        <v>10</v>
      </c>
      <c r="J34" s="20">
        <v>11</v>
      </c>
      <c r="K34" s="138"/>
    </row>
    <row r="35" spans="2:11" s="1" customFormat="1" ht="17.100000000000001" customHeight="1">
      <c r="B35" s="17"/>
      <c r="C35" s="12"/>
      <c r="D35" s="12"/>
      <c r="E35" s="9"/>
      <c r="F35" s="12" t="s">
        <v>113</v>
      </c>
      <c r="G35" s="20">
        <f>G7+G12+G15+G27+G30</f>
        <v>1287520</v>
      </c>
      <c r="H35" s="20">
        <f>H7+H12+H15+H27+H30</f>
        <v>1294740</v>
      </c>
      <c r="I35" s="20">
        <f t="shared" ref="I35" si="6">I7+I12+I15+I27+I30</f>
        <v>723779</v>
      </c>
      <c r="J35" s="20">
        <f>J7+J12+J15+J27+J30</f>
        <v>1409240</v>
      </c>
      <c r="K35" s="180">
        <f t="shared" si="1"/>
        <v>108.84347436550968</v>
      </c>
    </row>
    <row r="36" spans="2:11" s="1" customFormat="1" ht="17.100000000000001" customHeight="1">
      <c r="B36" s="17"/>
      <c r="C36" s="12"/>
      <c r="D36" s="12"/>
      <c r="E36" s="9"/>
      <c r="F36" s="12" t="s">
        <v>94</v>
      </c>
      <c r="G36" s="20">
        <f>G35</f>
        <v>1287520</v>
      </c>
      <c r="H36" s="20">
        <f>H35</f>
        <v>1294740</v>
      </c>
      <c r="I36" s="20">
        <f t="shared" ref="I36" si="7">I35</f>
        <v>723779</v>
      </c>
      <c r="J36" s="20">
        <f>J35</f>
        <v>1409240</v>
      </c>
      <c r="K36" s="180">
        <f t="shared" si="1"/>
        <v>108.84347436550968</v>
      </c>
    </row>
    <row r="37" spans="2:11" s="1" customFormat="1" ht="17.100000000000001" customHeight="1">
      <c r="B37" s="17"/>
      <c r="C37" s="12"/>
      <c r="D37" s="12"/>
      <c r="E37" s="9"/>
      <c r="F37" s="12" t="s">
        <v>95</v>
      </c>
      <c r="G37" s="20">
        <f>G36</f>
        <v>1287520</v>
      </c>
      <c r="H37" s="20">
        <f>H36</f>
        <v>1294740</v>
      </c>
      <c r="I37" s="20">
        <f t="shared" ref="I37" si="8">I36</f>
        <v>723779</v>
      </c>
      <c r="J37" s="20">
        <f>J36</f>
        <v>1409240</v>
      </c>
      <c r="K37" s="180">
        <f t="shared" si="1"/>
        <v>108.84347436550968</v>
      </c>
    </row>
    <row r="38" spans="2:11" ht="17.100000000000001" customHeight="1" thickBot="1">
      <c r="B38" s="21"/>
      <c r="C38" s="22"/>
      <c r="D38" s="22"/>
      <c r="E38" s="23"/>
      <c r="F38" s="22"/>
      <c r="G38" s="41"/>
      <c r="H38" s="41"/>
      <c r="I38" s="41"/>
      <c r="J38" s="41"/>
      <c r="K38" s="141"/>
    </row>
    <row r="39" spans="2:11" ht="17.100000000000001" customHeight="1">
      <c r="G39" s="86"/>
      <c r="H39" s="86"/>
      <c r="I39" s="86"/>
      <c r="J39" s="86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s="103" customFormat="1" ht="15" customHeight="1">
      <c r="B2" s="484" t="s">
        <v>152</v>
      </c>
      <c r="C2" s="484"/>
      <c r="D2" s="484"/>
      <c r="E2" s="484"/>
      <c r="F2" s="484"/>
      <c r="G2" s="484"/>
      <c r="H2" s="484"/>
      <c r="I2" s="484"/>
      <c r="J2" s="484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151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98070</v>
      </c>
      <c r="H7" s="356">
        <f>SUM(H8:H10)</f>
        <v>90130</v>
      </c>
      <c r="I7" s="356">
        <f t="shared" ref="I7" si="0">SUM(I8:I10)</f>
        <v>64263</v>
      </c>
      <c r="J7" s="356">
        <f>SUM(J8:J10)</f>
        <v>101960</v>
      </c>
      <c r="K7" s="137">
        <f>IF(H7=0,"",J7/H7*100)</f>
        <v>113.12548540996339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79870</v>
      </c>
      <c r="H8" s="355">
        <f>71470+400</f>
        <v>71870</v>
      </c>
      <c r="I8" s="355">
        <v>52621</v>
      </c>
      <c r="J8" s="355">
        <f>75500+500+3900+2390</f>
        <v>82290</v>
      </c>
      <c r="K8" s="138">
        <f>IF(H8=0,"",J8/H8*100)</f>
        <v>114.49839988868791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18200</v>
      </c>
      <c r="H9" s="355">
        <f>16020+900+300+4*260</f>
        <v>18260</v>
      </c>
      <c r="I9" s="355">
        <v>11642</v>
      </c>
      <c r="J9" s="355">
        <f>17700+500+1470</f>
        <v>19670</v>
      </c>
      <c r="K9" s="138">
        <f t="shared" ref="K9:K34" si="1">IF(H9=0,"",J9/H9*100)</f>
        <v>107.72179627601315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5"/>
      <c r="H11" s="355"/>
      <c r="I11" s="355"/>
      <c r="J11" s="355"/>
      <c r="K11" s="138" t="str">
        <f t="shared" si="1"/>
        <v/>
      </c>
    </row>
    <row r="12" spans="2:13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8800</v>
      </c>
      <c r="H12" s="356">
        <f>H13</f>
        <v>7980</v>
      </c>
      <c r="I12" s="356">
        <f t="shared" ref="I12" si="2">I13</f>
        <v>5913</v>
      </c>
      <c r="J12" s="356">
        <f>J13</f>
        <v>8800</v>
      </c>
      <c r="K12" s="180">
        <f t="shared" si="1"/>
        <v>110.27568922305764</v>
      </c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355">
        <v>8800</v>
      </c>
      <c r="H13" s="355">
        <f>7920+60</f>
        <v>7980</v>
      </c>
      <c r="I13" s="355">
        <v>5913</v>
      </c>
      <c r="J13" s="355">
        <f>8040+100+400+260</f>
        <v>8800</v>
      </c>
      <c r="K13" s="138">
        <f t="shared" si="1"/>
        <v>110.27568922305764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28800</v>
      </c>
      <c r="H15" s="44">
        <f>SUM(H16:H25)</f>
        <v>18800</v>
      </c>
      <c r="I15" s="44">
        <f t="shared" ref="I15" si="3">SUM(I16:I25)</f>
        <v>9612</v>
      </c>
      <c r="J15" s="44">
        <f>SUM(J16:J25)</f>
        <v>18800</v>
      </c>
      <c r="K15" s="180">
        <f t="shared" si="1"/>
        <v>100</v>
      </c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74">
        <v>400</v>
      </c>
      <c r="H16" s="74">
        <v>400</v>
      </c>
      <c r="I16" s="74">
        <v>185</v>
      </c>
      <c r="J16" s="74">
        <v>400</v>
      </c>
      <c r="K16" s="138">
        <f t="shared" si="1"/>
        <v>100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4">
        <v>5500</v>
      </c>
      <c r="H17" s="74">
        <v>5500</v>
      </c>
      <c r="I17" s="74">
        <v>3363</v>
      </c>
      <c r="J17" s="74">
        <v>5500</v>
      </c>
      <c r="K17" s="138">
        <f t="shared" si="1"/>
        <v>100</v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74">
        <v>3600</v>
      </c>
      <c r="H18" s="74">
        <v>3600</v>
      </c>
      <c r="I18" s="74">
        <v>2317</v>
      </c>
      <c r="J18" s="74">
        <v>3600</v>
      </c>
      <c r="K18" s="138">
        <f t="shared" si="1"/>
        <v>100</v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74">
        <v>1500</v>
      </c>
      <c r="H19" s="74">
        <v>1500</v>
      </c>
      <c r="I19" s="74">
        <v>552</v>
      </c>
      <c r="J19" s="74">
        <v>1500</v>
      </c>
      <c r="K19" s="138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4">
        <v>0</v>
      </c>
      <c r="H20" s="74">
        <v>0</v>
      </c>
      <c r="I20" s="74">
        <v>0</v>
      </c>
      <c r="J20" s="74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74">
        <v>0</v>
      </c>
      <c r="H21" s="74">
        <v>0</v>
      </c>
      <c r="I21" s="74">
        <v>0</v>
      </c>
      <c r="J21" s="74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4">
        <v>500</v>
      </c>
      <c r="H22" s="74">
        <v>500</v>
      </c>
      <c r="I22" s="74">
        <v>66</v>
      </c>
      <c r="J22" s="74">
        <v>500</v>
      </c>
      <c r="K22" s="138">
        <f t="shared" si="1"/>
        <v>100</v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74">
        <v>17300</v>
      </c>
      <c r="H24" s="74">
        <v>7300</v>
      </c>
      <c r="I24" s="74">
        <v>3129</v>
      </c>
      <c r="J24" s="74">
        <v>7300</v>
      </c>
      <c r="K24" s="138">
        <f t="shared" si="1"/>
        <v>100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74">
        <v>0</v>
      </c>
      <c r="H25" s="74">
        <v>0</v>
      </c>
      <c r="I25" s="74">
        <v>0</v>
      </c>
      <c r="J25" s="74">
        <v>0</v>
      </c>
      <c r="K25" s="138" t="str">
        <f t="shared" si="1"/>
        <v/>
      </c>
    </row>
    <row r="26" spans="2:11" ht="17.100000000000001" customHeight="1">
      <c r="B26" s="17"/>
      <c r="C26" s="12"/>
      <c r="D26" s="12"/>
      <c r="E26" s="9"/>
      <c r="F26" s="12"/>
      <c r="G26" s="99"/>
      <c r="H26" s="99"/>
      <c r="I26" s="99"/>
      <c r="J26" s="99"/>
      <c r="K26" s="138" t="str">
        <f t="shared" si="1"/>
        <v/>
      </c>
    </row>
    <row r="27" spans="2:1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4000</v>
      </c>
      <c r="H27" s="99">
        <f>SUM(H28:H29)</f>
        <v>7000</v>
      </c>
      <c r="I27" s="99">
        <f t="shared" ref="I27" si="4">SUM(I28:I29)</f>
        <v>6984</v>
      </c>
      <c r="J27" s="99">
        <f>SUM(J28:J29)</f>
        <v>0</v>
      </c>
      <c r="K27" s="180">
        <f t="shared" si="1"/>
        <v>0</v>
      </c>
    </row>
    <row r="28" spans="2:11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74">
        <v>4000</v>
      </c>
      <c r="H28" s="74">
        <v>7000</v>
      </c>
      <c r="I28" s="74">
        <v>6984</v>
      </c>
      <c r="J28" s="74">
        <v>0</v>
      </c>
      <c r="K28" s="138">
        <f t="shared" si="1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4">
        <v>0</v>
      </c>
      <c r="H29" s="74">
        <v>0</v>
      </c>
      <c r="I29" s="74">
        <v>0</v>
      </c>
      <c r="J29" s="74">
        <v>0</v>
      </c>
      <c r="K29" s="138" t="str">
        <f t="shared" si="1"/>
        <v/>
      </c>
    </row>
    <row r="30" spans="2:11" ht="17.100000000000001" customHeight="1">
      <c r="B30" s="14"/>
      <c r="C30" s="15"/>
      <c r="D30" s="15"/>
      <c r="E30" s="16"/>
      <c r="F30" s="15"/>
      <c r="G30" s="74"/>
      <c r="H30" s="74"/>
      <c r="I30" s="74"/>
      <c r="J30" s="74"/>
      <c r="K30" s="138" t="str">
        <f t="shared" si="1"/>
        <v/>
      </c>
    </row>
    <row r="31" spans="2:11" ht="17.100000000000001" customHeight="1">
      <c r="B31" s="17"/>
      <c r="C31" s="12"/>
      <c r="D31" s="12"/>
      <c r="E31" s="9"/>
      <c r="F31" s="12" t="s">
        <v>93</v>
      </c>
      <c r="G31" s="99">
        <v>4</v>
      </c>
      <c r="H31" s="99">
        <v>4</v>
      </c>
      <c r="I31" s="99">
        <v>4</v>
      </c>
      <c r="J31" s="99">
        <v>4</v>
      </c>
      <c r="K31" s="138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139670</v>
      </c>
      <c r="H32" s="20">
        <f>H7+H12+H15+H27</f>
        <v>123910</v>
      </c>
      <c r="I32" s="20">
        <f t="shared" ref="I32" si="5">I7+I12+I15+I27</f>
        <v>86772</v>
      </c>
      <c r="J32" s="20">
        <f>J7+J12+J15+J27</f>
        <v>129560</v>
      </c>
      <c r="K32" s="180">
        <f t="shared" si="1"/>
        <v>104.55976111693973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139670</v>
      </c>
      <c r="H33" s="20">
        <f>H32</f>
        <v>123910</v>
      </c>
      <c r="I33" s="20">
        <f t="shared" ref="I33" si="6">I32</f>
        <v>86772</v>
      </c>
      <c r="J33" s="20">
        <f>J32</f>
        <v>129560</v>
      </c>
      <c r="K33" s="180">
        <f>IF(H33=0,"",J33/H33*100)</f>
        <v>104.55976111693973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139670</v>
      </c>
      <c r="H34" s="20">
        <f>H33</f>
        <v>123910</v>
      </c>
      <c r="I34" s="20">
        <f t="shared" ref="I34" si="7">I33</f>
        <v>86772</v>
      </c>
      <c r="J34" s="20">
        <f>J33</f>
        <v>129560</v>
      </c>
      <c r="K34" s="180">
        <f t="shared" si="1"/>
        <v>104.55976111693973</v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B2:M60"/>
  <sheetViews>
    <sheetView topLeftCell="A16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153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154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201890</v>
      </c>
      <c r="H7" s="356">
        <f>SUM(H8:H11)</f>
        <v>202490</v>
      </c>
      <c r="I7" s="356">
        <f t="shared" ref="I7" si="0">SUM(I8:I11)</f>
        <v>145706</v>
      </c>
      <c r="J7" s="356">
        <f>SUM(J8:J11)</f>
        <v>221790</v>
      </c>
      <c r="K7" s="137">
        <f>IF(H7=0,"",J7/H7*100)</f>
        <v>109.53133488073486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161040</v>
      </c>
      <c r="H8" s="355">
        <f>157270+1500+1820</f>
        <v>160590</v>
      </c>
      <c r="I8" s="355">
        <v>116791</v>
      </c>
      <c r="J8" s="355">
        <f>161970+1000+10900+4860+330</f>
        <v>179060</v>
      </c>
      <c r="K8" s="138">
        <f>IF(H8=0,"",J8/H8*100)</f>
        <v>111.50133881312661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40850</v>
      </c>
      <c r="H9" s="355">
        <f>38120+500+420+11*260</f>
        <v>41900</v>
      </c>
      <c r="I9" s="355">
        <v>28915</v>
      </c>
      <c r="J9" s="355">
        <f>38130+1000+3600</f>
        <v>42730</v>
      </c>
      <c r="K9" s="138">
        <f t="shared" ref="K9:K38" si="1">IF(H9=0,"",J9/H9*100)</f>
        <v>101.98090692124104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55"/>
      <c r="H11" s="355"/>
      <c r="I11" s="355"/>
      <c r="J11" s="355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17890</v>
      </c>
      <c r="H12" s="356">
        <f>H13</f>
        <v>17340</v>
      </c>
      <c r="I12" s="356">
        <f t="shared" ref="I12" si="2">I13</f>
        <v>12546</v>
      </c>
      <c r="J12" s="356">
        <f>J13</f>
        <v>19350</v>
      </c>
      <c r="K12" s="180">
        <f t="shared" si="1"/>
        <v>111.59169550173011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17890</v>
      </c>
      <c r="H13" s="355">
        <f>16890+250+200</f>
        <v>17340</v>
      </c>
      <c r="I13" s="355">
        <v>12546</v>
      </c>
      <c r="J13" s="355">
        <f>17380+200+1200+530+40</f>
        <v>19350</v>
      </c>
      <c r="K13" s="138">
        <f t="shared" si="1"/>
        <v>111.59169550173011</v>
      </c>
    </row>
    <row r="14" spans="2:13" ht="17.100000000000001" customHeight="1">
      <c r="B14" s="14"/>
      <c r="C14" s="15"/>
      <c r="D14" s="15"/>
      <c r="E14" s="16"/>
      <c r="F14" s="15"/>
      <c r="G14" s="44"/>
      <c r="H14" s="44"/>
      <c r="I14" s="44"/>
      <c r="J14" s="44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53100</v>
      </c>
      <c r="H15" s="44">
        <f>SUM(H16:H25)</f>
        <v>47100</v>
      </c>
      <c r="I15" s="44">
        <f t="shared" ref="I15" si="3">SUM(I16:I25)</f>
        <v>29770</v>
      </c>
      <c r="J15" s="44">
        <f>SUM(J16:J25)</f>
        <v>54100</v>
      </c>
      <c r="K15" s="180">
        <f t="shared" si="1"/>
        <v>114.86199575371549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1500</v>
      </c>
      <c r="H16" s="39">
        <v>1500</v>
      </c>
      <c r="I16" s="39">
        <v>434</v>
      </c>
      <c r="J16" s="39">
        <v>1500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8000</v>
      </c>
      <c r="H17" s="39">
        <v>9000</v>
      </c>
      <c r="I17" s="39">
        <v>6309</v>
      </c>
      <c r="J17" s="39">
        <v>8500</v>
      </c>
      <c r="K17" s="138">
        <f t="shared" si="1"/>
        <v>94.444444444444443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74">
        <v>3500</v>
      </c>
      <c r="H18" s="74">
        <v>3500</v>
      </c>
      <c r="I18" s="74">
        <v>2654</v>
      </c>
      <c r="J18" s="74">
        <v>3500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74">
        <v>1200</v>
      </c>
      <c r="H19" s="74">
        <v>1200</v>
      </c>
      <c r="I19" s="74">
        <v>1178</v>
      </c>
      <c r="J19" s="74">
        <v>1200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74">
        <v>1000</v>
      </c>
      <c r="H20" s="74">
        <v>1000</v>
      </c>
      <c r="I20" s="74">
        <v>750</v>
      </c>
      <c r="J20" s="74">
        <v>1000</v>
      </c>
      <c r="K20" s="138">
        <f t="shared" si="1"/>
        <v>100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74">
        <v>0</v>
      </c>
      <c r="H21" s="74">
        <v>0</v>
      </c>
      <c r="I21" s="74">
        <v>0</v>
      </c>
      <c r="J21" s="74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2500</v>
      </c>
      <c r="H22" s="74">
        <v>2500</v>
      </c>
      <c r="I22" s="74">
        <v>1555</v>
      </c>
      <c r="J22" s="74">
        <v>3000</v>
      </c>
      <c r="K22" s="138">
        <f t="shared" si="1"/>
        <v>120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400</v>
      </c>
      <c r="H23" s="74">
        <v>400</v>
      </c>
      <c r="I23" s="74">
        <v>0</v>
      </c>
      <c r="J23" s="74">
        <v>400</v>
      </c>
      <c r="K23" s="138">
        <f t="shared" si="1"/>
        <v>100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35000</v>
      </c>
      <c r="H24" s="74">
        <v>28000</v>
      </c>
      <c r="I24" s="74">
        <v>16890</v>
      </c>
      <c r="J24" s="74">
        <v>35000</v>
      </c>
      <c r="K24" s="138">
        <f t="shared" si="1"/>
        <v>125</v>
      </c>
      <c r="L24" s="73"/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74">
        <v>0</v>
      </c>
      <c r="H25" s="74">
        <v>0</v>
      </c>
      <c r="I25" s="74">
        <v>0</v>
      </c>
      <c r="J25" s="74">
        <v>0</v>
      </c>
      <c r="K25" s="138" t="str">
        <f t="shared" si="1"/>
        <v/>
      </c>
    </row>
    <row r="26" spans="2:12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211</v>
      </c>
      <c r="G27" s="99">
        <f>G28+G29</f>
        <v>30000</v>
      </c>
      <c r="H27" s="99">
        <f>H28+H29</f>
        <v>230000</v>
      </c>
      <c r="I27" s="99">
        <f t="shared" ref="I27" si="4">I28+I29</f>
        <v>5608</v>
      </c>
      <c r="J27" s="99">
        <f t="shared" ref="J27" si="5">J28+J29</f>
        <v>180000</v>
      </c>
      <c r="K27" s="180">
        <f t="shared" si="1"/>
        <v>78.260869565217391</v>
      </c>
    </row>
    <row r="28" spans="2:12" ht="17.100000000000001" customHeight="1">
      <c r="B28" s="14"/>
      <c r="C28" s="15"/>
      <c r="D28" s="15"/>
      <c r="E28" s="16">
        <v>614200</v>
      </c>
      <c r="F28" s="26" t="s">
        <v>115</v>
      </c>
      <c r="G28" s="74">
        <v>30000</v>
      </c>
      <c r="H28" s="74">
        <v>230000</v>
      </c>
      <c r="I28" s="74">
        <v>5608</v>
      </c>
      <c r="J28" s="74">
        <v>30000</v>
      </c>
      <c r="K28" s="138">
        <f t="shared" si="1"/>
        <v>13.043478260869565</v>
      </c>
    </row>
    <row r="29" spans="2:12" ht="27.75" customHeight="1">
      <c r="B29" s="14"/>
      <c r="C29" s="15"/>
      <c r="D29" s="15"/>
      <c r="E29" s="16">
        <v>614300</v>
      </c>
      <c r="F29" s="421" t="s">
        <v>762</v>
      </c>
      <c r="G29" s="74">
        <v>0</v>
      </c>
      <c r="H29" s="74">
        <v>0</v>
      </c>
      <c r="I29" s="74">
        <v>0</v>
      </c>
      <c r="J29" s="74">
        <v>150000</v>
      </c>
      <c r="K29" s="138" t="str">
        <f t="shared" si="1"/>
        <v/>
      </c>
    </row>
    <row r="30" spans="2:12" ht="17.100000000000001" customHeight="1">
      <c r="B30" s="14"/>
      <c r="C30" s="15"/>
      <c r="D30" s="15"/>
      <c r="E30" s="9"/>
      <c r="F30" s="12"/>
      <c r="G30" s="74"/>
      <c r="H30" s="74"/>
      <c r="I30" s="74"/>
      <c r="J30" s="74"/>
      <c r="K30" s="138" t="str">
        <f t="shared" si="1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90</v>
      </c>
      <c r="G31" s="99">
        <f>SUM(G32:G34)</f>
        <v>2000</v>
      </c>
      <c r="H31" s="99">
        <f>SUM(H32:H34)</f>
        <v>22280</v>
      </c>
      <c r="I31" s="99">
        <f t="shared" ref="I31" si="6">SUM(I32:I34)</f>
        <v>0</v>
      </c>
      <c r="J31" s="99">
        <f>SUM(J32:J34)</f>
        <v>2000</v>
      </c>
      <c r="K31" s="180">
        <f t="shared" si="1"/>
        <v>8.9766606822262123</v>
      </c>
    </row>
    <row r="32" spans="2:12" ht="17.100000000000001" customHeight="1">
      <c r="B32" s="14"/>
      <c r="C32" s="15"/>
      <c r="D32" s="15"/>
      <c r="E32" s="16">
        <v>821200</v>
      </c>
      <c r="F32" s="15" t="s">
        <v>91</v>
      </c>
      <c r="G32" s="108">
        <v>0</v>
      </c>
      <c r="H32" s="108">
        <v>0</v>
      </c>
      <c r="I32" s="108">
        <v>0</v>
      </c>
      <c r="J32" s="108">
        <v>0</v>
      </c>
      <c r="K32" s="138" t="str">
        <f t="shared" si="1"/>
        <v/>
      </c>
    </row>
    <row r="33" spans="2:11" s="1" customFormat="1" ht="17.100000000000001" customHeight="1">
      <c r="B33" s="14"/>
      <c r="C33" s="15"/>
      <c r="D33" s="15"/>
      <c r="E33" s="16">
        <v>821300</v>
      </c>
      <c r="F33" s="15" t="s">
        <v>92</v>
      </c>
      <c r="G33" s="74">
        <v>2000</v>
      </c>
      <c r="H33" s="74">
        <v>22280</v>
      </c>
      <c r="I33" s="74">
        <v>0</v>
      </c>
      <c r="J33" s="74">
        <v>2000</v>
      </c>
      <c r="K33" s="138">
        <f t="shared" si="1"/>
        <v>8.9766606822262123</v>
      </c>
    </row>
    <row r="34" spans="2:11" ht="17.100000000000001" customHeight="1">
      <c r="B34" s="14"/>
      <c r="C34" s="15"/>
      <c r="D34" s="15"/>
      <c r="E34" s="16"/>
      <c r="F34" s="26"/>
      <c r="G34" s="74"/>
      <c r="H34" s="74"/>
      <c r="I34" s="74"/>
      <c r="J34" s="74"/>
      <c r="K34" s="138" t="str">
        <f t="shared" si="1"/>
        <v/>
      </c>
    </row>
    <row r="35" spans="2:11" ht="17.100000000000001" customHeight="1">
      <c r="B35" s="17"/>
      <c r="C35" s="12"/>
      <c r="D35" s="12"/>
      <c r="E35" s="9"/>
      <c r="F35" s="12" t="s">
        <v>93</v>
      </c>
      <c r="G35" s="20">
        <v>11</v>
      </c>
      <c r="H35" s="20">
        <v>11</v>
      </c>
      <c r="I35" s="20">
        <v>11</v>
      </c>
      <c r="J35" s="20">
        <v>12</v>
      </c>
      <c r="K35" s="138"/>
    </row>
    <row r="36" spans="2:11" ht="17.100000000000001" customHeight="1">
      <c r="B36" s="17"/>
      <c r="C36" s="12"/>
      <c r="D36" s="12"/>
      <c r="E36" s="9"/>
      <c r="F36" s="12" t="s">
        <v>113</v>
      </c>
      <c r="G36" s="20">
        <f>G7+G12+G15+G27+G31</f>
        <v>304880</v>
      </c>
      <c r="H36" s="20">
        <f>H7+H12+H15+H27+H31</f>
        <v>519210</v>
      </c>
      <c r="I36" s="20">
        <f t="shared" ref="I36" si="7">I7+I12+I15+I27+I31</f>
        <v>193630</v>
      </c>
      <c r="J36" s="20">
        <f>J7+J12+J15+J27+J31</f>
        <v>477240</v>
      </c>
      <c r="K36" s="180">
        <f t="shared" si="1"/>
        <v>91.916565551510956</v>
      </c>
    </row>
    <row r="37" spans="2:11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304880</v>
      </c>
      <c r="H37" s="20">
        <f>H36</f>
        <v>519210</v>
      </c>
      <c r="I37" s="20">
        <f t="shared" ref="I37" si="8">I36</f>
        <v>193630</v>
      </c>
      <c r="J37" s="20">
        <f>J36</f>
        <v>477240</v>
      </c>
      <c r="K37" s="180">
        <f t="shared" si="1"/>
        <v>91.916565551510956</v>
      </c>
    </row>
    <row r="38" spans="2:11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304880</v>
      </c>
      <c r="H38" s="20">
        <f>H37</f>
        <v>519210</v>
      </c>
      <c r="I38" s="20">
        <f t="shared" ref="I38" si="9">I37</f>
        <v>193630</v>
      </c>
      <c r="J38" s="20">
        <f>J37</f>
        <v>477240</v>
      </c>
      <c r="K38" s="180">
        <f t="shared" si="1"/>
        <v>91.916565551510956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156"/>
      <c r="H39" s="156"/>
      <c r="I39" s="156"/>
      <c r="J39" s="156"/>
      <c r="K39" s="155"/>
    </row>
    <row r="40" spans="2:11" s="1" customFormat="1" ht="17.100000000000001" customHeight="1">
      <c r="B40" s="13"/>
      <c r="C40" s="13"/>
      <c r="D40" s="13"/>
      <c r="E40" s="24"/>
      <c r="F40" s="13"/>
      <c r="G40" s="80"/>
      <c r="H40" s="80"/>
      <c r="I40" s="80"/>
      <c r="J40" s="80"/>
      <c r="K40" s="13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>
      <c r="B43" s="73"/>
    </row>
    <row r="44" spans="2:11" ht="17.100000000000001" customHeight="1">
      <c r="B44" s="73"/>
    </row>
    <row r="45" spans="2:11" ht="17.100000000000001" customHeight="1">
      <c r="B45" s="73"/>
    </row>
    <row r="46" spans="2:11" ht="17.100000000000001" customHeight="1">
      <c r="B46" s="73"/>
    </row>
    <row r="47" spans="2:11" ht="17.100000000000001" customHeight="1">
      <c r="B47" s="73"/>
    </row>
    <row r="48" spans="2:11" ht="17.100000000000001" customHeight="1">
      <c r="B48" s="73"/>
    </row>
    <row r="49" spans="2:2" ht="17.100000000000001" customHeight="1">
      <c r="B49" s="73"/>
    </row>
    <row r="50" spans="2:2" ht="17.100000000000001" customHeight="1">
      <c r="B50" s="73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  <row r="60" spans="2:2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B2:M59"/>
  <sheetViews>
    <sheetView topLeftCell="A25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155</v>
      </c>
      <c r="C2" s="481"/>
      <c r="D2" s="481"/>
      <c r="E2" s="481"/>
      <c r="F2" s="481"/>
      <c r="G2" s="481"/>
      <c r="H2" s="415"/>
      <c r="I2" s="415"/>
      <c r="J2" s="260"/>
      <c r="K2" s="26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156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509050</v>
      </c>
      <c r="H7" s="356">
        <f>SUM(H8:H10)</f>
        <v>498370</v>
      </c>
      <c r="I7" s="356">
        <f t="shared" ref="I7" si="0">SUM(I8:I10)</f>
        <v>364092</v>
      </c>
      <c r="J7" s="356">
        <f>SUM(J8:J10)</f>
        <v>506240</v>
      </c>
      <c r="K7" s="137">
        <f>IF(H7=0,"",J7/H7*100)</f>
        <v>101.57914802255353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429150</v>
      </c>
      <c r="H8" s="358">
        <f>418060+3000</f>
        <v>421060</v>
      </c>
      <c r="I8" s="358">
        <v>312601</v>
      </c>
      <c r="J8" s="358">
        <f>421870+2500+7200</f>
        <v>431570</v>
      </c>
      <c r="K8" s="138">
        <f>IF(H8=0,"",J8/H8*100)</f>
        <v>102.49608131857693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79900</v>
      </c>
      <c r="H9" s="358">
        <f>67650+1000+4500+16*260</f>
        <v>77310</v>
      </c>
      <c r="I9" s="358">
        <v>51491</v>
      </c>
      <c r="J9" s="358">
        <f>69230+2500+2*1470</f>
        <v>74670</v>
      </c>
      <c r="K9" s="138">
        <f t="shared" ref="K9:K34" si="1">IF(H9=0,"",J9/H9*100)</f>
        <v>96.585176561893675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46620</v>
      </c>
      <c r="H12" s="356">
        <f>H13</f>
        <v>45480</v>
      </c>
      <c r="I12" s="356">
        <f t="shared" ref="I12" si="2">I13</f>
        <v>33549</v>
      </c>
      <c r="J12" s="356">
        <f>J13</f>
        <v>46050</v>
      </c>
      <c r="K12" s="180">
        <f t="shared" si="1"/>
        <v>101.25329815303429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46620</v>
      </c>
      <c r="H13" s="358">
        <f>45030+450</f>
        <v>45480</v>
      </c>
      <c r="I13" s="358">
        <v>33549</v>
      </c>
      <c r="J13" s="358">
        <f>44670+600+780</f>
        <v>46050</v>
      </c>
      <c r="K13" s="138">
        <f t="shared" si="1"/>
        <v>101.25329815303429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124000</v>
      </c>
      <c r="H15" s="44">
        <f>SUM(H16:H25)</f>
        <v>116000</v>
      </c>
      <c r="I15" s="44">
        <f t="shared" ref="I15" si="3">SUM(I16:I25)</f>
        <v>54565</v>
      </c>
      <c r="J15" s="44">
        <f>SUM(J16:J25)</f>
        <v>122000</v>
      </c>
      <c r="K15" s="180">
        <f t="shared" si="1"/>
        <v>105.17241379310344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4000</v>
      </c>
      <c r="H16" s="40">
        <v>4000</v>
      </c>
      <c r="I16" s="40">
        <v>2587</v>
      </c>
      <c r="J16" s="40">
        <v>4000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31000</v>
      </c>
      <c r="H17" s="40">
        <v>31000</v>
      </c>
      <c r="I17" s="40">
        <v>10824</v>
      </c>
      <c r="J17" s="40">
        <v>31000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17000</v>
      </c>
      <c r="H18" s="40">
        <v>17000</v>
      </c>
      <c r="I18" s="40">
        <v>7033</v>
      </c>
      <c r="J18" s="40">
        <v>17000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6500</v>
      </c>
      <c r="H19" s="40">
        <v>7500</v>
      </c>
      <c r="I19" s="40">
        <v>5324</v>
      </c>
      <c r="J19" s="40">
        <v>7000</v>
      </c>
      <c r="K19" s="138">
        <f t="shared" si="1"/>
        <v>93.333333333333329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4600</v>
      </c>
      <c r="H20" s="108">
        <v>4600</v>
      </c>
      <c r="I20" s="108">
        <v>2300</v>
      </c>
      <c r="J20" s="108">
        <v>5000</v>
      </c>
      <c r="K20" s="138">
        <f t="shared" si="1"/>
        <v>108.69565217391303</v>
      </c>
      <c r="L20" s="73"/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5000</v>
      </c>
      <c r="H22" s="108">
        <v>9000</v>
      </c>
      <c r="I22" s="108">
        <v>5205</v>
      </c>
      <c r="J22" s="108">
        <v>7000</v>
      </c>
      <c r="K22" s="138">
        <f t="shared" si="1"/>
        <v>77.777777777777786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900</v>
      </c>
      <c r="H23" s="108">
        <v>900</v>
      </c>
      <c r="I23" s="108">
        <v>240</v>
      </c>
      <c r="J23" s="108">
        <v>1000</v>
      </c>
      <c r="K23" s="138">
        <f t="shared" si="1"/>
        <v>111.11111111111111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55000</v>
      </c>
      <c r="H24" s="108">
        <v>42000</v>
      </c>
      <c r="I24" s="108">
        <v>21052</v>
      </c>
      <c r="J24" s="108">
        <v>50000</v>
      </c>
      <c r="K24" s="138">
        <f t="shared" si="1"/>
        <v>119.04761904761905</v>
      </c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3000</v>
      </c>
      <c r="H27" s="99">
        <f>SUM(H28:H29)</f>
        <v>3000</v>
      </c>
      <c r="I27" s="99">
        <f t="shared" ref="I27" si="4">SUM(I28:I29)</f>
        <v>2255</v>
      </c>
      <c r="J27" s="99">
        <f>SUM(J28:J29)</f>
        <v>35000</v>
      </c>
      <c r="K27" s="439">
        <f t="shared" si="1"/>
        <v>1166.6666666666665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0</v>
      </c>
      <c r="I28" s="108">
        <v>0</v>
      </c>
      <c r="J28" s="108">
        <v>30000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8">
        <v>3000</v>
      </c>
      <c r="H29" s="108">
        <v>3000</v>
      </c>
      <c r="I29" s="108">
        <v>2255</v>
      </c>
      <c r="J29" s="108">
        <v>5000</v>
      </c>
      <c r="K29" s="138">
        <f t="shared" si="1"/>
        <v>166.66666666666669</v>
      </c>
    </row>
    <row r="30" spans="2:12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0">
        <v>16</v>
      </c>
      <c r="H31" s="20">
        <v>16</v>
      </c>
      <c r="I31" s="20">
        <v>16</v>
      </c>
      <c r="J31" s="20">
        <v>16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682670</v>
      </c>
      <c r="H32" s="20">
        <f>H7+H12+H15+H27</f>
        <v>662850</v>
      </c>
      <c r="I32" s="20">
        <f t="shared" ref="I32" si="5">I7+I12+I15+I27</f>
        <v>454461</v>
      </c>
      <c r="J32" s="20">
        <f>J7+J12+J15+J27</f>
        <v>709290</v>
      </c>
      <c r="K32" s="180">
        <f t="shared" si="1"/>
        <v>107.00610997963341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682670</v>
      </c>
      <c r="H33" s="20">
        <f>H32</f>
        <v>662850</v>
      </c>
      <c r="I33" s="20">
        <f t="shared" ref="I33" si="6">I32</f>
        <v>454461</v>
      </c>
      <c r="J33" s="20">
        <f>J32</f>
        <v>709290</v>
      </c>
      <c r="K33" s="180">
        <f>IF(H33=0,"",J33/H33*100)</f>
        <v>107.00610997963341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682670</v>
      </c>
      <c r="H34" s="20">
        <f>H33</f>
        <v>662850</v>
      </c>
      <c r="I34" s="20">
        <f t="shared" ref="I34" si="7">I33</f>
        <v>454461</v>
      </c>
      <c r="J34" s="20">
        <f>J33</f>
        <v>709290</v>
      </c>
      <c r="K34" s="180">
        <f t="shared" si="1"/>
        <v>107.00610997963341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/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>
      <c r="B40" s="73"/>
    </row>
    <row r="41" spans="2:11" ht="17.100000000000001" customHeight="1">
      <c r="B41" s="73"/>
    </row>
    <row r="42" spans="2:11" ht="17.100000000000001" customHeight="1">
      <c r="B42" s="73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s="103" customFormat="1" ht="15" customHeight="1">
      <c r="B2" s="481" t="s">
        <v>232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157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67100</v>
      </c>
      <c r="H7" s="356">
        <f>SUM(H8:H10)</f>
        <v>67900</v>
      </c>
      <c r="I7" s="356">
        <f t="shared" ref="I7" si="0">SUM(I8:I10)</f>
        <v>49754</v>
      </c>
      <c r="J7" s="356">
        <f>SUM(J8:J10)</f>
        <v>67890</v>
      </c>
      <c r="K7" s="137">
        <f>IF(H7=0,"",J7/H7*100)</f>
        <v>99.985272459499271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57500</v>
      </c>
      <c r="H8" s="355">
        <f>55100+500</f>
        <v>55600</v>
      </c>
      <c r="I8" s="355">
        <v>41049</v>
      </c>
      <c r="J8" s="355">
        <f>56140+500+1690</f>
        <v>58330</v>
      </c>
      <c r="K8" s="138">
        <f>IF(H8=0,"",J8/H8*100)</f>
        <v>104.91007194244604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5">
        <v>9600</v>
      </c>
      <c r="H9" s="355">
        <f>9170+150+3*260</f>
        <v>10100</v>
      </c>
      <c r="I9" s="355">
        <v>7025</v>
      </c>
      <c r="J9" s="355">
        <f>9060+500</f>
        <v>9560</v>
      </c>
      <c r="K9" s="138">
        <f t="shared" ref="K9:K34" si="1">IF(H9=0,"",J9/H9*100)</f>
        <v>94.653465346534645</v>
      </c>
    </row>
    <row r="10" spans="2:13" ht="17.100000000000001" customHeight="1">
      <c r="B10" s="14"/>
      <c r="C10" s="15"/>
      <c r="D10" s="15"/>
      <c r="E10" s="16">
        <v>611200</v>
      </c>
      <c r="F10" s="26" t="s">
        <v>773</v>
      </c>
      <c r="G10" s="355">
        <v>0</v>
      </c>
      <c r="H10" s="355">
        <v>2200</v>
      </c>
      <c r="I10" s="355">
        <v>1680</v>
      </c>
      <c r="J10" s="355">
        <v>0</v>
      </c>
      <c r="K10" s="138">
        <f t="shared" si="1"/>
        <v>0</v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6880</v>
      </c>
      <c r="H12" s="356">
        <f>H13</f>
        <v>5960</v>
      </c>
      <c r="I12" s="356">
        <f t="shared" ref="I12" si="2">I13</f>
        <v>4386</v>
      </c>
      <c r="J12" s="356">
        <f>J13</f>
        <v>6270</v>
      </c>
      <c r="K12" s="180">
        <f t="shared" si="1"/>
        <v>105.20134228187918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5">
        <v>6880</v>
      </c>
      <c r="H13" s="355">
        <f>5890+70</f>
        <v>5960</v>
      </c>
      <c r="I13" s="355">
        <v>4386</v>
      </c>
      <c r="J13" s="355">
        <f>5990+100+180</f>
        <v>6270</v>
      </c>
      <c r="K13" s="138">
        <f t="shared" si="1"/>
        <v>105.20134228187918</v>
      </c>
    </row>
    <row r="14" spans="2:13" ht="17.100000000000001" customHeight="1">
      <c r="B14" s="14"/>
      <c r="C14" s="15"/>
      <c r="D14" s="15"/>
      <c r="E14" s="16"/>
      <c r="F14" s="15"/>
      <c r="G14" s="44"/>
      <c r="H14" s="44"/>
      <c r="I14" s="44"/>
      <c r="J14" s="44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9500</v>
      </c>
      <c r="H15" s="44">
        <f>SUM(H16:H25)</f>
        <v>11300</v>
      </c>
      <c r="I15" s="44">
        <f t="shared" ref="I15" si="3">SUM(I16:I25)</f>
        <v>5302</v>
      </c>
      <c r="J15" s="44">
        <f>SUM(J16:J25)</f>
        <v>8200</v>
      </c>
      <c r="K15" s="180">
        <f t="shared" si="1"/>
        <v>72.56637168141593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1000</v>
      </c>
      <c r="H16" s="39">
        <v>1000</v>
      </c>
      <c r="I16" s="39">
        <v>147</v>
      </c>
      <c r="J16" s="39">
        <v>1000</v>
      </c>
      <c r="K16" s="138">
        <f t="shared" si="1"/>
        <v>100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74">
        <v>3200</v>
      </c>
      <c r="H18" s="74">
        <v>3200</v>
      </c>
      <c r="I18" s="74">
        <v>1748</v>
      </c>
      <c r="J18" s="74">
        <v>4000</v>
      </c>
      <c r="K18" s="138">
        <f t="shared" si="1"/>
        <v>125</v>
      </c>
      <c r="L18" s="73"/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39">
        <v>1200</v>
      </c>
      <c r="H19" s="39">
        <v>1200</v>
      </c>
      <c r="I19" s="39">
        <v>341</v>
      </c>
      <c r="J19" s="39">
        <v>1200</v>
      </c>
      <c r="K19" s="138">
        <f t="shared" si="1"/>
        <v>100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74">
        <v>500</v>
      </c>
      <c r="H22" s="74">
        <v>1000</v>
      </c>
      <c r="I22" s="74">
        <v>126</v>
      </c>
      <c r="J22" s="74">
        <v>500</v>
      </c>
      <c r="K22" s="138">
        <f t="shared" si="1"/>
        <v>50</v>
      </c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74">
        <v>0</v>
      </c>
      <c r="H23" s="74">
        <v>0</v>
      </c>
      <c r="I23" s="74">
        <v>0</v>
      </c>
      <c r="J23" s="74">
        <v>0</v>
      </c>
      <c r="K23" s="138" t="str">
        <f t="shared" si="1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74">
        <v>3600</v>
      </c>
      <c r="H24" s="74">
        <v>1500</v>
      </c>
      <c r="I24" s="74">
        <v>250</v>
      </c>
      <c r="J24" s="74">
        <v>1500</v>
      </c>
      <c r="K24" s="138">
        <f t="shared" si="1"/>
        <v>100</v>
      </c>
    </row>
    <row r="25" spans="2:12" ht="17.100000000000001" customHeight="1">
      <c r="B25" s="14"/>
      <c r="C25" s="15"/>
      <c r="D25" s="15"/>
      <c r="E25" s="16">
        <v>613900</v>
      </c>
      <c r="F25" s="26" t="s">
        <v>774</v>
      </c>
      <c r="G25" s="108">
        <v>0</v>
      </c>
      <c r="H25" s="108">
        <v>3400</v>
      </c>
      <c r="I25" s="108">
        <v>2690</v>
      </c>
      <c r="J25" s="108">
        <v>0</v>
      </c>
      <c r="K25" s="138">
        <f t="shared" si="1"/>
        <v>0</v>
      </c>
    </row>
    <row r="26" spans="2:12" ht="17.100000000000001" customHeight="1">
      <c r="B26" s="14"/>
      <c r="C26" s="15"/>
      <c r="D26" s="15"/>
      <c r="E26" s="16"/>
      <c r="F26" s="15"/>
      <c r="G26" s="99"/>
      <c r="H26" s="99"/>
      <c r="I26" s="99"/>
      <c r="J26" s="99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G28+G29</f>
        <v>1000</v>
      </c>
      <c r="H27" s="99">
        <f>H28+H29</f>
        <v>1000</v>
      </c>
      <c r="I27" s="99">
        <f t="shared" ref="I27" si="4">I28+I29</f>
        <v>0</v>
      </c>
      <c r="J27" s="99">
        <f>J28+J29</f>
        <v>500</v>
      </c>
      <c r="K27" s="180">
        <f t="shared" si="1"/>
        <v>50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74">
        <v>1000</v>
      </c>
      <c r="H29" s="74">
        <v>1000</v>
      </c>
      <c r="I29" s="74">
        <v>0</v>
      </c>
      <c r="J29" s="74">
        <v>500</v>
      </c>
      <c r="K29" s="138">
        <f t="shared" si="1"/>
        <v>50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20"/>
      <c r="J30" s="2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0">
        <v>3</v>
      </c>
      <c r="H31" s="20">
        <v>3</v>
      </c>
      <c r="I31" s="20">
        <v>3</v>
      </c>
      <c r="J31" s="20">
        <v>3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84480</v>
      </c>
      <c r="H32" s="20">
        <f>H7+H12+H15+H27</f>
        <v>86160</v>
      </c>
      <c r="I32" s="20">
        <f t="shared" ref="I32" si="5">I7+I12+I15+I27</f>
        <v>59442</v>
      </c>
      <c r="J32" s="20">
        <f>J7+J12+J15+J27</f>
        <v>82860</v>
      </c>
      <c r="K32" s="180">
        <f t="shared" si="1"/>
        <v>96.169916434540397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84480</v>
      </c>
      <c r="H33" s="20">
        <f>H32</f>
        <v>86160</v>
      </c>
      <c r="I33" s="20">
        <f t="shared" ref="I33" si="6">I32</f>
        <v>59442</v>
      </c>
      <c r="J33" s="20">
        <f>J32</f>
        <v>82860</v>
      </c>
      <c r="K33" s="180">
        <f>IF(H33=0,"",J33/H33*100)</f>
        <v>96.169916434540397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84480</v>
      </c>
      <c r="H34" s="20">
        <f>H33</f>
        <v>86160</v>
      </c>
      <c r="I34" s="20">
        <f t="shared" ref="I34" si="7">I33</f>
        <v>59442</v>
      </c>
      <c r="J34" s="20">
        <f>J33</f>
        <v>82860</v>
      </c>
      <c r="K34" s="180">
        <f t="shared" si="1"/>
        <v>96.169916434540397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B2:M59"/>
  <sheetViews>
    <sheetView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159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158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454090</v>
      </c>
      <c r="H7" s="356">
        <f>SUM(H8:H10)</f>
        <v>459790</v>
      </c>
      <c r="I7" s="356">
        <f t="shared" ref="I7" si="0">SUM(I8:I10)</f>
        <v>340974</v>
      </c>
      <c r="J7" s="356">
        <f>SUM(J8:J10)</f>
        <v>460210</v>
      </c>
      <c r="K7" s="137">
        <f>IF(H7=0,"",J7/H7*100)</f>
        <v>100.09134604928336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394190</v>
      </c>
      <c r="H8" s="358">
        <f>389580+3000</f>
        <v>392580</v>
      </c>
      <c r="I8" s="358">
        <v>293020</v>
      </c>
      <c r="J8" s="358">
        <f>390480+2500+5820</f>
        <v>398800</v>
      </c>
      <c r="K8" s="138">
        <f>IF(H8=0,"",J8/H8*100)</f>
        <v>101.58439044271231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59900</v>
      </c>
      <c r="H9" s="358">
        <f>55630+1000+13*260</f>
        <v>60010</v>
      </c>
      <c r="I9" s="358">
        <v>42210</v>
      </c>
      <c r="J9" s="358">
        <f>58910+2500</f>
        <v>61410</v>
      </c>
      <c r="K9" s="138">
        <f t="shared" ref="K9:K34" si="1">IF(H9=0,"",J9/H9*100)</f>
        <v>102.33294450924846</v>
      </c>
    </row>
    <row r="10" spans="2:13" ht="17.100000000000001" customHeight="1">
      <c r="B10" s="14"/>
      <c r="C10" s="15"/>
      <c r="D10" s="15"/>
      <c r="E10" s="16">
        <v>611200</v>
      </c>
      <c r="F10" s="26" t="s">
        <v>775</v>
      </c>
      <c r="G10" s="355">
        <v>0</v>
      </c>
      <c r="H10" s="355">
        <v>7200</v>
      </c>
      <c r="I10" s="355">
        <v>5744</v>
      </c>
      <c r="J10" s="355">
        <v>0</v>
      </c>
      <c r="K10" s="138">
        <f t="shared" si="1"/>
        <v>0</v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  <c r="M11" s="73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43360</v>
      </c>
      <c r="H12" s="356">
        <f>H13</f>
        <v>42540</v>
      </c>
      <c r="I12" s="356">
        <f t="shared" ref="I12" si="2">I13</f>
        <v>31515</v>
      </c>
      <c r="J12" s="356">
        <f>J13</f>
        <v>42830</v>
      </c>
      <c r="K12" s="180">
        <f t="shared" si="1"/>
        <v>100.68171133051247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43360</v>
      </c>
      <c r="H13" s="358">
        <f>42090+450</f>
        <v>42540</v>
      </c>
      <c r="I13" s="358">
        <v>31515</v>
      </c>
      <c r="J13" s="358">
        <f>41500+700+630</f>
        <v>42830</v>
      </c>
      <c r="K13" s="138">
        <f t="shared" si="1"/>
        <v>100.68171133051247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0"/>
      <c r="J14" s="2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95400</v>
      </c>
      <c r="H15" s="44">
        <f>SUM(H16:H25)</f>
        <v>100500</v>
      </c>
      <c r="I15" s="44">
        <f t="shared" ref="I15" si="3">SUM(I16:I25)</f>
        <v>58266</v>
      </c>
      <c r="J15" s="44">
        <f>SUM(J16:J25)</f>
        <v>87000</v>
      </c>
      <c r="K15" s="180">
        <f t="shared" si="1"/>
        <v>86.567164179104466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3000</v>
      </c>
      <c r="H16" s="40">
        <v>2300</v>
      </c>
      <c r="I16" s="40">
        <v>1002</v>
      </c>
      <c r="J16" s="40">
        <v>3000</v>
      </c>
      <c r="K16" s="138">
        <f t="shared" si="1"/>
        <v>130.43478260869566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4500</v>
      </c>
      <c r="H17" s="40">
        <v>4400</v>
      </c>
      <c r="I17" s="40">
        <v>2504</v>
      </c>
      <c r="J17" s="40">
        <v>4500</v>
      </c>
      <c r="K17" s="138">
        <f t="shared" si="1"/>
        <v>102.27272727272727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108">
        <v>14000</v>
      </c>
      <c r="H18" s="108">
        <v>12000</v>
      </c>
      <c r="I18" s="108">
        <v>6866</v>
      </c>
      <c r="J18" s="108">
        <v>14000</v>
      </c>
      <c r="K18" s="138">
        <f t="shared" si="1"/>
        <v>116.66666666666667</v>
      </c>
      <c r="L18" s="73"/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9000</v>
      </c>
      <c r="H19" s="40">
        <v>10000</v>
      </c>
      <c r="I19" s="40">
        <v>6487</v>
      </c>
      <c r="J19" s="40">
        <v>9000</v>
      </c>
      <c r="K19" s="138">
        <f t="shared" si="1"/>
        <v>90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08">
        <v>2500</v>
      </c>
      <c r="H20" s="108">
        <v>2500</v>
      </c>
      <c r="I20" s="108">
        <v>1555</v>
      </c>
      <c r="J20" s="108">
        <v>2500</v>
      </c>
      <c r="K20" s="138">
        <f t="shared" si="1"/>
        <v>100</v>
      </c>
      <c r="L20" s="73"/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40">
        <v>0</v>
      </c>
      <c r="H21" s="40">
        <v>0</v>
      </c>
      <c r="I21" s="40">
        <v>0</v>
      </c>
      <c r="J21" s="40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6300</v>
      </c>
      <c r="H22" s="108">
        <v>2000</v>
      </c>
      <c r="I22" s="108">
        <v>270</v>
      </c>
      <c r="J22" s="108">
        <v>3000</v>
      </c>
      <c r="K22" s="138">
        <f t="shared" si="1"/>
        <v>150</v>
      </c>
      <c r="L22" s="73"/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1100</v>
      </c>
      <c r="H23" s="108">
        <v>1000</v>
      </c>
      <c r="I23" s="108">
        <v>345</v>
      </c>
      <c r="J23" s="108">
        <v>1000</v>
      </c>
      <c r="K23" s="138">
        <f t="shared" si="1"/>
        <v>100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55000</v>
      </c>
      <c r="H24" s="108">
        <v>60000</v>
      </c>
      <c r="I24" s="108">
        <v>33823</v>
      </c>
      <c r="J24" s="108">
        <v>50000</v>
      </c>
      <c r="K24" s="138">
        <f t="shared" si="1"/>
        <v>83.333333333333343</v>
      </c>
    </row>
    <row r="25" spans="2:12" ht="17.100000000000001" customHeight="1">
      <c r="B25" s="14"/>
      <c r="C25" s="15"/>
      <c r="D25" s="15"/>
      <c r="E25" s="16">
        <v>613900</v>
      </c>
      <c r="F25" s="26" t="s">
        <v>776</v>
      </c>
      <c r="G25" s="108">
        <v>0</v>
      </c>
      <c r="H25" s="108">
        <v>6300</v>
      </c>
      <c r="I25" s="108">
        <v>5414</v>
      </c>
      <c r="J25" s="108">
        <v>0</v>
      </c>
      <c r="K25" s="138">
        <f t="shared" si="1"/>
        <v>0</v>
      </c>
    </row>
    <row r="26" spans="2:12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G28+G29</f>
        <v>5000</v>
      </c>
      <c r="H27" s="99">
        <f>H28+H29</f>
        <v>2000</v>
      </c>
      <c r="I27" s="99">
        <f t="shared" ref="I27" si="4">I28+I29</f>
        <v>0</v>
      </c>
      <c r="J27" s="99">
        <f>J28+J29</f>
        <v>3000</v>
      </c>
      <c r="K27" s="180">
        <f t="shared" si="1"/>
        <v>150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0</v>
      </c>
      <c r="I28" s="108">
        <v>0</v>
      </c>
      <c r="J28" s="108">
        <v>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8">
        <v>5000</v>
      </c>
      <c r="H29" s="108">
        <v>2000</v>
      </c>
      <c r="I29" s="108">
        <v>0</v>
      </c>
      <c r="J29" s="108">
        <v>3000</v>
      </c>
      <c r="K29" s="138">
        <f t="shared" si="1"/>
        <v>150</v>
      </c>
    </row>
    <row r="30" spans="2:12" ht="17.100000000000001" customHeight="1">
      <c r="B30" s="14"/>
      <c r="C30" s="15"/>
      <c r="D30" s="15"/>
      <c r="E30" s="16"/>
      <c r="F30" s="15"/>
      <c r="G30" s="40"/>
      <c r="H30" s="40"/>
      <c r="I30" s="40"/>
      <c r="J30" s="40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99">
        <v>13</v>
      </c>
      <c r="H31" s="99">
        <v>13</v>
      </c>
      <c r="I31" s="99">
        <v>13</v>
      </c>
      <c r="J31" s="99">
        <v>13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597850</v>
      </c>
      <c r="H32" s="20">
        <f>H7+H12+H15+H27</f>
        <v>604830</v>
      </c>
      <c r="I32" s="20">
        <f t="shared" ref="I32" si="5">I7+I12+I15+I27</f>
        <v>430755</v>
      </c>
      <c r="J32" s="20">
        <f>J7+J12+J15+J27</f>
        <v>593040</v>
      </c>
      <c r="K32" s="180">
        <f t="shared" si="1"/>
        <v>98.05069192996379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597850</v>
      </c>
      <c r="H33" s="20">
        <f>H32</f>
        <v>604830</v>
      </c>
      <c r="I33" s="20">
        <f t="shared" ref="I33" si="6">I32</f>
        <v>430755</v>
      </c>
      <c r="J33" s="20">
        <f>J32</f>
        <v>593040</v>
      </c>
      <c r="K33" s="180">
        <f>IF(H33=0,"",J33/H33*100)</f>
        <v>98.05069192996379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597850</v>
      </c>
      <c r="H34" s="20">
        <f>H33</f>
        <v>604830</v>
      </c>
      <c r="I34" s="20">
        <f t="shared" ref="I34" si="7">I33</f>
        <v>430755</v>
      </c>
      <c r="J34" s="20">
        <f>J33</f>
        <v>593040</v>
      </c>
      <c r="K34" s="180">
        <f t="shared" si="1"/>
        <v>98.05069192996379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>
      <c r="B38" s="73"/>
    </row>
    <row r="39" spans="2:11" ht="17.100000000000001" customHeight="1">
      <c r="B39" s="73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B2:M59"/>
  <sheetViews>
    <sheetView topLeftCell="C1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82" customWidth="1"/>
    <col min="11" max="11" width="7.7109375" style="127" customWidth="1"/>
    <col min="12" max="16384" width="9.140625" style="13"/>
  </cols>
  <sheetData>
    <row r="2" spans="2:13" ht="15" customHeight="1">
      <c r="B2" s="483" t="s">
        <v>183</v>
      </c>
      <c r="C2" s="483"/>
      <c r="D2" s="483"/>
      <c r="E2" s="483"/>
      <c r="F2" s="483"/>
      <c r="G2" s="483"/>
      <c r="H2" s="417"/>
      <c r="I2" s="417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 t="s">
        <v>182</v>
      </c>
      <c r="C6" s="11" t="s">
        <v>81</v>
      </c>
      <c r="D6" s="11" t="s">
        <v>82</v>
      </c>
      <c r="E6" s="9"/>
      <c r="F6" s="9"/>
      <c r="G6" s="150"/>
      <c r="H6" s="150"/>
      <c r="I6" s="150"/>
      <c r="J6" s="150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338800</v>
      </c>
      <c r="H7" s="356">
        <f>SUM(H8:H10)</f>
        <v>329500</v>
      </c>
      <c r="I7" s="356">
        <f t="shared" ref="I7" si="0">SUM(I8:I10)</f>
        <v>246588</v>
      </c>
      <c r="J7" s="356">
        <f>SUM(J8:J10)</f>
        <v>376990</v>
      </c>
      <c r="K7" s="137">
        <f>IF(H7=0,"",J7/H7*100)</f>
        <v>114.41274658573597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8">
        <v>287100</v>
      </c>
      <c r="H8" s="358">
        <f>281490+2500-6000</f>
        <v>277990</v>
      </c>
      <c r="I8" s="358">
        <v>209946</v>
      </c>
      <c r="J8" s="358">
        <f>262650+1500+21000+2*13400+7880+1440</f>
        <v>321270</v>
      </c>
      <c r="K8" s="138">
        <f>IF(H8=0,"",J8/H8*100)</f>
        <v>115.56890535630777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58">
        <v>51700</v>
      </c>
      <c r="H9" s="358">
        <f>48550+700+12*260-600-260</f>
        <v>51510</v>
      </c>
      <c r="I9" s="358">
        <v>36642</v>
      </c>
      <c r="J9" s="358">
        <f>45750+1500+1470+3000+2*2000</f>
        <v>55720</v>
      </c>
      <c r="K9" s="138">
        <f t="shared" ref="K9:K34" si="1">IF(H9=0,"",J9/H9*100)</f>
        <v>108.1731702582023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15"/>
      <c r="G11" s="356"/>
      <c r="H11" s="356"/>
      <c r="I11" s="356"/>
      <c r="J11" s="356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32300</v>
      </c>
      <c r="H12" s="356">
        <f>H13</f>
        <v>29700</v>
      </c>
      <c r="I12" s="356">
        <f t="shared" ref="I12" si="2">I13</f>
        <v>22332</v>
      </c>
      <c r="J12" s="356">
        <f>J13</f>
        <v>35290</v>
      </c>
      <c r="K12" s="180">
        <f t="shared" si="1"/>
        <v>118.82154882154883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58">
        <v>32300</v>
      </c>
      <c r="H13" s="358">
        <f>29950+350-600</f>
        <v>29700</v>
      </c>
      <c r="I13" s="358">
        <v>22332</v>
      </c>
      <c r="J13" s="358">
        <f>28710+300+2310+2*1470+870+160</f>
        <v>35290</v>
      </c>
      <c r="K13" s="138">
        <f t="shared" si="1"/>
        <v>118.82154882154883</v>
      </c>
    </row>
    <row r="14" spans="2:13" ht="17.100000000000001" customHeight="1">
      <c r="B14" s="14"/>
      <c r="C14" s="15"/>
      <c r="D14" s="15"/>
      <c r="E14" s="16"/>
      <c r="F14" s="15"/>
      <c r="G14" s="40"/>
      <c r="H14" s="40"/>
      <c r="I14" s="40"/>
      <c r="J14" s="40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29300</v>
      </c>
      <c r="H15" s="44">
        <f>SUM(H16:H25)</f>
        <v>27450</v>
      </c>
      <c r="I15" s="44">
        <f t="shared" ref="I15" si="3">SUM(I16:I25)</f>
        <v>15965</v>
      </c>
      <c r="J15" s="44">
        <f>SUM(J16:J25)</f>
        <v>29700</v>
      </c>
      <c r="K15" s="180">
        <f t="shared" si="1"/>
        <v>108.19672131147541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40">
        <v>2500</v>
      </c>
      <c r="H16" s="40">
        <v>1500</v>
      </c>
      <c r="I16" s="40">
        <v>960</v>
      </c>
      <c r="J16" s="40">
        <v>2500</v>
      </c>
      <c r="K16" s="138">
        <f t="shared" si="1"/>
        <v>166.66666666666669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40">
        <v>6000</v>
      </c>
      <c r="H17" s="40">
        <v>7000</v>
      </c>
      <c r="I17" s="40">
        <v>3383</v>
      </c>
      <c r="J17" s="40">
        <v>7000</v>
      </c>
      <c r="K17" s="138">
        <f t="shared" si="1"/>
        <v>100</v>
      </c>
    </row>
    <row r="18" spans="2:12" ht="17.100000000000001" customHeight="1">
      <c r="B18" s="14"/>
      <c r="C18" s="15"/>
      <c r="D18" s="15"/>
      <c r="E18" s="16">
        <v>613300</v>
      </c>
      <c r="F18" s="26" t="s">
        <v>209</v>
      </c>
      <c r="G18" s="40">
        <v>6000</v>
      </c>
      <c r="H18" s="40">
        <v>5500</v>
      </c>
      <c r="I18" s="40">
        <v>3869</v>
      </c>
      <c r="J18" s="40">
        <v>5500</v>
      </c>
      <c r="K18" s="138">
        <f t="shared" si="1"/>
        <v>100</v>
      </c>
    </row>
    <row r="19" spans="2:12" ht="17.100000000000001" customHeight="1">
      <c r="B19" s="14"/>
      <c r="C19" s="15"/>
      <c r="D19" s="15"/>
      <c r="E19" s="16">
        <v>613400</v>
      </c>
      <c r="F19" s="15" t="s">
        <v>166</v>
      </c>
      <c r="G19" s="40">
        <v>1500</v>
      </c>
      <c r="H19" s="40">
        <v>1000</v>
      </c>
      <c r="I19" s="40">
        <v>476</v>
      </c>
      <c r="J19" s="40">
        <v>1500</v>
      </c>
      <c r="K19" s="138">
        <f t="shared" si="1"/>
        <v>150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40">
        <v>5500</v>
      </c>
      <c r="H20" s="40">
        <v>5000</v>
      </c>
      <c r="I20" s="40">
        <v>3304</v>
      </c>
      <c r="J20" s="40">
        <v>5500</v>
      </c>
      <c r="K20" s="138">
        <f t="shared" si="1"/>
        <v>110.00000000000001</v>
      </c>
    </row>
    <row r="21" spans="2:12" ht="17.100000000000001" customHeight="1">
      <c r="B21" s="14"/>
      <c r="C21" s="15"/>
      <c r="D21" s="15"/>
      <c r="E21" s="16">
        <v>613600</v>
      </c>
      <c r="F21" s="26" t="s">
        <v>210</v>
      </c>
      <c r="G21" s="108">
        <v>0</v>
      </c>
      <c r="H21" s="108">
        <v>0</v>
      </c>
      <c r="I21" s="108">
        <v>0</v>
      </c>
      <c r="J21" s="108">
        <v>0</v>
      </c>
      <c r="K21" s="138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08">
        <v>2000</v>
      </c>
      <c r="H22" s="108">
        <v>4000</v>
      </c>
      <c r="I22" s="108">
        <v>1809</v>
      </c>
      <c r="J22" s="108">
        <v>4000</v>
      </c>
      <c r="K22" s="138">
        <f t="shared" si="1"/>
        <v>100</v>
      </c>
      <c r="L22" s="73"/>
    </row>
    <row r="23" spans="2:12" ht="17.100000000000001" customHeight="1">
      <c r="B23" s="14"/>
      <c r="C23" s="15"/>
      <c r="D23" s="15"/>
      <c r="E23" s="16">
        <v>613800</v>
      </c>
      <c r="F23" s="15" t="s">
        <v>167</v>
      </c>
      <c r="G23" s="108">
        <v>800</v>
      </c>
      <c r="H23" s="108">
        <v>950</v>
      </c>
      <c r="I23" s="108">
        <v>815</v>
      </c>
      <c r="J23" s="108">
        <v>1200</v>
      </c>
      <c r="K23" s="138">
        <f t="shared" si="1"/>
        <v>126.31578947368421</v>
      </c>
    </row>
    <row r="24" spans="2:12" ht="17.100000000000001" customHeight="1">
      <c r="B24" s="14"/>
      <c r="C24" s="15"/>
      <c r="D24" s="15"/>
      <c r="E24" s="16">
        <v>613900</v>
      </c>
      <c r="F24" s="15" t="s">
        <v>168</v>
      </c>
      <c r="G24" s="108">
        <v>5000</v>
      </c>
      <c r="H24" s="108">
        <v>2500</v>
      </c>
      <c r="I24" s="108">
        <v>1349</v>
      </c>
      <c r="J24" s="108">
        <v>2500</v>
      </c>
      <c r="K24" s="138">
        <f t="shared" si="1"/>
        <v>100</v>
      </c>
      <c r="L24" s="73"/>
    </row>
    <row r="25" spans="2:12" ht="17.100000000000001" customHeight="1">
      <c r="B25" s="14"/>
      <c r="C25" s="15"/>
      <c r="D25" s="15"/>
      <c r="E25" s="16">
        <v>613900</v>
      </c>
      <c r="F25" s="327" t="s">
        <v>644</v>
      </c>
      <c r="G25" s="108">
        <v>0</v>
      </c>
      <c r="H25" s="108">
        <v>0</v>
      </c>
      <c r="I25" s="108">
        <v>0</v>
      </c>
      <c r="J25" s="108">
        <v>0</v>
      </c>
      <c r="K25" s="138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08"/>
      <c r="H26" s="108"/>
      <c r="I26" s="108"/>
      <c r="J26" s="108"/>
      <c r="K26" s="138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">
        <f>SUM(G28:G29)</f>
        <v>2000</v>
      </c>
      <c r="H27" s="99">
        <f>SUM(H28:H29)</f>
        <v>2500</v>
      </c>
      <c r="I27" s="99">
        <f t="shared" ref="I27" si="4">SUM(I28:I29)</f>
        <v>1520</v>
      </c>
      <c r="J27" s="99">
        <f>SUM(J28:J29)</f>
        <v>2000</v>
      </c>
      <c r="K27" s="180">
        <f t="shared" si="1"/>
        <v>80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08">
        <v>0</v>
      </c>
      <c r="H28" s="108">
        <v>0</v>
      </c>
      <c r="I28" s="108">
        <v>0</v>
      </c>
      <c r="J28" s="108">
        <v>0</v>
      </c>
      <c r="K28" s="138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08">
        <v>2000</v>
      </c>
      <c r="H29" s="108">
        <v>2500</v>
      </c>
      <c r="I29" s="108">
        <v>1520</v>
      </c>
      <c r="J29" s="108">
        <v>2000</v>
      </c>
      <c r="K29" s="138">
        <f t="shared" si="1"/>
        <v>80</v>
      </c>
    </row>
    <row r="30" spans="2:12" ht="17.100000000000001" customHeight="1">
      <c r="B30" s="14"/>
      <c r="C30" s="15"/>
      <c r="D30" s="15"/>
      <c r="E30" s="16"/>
      <c r="F30" s="15"/>
      <c r="G30" s="108"/>
      <c r="H30" s="108"/>
      <c r="I30" s="108"/>
      <c r="J30" s="108"/>
      <c r="K30" s="138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20">
        <v>12</v>
      </c>
      <c r="H31" s="20">
        <v>12</v>
      </c>
      <c r="I31" s="20">
        <v>12</v>
      </c>
      <c r="J31" s="20">
        <v>14</v>
      </c>
      <c r="K31" s="138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402400</v>
      </c>
      <c r="H32" s="20">
        <f>H7+H12+H15+H27</f>
        <v>389150</v>
      </c>
      <c r="I32" s="20">
        <f t="shared" ref="I32" si="5">I7+I12+I15+I27</f>
        <v>286405</v>
      </c>
      <c r="J32" s="20">
        <f>J7+J12+J15+J27</f>
        <v>443980</v>
      </c>
      <c r="K32" s="180">
        <f t="shared" si="1"/>
        <v>114.08968264165489</v>
      </c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402400</v>
      </c>
      <c r="H33" s="20">
        <f>H32</f>
        <v>389150</v>
      </c>
      <c r="I33" s="20">
        <f t="shared" ref="I33" si="6">I32</f>
        <v>286405</v>
      </c>
      <c r="J33" s="20">
        <f>J32</f>
        <v>443980</v>
      </c>
      <c r="K33" s="180">
        <f>IF(H33=0,"",J33/H33*100)</f>
        <v>114.08968264165489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402400</v>
      </c>
      <c r="H34" s="20">
        <f>H33</f>
        <v>389150</v>
      </c>
      <c r="I34" s="20">
        <f t="shared" ref="I34" si="7">I33</f>
        <v>286405</v>
      </c>
      <c r="J34" s="20">
        <f>J33</f>
        <v>443980</v>
      </c>
      <c r="K34" s="180">
        <f t="shared" si="1"/>
        <v>114.08968264165489</v>
      </c>
    </row>
    <row r="35" spans="2:1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&amp;R44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L45"/>
  <sheetViews>
    <sheetView topLeftCell="A4" zoomScaleNormal="100" workbookViewId="0">
      <selection activeCell="J37" sqref="J37"/>
    </sheetView>
  </sheetViews>
  <sheetFormatPr defaultRowHeight="12.75"/>
  <cols>
    <col min="1" max="1" width="11.85546875" style="50" customWidth="1"/>
    <col min="2" max="2" width="82.28515625" customWidth="1"/>
    <col min="3" max="11" width="10.7109375" customWidth="1"/>
    <col min="12" max="12" width="11.42578125" style="62" customWidth="1"/>
  </cols>
  <sheetData>
    <row r="2" spans="1:12" ht="15.75">
      <c r="A2" s="453" t="s">
        <v>731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4" spans="1:12" s="62" customFormat="1" ht="51">
      <c r="A4" s="253" t="s">
        <v>479</v>
      </c>
      <c r="B4" s="254" t="s">
        <v>498</v>
      </c>
      <c r="C4" s="253" t="s">
        <v>491</v>
      </c>
      <c r="D4" s="253" t="s">
        <v>492</v>
      </c>
      <c r="E4" s="253" t="s">
        <v>499</v>
      </c>
      <c r="F4" s="253" t="s">
        <v>500</v>
      </c>
      <c r="G4" s="253" t="s">
        <v>493</v>
      </c>
      <c r="H4" s="253" t="s">
        <v>494</v>
      </c>
      <c r="I4" s="253" t="s">
        <v>495</v>
      </c>
      <c r="J4" s="253" t="s">
        <v>501</v>
      </c>
      <c r="K4" s="253" t="s">
        <v>496</v>
      </c>
      <c r="L4" s="253" t="s">
        <v>497</v>
      </c>
    </row>
    <row r="5" spans="1:12" ht="15.95" customHeight="1">
      <c r="A5" s="247">
        <v>10010001</v>
      </c>
      <c r="B5" s="29" t="s">
        <v>244</v>
      </c>
      <c r="C5" s="245">
        <f>'1'!J8</f>
        <v>370430</v>
      </c>
      <c r="D5" s="245">
        <f>'1'!J9+'1'!J10</f>
        <v>79030</v>
      </c>
      <c r="E5" s="245">
        <f>'1'!J12</f>
        <v>39650</v>
      </c>
      <c r="F5" s="245">
        <f>'1'!J15</f>
        <v>278400</v>
      </c>
      <c r="G5" s="245">
        <v>0</v>
      </c>
      <c r="H5" s="245">
        <v>0</v>
      </c>
      <c r="I5" s="29">
        <v>0</v>
      </c>
      <c r="J5" s="245">
        <f>'1'!J27</f>
        <v>10000</v>
      </c>
      <c r="K5" s="29">
        <v>0</v>
      </c>
      <c r="L5" s="246">
        <f>SUM(C5:K5)</f>
        <v>777510</v>
      </c>
    </row>
    <row r="6" spans="1:12" ht="15.95" customHeight="1">
      <c r="A6" s="247">
        <v>10010002</v>
      </c>
      <c r="B6" s="29" t="s">
        <v>480</v>
      </c>
      <c r="C6" s="245">
        <f>'2'!J8</f>
        <v>0</v>
      </c>
      <c r="D6" s="245">
        <f>'2'!J9+'2'!J10</f>
        <v>0</v>
      </c>
      <c r="E6" s="245">
        <f>'2'!J12</f>
        <v>0</v>
      </c>
      <c r="F6" s="245">
        <f>'2'!J15</f>
        <v>0</v>
      </c>
      <c r="G6" s="29">
        <v>0</v>
      </c>
      <c r="H6" s="29">
        <v>0</v>
      </c>
      <c r="I6" s="29">
        <v>0</v>
      </c>
      <c r="J6" s="245">
        <f>'2'!J27</f>
        <v>0</v>
      </c>
      <c r="K6" s="29">
        <v>0</v>
      </c>
      <c r="L6" s="246">
        <f t="shared" ref="L6:L41" si="0">SUM(C6:K6)</f>
        <v>0</v>
      </c>
    </row>
    <row r="7" spans="1:12" ht="15.95" customHeight="1">
      <c r="A7" s="247">
        <v>11010001</v>
      </c>
      <c r="B7" s="29" t="s">
        <v>245</v>
      </c>
      <c r="C7" s="245">
        <f>'3'!J13</f>
        <v>128000</v>
      </c>
      <c r="D7" s="245">
        <f>'3'!J14+'3'!J15</f>
        <v>227500</v>
      </c>
      <c r="E7" s="245">
        <f>'3'!J17</f>
        <v>13760</v>
      </c>
      <c r="F7" s="245">
        <f>'3'!J20</f>
        <v>433260</v>
      </c>
      <c r="G7" s="245">
        <f>'3'!J33</f>
        <v>855000</v>
      </c>
      <c r="H7" s="245">
        <f>'3'!J46</f>
        <v>700000</v>
      </c>
      <c r="I7" s="29">
        <v>0</v>
      </c>
      <c r="J7" s="245">
        <f>'3'!J49</f>
        <v>210000</v>
      </c>
      <c r="K7" s="29">
        <v>0</v>
      </c>
      <c r="L7" s="246">
        <f t="shared" si="0"/>
        <v>2567520</v>
      </c>
    </row>
    <row r="8" spans="1:12" ht="15.95" customHeight="1">
      <c r="A8" s="247">
        <v>11010002</v>
      </c>
      <c r="B8" s="29" t="s">
        <v>246</v>
      </c>
      <c r="C8" s="245">
        <f>'4'!J8</f>
        <v>46450</v>
      </c>
      <c r="D8" s="245">
        <f>'4'!J9+'4'!J10</f>
        <v>9240</v>
      </c>
      <c r="E8" s="245">
        <f>'4'!J12</f>
        <v>6350</v>
      </c>
      <c r="F8" s="245">
        <f>'4'!J15</f>
        <v>4000</v>
      </c>
      <c r="G8" s="245">
        <f>'4'!J27</f>
        <v>20000</v>
      </c>
      <c r="H8" s="29">
        <v>0</v>
      </c>
      <c r="I8" s="29">
        <v>0</v>
      </c>
      <c r="J8" s="245">
        <f>'4'!J30</f>
        <v>1000</v>
      </c>
      <c r="K8" s="29">
        <v>0</v>
      </c>
      <c r="L8" s="246">
        <f t="shared" si="0"/>
        <v>87040</v>
      </c>
    </row>
    <row r="9" spans="1:12" ht="15.95" customHeight="1">
      <c r="A9" s="247">
        <v>11010003</v>
      </c>
      <c r="B9" s="29" t="s">
        <v>247</v>
      </c>
      <c r="C9" s="245">
        <f>'5'!J8</f>
        <v>42300</v>
      </c>
      <c r="D9" s="245">
        <f>'5'!J9+'5'!J10</f>
        <v>5310</v>
      </c>
      <c r="E9" s="245">
        <f>'5'!J12</f>
        <v>4660</v>
      </c>
      <c r="F9" s="245">
        <f>'5'!J15</f>
        <v>8300</v>
      </c>
      <c r="G9" s="29">
        <v>0</v>
      </c>
      <c r="H9" s="29">
        <v>0</v>
      </c>
      <c r="I9" s="29">
        <v>0</v>
      </c>
      <c r="J9" s="245">
        <f>'5'!J27</f>
        <v>1500</v>
      </c>
      <c r="K9" s="29">
        <v>0</v>
      </c>
      <c r="L9" s="246">
        <f t="shared" si="0"/>
        <v>62070</v>
      </c>
    </row>
    <row r="10" spans="1:12" ht="15.95" customHeight="1">
      <c r="A10" s="247">
        <v>11010004</v>
      </c>
      <c r="B10" s="29" t="s">
        <v>249</v>
      </c>
      <c r="C10" s="245">
        <f>'6'!J8</f>
        <v>64730</v>
      </c>
      <c r="D10" s="245">
        <f>'6'!J9+'6'!J10</f>
        <v>11240</v>
      </c>
      <c r="E10" s="245">
        <f>'6'!J12</f>
        <v>7000</v>
      </c>
      <c r="F10" s="245">
        <f>'6'!J15</f>
        <v>5900</v>
      </c>
      <c r="G10" s="29">
        <v>0</v>
      </c>
      <c r="H10" s="29">
        <v>0</v>
      </c>
      <c r="I10" s="29">
        <v>0</v>
      </c>
      <c r="J10" s="245">
        <f>'6'!J27</f>
        <v>1500</v>
      </c>
      <c r="K10" s="29">
        <v>0</v>
      </c>
      <c r="L10" s="246">
        <f t="shared" si="0"/>
        <v>90370</v>
      </c>
    </row>
    <row r="11" spans="1:12" ht="15.95" customHeight="1">
      <c r="A11" s="247">
        <v>11010005</v>
      </c>
      <c r="B11" s="392" t="s">
        <v>764</v>
      </c>
      <c r="C11" s="245">
        <f>'7'!J8</f>
        <v>126850</v>
      </c>
      <c r="D11" s="245">
        <f>'7'!J9+'7'!J10</f>
        <v>31340</v>
      </c>
      <c r="E11" s="245">
        <f>'7'!J12</f>
        <v>14010</v>
      </c>
      <c r="F11" s="245">
        <f>'7'!J15</f>
        <v>10400</v>
      </c>
      <c r="G11" s="29">
        <v>0</v>
      </c>
      <c r="H11" s="29">
        <v>0</v>
      </c>
      <c r="I11" s="29">
        <v>0</v>
      </c>
      <c r="J11" s="245">
        <f>'7'!J27</f>
        <v>7000</v>
      </c>
      <c r="K11" s="29">
        <v>0</v>
      </c>
      <c r="L11" s="246">
        <f t="shared" si="0"/>
        <v>189600</v>
      </c>
    </row>
    <row r="12" spans="1:12" ht="15.95" customHeight="1">
      <c r="A12" s="247">
        <v>12010001</v>
      </c>
      <c r="B12" s="29" t="s">
        <v>250</v>
      </c>
      <c r="C12" s="245">
        <f>'8'!J8</f>
        <v>209740</v>
      </c>
      <c r="D12" s="245">
        <f>'8'!J9+'8'!J10</f>
        <v>57820</v>
      </c>
      <c r="E12" s="245">
        <f>'8'!J12</f>
        <v>22720</v>
      </c>
      <c r="F12" s="245">
        <f>'8'!J15</f>
        <v>403500</v>
      </c>
      <c r="G12" s="29">
        <v>0</v>
      </c>
      <c r="H12" s="29">
        <v>0</v>
      </c>
      <c r="I12" s="29">
        <v>0</v>
      </c>
      <c r="J12" s="245">
        <f>'8'!J27</f>
        <v>20000</v>
      </c>
      <c r="K12" s="29">
        <v>0</v>
      </c>
      <c r="L12" s="246">
        <f t="shared" si="0"/>
        <v>713780</v>
      </c>
    </row>
    <row r="13" spans="1:12" ht="15.95" customHeight="1">
      <c r="A13" s="247">
        <v>13010001</v>
      </c>
      <c r="B13" s="29" t="s">
        <v>478</v>
      </c>
      <c r="C13" s="245">
        <f>'9'!J8</f>
        <v>3909830</v>
      </c>
      <c r="D13" s="245">
        <f>'9'!J9+'9'!J10</f>
        <v>803780</v>
      </c>
      <c r="E13" s="245">
        <f>'9'!J12</f>
        <v>604740</v>
      </c>
      <c r="F13" s="245">
        <f>'9'!J15</f>
        <v>772500</v>
      </c>
      <c r="G13" s="29">
        <v>0</v>
      </c>
      <c r="H13" s="29">
        <v>0</v>
      </c>
      <c r="I13" s="29">
        <v>0</v>
      </c>
      <c r="J13" s="245">
        <f>'9'!J27</f>
        <v>100000</v>
      </c>
      <c r="K13" s="29">
        <v>0</v>
      </c>
      <c r="L13" s="246">
        <f t="shared" si="0"/>
        <v>6190850</v>
      </c>
    </row>
    <row r="14" spans="1:12" ht="15.95" customHeight="1">
      <c r="A14" s="247">
        <v>14010001</v>
      </c>
      <c r="B14" s="29" t="s">
        <v>252</v>
      </c>
      <c r="C14" s="245">
        <f>'10'!J8</f>
        <v>80880</v>
      </c>
      <c r="D14" s="245">
        <f>'10'!J9+'10'!J10</f>
        <v>18540</v>
      </c>
      <c r="E14" s="245">
        <f>'10'!J12</f>
        <v>8850</v>
      </c>
      <c r="F14" s="245">
        <f>'10'!J15</f>
        <v>80100</v>
      </c>
      <c r="G14" s="29">
        <v>0</v>
      </c>
      <c r="H14" s="29">
        <v>0</v>
      </c>
      <c r="I14" s="29">
        <v>0</v>
      </c>
      <c r="J14" s="245">
        <f>'10'!J27</f>
        <v>1000</v>
      </c>
      <c r="K14" s="29">
        <v>0</v>
      </c>
      <c r="L14" s="246">
        <f t="shared" si="0"/>
        <v>189370</v>
      </c>
    </row>
    <row r="15" spans="1:12" ht="15.95" customHeight="1">
      <c r="A15" s="247">
        <v>14020003</v>
      </c>
      <c r="B15" s="29" t="s">
        <v>253</v>
      </c>
      <c r="C15" s="245">
        <f>'11'!J8</f>
        <v>947150</v>
      </c>
      <c r="D15" s="245">
        <f>'11'!J9+'11'!J10</f>
        <v>185110</v>
      </c>
      <c r="E15" s="245">
        <f>'11'!J12</f>
        <v>100830</v>
      </c>
      <c r="F15" s="245">
        <f>'11'!J15</f>
        <v>324500</v>
      </c>
      <c r="G15" s="29">
        <v>0</v>
      </c>
      <c r="H15" s="29">
        <v>0</v>
      </c>
      <c r="I15" s="29">
        <v>0</v>
      </c>
      <c r="J15" s="245">
        <f>'11'!J28</f>
        <v>16000</v>
      </c>
      <c r="K15" s="29">
        <v>0</v>
      </c>
      <c r="L15" s="246">
        <f t="shared" si="0"/>
        <v>1573590</v>
      </c>
    </row>
    <row r="16" spans="1:12" ht="15.95" customHeight="1">
      <c r="A16" s="247">
        <v>14050001</v>
      </c>
      <c r="B16" s="29" t="s">
        <v>254</v>
      </c>
      <c r="C16" s="245">
        <f>'12'!J8</f>
        <v>37250</v>
      </c>
      <c r="D16" s="245">
        <f>'12'!J9+'12'!J10</f>
        <v>7710</v>
      </c>
      <c r="E16" s="245">
        <f>'12'!J12</f>
        <v>4060</v>
      </c>
      <c r="F16" s="245">
        <f>'12'!J15</f>
        <v>4200</v>
      </c>
      <c r="G16" s="29">
        <v>0</v>
      </c>
      <c r="H16" s="29">
        <v>0</v>
      </c>
      <c r="I16" s="29">
        <v>0</v>
      </c>
      <c r="J16" s="245">
        <f>'12'!J27</f>
        <v>3000</v>
      </c>
      <c r="K16" s="29">
        <v>0</v>
      </c>
      <c r="L16" s="246">
        <f t="shared" si="0"/>
        <v>56220</v>
      </c>
    </row>
    <row r="17" spans="1:12" ht="15.95" customHeight="1">
      <c r="A17" s="247">
        <v>14050002</v>
      </c>
      <c r="B17" s="29" t="s">
        <v>255</v>
      </c>
      <c r="C17" s="245">
        <f>'13'!J8</f>
        <v>31500</v>
      </c>
      <c r="D17" s="245">
        <f>'13'!J9+'13'!J10</f>
        <v>6780</v>
      </c>
      <c r="E17" s="245">
        <f>'13'!J12</f>
        <v>3500</v>
      </c>
      <c r="F17" s="245">
        <f>'13'!J15</f>
        <v>2450</v>
      </c>
      <c r="G17" s="29">
        <v>0</v>
      </c>
      <c r="H17" s="29">
        <v>0</v>
      </c>
      <c r="I17" s="29">
        <v>0</v>
      </c>
      <c r="J17" s="245">
        <f>'13'!J27</f>
        <v>1000</v>
      </c>
      <c r="K17" s="29">
        <v>0</v>
      </c>
      <c r="L17" s="246">
        <f t="shared" si="0"/>
        <v>45230</v>
      </c>
    </row>
    <row r="18" spans="1:12" ht="15.95" customHeight="1">
      <c r="A18" s="247">
        <v>14060001</v>
      </c>
      <c r="B18" s="29" t="s">
        <v>256</v>
      </c>
      <c r="C18" s="245">
        <f>'14'!J8</f>
        <v>61620</v>
      </c>
      <c r="D18" s="245">
        <f>'14'!J9+'14'!J10</f>
        <v>8860</v>
      </c>
      <c r="E18" s="245">
        <f>'14'!J12</f>
        <v>6730</v>
      </c>
      <c r="F18" s="245">
        <f>'14'!J15</f>
        <v>5600</v>
      </c>
      <c r="G18" s="29">
        <v>0</v>
      </c>
      <c r="H18" s="29">
        <v>0</v>
      </c>
      <c r="I18" s="29">
        <v>0</v>
      </c>
      <c r="J18" s="245">
        <f>'14'!J27</f>
        <v>1000</v>
      </c>
      <c r="K18" s="29">
        <v>0</v>
      </c>
      <c r="L18" s="246">
        <f t="shared" si="0"/>
        <v>83810</v>
      </c>
    </row>
    <row r="19" spans="1:12" ht="15.95" customHeight="1">
      <c r="A19" s="247">
        <v>15010001</v>
      </c>
      <c r="B19" s="29" t="s">
        <v>257</v>
      </c>
      <c r="C19" s="245">
        <f>'15'!J8</f>
        <v>160270</v>
      </c>
      <c r="D19" s="245">
        <f>'15'!J9+'15'!J10</f>
        <v>31830</v>
      </c>
      <c r="E19" s="245">
        <f>'15'!J12</f>
        <v>17410</v>
      </c>
      <c r="F19" s="245">
        <f>'15'!J15</f>
        <v>74600</v>
      </c>
      <c r="G19" s="245">
        <f>'15'!J28</f>
        <v>1300000</v>
      </c>
      <c r="H19" s="29">
        <v>0</v>
      </c>
      <c r="I19" s="29">
        <v>0</v>
      </c>
      <c r="J19" s="245">
        <f>'15'!J31</f>
        <v>1000</v>
      </c>
      <c r="K19" s="29">
        <v>0</v>
      </c>
      <c r="L19" s="246">
        <f t="shared" si="0"/>
        <v>1585110</v>
      </c>
    </row>
    <row r="20" spans="1:12" ht="15.95" customHeight="1">
      <c r="A20" s="247">
        <v>16010001</v>
      </c>
      <c r="B20" s="29" t="s">
        <v>258</v>
      </c>
      <c r="C20" s="245">
        <f>'16'!J11</f>
        <v>317660</v>
      </c>
      <c r="D20" s="245">
        <f>'16'!J12+'16'!J13</f>
        <v>69250</v>
      </c>
      <c r="E20" s="245">
        <f>'16'!J15</f>
        <v>34240</v>
      </c>
      <c r="F20" s="245">
        <f>'16'!J18</f>
        <v>139000</v>
      </c>
      <c r="G20" s="245">
        <f>'16'!J31</f>
        <v>461000</v>
      </c>
      <c r="H20" s="29">
        <v>0</v>
      </c>
      <c r="I20" s="245">
        <f>'16'!J36</f>
        <v>65500</v>
      </c>
      <c r="J20" s="245">
        <f>'16'!J41</f>
        <v>3000</v>
      </c>
      <c r="K20" s="245">
        <f>'16'!J45</f>
        <v>525500</v>
      </c>
      <c r="L20" s="246">
        <f t="shared" si="0"/>
        <v>1615150</v>
      </c>
    </row>
    <row r="21" spans="1:12" ht="15.95" customHeight="1">
      <c r="A21" s="247">
        <v>17010001</v>
      </c>
      <c r="B21" s="29" t="s">
        <v>259</v>
      </c>
      <c r="C21" s="245">
        <f>'17'!J8</f>
        <v>196990</v>
      </c>
      <c r="D21" s="245">
        <f>'17'!J9+'17'!J10</f>
        <v>37400</v>
      </c>
      <c r="E21" s="245">
        <f>'17'!J12</f>
        <v>21380</v>
      </c>
      <c r="F21" s="245">
        <f>'17'!J15</f>
        <v>85110</v>
      </c>
      <c r="G21" s="245">
        <f>'17'!J27</f>
        <v>4080000</v>
      </c>
      <c r="H21" s="245">
        <v>0</v>
      </c>
      <c r="I21" s="29">
        <v>0</v>
      </c>
      <c r="J21" s="245">
        <f>'17'!J31</f>
        <v>1500</v>
      </c>
      <c r="K21" s="29">
        <v>0</v>
      </c>
      <c r="L21" s="246">
        <f t="shared" si="0"/>
        <v>4422380</v>
      </c>
    </row>
    <row r="22" spans="1:12" ht="15.95" customHeight="1">
      <c r="A22" s="247">
        <v>18010001</v>
      </c>
      <c r="B22" s="29" t="s">
        <v>260</v>
      </c>
      <c r="C22" s="245">
        <f>'18'!J8</f>
        <v>192360</v>
      </c>
      <c r="D22" s="245">
        <f>'18'!J9+'18'!J10</f>
        <v>37910</v>
      </c>
      <c r="E22" s="245">
        <f>'18'!J12</f>
        <v>21070</v>
      </c>
      <c r="F22" s="245">
        <f>'18'!J15</f>
        <v>217800</v>
      </c>
      <c r="G22" s="245">
        <f>'18'!J28</f>
        <v>210000</v>
      </c>
      <c r="H22" s="29">
        <v>0</v>
      </c>
      <c r="I22" s="29">
        <v>0</v>
      </c>
      <c r="J22" s="245">
        <f>'18'!J32</f>
        <v>894000</v>
      </c>
      <c r="K22" s="29">
        <v>0</v>
      </c>
      <c r="L22" s="246">
        <f t="shared" si="0"/>
        <v>1573140</v>
      </c>
    </row>
    <row r="23" spans="1:12" ht="15.95" customHeight="1">
      <c r="A23" s="247">
        <v>19010001</v>
      </c>
      <c r="B23" s="29" t="s">
        <v>261</v>
      </c>
      <c r="C23" s="245">
        <f>'19'!J8</f>
        <v>469650</v>
      </c>
      <c r="D23" s="245">
        <f>'19'!J9+'19'!J10</f>
        <v>93750</v>
      </c>
      <c r="E23" s="245">
        <f>'19'!J12</f>
        <v>50910</v>
      </c>
      <c r="F23" s="245">
        <f>'19'!J15</f>
        <v>73990</v>
      </c>
      <c r="G23" s="245">
        <f>'19'!J27</f>
        <v>2150000</v>
      </c>
      <c r="H23" s="29">
        <v>0</v>
      </c>
      <c r="I23" s="29">
        <v>0</v>
      </c>
      <c r="J23" s="245">
        <f>'19'!J33</f>
        <v>13000</v>
      </c>
      <c r="K23" s="29">
        <v>0</v>
      </c>
      <c r="L23" s="246">
        <f t="shared" si="0"/>
        <v>2851300</v>
      </c>
    </row>
    <row r="24" spans="1:12" ht="15.95" customHeight="1">
      <c r="A24" s="247">
        <v>20010001</v>
      </c>
      <c r="B24" s="29" t="s">
        <v>262</v>
      </c>
      <c r="C24" s="245">
        <f>'20'!J8</f>
        <v>237630</v>
      </c>
      <c r="D24" s="245">
        <f>'20'!J9+'20'!J10</f>
        <v>38580</v>
      </c>
      <c r="E24" s="245">
        <f>'20'!J12</f>
        <v>25030</v>
      </c>
      <c r="F24" s="245">
        <f>'20'!J15</f>
        <v>91300</v>
      </c>
      <c r="G24" s="245">
        <f>'20'!J29</f>
        <v>1210000</v>
      </c>
      <c r="H24" s="245">
        <f>'20'!J38</f>
        <v>0</v>
      </c>
      <c r="I24" s="245">
        <f>'20'!J41</f>
        <v>6500</v>
      </c>
      <c r="J24" s="245">
        <f>'20'!J44</f>
        <v>1000</v>
      </c>
      <c r="K24" s="245">
        <f>'20'!J48</f>
        <v>75000</v>
      </c>
      <c r="L24" s="246">
        <f t="shared" si="0"/>
        <v>1685040</v>
      </c>
    </row>
    <row r="25" spans="1:12" ht="15.95" customHeight="1">
      <c r="A25" s="247">
        <v>20020002</v>
      </c>
      <c r="B25" s="29" t="s">
        <v>481</v>
      </c>
      <c r="C25" s="245">
        <f>'21'!J8</f>
        <v>892240</v>
      </c>
      <c r="D25" s="245">
        <f>'21'!J9+'21'!J10</f>
        <v>212100</v>
      </c>
      <c r="E25" s="245">
        <f>'21'!J12</f>
        <v>98200</v>
      </c>
      <c r="F25" s="245">
        <f>'21'!J15</f>
        <v>155500</v>
      </c>
      <c r="G25" s="29">
        <v>0</v>
      </c>
      <c r="H25" s="29">
        <v>0</v>
      </c>
      <c r="I25" s="29">
        <v>0</v>
      </c>
      <c r="J25" s="245">
        <f>'21'!J27</f>
        <v>30000</v>
      </c>
      <c r="K25" s="29">
        <v>0</v>
      </c>
      <c r="L25" s="246">
        <f t="shared" si="0"/>
        <v>1388040</v>
      </c>
    </row>
    <row r="26" spans="1:12" ht="15.95" customHeight="1">
      <c r="A26" s="247">
        <v>20020003</v>
      </c>
      <c r="B26" s="29" t="s">
        <v>482</v>
      </c>
      <c r="C26" s="245">
        <f>'22'!J8</f>
        <v>793110</v>
      </c>
      <c r="D26" s="245">
        <f>'22'!J9+'22'!J10</f>
        <v>206490</v>
      </c>
      <c r="E26" s="245">
        <f>'22'!J12</f>
        <v>84970</v>
      </c>
      <c r="F26" s="245">
        <f>'22'!J15</f>
        <v>206700</v>
      </c>
      <c r="G26" s="29">
        <v>0</v>
      </c>
      <c r="H26" s="29">
        <v>0</v>
      </c>
      <c r="I26" s="29">
        <v>0</v>
      </c>
      <c r="J26" s="245">
        <f>'22'!J27</f>
        <v>5000</v>
      </c>
      <c r="K26" s="29">
        <v>0</v>
      </c>
      <c r="L26" s="246">
        <f t="shared" si="0"/>
        <v>1296270</v>
      </c>
    </row>
    <row r="27" spans="1:12" ht="15.95" customHeight="1">
      <c r="A27" s="247">
        <v>20020004</v>
      </c>
      <c r="B27" s="29" t="s">
        <v>483</v>
      </c>
      <c r="C27" s="245">
        <f>'23'!J8</f>
        <v>677850</v>
      </c>
      <c r="D27" s="245">
        <f>'23'!J9+'23'!J10</f>
        <v>166770</v>
      </c>
      <c r="E27" s="245">
        <f>'23'!J12</f>
        <v>72580</v>
      </c>
      <c r="F27" s="245">
        <f>'23'!J15</f>
        <v>141210</v>
      </c>
      <c r="G27" s="29">
        <v>0</v>
      </c>
      <c r="H27" s="29">
        <v>0</v>
      </c>
      <c r="I27" s="29">
        <v>0</v>
      </c>
      <c r="J27" s="245">
        <f>'23'!J28</f>
        <v>15200</v>
      </c>
      <c r="K27" s="29">
        <v>0</v>
      </c>
      <c r="L27" s="246">
        <f t="shared" si="0"/>
        <v>1073610</v>
      </c>
    </row>
    <row r="28" spans="1:12" ht="15.95" customHeight="1">
      <c r="A28" s="247">
        <v>20030001</v>
      </c>
      <c r="B28" s="29" t="s">
        <v>484</v>
      </c>
      <c r="C28" s="245">
        <f>'24'!J8</f>
        <v>873610</v>
      </c>
      <c r="D28" s="245">
        <f>'24'!J9+'24'!J10</f>
        <v>177070</v>
      </c>
      <c r="E28" s="245">
        <f>'24'!J12</f>
        <v>93510</v>
      </c>
      <c r="F28" s="245">
        <f>'24'!J15</f>
        <v>100500</v>
      </c>
      <c r="G28" s="29">
        <v>0</v>
      </c>
      <c r="H28" s="29">
        <v>0</v>
      </c>
      <c r="I28" s="29">
        <v>0</v>
      </c>
      <c r="J28" s="245">
        <f>'24'!J27</f>
        <v>5000</v>
      </c>
      <c r="K28" s="29">
        <v>0</v>
      </c>
      <c r="L28" s="246">
        <f t="shared" si="0"/>
        <v>1249690</v>
      </c>
    </row>
    <row r="29" spans="1:12" ht="15.95" customHeight="1">
      <c r="A29" s="247">
        <v>20030002</v>
      </c>
      <c r="B29" s="29" t="s">
        <v>485</v>
      </c>
      <c r="C29" s="245">
        <f>'25'!J8</f>
        <v>1777250</v>
      </c>
      <c r="D29" s="245">
        <f>'25'!J9+'25'!J10</f>
        <v>379800</v>
      </c>
      <c r="E29" s="245">
        <f>'25'!J12</f>
        <v>190200</v>
      </c>
      <c r="F29" s="245">
        <f>'25'!J15</f>
        <v>222000</v>
      </c>
      <c r="G29" s="29">
        <v>0</v>
      </c>
      <c r="H29" s="29">
        <v>0</v>
      </c>
      <c r="I29" s="29">
        <v>0</v>
      </c>
      <c r="J29" s="245">
        <f>'25'!J27</f>
        <v>7000</v>
      </c>
      <c r="K29" s="29">
        <v>0</v>
      </c>
      <c r="L29" s="246">
        <f t="shared" si="0"/>
        <v>2576250</v>
      </c>
    </row>
    <row r="30" spans="1:12" ht="15.95" customHeight="1">
      <c r="A30" s="247">
        <v>20030003</v>
      </c>
      <c r="B30" s="29" t="s">
        <v>486</v>
      </c>
      <c r="C30" s="245">
        <f>'26'!J8</f>
        <v>503700</v>
      </c>
      <c r="D30" s="245">
        <f>'26'!J9+'26'!J10</f>
        <v>107340</v>
      </c>
      <c r="E30" s="245">
        <f>'26'!J12</f>
        <v>53920</v>
      </c>
      <c r="F30" s="245">
        <f>'26'!J15</f>
        <v>54600</v>
      </c>
      <c r="G30" s="29">
        <v>0</v>
      </c>
      <c r="H30" s="29">
        <v>0</v>
      </c>
      <c r="I30" s="29">
        <v>0</v>
      </c>
      <c r="J30" s="245">
        <f>'26'!J27</f>
        <v>35000</v>
      </c>
      <c r="K30" s="29">
        <v>0</v>
      </c>
      <c r="L30" s="246">
        <f t="shared" si="0"/>
        <v>754560</v>
      </c>
    </row>
    <row r="31" spans="1:12" ht="15.95" customHeight="1">
      <c r="A31" s="247">
        <v>20030004</v>
      </c>
      <c r="B31" s="29" t="s">
        <v>487</v>
      </c>
      <c r="C31" s="245">
        <f>'27'!J8</f>
        <v>664790</v>
      </c>
      <c r="D31" s="245">
        <f>'27'!J9+'27'!J10</f>
        <v>140890</v>
      </c>
      <c r="E31" s="245">
        <f>'27'!J12</f>
        <v>72470</v>
      </c>
      <c r="F31" s="245">
        <f>'27'!J15</f>
        <v>63550</v>
      </c>
      <c r="G31" s="29">
        <v>0</v>
      </c>
      <c r="H31" s="29">
        <v>0</v>
      </c>
      <c r="I31" s="29">
        <v>0</v>
      </c>
      <c r="J31" s="245">
        <f>'27'!J27</f>
        <v>13500</v>
      </c>
      <c r="K31" s="29">
        <v>0</v>
      </c>
      <c r="L31" s="246">
        <f t="shared" si="0"/>
        <v>955200</v>
      </c>
    </row>
    <row r="32" spans="1:12" ht="15.95" customHeight="1">
      <c r="A32" s="247">
        <v>20030005</v>
      </c>
      <c r="B32" s="29" t="s">
        <v>488</v>
      </c>
      <c r="C32" s="245">
        <f>'28'!J8</f>
        <v>707380</v>
      </c>
      <c r="D32" s="245">
        <f>'28'!J9+'28'!J10</f>
        <v>157380</v>
      </c>
      <c r="E32" s="245">
        <f>'28'!J12</f>
        <v>76420</v>
      </c>
      <c r="F32" s="245">
        <f>'28'!J15</f>
        <v>99600</v>
      </c>
      <c r="G32" s="29">
        <v>0</v>
      </c>
      <c r="H32" s="29">
        <v>0</v>
      </c>
      <c r="I32" s="29">
        <v>0</v>
      </c>
      <c r="J32" s="245">
        <f>'28'!J27</f>
        <v>30000</v>
      </c>
      <c r="K32" s="29">
        <v>0</v>
      </c>
      <c r="L32" s="246">
        <f t="shared" si="0"/>
        <v>1070780</v>
      </c>
    </row>
    <row r="33" spans="1:12" ht="15.95" customHeight="1">
      <c r="A33" s="247">
        <v>20030006</v>
      </c>
      <c r="B33" s="29" t="s">
        <v>489</v>
      </c>
      <c r="C33" s="245">
        <f>'29'!J8</f>
        <v>358050</v>
      </c>
      <c r="D33" s="245">
        <f>'29'!J9+'29'!J10</f>
        <v>89060</v>
      </c>
      <c r="E33" s="245">
        <f>'29'!J12</f>
        <v>38370</v>
      </c>
      <c r="F33" s="245">
        <f>'29'!J15</f>
        <v>49400</v>
      </c>
      <c r="G33" s="29">
        <v>0</v>
      </c>
      <c r="H33" s="29">
        <v>0</v>
      </c>
      <c r="I33" s="29">
        <v>0</v>
      </c>
      <c r="J33" s="245">
        <f>'29'!J27</f>
        <v>2500</v>
      </c>
      <c r="K33" s="29">
        <v>0</v>
      </c>
      <c r="L33" s="246">
        <f t="shared" si="0"/>
        <v>537380</v>
      </c>
    </row>
    <row r="34" spans="1:12" ht="15.95" customHeight="1">
      <c r="A34" s="247">
        <v>20030007</v>
      </c>
      <c r="B34" s="29" t="s">
        <v>490</v>
      </c>
      <c r="C34" s="245">
        <f>'30'!J8</f>
        <v>458170</v>
      </c>
      <c r="D34" s="245">
        <f>'30'!J9+'30'!J10</f>
        <v>100870</v>
      </c>
      <c r="E34" s="245">
        <f>'30'!J12</f>
        <v>49360</v>
      </c>
      <c r="F34" s="245">
        <f>'30'!J15</f>
        <v>64400</v>
      </c>
      <c r="G34" s="29">
        <v>0</v>
      </c>
      <c r="H34" s="29">
        <v>0</v>
      </c>
      <c r="I34" s="29">
        <v>0</v>
      </c>
      <c r="J34" s="245">
        <f>'30'!J27</f>
        <v>3000</v>
      </c>
      <c r="K34" s="29">
        <v>0</v>
      </c>
      <c r="L34" s="246">
        <f t="shared" si="0"/>
        <v>675800</v>
      </c>
    </row>
    <row r="35" spans="1:12" ht="15.95" customHeight="1">
      <c r="A35" s="247">
        <v>21010001</v>
      </c>
      <c r="B35" s="29" t="s">
        <v>272</v>
      </c>
      <c r="C35" s="245">
        <f>'31'!J8</f>
        <v>199290</v>
      </c>
      <c r="D35" s="245">
        <f>'31'!J9+'31'!J10</f>
        <v>47680</v>
      </c>
      <c r="E35" s="245">
        <f>'31'!J12</f>
        <v>21470</v>
      </c>
      <c r="F35" s="245">
        <f>'31'!J15</f>
        <v>39800</v>
      </c>
      <c r="G35" s="245">
        <f>'31'!J27</f>
        <v>1100000</v>
      </c>
      <c r="H35" s="29">
        <v>0</v>
      </c>
      <c r="I35" s="29">
        <v>0</v>
      </c>
      <c r="J35" s="245">
        <f>'31'!J30</f>
        <v>1000</v>
      </c>
      <c r="K35" s="29">
        <v>0</v>
      </c>
      <c r="L35" s="246">
        <f t="shared" si="0"/>
        <v>1409240</v>
      </c>
    </row>
    <row r="36" spans="1:12" ht="15.95" customHeight="1">
      <c r="A36" s="247">
        <v>22010001</v>
      </c>
      <c r="B36" s="29" t="s">
        <v>273</v>
      </c>
      <c r="C36" s="245">
        <f>'32'!J8</f>
        <v>82290</v>
      </c>
      <c r="D36" s="245">
        <f>'32'!J9+'32'!J10</f>
        <v>19670</v>
      </c>
      <c r="E36" s="245">
        <f>'32'!J12</f>
        <v>8800</v>
      </c>
      <c r="F36" s="245">
        <f>'32'!J15</f>
        <v>18800</v>
      </c>
      <c r="G36" s="29">
        <v>0</v>
      </c>
      <c r="H36" s="29">
        <v>0</v>
      </c>
      <c r="I36" s="29">
        <v>0</v>
      </c>
      <c r="J36" s="245">
        <f>'32'!J27</f>
        <v>0</v>
      </c>
      <c r="K36" s="29">
        <v>0</v>
      </c>
      <c r="L36" s="246">
        <f t="shared" si="0"/>
        <v>129560</v>
      </c>
    </row>
    <row r="37" spans="1:12" ht="15.95" customHeight="1">
      <c r="A37" s="247">
        <v>23010001</v>
      </c>
      <c r="B37" s="29" t="s">
        <v>274</v>
      </c>
      <c r="C37" s="245">
        <f>'33'!J8</f>
        <v>179060</v>
      </c>
      <c r="D37" s="245">
        <f>'33'!J9+'33'!J10</f>
        <v>42730</v>
      </c>
      <c r="E37" s="245">
        <f>'33'!J12</f>
        <v>19350</v>
      </c>
      <c r="F37" s="245">
        <f>'33'!J15</f>
        <v>54100</v>
      </c>
      <c r="G37" s="245">
        <f>'33'!J27</f>
        <v>180000</v>
      </c>
      <c r="H37" s="29">
        <v>0</v>
      </c>
      <c r="I37" s="29">
        <v>0</v>
      </c>
      <c r="J37" s="245">
        <f>'33'!J31</f>
        <v>2000</v>
      </c>
      <c r="K37" s="29">
        <v>0</v>
      </c>
      <c r="L37" s="246">
        <f t="shared" si="0"/>
        <v>477240</v>
      </c>
    </row>
    <row r="38" spans="1:12" ht="15.95" customHeight="1">
      <c r="A38" s="247">
        <v>24010001</v>
      </c>
      <c r="B38" s="29" t="s">
        <v>275</v>
      </c>
      <c r="C38" s="245">
        <f>'34'!J8</f>
        <v>431570</v>
      </c>
      <c r="D38" s="245">
        <f>'34'!J9+'34'!J10</f>
        <v>74670</v>
      </c>
      <c r="E38" s="245">
        <f>'34'!J12</f>
        <v>46050</v>
      </c>
      <c r="F38" s="245">
        <f>'34'!J15</f>
        <v>122000</v>
      </c>
      <c r="G38" s="29">
        <v>0</v>
      </c>
      <c r="H38" s="29">
        <v>0</v>
      </c>
      <c r="I38" s="29">
        <v>0</v>
      </c>
      <c r="J38" s="245">
        <f>'34'!J27</f>
        <v>35000</v>
      </c>
      <c r="K38" s="29">
        <v>0</v>
      </c>
      <c r="L38" s="246">
        <f t="shared" si="0"/>
        <v>709290</v>
      </c>
    </row>
    <row r="39" spans="1:12" ht="15.95" customHeight="1">
      <c r="A39" s="247">
        <v>26010001</v>
      </c>
      <c r="B39" s="29" t="s">
        <v>276</v>
      </c>
      <c r="C39" s="245">
        <f>'35'!J8</f>
        <v>58330</v>
      </c>
      <c r="D39" s="245">
        <f>'35'!J9+'35'!J10</f>
        <v>9560</v>
      </c>
      <c r="E39" s="245">
        <f>'35'!J12</f>
        <v>6270</v>
      </c>
      <c r="F39" s="245">
        <f>'35'!J15</f>
        <v>8200</v>
      </c>
      <c r="G39" s="245">
        <v>0</v>
      </c>
      <c r="H39" s="29">
        <v>0</v>
      </c>
      <c r="I39" s="29">
        <v>0</v>
      </c>
      <c r="J39" s="245">
        <f>'35'!J27</f>
        <v>500</v>
      </c>
      <c r="K39" s="29">
        <v>0</v>
      </c>
      <c r="L39" s="246">
        <f t="shared" si="0"/>
        <v>82860</v>
      </c>
    </row>
    <row r="40" spans="1:12" ht="15.95" customHeight="1">
      <c r="A40" s="247">
        <v>27010001</v>
      </c>
      <c r="B40" s="29" t="s">
        <v>277</v>
      </c>
      <c r="C40" s="245">
        <f>'36'!J8</f>
        <v>398800</v>
      </c>
      <c r="D40" s="245">
        <f>'36'!J9+'36'!J10</f>
        <v>61410</v>
      </c>
      <c r="E40" s="245">
        <f>'36'!J12</f>
        <v>42830</v>
      </c>
      <c r="F40" s="245">
        <f>'36'!J15</f>
        <v>87000</v>
      </c>
      <c r="G40" s="29">
        <v>0</v>
      </c>
      <c r="H40" s="29">
        <v>0</v>
      </c>
      <c r="I40" s="29">
        <v>0</v>
      </c>
      <c r="J40" s="245">
        <f>'36'!J27</f>
        <v>3000</v>
      </c>
      <c r="K40" s="29">
        <v>0</v>
      </c>
      <c r="L40" s="246">
        <f t="shared" si="0"/>
        <v>593040</v>
      </c>
    </row>
    <row r="41" spans="1:12" ht="15.95" customHeight="1">
      <c r="A41" s="247">
        <v>28010001</v>
      </c>
      <c r="B41" s="29" t="s">
        <v>278</v>
      </c>
      <c r="C41" s="245">
        <f>'37'!J8</f>
        <v>321270</v>
      </c>
      <c r="D41" s="245">
        <f>'37'!J9+'37'!J10</f>
        <v>55720</v>
      </c>
      <c r="E41" s="245">
        <f>'37'!J12</f>
        <v>35290</v>
      </c>
      <c r="F41" s="245">
        <f>'37'!J15</f>
        <v>29700</v>
      </c>
      <c r="G41" s="245">
        <v>0</v>
      </c>
      <c r="H41" s="29">
        <v>0</v>
      </c>
      <c r="I41" s="29">
        <v>0</v>
      </c>
      <c r="J41" s="245">
        <f>'37'!J27</f>
        <v>2000</v>
      </c>
      <c r="K41" s="29">
        <v>0</v>
      </c>
      <c r="L41" s="246">
        <f t="shared" si="0"/>
        <v>443980</v>
      </c>
    </row>
    <row r="42" spans="1:12" s="62" customFormat="1" ht="15.95" customHeight="1">
      <c r="A42" s="119"/>
      <c r="B42" s="251" t="s">
        <v>502</v>
      </c>
      <c r="C42" s="252">
        <f>SUM(C5:C41)</f>
        <v>17008050</v>
      </c>
      <c r="D42" s="252">
        <f t="shared" ref="D42:K42" si="1">SUM(D5:D41)</f>
        <v>3810190</v>
      </c>
      <c r="E42" s="252">
        <f t="shared" si="1"/>
        <v>2016960</v>
      </c>
      <c r="F42" s="252">
        <f t="shared" si="1"/>
        <v>4531970</v>
      </c>
      <c r="G42" s="252">
        <f t="shared" si="1"/>
        <v>11566000</v>
      </c>
      <c r="H42" s="252">
        <f t="shared" si="1"/>
        <v>700000</v>
      </c>
      <c r="I42" s="252">
        <f t="shared" si="1"/>
        <v>72000</v>
      </c>
      <c r="J42" s="252">
        <f t="shared" si="1"/>
        <v>1476200</v>
      </c>
      <c r="K42" s="252">
        <f t="shared" si="1"/>
        <v>600500</v>
      </c>
      <c r="L42" s="252">
        <f>SUM(L5:L41)</f>
        <v>41781870</v>
      </c>
    </row>
    <row r="43" spans="1:12" ht="18" customHeight="1">
      <c r="B43" t="s">
        <v>503</v>
      </c>
      <c r="L43" s="160">
        <f>Rashodi!H8</f>
        <v>660000</v>
      </c>
    </row>
    <row r="44" spans="1:12" ht="18" customHeight="1">
      <c r="B44" t="s">
        <v>526</v>
      </c>
      <c r="L44" s="160">
        <f>Uvod!D50</f>
        <v>2130</v>
      </c>
    </row>
    <row r="45" spans="1:12" ht="18" customHeight="1">
      <c r="A45" s="248"/>
      <c r="B45" s="250" t="s">
        <v>502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55">
        <f>L42+L43+L44</f>
        <v>42444000</v>
      </c>
    </row>
  </sheetData>
  <mergeCells count="1">
    <mergeCell ref="A2:L2"/>
  </mergeCells>
  <phoneticPr fontId="0" type="noConversion"/>
  <pageMargins left="0.31" right="0.32" top="0.34" bottom="0.53" header="0.34" footer="0.5"/>
  <pageSetup paperSize="9" scale="71" orientation="landscape" r:id="rId1"/>
  <headerFooter alignWithMargins="0">
    <oddFooter>&amp;R45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H119"/>
  <sheetViews>
    <sheetView topLeftCell="A7" zoomScaleNormal="100" zoomScaleSheetLayoutView="100" workbookViewId="0">
      <selection activeCell="J37" sqref="J37"/>
    </sheetView>
  </sheetViews>
  <sheetFormatPr defaultRowHeight="12.75"/>
  <cols>
    <col min="1" max="1" width="5.28515625" customWidth="1"/>
    <col min="2" max="2" width="8" customWidth="1"/>
    <col min="3" max="3" width="59.140625" customWidth="1"/>
    <col min="4" max="4" width="14.7109375" customWidth="1"/>
    <col min="5" max="5" width="14.42578125" customWidth="1"/>
    <col min="6" max="6" width="8.85546875" customWidth="1"/>
  </cols>
  <sheetData>
    <row r="2" spans="1:8" ht="15">
      <c r="A2" s="486" t="s">
        <v>777</v>
      </c>
      <c r="B2" s="448"/>
      <c r="C2" s="448"/>
      <c r="D2" s="448"/>
      <c r="E2" s="448"/>
      <c r="F2" s="448"/>
    </row>
    <row r="3" spans="1:8" ht="15">
      <c r="A3" s="265"/>
      <c r="B3" s="267"/>
      <c r="C3" s="266"/>
      <c r="D3" s="266"/>
      <c r="E3" s="266"/>
    </row>
    <row r="4" spans="1:8">
      <c r="A4" s="268"/>
      <c r="B4" s="268"/>
      <c r="C4" s="269"/>
      <c r="D4" s="270"/>
      <c r="E4" s="270"/>
    </row>
    <row r="5" spans="1:8" ht="66" customHeight="1">
      <c r="A5" s="271" t="s">
        <v>280</v>
      </c>
      <c r="B5" s="272" t="s">
        <v>531</v>
      </c>
      <c r="C5" s="272" t="s">
        <v>532</v>
      </c>
      <c r="D5" s="273" t="s">
        <v>783</v>
      </c>
      <c r="E5" s="273" t="s">
        <v>730</v>
      </c>
      <c r="F5" s="273" t="s">
        <v>55</v>
      </c>
    </row>
    <row r="6" spans="1:8">
      <c r="A6" s="274"/>
      <c r="B6" s="275">
        <v>1</v>
      </c>
      <c r="C6" s="275">
        <v>2</v>
      </c>
      <c r="D6" s="276">
        <v>3</v>
      </c>
      <c r="E6" s="276">
        <v>4</v>
      </c>
      <c r="F6" s="440">
        <v>5</v>
      </c>
    </row>
    <row r="7" spans="1:8" ht="25.5">
      <c r="A7" s="274">
        <v>1</v>
      </c>
      <c r="B7" s="277"/>
      <c r="C7" s="277" t="s">
        <v>54</v>
      </c>
      <c r="D7" s="280">
        <f>D8+D17+D23+D30+D40+D47+D54+D61+D68+D77</f>
        <v>40327360</v>
      </c>
      <c r="E7" s="280">
        <f>E8+E17+E23+E30+E40+E47+E54+E61+E68+E77</f>
        <v>42441870</v>
      </c>
      <c r="F7" s="286">
        <f>IF(D7=0,"",E7/D7*100)</f>
        <v>105.24336331463304</v>
      </c>
      <c r="H7" s="94"/>
    </row>
    <row r="8" spans="1:8">
      <c r="A8" s="274">
        <v>2</v>
      </c>
      <c r="B8" s="278" t="s">
        <v>81</v>
      </c>
      <c r="C8" s="279" t="s">
        <v>58</v>
      </c>
      <c r="D8" s="280">
        <f>SUM(D9:D16)</f>
        <v>7267660</v>
      </c>
      <c r="E8" s="280">
        <f>SUM(E9:E16)</f>
        <v>6763040</v>
      </c>
      <c r="F8" s="283">
        <f>IF(D8=0,"",E8/D8*100)</f>
        <v>93.056637211977446</v>
      </c>
    </row>
    <row r="9" spans="1:8" ht="14.1" customHeight="1">
      <c r="A9" s="274">
        <v>3</v>
      </c>
      <c r="B9" s="281" t="s">
        <v>533</v>
      </c>
      <c r="C9" s="282" t="s">
        <v>59</v>
      </c>
      <c r="D9" s="232">
        <f>'1'!H32+'2'!H32+'3'!H55+'4'!H35+'5'!H32+'6'!H32+'7'!H32+'16'!H51</f>
        <v>6552390</v>
      </c>
      <c r="E9" s="232">
        <f>'1'!J32+'2'!J32+'3'!J55+'4'!J35+'5'!J32+'6'!J32+'7'!J32+'16'!J51</f>
        <v>6049260</v>
      </c>
      <c r="F9" s="284">
        <f>IF(D9=0,"",E9/D9*100)</f>
        <v>92.321427753842485</v>
      </c>
    </row>
    <row r="10" spans="1:8" ht="14.1" customHeight="1">
      <c r="A10" s="274">
        <v>4</v>
      </c>
      <c r="B10" s="281" t="s">
        <v>534</v>
      </c>
      <c r="C10" s="282" t="s">
        <v>535</v>
      </c>
      <c r="D10" s="232">
        <v>0</v>
      </c>
      <c r="E10" s="232">
        <v>0</v>
      </c>
      <c r="F10" s="284" t="str">
        <f t="shared" ref="F10:F73" si="0">IF(D10=0,"",E10/D10*100)</f>
        <v/>
      </c>
    </row>
    <row r="11" spans="1:8" ht="14.1" customHeight="1">
      <c r="A11" s="274">
        <v>5</v>
      </c>
      <c r="B11" s="281" t="s">
        <v>536</v>
      </c>
      <c r="C11" s="282" t="s">
        <v>537</v>
      </c>
      <c r="D11" s="232">
        <f>'8'!H32</f>
        <v>715270</v>
      </c>
      <c r="E11" s="232">
        <f>'8'!J32</f>
        <v>713780</v>
      </c>
      <c r="F11" s="284">
        <f t="shared" si="0"/>
        <v>99.791687055237887</v>
      </c>
    </row>
    <row r="12" spans="1:8" ht="14.1" customHeight="1">
      <c r="A12" s="274">
        <v>6</v>
      </c>
      <c r="B12" s="281" t="s">
        <v>538</v>
      </c>
      <c r="C12" s="282" t="s">
        <v>539</v>
      </c>
      <c r="D12" s="232">
        <v>0</v>
      </c>
      <c r="E12" s="232">
        <v>0</v>
      </c>
      <c r="F12" s="284" t="str">
        <f t="shared" si="0"/>
        <v/>
      </c>
    </row>
    <row r="13" spans="1:8" ht="14.1" customHeight="1">
      <c r="A13" s="274">
        <v>7</v>
      </c>
      <c r="B13" s="281" t="s">
        <v>540</v>
      </c>
      <c r="C13" s="282" t="s">
        <v>541</v>
      </c>
      <c r="D13" s="232">
        <v>0</v>
      </c>
      <c r="E13" s="232">
        <v>0</v>
      </c>
      <c r="F13" s="284" t="str">
        <f t="shared" si="0"/>
        <v/>
      </c>
    </row>
    <row r="14" spans="1:8" ht="14.1" customHeight="1">
      <c r="A14" s="274">
        <v>8</v>
      </c>
      <c r="B14" s="281" t="s">
        <v>542</v>
      </c>
      <c r="C14" s="282" t="s">
        <v>543</v>
      </c>
      <c r="D14" s="232">
        <v>0</v>
      </c>
      <c r="E14" s="232">
        <v>0</v>
      </c>
      <c r="F14" s="284" t="str">
        <f t="shared" si="0"/>
        <v/>
      </c>
    </row>
    <row r="15" spans="1:8" ht="14.1" customHeight="1">
      <c r="A15" s="274">
        <v>9</v>
      </c>
      <c r="B15" s="281" t="s">
        <v>544</v>
      </c>
      <c r="C15" s="282" t="s">
        <v>545</v>
      </c>
      <c r="D15" s="232">
        <v>0</v>
      </c>
      <c r="E15" s="232">
        <v>0</v>
      </c>
      <c r="F15" s="284" t="str">
        <f t="shared" si="0"/>
        <v/>
      </c>
    </row>
    <row r="16" spans="1:8" ht="14.1" customHeight="1">
      <c r="A16" s="274">
        <v>10</v>
      </c>
      <c r="B16" s="281" t="s">
        <v>546</v>
      </c>
      <c r="C16" s="282" t="s">
        <v>60</v>
      </c>
      <c r="D16" s="232">
        <v>0</v>
      </c>
      <c r="E16" s="232">
        <v>0</v>
      </c>
      <c r="F16" s="284" t="str">
        <f t="shared" si="0"/>
        <v/>
      </c>
    </row>
    <row r="17" spans="1:6" ht="14.1" customHeight="1">
      <c r="A17" s="274">
        <v>11</v>
      </c>
      <c r="B17" s="278" t="s">
        <v>133</v>
      </c>
      <c r="C17" s="279" t="s">
        <v>61</v>
      </c>
      <c r="D17" s="280">
        <f>SUM(D18:D22)</f>
        <v>0</v>
      </c>
      <c r="E17" s="280">
        <f>SUM(E18:E22)</f>
        <v>0</v>
      </c>
      <c r="F17" s="283" t="str">
        <f t="shared" si="0"/>
        <v/>
      </c>
    </row>
    <row r="18" spans="1:6" ht="14.1" customHeight="1">
      <c r="A18" s="274">
        <v>12</v>
      </c>
      <c r="B18" s="281" t="s">
        <v>547</v>
      </c>
      <c r="C18" s="282" t="s">
        <v>62</v>
      </c>
      <c r="D18" s="232">
        <v>0</v>
      </c>
      <c r="E18" s="232">
        <v>0</v>
      </c>
      <c r="F18" s="284" t="str">
        <f t="shared" si="0"/>
        <v/>
      </c>
    </row>
    <row r="19" spans="1:6" ht="14.1" customHeight="1">
      <c r="A19" s="274">
        <v>13</v>
      </c>
      <c r="B19" s="281" t="s">
        <v>548</v>
      </c>
      <c r="C19" s="282" t="s">
        <v>63</v>
      </c>
      <c r="D19" s="232">
        <v>0</v>
      </c>
      <c r="E19" s="232">
        <v>0</v>
      </c>
      <c r="F19" s="284" t="str">
        <f t="shared" si="0"/>
        <v/>
      </c>
    </row>
    <row r="20" spans="1:6" ht="14.1" customHeight="1">
      <c r="A20" s="274">
        <v>14</v>
      </c>
      <c r="B20" s="281" t="s">
        <v>549</v>
      </c>
      <c r="C20" s="282" t="s">
        <v>64</v>
      </c>
      <c r="D20" s="232">
        <v>0</v>
      </c>
      <c r="E20" s="232">
        <v>0</v>
      </c>
      <c r="F20" s="284" t="str">
        <f t="shared" si="0"/>
        <v/>
      </c>
    </row>
    <row r="21" spans="1:6" ht="14.1" customHeight="1">
      <c r="A21" s="274">
        <v>15</v>
      </c>
      <c r="B21" s="281" t="s">
        <v>550</v>
      </c>
      <c r="C21" s="282" t="s">
        <v>65</v>
      </c>
      <c r="D21" s="232">
        <v>0</v>
      </c>
      <c r="E21" s="232">
        <v>0</v>
      </c>
      <c r="F21" s="284" t="str">
        <f t="shared" si="0"/>
        <v/>
      </c>
    </row>
    <row r="22" spans="1:6" ht="14.1" customHeight="1">
      <c r="A22" s="274">
        <v>16</v>
      </c>
      <c r="B22" s="281" t="s">
        <v>551</v>
      </c>
      <c r="C22" s="282" t="s">
        <v>66</v>
      </c>
      <c r="D22" s="232">
        <v>0</v>
      </c>
      <c r="E22" s="232">
        <v>0</v>
      </c>
      <c r="F22" s="284" t="str">
        <f t="shared" si="0"/>
        <v/>
      </c>
    </row>
    <row r="23" spans="1:6" ht="14.1" customHeight="1">
      <c r="A23" s="274">
        <v>17</v>
      </c>
      <c r="B23" s="278" t="s">
        <v>146</v>
      </c>
      <c r="C23" s="279" t="s">
        <v>778</v>
      </c>
      <c r="D23" s="280">
        <f>SUM(D24:D29)</f>
        <v>9780110</v>
      </c>
      <c r="E23" s="280">
        <f>SUM(E24:E29)</f>
        <v>10001500</v>
      </c>
      <c r="F23" s="283">
        <f t="shared" si="0"/>
        <v>102.26367597092467</v>
      </c>
    </row>
    <row r="24" spans="1:6" ht="14.1" customHeight="1">
      <c r="A24" s="274">
        <v>18</v>
      </c>
      <c r="B24" s="281" t="s">
        <v>552</v>
      </c>
      <c r="C24" s="282" t="s">
        <v>553</v>
      </c>
      <c r="D24" s="232">
        <f>'9'!H32</f>
        <v>6037990</v>
      </c>
      <c r="E24" s="232">
        <f>'9'!J32</f>
        <v>6190850</v>
      </c>
      <c r="F24" s="284">
        <f t="shared" si="0"/>
        <v>102.53163718389729</v>
      </c>
    </row>
    <row r="25" spans="1:6" ht="14.1" customHeight="1">
      <c r="A25" s="274">
        <v>19</v>
      </c>
      <c r="B25" s="281" t="s">
        <v>554</v>
      </c>
      <c r="C25" s="282" t="s">
        <v>779</v>
      </c>
      <c r="D25" s="232">
        <f>'33'!H36</f>
        <v>519210</v>
      </c>
      <c r="E25" s="232">
        <f>'33'!J36</f>
        <v>477240</v>
      </c>
      <c r="F25" s="284">
        <f t="shared" si="0"/>
        <v>91.916565551510956</v>
      </c>
    </row>
    <row r="26" spans="1:6" ht="14.1" customHeight="1">
      <c r="A26" s="274">
        <v>20</v>
      </c>
      <c r="B26" s="281" t="s">
        <v>555</v>
      </c>
      <c r="C26" s="282" t="s">
        <v>556</v>
      </c>
      <c r="D26" s="232">
        <f>'11'!H33+'12'!H32+'13'!H32+'14'!H32+'34'!H32+'35'!H32+'36'!H32</f>
        <v>3049950</v>
      </c>
      <c r="E26" s="232">
        <f>'11'!J33+'12'!J32+'13'!J32+'14'!J32+'34'!J32+'35'!J32+'36'!J32</f>
        <v>3144040</v>
      </c>
      <c r="F26" s="284">
        <f t="shared" si="0"/>
        <v>103.08496860604272</v>
      </c>
    </row>
    <row r="27" spans="1:6" ht="14.1" customHeight="1">
      <c r="A27" s="274">
        <v>21</v>
      </c>
      <c r="B27" s="281" t="s">
        <v>557</v>
      </c>
      <c r="C27" s="282" t="s">
        <v>558</v>
      </c>
      <c r="D27" s="232">
        <v>0</v>
      </c>
      <c r="E27" s="232">
        <v>0</v>
      </c>
      <c r="F27" s="284" t="str">
        <f t="shared" si="0"/>
        <v/>
      </c>
    </row>
    <row r="28" spans="1:6" ht="14.1" customHeight="1">
      <c r="A28" s="274">
        <v>22</v>
      </c>
      <c r="B28" s="281" t="s">
        <v>559</v>
      </c>
      <c r="C28" s="282" t="s">
        <v>560</v>
      </c>
      <c r="D28" s="232">
        <v>0</v>
      </c>
      <c r="E28" s="232">
        <v>0</v>
      </c>
      <c r="F28" s="284" t="str">
        <f t="shared" si="0"/>
        <v/>
      </c>
    </row>
    <row r="29" spans="1:6" ht="14.1" customHeight="1">
      <c r="A29" s="274">
        <v>23</v>
      </c>
      <c r="B29" s="281" t="s">
        <v>561</v>
      </c>
      <c r="C29" s="282" t="s">
        <v>562</v>
      </c>
      <c r="D29" s="232">
        <f>'10'!H32</f>
        <v>172960</v>
      </c>
      <c r="E29" s="232">
        <f>'10'!J32</f>
        <v>189370</v>
      </c>
      <c r="F29" s="284">
        <f t="shared" si="0"/>
        <v>109.48774283071229</v>
      </c>
    </row>
    <row r="30" spans="1:6" ht="14.1" customHeight="1">
      <c r="A30" s="274">
        <v>24</v>
      </c>
      <c r="B30" s="278" t="s">
        <v>563</v>
      </c>
      <c r="C30" s="279" t="s">
        <v>564</v>
      </c>
      <c r="D30" s="280">
        <f>SUM(D31:D39)</f>
        <v>5594620</v>
      </c>
      <c r="E30" s="280">
        <f>SUM(E31:E39)</f>
        <v>6583090</v>
      </c>
      <c r="F30" s="283">
        <f t="shared" si="0"/>
        <v>117.66822411531078</v>
      </c>
    </row>
    <row r="31" spans="1:6" ht="14.1" customHeight="1">
      <c r="A31" s="274">
        <v>25</v>
      </c>
      <c r="B31" s="281" t="s">
        <v>565</v>
      </c>
      <c r="C31" s="282" t="s">
        <v>566</v>
      </c>
      <c r="D31" s="232">
        <v>0</v>
      </c>
      <c r="E31" s="232">
        <v>0</v>
      </c>
      <c r="F31" s="284" t="str">
        <f t="shared" si="0"/>
        <v/>
      </c>
    </row>
    <row r="32" spans="1:6" ht="14.1" customHeight="1">
      <c r="A32" s="274">
        <v>26</v>
      </c>
      <c r="B32" s="281" t="s">
        <v>567</v>
      </c>
      <c r="C32" s="282" t="s">
        <v>568</v>
      </c>
      <c r="D32" s="232">
        <f>'19'!H38</f>
        <v>2547380</v>
      </c>
      <c r="E32" s="232">
        <f>'19'!J38</f>
        <v>2851300</v>
      </c>
      <c r="F32" s="284">
        <f t="shared" si="0"/>
        <v>111.93068957124575</v>
      </c>
    </row>
    <row r="33" spans="1:6" ht="14.1" customHeight="1">
      <c r="A33" s="274">
        <v>27</v>
      </c>
      <c r="B33" s="281" t="s">
        <v>569</v>
      </c>
      <c r="C33" s="282" t="s">
        <v>570</v>
      </c>
      <c r="D33" s="232">
        <v>0</v>
      </c>
      <c r="E33" s="232">
        <v>0</v>
      </c>
      <c r="F33" s="284" t="str">
        <f t="shared" si="0"/>
        <v/>
      </c>
    </row>
    <row r="34" spans="1:6" ht="14.1" customHeight="1">
      <c r="A34" s="274">
        <v>28</v>
      </c>
      <c r="B34" s="281" t="s">
        <v>571</v>
      </c>
      <c r="C34" s="282" t="s">
        <v>572</v>
      </c>
      <c r="D34" s="232">
        <v>0</v>
      </c>
      <c r="E34" s="232">
        <v>0</v>
      </c>
      <c r="F34" s="284" t="str">
        <f t="shared" si="0"/>
        <v/>
      </c>
    </row>
    <row r="35" spans="1:6" ht="14.1" customHeight="1">
      <c r="A35" s="274">
        <v>29</v>
      </c>
      <c r="B35" s="281" t="s">
        <v>573</v>
      </c>
      <c r="C35" s="282" t="s">
        <v>67</v>
      </c>
      <c r="D35" s="232">
        <v>0</v>
      </c>
      <c r="E35" s="232">
        <v>0</v>
      </c>
      <c r="F35" s="284" t="str">
        <f t="shared" si="0"/>
        <v/>
      </c>
    </row>
    <row r="36" spans="1:6" ht="14.1" customHeight="1">
      <c r="A36" s="274">
        <v>30</v>
      </c>
      <c r="B36" s="281" t="s">
        <v>574</v>
      </c>
      <c r="C36" s="282" t="s">
        <v>575</v>
      </c>
      <c r="D36" s="232">
        <v>0</v>
      </c>
      <c r="E36" s="232">
        <v>0</v>
      </c>
      <c r="F36" s="284" t="str">
        <f t="shared" si="0"/>
        <v/>
      </c>
    </row>
    <row r="37" spans="1:6" ht="14.1" customHeight="1">
      <c r="A37" s="274">
        <v>31</v>
      </c>
      <c r="B37" s="281" t="s">
        <v>576</v>
      </c>
      <c r="C37" s="282" t="s">
        <v>577</v>
      </c>
      <c r="D37" s="232">
        <v>0</v>
      </c>
      <c r="E37" s="232">
        <v>0</v>
      </c>
      <c r="F37" s="284" t="str">
        <f t="shared" si="0"/>
        <v/>
      </c>
    </row>
    <row r="38" spans="1:6" ht="14.1" customHeight="1">
      <c r="A38" s="274">
        <v>32</v>
      </c>
      <c r="B38" s="281" t="s">
        <v>578</v>
      </c>
      <c r="C38" s="282" t="s">
        <v>579</v>
      </c>
      <c r="D38" s="232">
        <v>0</v>
      </c>
      <c r="E38" s="232">
        <v>0</v>
      </c>
      <c r="F38" s="284" t="str">
        <f t="shared" si="0"/>
        <v/>
      </c>
    </row>
    <row r="39" spans="1:6" ht="14.1" customHeight="1">
      <c r="A39" s="274">
        <v>33</v>
      </c>
      <c r="B39" s="281" t="s">
        <v>580</v>
      </c>
      <c r="C39" s="282" t="s">
        <v>581</v>
      </c>
      <c r="D39" s="232">
        <f>'15'!H36+'18'!H38+'32'!H32+'37'!H32</f>
        <v>3047240</v>
      </c>
      <c r="E39" s="232">
        <f>'15'!J36+'18'!J38+'32'!J32+'37'!J32</f>
        <v>3731790</v>
      </c>
      <c r="F39" s="284">
        <f t="shared" si="0"/>
        <v>122.46459090849424</v>
      </c>
    </row>
    <row r="40" spans="1:6" ht="14.1" customHeight="1">
      <c r="A40" s="274">
        <v>34</v>
      </c>
      <c r="B40" s="278" t="s">
        <v>134</v>
      </c>
      <c r="C40" s="279" t="s">
        <v>582</v>
      </c>
      <c r="D40" s="280">
        <f>SUM(D41:D46)</f>
        <v>0</v>
      </c>
      <c r="E40" s="280">
        <f>SUM(E41:E46)</f>
        <v>0</v>
      </c>
      <c r="F40" s="283" t="str">
        <f t="shared" si="0"/>
        <v/>
      </c>
    </row>
    <row r="41" spans="1:6" ht="14.1" customHeight="1">
      <c r="A41" s="274">
        <v>35</v>
      </c>
      <c r="B41" s="281" t="s">
        <v>583</v>
      </c>
      <c r="C41" s="282" t="s">
        <v>584</v>
      </c>
      <c r="D41" s="232">
        <v>0</v>
      </c>
      <c r="E41" s="232">
        <v>0</v>
      </c>
      <c r="F41" s="284" t="str">
        <f t="shared" si="0"/>
        <v/>
      </c>
    </row>
    <row r="42" spans="1:6" ht="14.1" customHeight="1">
      <c r="A42" s="274">
        <v>36</v>
      </c>
      <c r="B42" s="281" t="s">
        <v>585</v>
      </c>
      <c r="C42" s="282" t="s">
        <v>586</v>
      </c>
      <c r="D42" s="232">
        <v>0</v>
      </c>
      <c r="E42" s="232">
        <v>0</v>
      </c>
      <c r="F42" s="284" t="str">
        <f t="shared" si="0"/>
        <v/>
      </c>
    </row>
    <row r="43" spans="1:6" ht="14.1" customHeight="1">
      <c r="A43" s="274">
        <v>37</v>
      </c>
      <c r="B43" s="281" t="s">
        <v>587</v>
      </c>
      <c r="C43" s="282" t="s">
        <v>588</v>
      </c>
      <c r="D43" s="232">
        <v>0</v>
      </c>
      <c r="E43" s="232">
        <v>0</v>
      </c>
      <c r="F43" s="284" t="str">
        <f t="shared" si="0"/>
        <v/>
      </c>
    </row>
    <row r="44" spans="1:6" ht="14.1" customHeight="1">
      <c r="A44" s="274">
        <v>38</v>
      </c>
      <c r="B44" s="281" t="s">
        <v>589</v>
      </c>
      <c r="C44" s="282" t="s">
        <v>68</v>
      </c>
      <c r="D44" s="232">
        <v>0</v>
      </c>
      <c r="E44" s="232">
        <v>0</v>
      </c>
      <c r="F44" s="284" t="str">
        <f t="shared" si="0"/>
        <v/>
      </c>
    </row>
    <row r="45" spans="1:6" ht="14.1" customHeight="1">
      <c r="A45" s="274">
        <v>39</v>
      </c>
      <c r="B45" s="281" t="s">
        <v>590</v>
      </c>
      <c r="C45" s="282" t="s">
        <v>56</v>
      </c>
      <c r="D45" s="232">
        <v>0</v>
      </c>
      <c r="E45" s="232">
        <v>0</v>
      </c>
      <c r="F45" s="284" t="str">
        <f t="shared" si="0"/>
        <v/>
      </c>
    </row>
    <row r="46" spans="1:6" ht="14.1" customHeight="1">
      <c r="A46" s="274">
        <v>40</v>
      </c>
      <c r="B46" s="281" t="s">
        <v>591</v>
      </c>
      <c r="C46" s="282" t="s">
        <v>592</v>
      </c>
      <c r="D46" s="232">
        <v>0</v>
      </c>
      <c r="E46" s="232">
        <v>0</v>
      </c>
      <c r="F46" s="284" t="str">
        <f t="shared" si="0"/>
        <v/>
      </c>
    </row>
    <row r="47" spans="1:6" ht="14.1" customHeight="1">
      <c r="A47" s="274">
        <v>41</v>
      </c>
      <c r="B47" s="278" t="s">
        <v>198</v>
      </c>
      <c r="C47" s="279" t="s">
        <v>593</v>
      </c>
      <c r="D47" s="280">
        <f>SUM(D48:D53)</f>
        <v>0</v>
      </c>
      <c r="E47" s="280">
        <f>SUM(E48:E53)</f>
        <v>0</v>
      </c>
      <c r="F47" s="283" t="str">
        <f t="shared" si="0"/>
        <v/>
      </c>
    </row>
    <row r="48" spans="1:6" ht="14.1" customHeight="1">
      <c r="A48" s="274">
        <v>42</v>
      </c>
      <c r="B48" s="281" t="s">
        <v>594</v>
      </c>
      <c r="C48" s="282" t="s">
        <v>595</v>
      </c>
      <c r="D48" s="232">
        <v>0</v>
      </c>
      <c r="E48" s="232">
        <v>0</v>
      </c>
      <c r="F48" s="284" t="str">
        <f t="shared" si="0"/>
        <v/>
      </c>
    </row>
    <row r="49" spans="1:6" ht="14.1" customHeight="1">
      <c r="A49" s="274">
        <v>43</v>
      </c>
      <c r="B49" s="281" t="s">
        <v>596</v>
      </c>
      <c r="C49" s="282" t="s">
        <v>597</v>
      </c>
      <c r="D49" s="232">
        <v>0</v>
      </c>
      <c r="E49" s="232">
        <v>0</v>
      </c>
      <c r="F49" s="284" t="str">
        <f t="shared" si="0"/>
        <v/>
      </c>
    </row>
    <row r="50" spans="1:6" ht="14.1" customHeight="1">
      <c r="A50" s="274">
        <v>44</v>
      </c>
      <c r="B50" s="281" t="s">
        <v>598</v>
      </c>
      <c r="C50" s="282" t="s">
        <v>69</v>
      </c>
      <c r="D50" s="232">
        <v>0</v>
      </c>
      <c r="E50" s="232">
        <v>0</v>
      </c>
      <c r="F50" s="284" t="str">
        <f t="shared" si="0"/>
        <v/>
      </c>
    </row>
    <row r="51" spans="1:6" ht="14.1" customHeight="1">
      <c r="A51" s="274">
        <v>45</v>
      </c>
      <c r="B51" s="281" t="s">
        <v>599</v>
      </c>
      <c r="C51" s="282" t="s">
        <v>600</v>
      </c>
      <c r="D51" s="232">
        <v>0</v>
      </c>
      <c r="E51" s="232">
        <v>0</v>
      </c>
      <c r="F51" s="284" t="str">
        <f t="shared" si="0"/>
        <v/>
      </c>
    </row>
    <row r="52" spans="1:6" ht="14.1" customHeight="1">
      <c r="A52" s="274">
        <v>46</v>
      </c>
      <c r="B52" s="281" t="s">
        <v>601</v>
      </c>
      <c r="C52" s="282" t="s">
        <v>602</v>
      </c>
      <c r="D52" s="232">
        <v>0</v>
      </c>
      <c r="E52" s="232">
        <v>0</v>
      </c>
      <c r="F52" s="284" t="str">
        <f t="shared" si="0"/>
        <v/>
      </c>
    </row>
    <row r="53" spans="1:6" ht="14.1" customHeight="1">
      <c r="A53" s="274">
        <v>47</v>
      </c>
      <c r="B53" s="281" t="s">
        <v>603</v>
      </c>
      <c r="C53" s="282" t="s">
        <v>604</v>
      </c>
      <c r="D53" s="232">
        <v>0</v>
      </c>
      <c r="E53" s="232">
        <v>0</v>
      </c>
      <c r="F53" s="284" t="str">
        <f t="shared" si="0"/>
        <v/>
      </c>
    </row>
    <row r="54" spans="1:6" ht="14.1" customHeight="1">
      <c r="A54" s="274">
        <v>48</v>
      </c>
      <c r="B54" s="278" t="s">
        <v>605</v>
      </c>
      <c r="C54" s="279" t="s">
        <v>606</v>
      </c>
      <c r="D54" s="280">
        <f>SUM(D55:D60)</f>
        <v>0</v>
      </c>
      <c r="E54" s="280">
        <f>SUM(E55:E60)</f>
        <v>0</v>
      </c>
      <c r="F54" s="283" t="str">
        <f t="shared" si="0"/>
        <v/>
      </c>
    </row>
    <row r="55" spans="1:6" ht="14.1" customHeight="1">
      <c r="A55" s="274">
        <v>49</v>
      </c>
      <c r="B55" s="281" t="s">
        <v>607</v>
      </c>
      <c r="C55" s="282" t="s">
        <v>608</v>
      </c>
      <c r="D55" s="232">
        <v>0</v>
      </c>
      <c r="E55" s="232">
        <v>0</v>
      </c>
      <c r="F55" s="284" t="str">
        <f t="shared" si="0"/>
        <v/>
      </c>
    </row>
    <row r="56" spans="1:6" ht="14.1" customHeight="1">
      <c r="A56" s="274">
        <v>50</v>
      </c>
      <c r="B56" s="281" t="s">
        <v>609</v>
      </c>
      <c r="C56" s="282" t="s">
        <v>70</v>
      </c>
      <c r="D56" s="232">
        <v>0</v>
      </c>
      <c r="E56" s="232">
        <v>0</v>
      </c>
      <c r="F56" s="284" t="str">
        <f t="shared" si="0"/>
        <v/>
      </c>
    </row>
    <row r="57" spans="1:6" ht="14.1" customHeight="1">
      <c r="A57" s="274">
        <v>51</v>
      </c>
      <c r="B57" s="281" t="s">
        <v>0</v>
      </c>
      <c r="C57" s="282" t="s">
        <v>1</v>
      </c>
      <c r="D57" s="232">
        <v>0</v>
      </c>
      <c r="E57" s="232">
        <v>0</v>
      </c>
      <c r="F57" s="284" t="str">
        <f t="shared" si="0"/>
        <v/>
      </c>
    </row>
    <row r="58" spans="1:6" ht="14.1" customHeight="1">
      <c r="A58" s="274">
        <v>52</v>
      </c>
      <c r="B58" s="281" t="s">
        <v>2</v>
      </c>
      <c r="C58" s="282" t="s">
        <v>3</v>
      </c>
      <c r="D58" s="232">
        <v>0</v>
      </c>
      <c r="E58" s="232">
        <v>0</v>
      </c>
      <c r="F58" s="284" t="str">
        <f t="shared" si="0"/>
        <v/>
      </c>
    </row>
    <row r="59" spans="1:6" ht="14.1" customHeight="1">
      <c r="A59" s="274">
        <v>53</v>
      </c>
      <c r="B59" s="281" t="s">
        <v>4</v>
      </c>
      <c r="C59" s="282" t="s">
        <v>5</v>
      </c>
      <c r="D59" s="232">
        <v>0</v>
      </c>
      <c r="E59" s="232">
        <v>0</v>
      </c>
      <c r="F59" s="284" t="str">
        <f t="shared" si="0"/>
        <v/>
      </c>
    </row>
    <row r="60" spans="1:6" ht="14.1" customHeight="1">
      <c r="A60" s="274">
        <v>54</v>
      </c>
      <c r="B60" s="281" t="s">
        <v>6</v>
      </c>
      <c r="C60" s="282" t="s">
        <v>7</v>
      </c>
      <c r="D60" s="232">
        <v>0</v>
      </c>
      <c r="E60" s="232">
        <v>0</v>
      </c>
      <c r="F60" s="284" t="str">
        <f t="shared" si="0"/>
        <v/>
      </c>
    </row>
    <row r="61" spans="1:6">
      <c r="A61" s="274">
        <v>55</v>
      </c>
      <c r="B61" s="278" t="s">
        <v>8</v>
      </c>
      <c r="C61" s="279" t="s">
        <v>9</v>
      </c>
      <c r="D61" s="280">
        <f>SUM(D62:D67)</f>
        <v>550000</v>
      </c>
      <c r="E61" s="280">
        <f>SUM(E62:E67)</f>
        <v>590000</v>
      </c>
      <c r="F61" s="283">
        <f t="shared" si="0"/>
        <v>107.27272727272728</v>
      </c>
    </row>
    <row r="62" spans="1:6">
      <c r="A62" s="274">
        <v>56</v>
      </c>
      <c r="B62" s="281" t="s">
        <v>10</v>
      </c>
      <c r="C62" s="282" t="s">
        <v>71</v>
      </c>
      <c r="D62" s="232">
        <v>290000</v>
      </c>
      <c r="E62" s="232">
        <v>320000</v>
      </c>
      <c r="F62" s="285">
        <f t="shared" si="0"/>
        <v>110.34482758620689</v>
      </c>
    </row>
    <row r="63" spans="1:6">
      <c r="A63" s="274">
        <v>57</v>
      </c>
      <c r="B63" s="281" t="s">
        <v>11</v>
      </c>
      <c r="C63" s="282" t="s">
        <v>12</v>
      </c>
      <c r="D63" s="232">
        <v>30000</v>
      </c>
      <c r="E63" s="232">
        <v>30000</v>
      </c>
      <c r="F63" s="285">
        <f t="shared" si="0"/>
        <v>100</v>
      </c>
    </row>
    <row r="64" spans="1:6">
      <c r="A64" s="274">
        <v>58</v>
      </c>
      <c r="B64" s="281" t="s">
        <v>13</v>
      </c>
      <c r="C64" s="282" t="s">
        <v>72</v>
      </c>
      <c r="D64" s="232">
        <f>'20'!H35</f>
        <v>30000</v>
      </c>
      <c r="E64" s="232">
        <f>'20'!J35</f>
        <v>40000</v>
      </c>
      <c r="F64" s="285">
        <f t="shared" si="0"/>
        <v>133.33333333333331</v>
      </c>
    </row>
    <row r="65" spans="1:6">
      <c r="A65" s="274">
        <v>59</v>
      </c>
      <c r="B65" s="281" t="s">
        <v>14</v>
      </c>
      <c r="C65" s="282" t="s">
        <v>57</v>
      </c>
      <c r="D65" s="232">
        <f>'20'!H36</f>
        <v>200000</v>
      </c>
      <c r="E65" s="232">
        <f>'20'!J36</f>
        <v>200000</v>
      </c>
      <c r="F65" s="285">
        <f t="shared" si="0"/>
        <v>100</v>
      </c>
    </row>
    <row r="66" spans="1:6">
      <c r="A66" s="274">
        <v>60</v>
      </c>
      <c r="B66" s="281" t="s">
        <v>15</v>
      </c>
      <c r="C66" s="282" t="s">
        <v>16</v>
      </c>
      <c r="D66" s="232">
        <v>0</v>
      </c>
      <c r="E66" s="232">
        <v>0</v>
      </c>
      <c r="F66" s="285" t="str">
        <f t="shared" si="0"/>
        <v/>
      </c>
    </row>
    <row r="67" spans="1:6">
      <c r="A67" s="274">
        <v>61</v>
      </c>
      <c r="B67" s="281" t="s">
        <v>17</v>
      </c>
      <c r="C67" s="282" t="s">
        <v>18</v>
      </c>
      <c r="D67" s="232">
        <v>0</v>
      </c>
      <c r="E67" s="232">
        <v>0</v>
      </c>
      <c r="F67" s="285" t="str">
        <f t="shared" si="0"/>
        <v/>
      </c>
    </row>
    <row r="68" spans="1:6">
      <c r="A68" s="274">
        <v>62</v>
      </c>
      <c r="B68" s="278" t="s">
        <v>19</v>
      </c>
      <c r="C68" s="279" t="s">
        <v>20</v>
      </c>
      <c r="D68" s="280">
        <f>SUM(D69:D76)</f>
        <v>12408700</v>
      </c>
      <c r="E68" s="280">
        <f>SUM(E69:E76)</f>
        <v>12672620</v>
      </c>
      <c r="F68" s="283">
        <f t="shared" si="0"/>
        <v>102.1268948399107</v>
      </c>
    </row>
    <row r="69" spans="1:6">
      <c r="A69" s="274">
        <v>63</v>
      </c>
      <c r="B69" s="281" t="s">
        <v>21</v>
      </c>
      <c r="C69" s="282" t="s">
        <v>22</v>
      </c>
      <c r="D69" s="232">
        <f>'24'!H32+'25'!H32+'26'!H32+'27'!H32+'28'!H32+'29'!H32+'30'!H32+10000</f>
        <v>7604460</v>
      </c>
      <c r="E69" s="232">
        <f>'24'!J32+'25'!J32+'26'!J32+'27'!J32+'28'!J32+'29'!J32+'30'!J32+10000</f>
        <v>7829660</v>
      </c>
      <c r="F69" s="285">
        <f t="shared" si="0"/>
        <v>102.96142000878432</v>
      </c>
    </row>
    <row r="70" spans="1:6">
      <c r="A70" s="274">
        <v>64</v>
      </c>
      <c r="B70" s="281" t="s">
        <v>23</v>
      </c>
      <c r="C70" s="282" t="s">
        <v>24</v>
      </c>
      <c r="D70" s="232">
        <f>'21'!H32+'22'!H32+'23'!H33</f>
        <v>3745240</v>
      </c>
      <c r="E70" s="232">
        <f>'21'!J32+'22'!J32+'23'!J33+5000</f>
        <v>3762920</v>
      </c>
      <c r="F70" s="285">
        <f t="shared" si="0"/>
        <v>100.47206587561813</v>
      </c>
    </row>
    <row r="71" spans="1:6">
      <c r="A71" s="274">
        <v>65</v>
      </c>
      <c r="B71" s="281" t="s">
        <v>25</v>
      </c>
      <c r="C71" s="282" t="s">
        <v>26</v>
      </c>
      <c r="D71" s="232">
        <v>0</v>
      </c>
      <c r="E71" s="232">
        <v>0</v>
      </c>
      <c r="F71" s="285" t="str">
        <f t="shared" si="0"/>
        <v/>
      </c>
    </row>
    <row r="72" spans="1:6">
      <c r="A72" s="274">
        <v>66</v>
      </c>
      <c r="B72" s="281" t="s">
        <v>27</v>
      </c>
      <c r="C72" s="282" t="s">
        <v>28</v>
      </c>
      <c r="D72" s="232">
        <f>'20'!H30+'20'!H33</f>
        <v>270000</v>
      </c>
      <c r="E72" s="232">
        <f>'20'!J30+'20'!J33</f>
        <v>310000</v>
      </c>
      <c r="F72" s="285">
        <f t="shared" si="0"/>
        <v>114.81481481481481</v>
      </c>
    </row>
    <row r="73" spans="1:6">
      <c r="A73" s="274">
        <v>67</v>
      </c>
      <c r="B73" s="281" t="s">
        <v>29</v>
      </c>
      <c r="C73" s="282" t="s">
        <v>73</v>
      </c>
      <c r="D73" s="232">
        <v>0</v>
      </c>
      <c r="E73" s="232">
        <v>0</v>
      </c>
      <c r="F73" s="285" t="str">
        <f t="shared" si="0"/>
        <v/>
      </c>
    </row>
    <row r="74" spans="1:6">
      <c r="A74" s="274">
        <v>68</v>
      </c>
      <c r="B74" s="281" t="s">
        <v>30</v>
      </c>
      <c r="C74" s="282" t="s">
        <v>31</v>
      </c>
      <c r="D74" s="232">
        <v>0</v>
      </c>
      <c r="E74" s="232">
        <v>0</v>
      </c>
      <c r="F74" s="285" t="str">
        <f t="shared" ref="F74:F86" si="1">IF(D74=0,"",E74/D74*100)</f>
        <v/>
      </c>
    </row>
    <row r="75" spans="1:6">
      <c r="A75" s="274">
        <v>69</v>
      </c>
      <c r="B75" s="281" t="s">
        <v>32</v>
      </c>
      <c r="C75" s="282" t="s">
        <v>33</v>
      </c>
      <c r="D75" s="232">
        <v>0</v>
      </c>
      <c r="E75" s="232">
        <v>0</v>
      </c>
      <c r="F75" s="285" t="str">
        <f t="shared" si="1"/>
        <v/>
      </c>
    </row>
    <row r="76" spans="1:6">
      <c r="A76" s="274">
        <v>70</v>
      </c>
      <c r="B76" s="281" t="s">
        <v>34</v>
      </c>
      <c r="C76" s="282" t="s">
        <v>35</v>
      </c>
      <c r="D76" s="232">
        <f>'20'!H52-'20'!H30-'20'!H31-'20'!H33-'20'!H34-'20'!H35-'20'!H36</f>
        <v>789000</v>
      </c>
      <c r="E76" s="232">
        <f>'20'!J52-'20'!J30-'20'!J31-'20'!J33-'20'!J34-'20'!J35-'20'!J36</f>
        <v>770040</v>
      </c>
      <c r="F76" s="285">
        <f t="shared" si="1"/>
        <v>97.596958174904941</v>
      </c>
    </row>
    <row r="77" spans="1:6">
      <c r="A77" s="274">
        <v>71</v>
      </c>
      <c r="B77" s="278" t="s">
        <v>36</v>
      </c>
      <c r="C77" s="277" t="s">
        <v>37</v>
      </c>
      <c r="D77" s="280">
        <f>SUM(D78:D86)</f>
        <v>4726270</v>
      </c>
      <c r="E77" s="280">
        <f>SUM(E78:E86)</f>
        <v>5831620</v>
      </c>
      <c r="F77" s="283">
        <f t="shared" si="1"/>
        <v>123.38736466600511</v>
      </c>
    </row>
    <row r="78" spans="1:6">
      <c r="A78" s="274">
        <v>72</v>
      </c>
      <c r="B78" s="281" t="s">
        <v>38</v>
      </c>
      <c r="C78" s="282" t="s">
        <v>39</v>
      </c>
      <c r="D78" s="232">
        <v>0</v>
      </c>
      <c r="E78" s="232">
        <v>0</v>
      </c>
      <c r="F78" s="285" t="str">
        <f t="shared" si="1"/>
        <v/>
      </c>
    </row>
    <row r="79" spans="1:6">
      <c r="A79" s="274">
        <v>73</v>
      </c>
      <c r="B79" s="281" t="s">
        <v>40</v>
      </c>
      <c r="C79" s="282" t="s">
        <v>41</v>
      </c>
      <c r="D79" s="232">
        <v>0</v>
      </c>
      <c r="E79" s="232">
        <v>0</v>
      </c>
      <c r="F79" s="285" t="str">
        <f t="shared" si="1"/>
        <v/>
      </c>
    </row>
    <row r="80" spans="1:6">
      <c r="A80" s="274">
        <v>74</v>
      </c>
      <c r="B80" s="281" t="s">
        <v>42</v>
      </c>
      <c r="C80" s="282" t="s">
        <v>43</v>
      </c>
      <c r="D80" s="232">
        <v>0</v>
      </c>
      <c r="E80" s="232">
        <v>0</v>
      </c>
      <c r="F80" s="285" t="str">
        <f t="shared" si="1"/>
        <v/>
      </c>
    </row>
    <row r="81" spans="1:6">
      <c r="A81" s="274">
        <v>75</v>
      </c>
      <c r="B81" s="281" t="s">
        <v>44</v>
      </c>
      <c r="C81" s="282" t="s">
        <v>74</v>
      </c>
      <c r="D81" s="232">
        <v>0</v>
      </c>
      <c r="E81" s="232">
        <v>0</v>
      </c>
      <c r="F81" s="285" t="str">
        <f t="shared" si="1"/>
        <v/>
      </c>
    </row>
    <row r="82" spans="1:6">
      <c r="A82" s="274">
        <v>76</v>
      </c>
      <c r="B82" s="281" t="s">
        <v>45</v>
      </c>
      <c r="C82" s="282" t="s">
        <v>75</v>
      </c>
      <c r="D82" s="232">
        <v>0</v>
      </c>
      <c r="E82" s="232">
        <v>0</v>
      </c>
      <c r="F82" s="285" t="str">
        <f t="shared" si="1"/>
        <v/>
      </c>
    </row>
    <row r="83" spans="1:6">
      <c r="A83" s="274">
        <v>77</v>
      </c>
      <c r="B83" s="281" t="s">
        <v>46</v>
      </c>
      <c r="C83" s="282" t="s">
        <v>47</v>
      </c>
      <c r="D83" s="232">
        <v>0</v>
      </c>
      <c r="E83" s="232">
        <v>0</v>
      </c>
      <c r="F83" s="285" t="str">
        <f t="shared" si="1"/>
        <v/>
      </c>
    </row>
    <row r="84" spans="1:6">
      <c r="A84" s="274">
        <v>78</v>
      </c>
      <c r="B84" s="281" t="s">
        <v>48</v>
      </c>
      <c r="C84" s="282" t="s">
        <v>49</v>
      </c>
      <c r="D84" s="232">
        <v>0</v>
      </c>
      <c r="E84" s="232">
        <v>0</v>
      </c>
      <c r="F84" s="285" t="str">
        <f t="shared" si="1"/>
        <v/>
      </c>
    </row>
    <row r="85" spans="1:6">
      <c r="A85" s="274">
        <v>79</v>
      </c>
      <c r="B85" s="281" t="s">
        <v>50</v>
      </c>
      <c r="C85" s="282" t="s">
        <v>51</v>
      </c>
      <c r="D85" s="232">
        <v>0</v>
      </c>
      <c r="E85" s="232">
        <v>0</v>
      </c>
      <c r="F85" s="285" t="str">
        <f t="shared" si="1"/>
        <v/>
      </c>
    </row>
    <row r="86" spans="1:6">
      <c r="A86" s="274">
        <v>80</v>
      </c>
      <c r="B86" s="281" t="s">
        <v>52</v>
      </c>
      <c r="C86" s="282" t="s">
        <v>53</v>
      </c>
      <c r="D86" s="232">
        <f>'17'!H36+'31'!H35</f>
        <v>4726270</v>
      </c>
      <c r="E86" s="232">
        <f>'17'!J36+'31'!J35</f>
        <v>5831620</v>
      </c>
      <c r="F86" s="285">
        <f t="shared" si="1"/>
        <v>123.38736466600511</v>
      </c>
    </row>
    <row r="87" spans="1:6">
      <c r="A87" s="90"/>
      <c r="B87" s="90"/>
      <c r="C87" s="90"/>
      <c r="D87" s="90"/>
      <c r="E87" s="90"/>
      <c r="F87" s="90"/>
    </row>
    <row r="88" spans="1:6">
      <c r="A88" s="90"/>
      <c r="B88" s="90"/>
      <c r="C88" s="90"/>
      <c r="D88" s="90"/>
      <c r="E88" s="90"/>
      <c r="F88" s="90"/>
    </row>
    <row r="89" spans="1:6">
      <c r="A89" s="90"/>
      <c r="B89" s="90"/>
      <c r="C89" s="90"/>
      <c r="D89" s="90"/>
      <c r="E89" s="90"/>
      <c r="F89" s="90"/>
    </row>
    <row r="90" spans="1:6">
      <c r="A90" s="90"/>
      <c r="B90" s="90"/>
      <c r="C90" s="90"/>
      <c r="D90" s="90"/>
      <c r="E90" s="90"/>
      <c r="F90" s="90"/>
    </row>
    <row r="91" spans="1:6">
      <c r="A91" s="90"/>
      <c r="B91" s="90"/>
      <c r="C91" s="90"/>
      <c r="D91" s="90"/>
      <c r="E91" s="90"/>
      <c r="F91" s="90"/>
    </row>
    <row r="92" spans="1:6">
      <c r="A92" s="90"/>
      <c r="B92" s="90"/>
      <c r="C92" s="90"/>
      <c r="D92" s="90"/>
      <c r="E92" s="90"/>
      <c r="F92" s="90"/>
    </row>
    <row r="93" spans="1:6">
      <c r="A93" s="90"/>
      <c r="B93" s="90"/>
      <c r="C93" s="90"/>
      <c r="D93" s="90"/>
      <c r="E93" s="90"/>
      <c r="F93" s="90"/>
    </row>
    <row r="94" spans="1:6">
      <c r="A94" s="90"/>
      <c r="B94" s="90"/>
      <c r="C94" s="90"/>
      <c r="D94" s="90"/>
      <c r="E94" s="90"/>
      <c r="F94" s="90"/>
    </row>
    <row r="95" spans="1:6">
      <c r="A95" s="90"/>
      <c r="B95" s="90"/>
      <c r="C95" s="90"/>
      <c r="D95" s="90"/>
      <c r="E95" s="90"/>
      <c r="F95" s="90"/>
    </row>
    <row r="96" spans="1:6">
      <c r="A96" s="90"/>
      <c r="B96" s="90"/>
      <c r="C96" s="90"/>
      <c r="D96" s="90"/>
      <c r="E96" s="90"/>
      <c r="F96" s="90"/>
    </row>
    <row r="97" spans="1:6">
      <c r="A97" s="90"/>
      <c r="B97" s="90"/>
      <c r="C97" s="90"/>
      <c r="D97" s="90"/>
      <c r="E97" s="90"/>
      <c r="F97" s="90"/>
    </row>
    <row r="98" spans="1:6">
      <c r="A98" s="90"/>
      <c r="B98" s="90"/>
      <c r="C98" s="90"/>
      <c r="D98" s="90"/>
      <c r="E98" s="90"/>
      <c r="F98" s="90"/>
    </row>
    <row r="99" spans="1:6">
      <c r="A99" s="90"/>
      <c r="B99" s="90"/>
      <c r="C99" s="90"/>
      <c r="D99" s="90"/>
      <c r="E99" s="90"/>
      <c r="F99" s="90"/>
    </row>
    <row r="100" spans="1:6">
      <c r="A100" s="90"/>
      <c r="B100" s="90"/>
      <c r="C100" s="90"/>
      <c r="D100" s="90"/>
      <c r="E100" s="90"/>
      <c r="F100" s="90"/>
    </row>
    <row r="101" spans="1:6">
      <c r="A101" s="90"/>
      <c r="B101" s="90"/>
      <c r="C101" s="90"/>
      <c r="D101" s="90"/>
      <c r="E101" s="90"/>
      <c r="F101" s="90"/>
    </row>
    <row r="102" spans="1:6">
      <c r="A102" s="90"/>
      <c r="B102" s="90"/>
      <c r="C102" s="90"/>
      <c r="D102" s="90"/>
      <c r="E102" s="90"/>
      <c r="F102" s="90"/>
    </row>
    <row r="103" spans="1:6">
      <c r="A103" s="90"/>
      <c r="B103" s="90"/>
      <c r="C103" s="90"/>
      <c r="D103" s="90"/>
      <c r="E103" s="90"/>
      <c r="F103" s="90"/>
    </row>
    <row r="104" spans="1:6">
      <c r="A104" s="90"/>
      <c r="B104" s="90"/>
      <c r="C104" s="90"/>
      <c r="D104" s="90"/>
      <c r="E104" s="90"/>
      <c r="F104" s="90"/>
    </row>
    <row r="105" spans="1:6">
      <c r="A105" s="90"/>
      <c r="B105" s="90"/>
      <c r="C105" s="90"/>
      <c r="D105" s="90"/>
      <c r="E105" s="90"/>
      <c r="F105" s="90"/>
    </row>
    <row r="106" spans="1:6">
      <c r="A106" s="90"/>
      <c r="B106" s="90"/>
      <c r="C106" s="90"/>
      <c r="D106" s="90"/>
      <c r="E106" s="90"/>
      <c r="F106" s="90"/>
    </row>
    <row r="107" spans="1:6">
      <c r="A107" s="90"/>
      <c r="B107" s="90"/>
      <c r="C107" s="90"/>
      <c r="D107" s="90"/>
      <c r="E107" s="90"/>
      <c r="F107" s="90"/>
    </row>
    <row r="108" spans="1:6">
      <c r="A108" s="90"/>
      <c r="B108" s="90"/>
      <c r="C108" s="90"/>
      <c r="D108" s="90"/>
      <c r="E108" s="90"/>
      <c r="F108" s="90"/>
    </row>
    <row r="109" spans="1:6">
      <c r="A109" s="90"/>
      <c r="B109" s="90"/>
      <c r="C109" s="90"/>
      <c r="D109" s="90"/>
      <c r="E109" s="90"/>
      <c r="F109" s="90"/>
    </row>
    <row r="110" spans="1:6">
      <c r="A110" s="90"/>
      <c r="B110" s="90"/>
      <c r="C110" s="90"/>
      <c r="D110" s="90"/>
      <c r="E110" s="90"/>
      <c r="F110" s="90"/>
    </row>
    <row r="111" spans="1:6">
      <c r="A111" s="90"/>
      <c r="B111" s="90"/>
      <c r="C111" s="90"/>
      <c r="D111" s="90"/>
      <c r="E111" s="90"/>
      <c r="F111" s="90"/>
    </row>
    <row r="112" spans="1:6">
      <c r="A112" s="90"/>
      <c r="B112" s="90"/>
      <c r="C112" s="90"/>
      <c r="D112" s="90"/>
      <c r="E112" s="90"/>
      <c r="F112" s="90"/>
    </row>
    <row r="113" spans="1:6">
      <c r="A113" s="90"/>
      <c r="B113" s="90"/>
      <c r="C113" s="90"/>
      <c r="D113" s="90"/>
      <c r="E113" s="90"/>
      <c r="F113" s="90"/>
    </row>
    <row r="114" spans="1:6">
      <c r="A114" s="90"/>
      <c r="B114" s="90"/>
      <c r="C114" s="90"/>
      <c r="D114" s="90"/>
      <c r="E114" s="90"/>
      <c r="F114" s="90"/>
    </row>
    <row r="115" spans="1:6">
      <c r="A115" s="90"/>
      <c r="B115" s="90"/>
      <c r="C115" s="90"/>
      <c r="D115" s="90"/>
      <c r="E115" s="90"/>
      <c r="F115" s="90"/>
    </row>
    <row r="116" spans="1:6">
      <c r="A116" s="90"/>
      <c r="B116" s="90"/>
      <c r="C116" s="90"/>
      <c r="D116" s="90"/>
      <c r="E116" s="90"/>
      <c r="F116" s="90"/>
    </row>
    <row r="117" spans="1:6">
      <c r="A117" s="90"/>
      <c r="B117" s="90"/>
      <c r="C117" s="90"/>
      <c r="D117" s="90"/>
      <c r="E117" s="90"/>
      <c r="F117" s="90"/>
    </row>
    <row r="118" spans="1:6">
      <c r="A118" s="90"/>
      <c r="B118" s="90"/>
      <c r="C118" s="90"/>
      <c r="D118" s="90"/>
      <c r="E118" s="90"/>
      <c r="F118" s="90"/>
    </row>
    <row r="119" spans="1:6">
      <c r="A119" s="90"/>
      <c r="B119" s="90"/>
      <c r="C119" s="90"/>
      <c r="D119" s="90"/>
      <c r="E119" s="90"/>
      <c r="F119" s="90"/>
    </row>
  </sheetData>
  <mergeCells count="1">
    <mergeCell ref="A2:F2"/>
  </mergeCells>
  <phoneticPr fontId="0" type="noConversion"/>
  <pageMargins left="0.35433070866141736" right="0.27559055118110237" top="0.51181102362204722" bottom="0.74803149606299213" header="0.51181102362204722" footer="0.51181102362204722"/>
  <pageSetup paperSize="9" scale="88" firstPageNumber="46" orientation="portrait" useFirstPageNumber="1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F45"/>
  <sheetViews>
    <sheetView topLeftCell="B1" zoomScaleNormal="100" workbookViewId="0">
      <selection activeCell="J37" sqref="J37"/>
    </sheetView>
  </sheetViews>
  <sheetFormatPr defaultRowHeight="12.75"/>
  <cols>
    <col min="1" max="1" width="15.7109375" style="50" customWidth="1"/>
    <col min="2" max="2" width="82.28515625" customWidth="1"/>
    <col min="3" max="6" width="18.7109375" customWidth="1"/>
  </cols>
  <sheetData>
    <row r="2" spans="1:6" ht="15.75">
      <c r="A2" s="453" t="s">
        <v>732</v>
      </c>
      <c r="B2" s="485"/>
      <c r="C2" s="485"/>
      <c r="D2" s="485"/>
      <c r="E2" s="485"/>
      <c r="F2" s="485"/>
    </row>
    <row r="4" spans="1:6" s="62" customFormat="1">
      <c r="A4" s="490" t="s">
        <v>479</v>
      </c>
      <c r="B4" s="490" t="s">
        <v>498</v>
      </c>
      <c r="C4" s="490" t="s">
        <v>733</v>
      </c>
      <c r="D4" s="487" t="s">
        <v>507</v>
      </c>
      <c r="E4" s="488"/>
      <c r="F4" s="489"/>
    </row>
    <row r="5" spans="1:6" s="62" customFormat="1" ht="39" customHeight="1">
      <c r="A5" s="491"/>
      <c r="B5" s="491"/>
      <c r="C5" s="491"/>
      <c r="D5" s="253" t="s">
        <v>506</v>
      </c>
      <c r="E5" s="253" t="s">
        <v>650</v>
      </c>
      <c r="F5" s="253" t="s">
        <v>651</v>
      </c>
    </row>
    <row r="6" spans="1:6" s="62" customFormat="1">
      <c r="A6" s="253">
        <v>1</v>
      </c>
      <c r="B6" s="254">
        <v>2</v>
      </c>
      <c r="C6" s="253" t="s">
        <v>508</v>
      </c>
      <c r="D6" s="253">
        <v>4</v>
      </c>
      <c r="E6" s="253">
        <v>5</v>
      </c>
      <c r="F6" s="253">
        <v>6</v>
      </c>
    </row>
    <row r="7" spans="1:6" ht="15.95" customHeight="1">
      <c r="A7" s="247">
        <v>10010001</v>
      </c>
      <c r="B7" s="29" t="s">
        <v>244</v>
      </c>
      <c r="C7" s="245">
        <f>D7+E7+F7</f>
        <v>10000</v>
      </c>
      <c r="D7" s="245">
        <f>'1'!J27-E7-F7</f>
        <v>10000</v>
      </c>
      <c r="E7" s="245">
        <v>0</v>
      </c>
      <c r="F7" s="245">
        <v>0</v>
      </c>
    </row>
    <row r="8" spans="1:6" ht="15.95" customHeight="1">
      <c r="A8" s="247">
        <v>10010002</v>
      </c>
      <c r="B8" s="29" t="s">
        <v>480</v>
      </c>
      <c r="C8" s="245">
        <f t="shared" ref="C8:C43" si="0">D8+E8+F8</f>
        <v>0</v>
      </c>
      <c r="D8" s="245">
        <f>'2'!J27-E8-F8</f>
        <v>0</v>
      </c>
      <c r="E8" s="245">
        <v>0</v>
      </c>
      <c r="F8" s="245">
        <v>0</v>
      </c>
    </row>
    <row r="9" spans="1:6" ht="15.95" customHeight="1">
      <c r="A9" s="247">
        <v>11010001</v>
      </c>
      <c r="B9" s="29" t="s">
        <v>245</v>
      </c>
      <c r="C9" s="245">
        <f t="shared" si="0"/>
        <v>210000</v>
      </c>
      <c r="D9" s="245">
        <f>'3'!J49-E9-F9</f>
        <v>10000</v>
      </c>
      <c r="E9" s="245">
        <v>0</v>
      </c>
      <c r="F9" s="245">
        <v>200000</v>
      </c>
    </row>
    <row r="10" spans="1:6" ht="15.95" customHeight="1">
      <c r="A10" s="247">
        <v>11010002</v>
      </c>
      <c r="B10" s="29" t="s">
        <v>246</v>
      </c>
      <c r="C10" s="245">
        <f t="shared" si="0"/>
        <v>1000</v>
      </c>
      <c r="D10" s="245">
        <f>'4'!J30-E10-F10</f>
        <v>1000</v>
      </c>
      <c r="E10" s="245">
        <v>0</v>
      </c>
      <c r="F10" s="245">
        <v>0</v>
      </c>
    </row>
    <row r="11" spans="1:6" ht="15.95" customHeight="1">
      <c r="A11" s="247">
        <v>11010003</v>
      </c>
      <c r="B11" s="29" t="s">
        <v>247</v>
      </c>
      <c r="C11" s="245">
        <f t="shared" si="0"/>
        <v>1500</v>
      </c>
      <c r="D11" s="245">
        <f>'5'!J27-E11-F11</f>
        <v>1500</v>
      </c>
      <c r="E11" s="245">
        <v>0</v>
      </c>
      <c r="F11" s="245">
        <v>0</v>
      </c>
    </row>
    <row r="12" spans="1:6" ht="15.95" customHeight="1">
      <c r="A12" s="247">
        <v>11010004</v>
      </c>
      <c r="B12" s="29" t="s">
        <v>249</v>
      </c>
      <c r="C12" s="245">
        <f t="shared" si="0"/>
        <v>1500</v>
      </c>
      <c r="D12" s="245">
        <f>'6'!J27-E12-F12</f>
        <v>1500</v>
      </c>
      <c r="E12" s="245">
        <v>0</v>
      </c>
      <c r="F12" s="245">
        <v>0</v>
      </c>
    </row>
    <row r="13" spans="1:6" ht="15.95" customHeight="1">
      <c r="A13" s="247">
        <v>11010005</v>
      </c>
      <c r="B13" s="392" t="s">
        <v>764</v>
      </c>
      <c r="C13" s="245">
        <f t="shared" si="0"/>
        <v>7000</v>
      </c>
      <c r="D13" s="245">
        <f>'7'!J27-E13-F13</f>
        <v>7000</v>
      </c>
      <c r="E13" s="245">
        <v>0</v>
      </c>
      <c r="F13" s="245">
        <v>0</v>
      </c>
    </row>
    <row r="14" spans="1:6" ht="15.95" customHeight="1">
      <c r="A14" s="247">
        <v>12010001</v>
      </c>
      <c r="B14" s="29" t="s">
        <v>250</v>
      </c>
      <c r="C14" s="245">
        <f t="shared" si="0"/>
        <v>20000</v>
      </c>
      <c r="D14" s="245">
        <f>'8'!J27-E14-F14</f>
        <v>20000</v>
      </c>
      <c r="E14" s="245">
        <v>0</v>
      </c>
      <c r="F14" s="245">
        <v>0</v>
      </c>
    </row>
    <row r="15" spans="1:6" ht="15.95" customHeight="1">
      <c r="A15" s="247">
        <v>13010001</v>
      </c>
      <c r="B15" s="29" t="s">
        <v>478</v>
      </c>
      <c r="C15" s="245">
        <f t="shared" si="0"/>
        <v>100000</v>
      </c>
      <c r="D15" s="245">
        <f>'9'!J27-E15-F15</f>
        <v>100000</v>
      </c>
      <c r="E15" s="245">
        <v>0</v>
      </c>
      <c r="F15" s="245">
        <v>0</v>
      </c>
    </row>
    <row r="16" spans="1:6" ht="15.95" customHeight="1">
      <c r="A16" s="247">
        <v>14010001</v>
      </c>
      <c r="B16" s="29" t="s">
        <v>252</v>
      </c>
      <c r="C16" s="245">
        <f t="shared" si="0"/>
        <v>1000</v>
      </c>
      <c r="D16" s="245">
        <f>'10'!J27-E16-F16</f>
        <v>1000</v>
      </c>
      <c r="E16" s="245">
        <v>0</v>
      </c>
      <c r="F16" s="245">
        <v>0</v>
      </c>
    </row>
    <row r="17" spans="1:6" ht="15.95" customHeight="1">
      <c r="A17" s="247">
        <v>14020003</v>
      </c>
      <c r="B17" s="29" t="s">
        <v>253</v>
      </c>
      <c r="C17" s="245">
        <f t="shared" si="0"/>
        <v>16000</v>
      </c>
      <c r="D17" s="245">
        <f>'11'!J28-E17-F17</f>
        <v>16000</v>
      </c>
      <c r="E17" s="245">
        <v>0</v>
      </c>
      <c r="F17" s="245">
        <v>0</v>
      </c>
    </row>
    <row r="18" spans="1:6" ht="15.95" customHeight="1">
      <c r="A18" s="247">
        <v>14050001</v>
      </c>
      <c r="B18" s="29" t="s">
        <v>254</v>
      </c>
      <c r="C18" s="245">
        <f t="shared" si="0"/>
        <v>3000</v>
      </c>
      <c r="D18" s="245">
        <f>'12'!J27-E18-F18</f>
        <v>3000</v>
      </c>
      <c r="E18" s="245">
        <v>0</v>
      </c>
      <c r="F18" s="245">
        <v>0</v>
      </c>
    </row>
    <row r="19" spans="1:6" ht="15.95" customHeight="1">
      <c r="A19" s="247">
        <v>14050002</v>
      </c>
      <c r="B19" s="29" t="s">
        <v>255</v>
      </c>
      <c r="C19" s="245">
        <f t="shared" si="0"/>
        <v>1000</v>
      </c>
      <c r="D19" s="245">
        <f>'13'!J27-E19-F19</f>
        <v>1000</v>
      </c>
      <c r="E19" s="245">
        <v>0</v>
      </c>
      <c r="F19" s="245">
        <v>0</v>
      </c>
    </row>
    <row r="20" spans="1:6" ht="15.95" customHeight="1">
      <c r="A20" s="247">
        <v>14060001</v>
      </c>
      <c r="B20" s="29" t="s">
        <v>256</v>
      </c>
      <c r="C20" s="245">
        <f t="shared" si="0"/>
        <v>1000</v>
      </c>
      <c r="D20" s="245">
        <f>'14'!J27-E20-F20</f>
        <v>1000</v>
      </c>
      <c r="E20" s="245">
        <v>0</v>
      </c>
      <c r="F20" s="245">
        <v>0</v>
      </c>
    </row>
    <row r="21" spans="1:6" ht="15.95" customHeight="1">
      <c r="A21" s="247">
        <v>15010001</v>
      </c>
      <c r="B21" s="29" t="s">
        <v>257</v>
      </c>
      <c r="C21" s="245">
        <f t="shared" si="0"/>
        <v>1000</v>
      </c>
      <c r="D21" s="245">
        <f>'15'!J31-E21-F21</f>
        <v>1000</v>
      </c>
      <c r="E21" s="245">
        <v>0</v>
      </c>
      <c r="F21" s="245">
        <v>0</v>
      </c>
    </row>
    <row r="22" spans="1:6" ht="15.95" customHeight="1">
      <c r="A22" s="247">
        <v>16010001</v>
      </c>
      <c r="B22" s="29" t="s">
        <v>258</v>
      </c>
      <c r="C22" s="245">
        <f t="shared" si="0"/>
        <v>3000</v>
      </c>
      <c r="D22" s="245">
        <f>'16'!J41-E22-F22</f>
        <v>3000</v>
      </c>
      <c r="E22" s="245">
        <v>0</v>
      </c>
      <c r="F22" s="245">
        <v>0</v>
      </c>
    </row>
    <row r="23" spans="1:6" ht="15.95" customHeight="1">
      <c r="A23" s="247">
        <v>17010001</v>
      </c>
      <c r="B23" s="29" t="s">
        <v>259</v>
      </c>
      <c r="C23" s="245">
        <f t="shared" si="0"/>
        <v>1500</v>
      </c>
      <c r="D23" s="245">
        <f>'17'!J31-E23-F23</f>
        <v>1500</v>
      </c>
      <c r="E23" s="245">
        <v>0</v>
      </c>
      <c r="F23" s="245">
        <v>0</v>
      </c>
    </row>
    <row r="24" spans="1:6" ht="15.95" customHeight="1">
      <c r="A24" s="247">
        <v>18010001</v>
      </c>
      <c r="B24" s="29" t="s">
        <v>260</v>
      </c>
      <c r="C24" s="245">
        <f t="shared" si="0"/>
        <v>894000</v>
      </c>
      <c r="D24" s="245">
        <f>'18'!J32-E24-F24</f>
        <v>0</v>
      </c>
      <c r="E24" s="245">
        <v>894000</v>
      </c>
      <c r="F24" s="245">
        <v>0</v>
      </c>
    </row>
    <row r="25" spans="1:6" ht="15.95" customHeight="1">
      <c r="A25" s="247">
        <v>19010001</v>
      </c>
      <c r="B25" s="29" t="s">
        <v>261</v>
      </c>
      <c r="C25" s="245">
        <f t="shared" si="0"/>
        <v>13000</v>
      </c>
      <c r="D25" s="245">
        <f>'19'!J33-E25-F25</f>
        <v>13000</v>
      </c>
      <c r="E25" s="245">
        <v>0</v>
      </c>
      <c r="F25" s="245">
        <v>0</v>
      </c>
    </row>
    <row r="26" spans="1:6" ht="15.95" customHeight="1">
      <c r="A26" s="247">
        <v>20010001</v>
      </c>
      <c r="B26" s="29" t="s">
        <v>262</v>
      </c>
      <c r="C26" s="245">
        <f t="shared" si="0"/>
        <v>1000</v>
      </c>
      <c r="D26" s="245">
        <f>'20'!J44-E26-F26</f>
        <v>1000</v>
      </c>
      <c r="E26" s="245">
        <v>0</v>
      </c>
      <c r="F26" s="245">
        <v>0</v>
      </c>
    </row>
    <row r="27" spans="1:6" ht="15.95" customHeight="1">
      <c r="A27" s="247">
        <v>20020002</v>
      </c>
      <c r="B27" s="29" t="s">
        <v>481</v>
      </c>
      <c r="C27" s="245">
        <f t="shared" si="0"/>
        <v>30000</v>
      </c>
      <c r="D27" s="245">
        <f>'21'!J27-E27-F27</f>
        <v>30000</v>
      </c>
      <c r="E27" s="245">
        <v>0</v>
      </c>
      <c r="F27" s="245">
        <v>0</v>
      </c>
    </row>
    <row r="28" spans="1:6" ht="15.95" customHeight="1">
      <c r="A28" s="247">
        <v>20020003</v>
      </c>
      <c r="B28" s="29" t="s">
        <v>482</v>
      </c>
      <c r="C28" s="245">
        <f t="shared" si="0"/>
        <v>5000</v>
      </c>
      <c r="D28" s="245">
        <f>'22'!J27-E28-F28</f>
        <v>5000</v>
      </c>
      <c r="E28" s="245">
        <v>0</v>
      </c>
      <c r="F28" s="245">
        <v>0</v>
      </c>
    </row>
    <row r="29" spans="1:6" ht="15.95" customHeight="1">
      <c r="A29" s="247">
        <v>20020004</v>
      </c>
      <c r="B29" s="29" t="s">
        <v>483</v>
      </c>
      <c r="C29" s="245">
        <f t="shared" si="0"/>
        <v>15200</v>
      </c>
      <c r="D29" s="245">
        <f>'23'!J28-E29-F29</f>
        <v>5000</v>
      </c>
      <c r="E29" s="245">
        <v>0</v>
      </c>
      <c r="F29" s="444">
        <v>10200</v>
      </c>
    </row>
    <row r="30" spans="1:6" ht="15.95" customHeight="1">
      <c r="A30" s="247">
        <v>20030001</v>
      </c>
      <c r="B30" s="337" t="s">
        <v>484</v>
      </c>
      <c r="C30" s="245">
        <f t="shared" si="0"/>
        <v>5000</v>
      </c>
      <c r="D30" s="245">
        <f>'24'!J27-E30-F30</f>
        <v>5000</v>
      </c>
      <c r="E30" s="245">
        <v>0</v>
      </c>
      <c r="F30" s="245">
        <v>0</v>
      </c>
    </row>
    <row r="31" spans="1:6" ht="15.95" customHeight="1">
      <c r="A31" s="247">
        <v>20030002</v>
      </c>
      <c r="B31" s="29" t="s">
        <v>485</v>
      </c>
      <c r="C31" s="245">
        <f t="shared" si="0"/>
        <v>7000</v>
      </c>
      <c r="D31" s="245">
        <f>'25'!J27-E31-F31</f>
        <v>7000</v>
      </c>
      <c r="E31" s="245">
        <v>0</v>
      </c>
      <c r="F31" s="245">
        <v>0</v>
      </c>
    </row>
    <row r="32" spans="1:6" ht="15.95" customHeight="1">
      <c r="A32" s="247">
        <v>20030003</v>
      </c>
      <c r="B32" s="29" t="s">
        <v>486</v>
      </c>
      <c r="C32" s="245">
        <f t="shared" si="0"/>
        <v>35000</v>
      </c>
      <c r="D32" s="245">
        <f>'26'!J27-E32-F32</f>
        <v>35000</v>
      </c>
      <c r="E32" s="245">
        <v>0</v>
      </c>
      <c r="F32" s="245">
        <v>0</v>
      </c>
    </row>
    <row r="33" spans="1:6" ht="15.95" customHeight="1">
      <c r="A33" s="247">
        <v>20030004</v>
      </c>
      <c r="B33" s="337" t="s">
        <v>640</v>
      </c>
      <c r="C33" s="245">
        <f t="shared" si="0"/>
        <v>13500</v>
      </c>
      <c r="D33" s="245">
        <f>'27'!J27-E33-F33</f>
        <v>13500</v>
      </c>
      <c r="E33" s="245">
        <v>0</v>
      </c>
      <c r="F33" s="245">
        <v>0</v>
      </c>
    </row>
    <row r="34" spans="1:6" ht="15.95" customHeight="1">
      <c r="A34" s="247">
        <v>20030005</v>
      </c>
      <c r="B34" s="29" t="s">
        <v>652</v>
      </c>
      <c r="C34" s="245">
        <f t="shared" si="0"/>
        <v>30000</v>
      </c>
      <c r="D34" s="245">
        <f>'28'!J27-E34-F34</f>
        <v>30000</v>
      </c>
      <c r="E34" s="245">
        <v>0</v>
      </c>
      <c r="F34" s="245">
        <v>0</v>
      </c>
    </row>
    <row r="35" spans="1:6" ht="15.95" customHeight="1">
      <c r="A35" s="247">
        <v>20030006</v>
      </c>
      <c r="B35" s="29" t="s">
        <v>653</v>
      </c>
      <c r="C35" s="245">
        <f t="shared" si="0"/>
        <v>2500</v>
      </c>
      <c r="D35" s="245">
        <f>'29'!J27-E35-F35</f>
        <v>2500</v>
      </c>
      <c r="E35" s="245">
        <v>0</v>
      </c>
      <c r="F35" s="245">
        <v>0</v>
      </c>
    </row>
    <row r="36" spans="1:6" ht="15.95" customHeight="1">
      <c r="A36" s="247">
        <v>20030007</v>
      </c>
      <c r="B36" s="29" t="s">
        <v>654</v>
      </c>
      <c r="C36" s="245">
        <f t="shared" si="0"/>
        <v>3000</v>
      </c>
      <c r="D36" s="245">
        <f>'30'!J27-E36-F36</f>
        <v>3000</v>
      </c>
      <c r="E36" s="245">
        <v>0</v>
      </c>
      <c r="F36" s="245">
        <v>0</v>
      </c>
    </row>
    <row r="37" spans="1:6" ht="15.95" customHeight="1">
      <c r="A37" s="247">
        <v>21010001</v>
      </c>
      <c r="B37" s="29" t="s">
        <v>272</v>
      </c>
      <c r="C37" s="245">
        <f t="shared" si="0"/>
        <v>1000</v>
      </c>
      <c r="D37" s="245">
        <f>'31'!J30-E37-F37</f>
        <v>1000</v>
      </c>
      <c r="E37" s="245">
        <v>0</v>
      </c>
      <c r="F37" s="245">
        <v>0</v>
      </c>
    </row>
    <row r="38" spans="1:6" ht="15.95" customHeight="1">
      <c r="A38" s="247">
        <v>22010001</v>
      </c>
      <c r="B38" s="29" t="s">
        <v>273</v>
      </c>
      <c r="C38" s="245">
        <f t="shared" si="0"/>
        <v>0</v>
      </c>
      <c r="D38" s="245">
        <f>'32'!J27-E38-F38</f>
        <v>0</v>
      </c>
      <c r="E38" s="245">
        <v>0</v>
      </c>
      <c r="F38" s="245">
        <v>0</v>
      </c>
    </row>
    <row r="39" spans="1:6" ht="15.95" customHeight="1">
      <c r="A39" s="247">
        <v>23010001</v>
      </c>
      <c r="B39" s="29" t="s">
        <v>274</v>
      </c>
      <c r="C39" s="245">
        <f t="shared" si="0"/>
        <v>2000</v>
      </c>
      <c r="D39" s="245">
        <f>'33'!J31-E39-F39</f>
        <v>2000</v>
      </c>
      <c r="E39" s="245">
        <v>0</v>
      </c>
      <c r="F39" s="245">
        <v>0</v>
      </c>
    </row>
    <row r="40" spans="1:6" ht="15.95" customHeight="1">
      <c r="A40" s="247">
        <v>24010001</v>
      </c>
      <c r="B40" s="29" t="s">
        <v>275</v>
      </c>
      <c r="C40" s="245">
        <f t="shared" si="0"/>
        <v>35000</v>
      </c>
      <c r="D40" s="245">
        <f>'34'!J27-E40-F40</f>
        <v>35000</v>
      </c>
      <c r="E40" s="245">
        <v>0</v>
      </c>
      <c r="F40" s="245">
        <v>0</v>
      </c>
    </row>
    <row r="41" spans="1:6" ht="15.95" customHeight="1">
      <c r="A41" s="247">
        <v>26010001</v>
      </c>
      <c r="B41" s="29" t="s">
        <v>276</v>
      </c>
      <c r="C41" s="245">
        <f t="shared" si="0"/>
        <v>500</v>
      </c>
      <c r="D41" s="245">
        <f>'35'!J27-E41-F41</f>
        <v>500</v>
      </c>
      <c r="E41" s="245">
        <v>0</v>
      </c>
      <c r="F41" s="245">
        <v>0</v>
      </c>
    </row>
    <row r="42" spans="1:6" ht="15.95" customHeight="1">
      <c r="A42" s="247">
        <v>27010001</v>
      </c>
      <c r="B42" s="29" t="s">
        <v>277</v>
      </c>
      <c r="C42" s="245">
        <f t="shared" si="0"/>
        <v>3000</v>
      </c>
      <c r="D42" s="245">
        <f>'36'!J27-E42-F42</f>
        <v>3000</v>
      </c>
      <c r="E42" s="245">
        <v>0</v>
      </c>
      <c r="F42" s="245">
        <v>0</v>
      </c>
    </row>
    <row r="43" spans="1:6" ht="15.95" customHeight="1">
      <c r="A43" s="247">
        <v>28010001</v>
      </c>
      <c r="B43" s="29" t="s">
        <v>278</v>
      </c>
      <c r="C43" s="245">
        <f t="shared" si="0"/>
        <v>2000</v>
      </c>
      <c r="D43" s="245">
        <f>'37'!J27-E43-F43</f>
        <v>2000</v>
      </c>
      <c r="E43" s="245">
        <v>0</v>
      </c>
      <c r="F43" s="245">
        <v>0</v>
      </c>
    </row>
    <row r="44" spans="1:6" s="62" customFormat="1" ht="15.95" customHeight="1">
      <c r="A44" s="119"/>
      <c r="B44" s="251" t="s">
        <v>502</v>
      </c>
      <c r="C44" s="252">
        <f>SUM(C7:C43)</f>
        <v>1476200</v>
      </c>
      <c r="D44" s="252">
        <f>SUM(D7:D43)</f>
        <v>372000</v>
      </c>
      <c r="E44" s="252">
        <f>SUM(E7:E43)</f>
        <v>894000</v>
      </c>
      <c r="F44" s="252">
        <f>SUM(F7:F43)</f>
        <v>210200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1.31" right="0.32" top="0.56000000000000005" bottom="0.53" header="0.5" footer="0.5"/>
  <pageSetup paperSize="9" scale="71" orientation="landscape" r:id="rId1"/>
  <headerFooter alignWithMargins="0">
    <oddFooter>&amp;R48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7"/>
  <sheetViews>
    <sheetView zoomScaleNormal="100" workbookViewId="0">
      <selection activeCell="J37" sqref="J37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8" width="15.7109375" customWidth="1"/>
    <col min="9" max="9" width="8.7109375" customWidth="1"/>
  </cols>
  <sheetData>
    <row r="1" spans="1:8" ht="15" customHeight="1">
      <c r="A1" s="49" t="s">
        <v>331</v>
      </c>
      <c r="C1" s="49"/>
    </row>
    <row r="2" spans="1:8" ht="15" customHeight="1">
      <c r="A2" s="49"/>
      <c r="C2" s="333">
        <f>Rashodi!H8/(Prihodi!G212-Prihodi!G48-Prihodi!G52-Prihodi!G53-Prihodi!G59-Prihodi!G77-Prihodi!G81-Prihodi!G82-Prihodi!G83-Prihodi!G86-Prihodi!G87-Prihodi!G88-Prihodi!G96-Prihodi!G97-Prihodi!G98-Prihodi!G99-Prihodi!G100-Prihodi!G101-Prihodi!G102-Prihodi!G103-Prihodi!G104-Prihodi!G106-Prihodi!G107-Prihodi!G108-Prihodi!G109-Prihodi!G111-Prihodi!G114-Prihodi!G116-Prihodi!G118-Prihodi!G121-Prihodi!G122-Prihodi!G123-Prihodi!G124-Prihodi!G125-Prihodi!G131-Prihodi!G159-Prihodi!G165-Prihodi!G167-Prihodi!G179-Prihodi!G187-Prihodi!G191-Prihodi!G197-Prihodi!G201)*100</f>
        <v>1.6449450837576127</v>
      </c>
    </row>
    <row r="3" spans="1:8" ht="27" customHeight="1">
      <c r="A3" s="469" t="str">
        <f>CONCATENATE("     U tekuću pričuvu Vlade izdvojit će se ",TEXT(C2,"#.##0,00"),"% prihoda bez namjenskih prihoda, vlastitih prihoda i primitaka Proračuna.")</f>
        <v xml:space="preserve">     U tekuću pričuvu Vlade izdvojit će se 1,64% prihoda bez namjenskih prihoda, vlastitih prihoda i primitaka Proračuna.</v>
      </c>
      <c r="B3" s="492"/>
      <c r="C3" s="492"/>
    </row>
    <row r="4" spans="1:8" ht="15" customHeight="1">
      <c r="G4" s="62"/>
      <c r="H4" s="62"/>
    </row>
    <row r="5" spans="1:8" ht="15" customHeight="1">
      <c r="A5" s="49" t="s">
        <v>333</v>
      </c>
      <c r="C5" s="49"/>
    </row>
    <row r="6" spans="1:8" ht="15" customHeight="1">
      <c r="A6" s="49"/>
      <c r="C6" s="49"/>
      <c r="E6" s="331"/>
    </row>
    <row r="7" spans="1:8" ht="15" customHeight="1">
      <c r="A7" s="464" t="s">
        <v>734</v>
      </c>
      <c r="B7" s="465"/>
      <c r="C7" s="465"/>
      <c r="E7" s="332"/>
    </row>
    <row r="8" spans="1:8" ht="15" customHeight="1">
      <c r="A8" s="465"/>
      <c r="B8" s="465"/>
      <c r="C8" s="465"/>
    </row>
    <row r="13" spans="1:8" ht="15" customHeight="1">
      <c r="A13" t="s">
        <v>201</v>
      </c>
    </row>
    <row r="14" spans="1:8" ht="15" customHeight="1">
      <c r="A14" t="s">
        <v>202</v>
      </c>
    </row>
    <row r="15" spans="1:8" ht="15" customHeight="1">
      <c r="A15" t="s">
        <v>203</v>
      </c>
    </row>
    <row r="16" spans="1:8" ht="15" customHeight="1">
      <c r="A16" t="s">
        <v>204</v>
      </c>
    </row>
    <row r="17" spans="1:3" ht="15" customHeight="1">
      <c r="A17" t="s">
        <v>205</v>
      </c>
    </row>
    <row r="18" spans="1:3" ht="15" customHeight="1">
      <c r="A18" t="s">
        <v>206</v>
      </c>
    </row>
    <row r="20" spans="1:3" ht="15" customHeight="1">
      <c r="C20" s="50" t="s">
        <v>334</v>
      </c>
    </row>
    <row r="21" spans="1:3" ht="15" customHeight="1">
      <c r="C21" s="78"/>
    </row>
    <row r="22" spans="1:3" ht="15" customHeight="1">
      <c r="C22" s="50" t="s">
        <v>335</v>
      </c>
    </row>
    <row r="24" spans="1:3" ht="15" customHeight="1">
      <c r="C24" s="50"/>
    </row>
    <row r="27" spans="1:3" ht="15" customHeight="1">
      <c r="C27" s="50"/>
    </row>
    <row r="37" ht="12.75"/>
  </sheetData>
  <mergeCells count="2">
    <mergeCell ref="A3:C3"/>
    <mergeCell ref="A7:C8"/>
  </mergeCells>
  <phoneticPr fontId="0" type="noConversion"/>
  <pageMargins left="0.89" right="0.75" top="1" bottom="1" header="0.5" footer="0.5"/>
  <pageSetup paperSize="9" orientation="portrait" r:id="rId1"/>
  <headerFooter alignWithMargins="0"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L215"/>
  <sheetViews>
    <sheetView topLeftCell="B130" zoomScaleNormal="100" workbookViewId="0">
      <selection activeCell="J37" sqref="J37"/>
    </sheetView>
  </sheetViews>
  <sheetFormatPr defaultRowHeight="12.75"/>
  <cols>
    <col min="1" max="1" width="0.42578125" hidden="1" customWidth="1"/>
    <col min="2" max="2" width="13.28515625" style="50" customWidth="1"/>
    <col min="3" max="3" width="53.140625" customWidth="1"/>
    <col min="4" max="4" width="12" customWidth="1"/>
    <col min="5" max="7" width="12.7109375" customWidth="1"/>
    <col min="8" max="8" width="7.7109375" customWidth="1"/>
    <col min="9" max="9" width="11" style="292" customWidth="1"/>
    <col min="10" max="10" width="15.28515625" style="292" customWidth="1"/>
    <col min="11" max="12" width="9.140625" style="292"/>
  </cols>
  <sheetData>
    <row r="2" spans="2:12" ht="18.75" thickBot="1">
      <c r="B2" s="470" t="s">
        <v>76</v>
      </c>
      <c r="C2" s="470"/>
      <c r="D2" s="470"/>
      <c r="E2" s="470"/>
      <c r="F2" s="470"/>
      <c r="G2" s="471"/>
      <c r="H2" s="471"/>
    </row>
    <row r="3" spans="2:12" ht="76.5" customHeight="1">
      <c r="B3" s="75" t="s">
        <v>185</v>
      </c>
      <c r="C3" s="76" t="s">
        <v>80</v>
      </c>
      <c r="D3" s="126" t="s">
        <v>641</v>
      </c>
      <c r="E3" s="126" t="s">
        <v>780</v>
      </c>
      <c r="F3" s="126" t="s">
        <v>735</v>
      </c>
      <c r="G3" s="126" t="s">
        <v>729</v>
      </c>
      <c r="H3" s="338" t="s">
        <v>795</v>
      </c>
      <c r="I3" s="425"/>
    </row>
    <row r="4" spans="2:12" ht="12.75" customHeight="1">
      <c r="B4" s="234">
        <v>1</v>
      </c>
      <c r="C4" s="235">
        <v>2</v>
      </c>
      <c r="D4" s="235">
        <v>3</v>
      </c>
      <c r="E4" s="235">
        <v>4</v>
      </c>
      <c r="F4" s="422">
        <v>5</v>
      </c>
      <c r="G4" s="290">
        <v>6</v>
      </c>
      <c r="H4" s="291">
        <v>7</v>
      </c>
    </row>
    <row r="5" spans="2:12" s="47" customFormat="1" ht="17.25" customHeight="1">
      <c r="B5" s="339">
        <v>710000</v>
      </c>
      <c r="C5" s="340" t="s">
        <v>184</v>
      </c>
      <c r="D5" s="341">
        <f>D6+D14+D18+D26+D36+D45+D49</f>
        <v>33587730</v>
      </c>
      <c r="E5" s="341">
        <f>E6+E14+E18+E26+E36+E45+E49</f>
        <v>35193230</v>
      </c>
      <c r="F5" s="341">
        <f>F6+F14+F18+F26+F36+F45+F49</f>
        <v>26833468</v>
      </c>
      <c r="G5" s="341">
        <f>G6+G14+G18+G26+G36+G45+G49</f>
        <v>37013190</v>
      </c>
      <c r="H5" s="313">
        <f>IF(E5=0,"",G5/E5*100)</f>
        <v>105.17133550969888</v>
      </c>
      <c r="I5" s="426"/>
      <c r="J5" s="293"/>
      <c r="K5" s="293"/>
      <c r="L5" s="293"/>
    </row>
    <row r="6" spans="2:12" s="185" customFormat="1" ht="15" customHeight="1">
      <c r="B6" s="342">
        <v>711000</v>
      </c>
      <c r="C6" s="343" t="s">
        <v>189</v>
      </c>
      <c r="D6" s="344">
        <f>D7+D11</f>
        <v>2503780</v>
      </c>
      <c r="E6" s="344">
        <f>E7+E11</f>
        <v>3764320</v>
      </c>
      <c r="F6" s="344">
        <f>F7+F11</f>
        <v>3149339</v>
      </c>
      <c r="G6" s="344">
        <f>G7+G11</f>
        <v>3892300</v>
      </c>
      <c r="H6" s="314">
        <f>IF(E6=0,"",G6/E6*100)</f>
        <v>103.39981723126621</v>
      </c>
      <c r="I6" s="427"/>
      <c r="J6" s="294"/>
      <c r="K6" s="295"/>
      <c r="L6" s="295"/>
    </row>
    <row r="7" spans="2:12" s="185" customFormat="1" ht="15" customHeight="1">
      <c r="B7" s="186">
        <v>711100</v>
      </c>
      <c r="C7" s="187" t="s">
        <v>336</v>
      </c>
      <c r="D7" s="183">
        <f>SUM(D8:D10)</f>
        <v>3530</v>
      </c>
      <c r="E7" s="183">
        <f>SUM(E8:E10)</f>
        <v>3870</v>
      </c>
      <c r="F7" s="183">
        <f>SUM(F8:F10)</f>
        <v>2604</v>
      </c>
      <c r="G7" s="183">
        <f>SUM(G8:G10)</f>
        <v>4010</v>
      </c>
      <c r="H7" s="198">
        <f>IF(E7=0,"",G7/E7*100)</f>
        <v>103.61757105943153</v>
      </c>
      <c r="I7" s="427"/>
      <c r="J7" s="295"/>
      <c r="K7" s="295"/>
      <c r="L7" s="295"/>
    </row>
    <row r="8" spans="2:12" ht="15" customHeight="1">
      <c r="B8" s="182">
        <v>711111</v>
      </c>
      <c r="C8" s="296" t="s">
        <v>337</v>
      </c>
      <c r="D8" s="85">
        <v>3310</v>
      </c>
      <c r="E8" s="85">
        <v>3700</v>
      </c>
      <c r="F8" s="85">
        <v>2508</v>
      </c>
      <c r="G8" s="85">
        <v>3840</v>
      </c>
      <c r="H8" s="189">
        <f>IF(E8=0,"",G8/E8*100)</f>
        <v>103.78378378378379</v>
      </c>
      <c r="I8" s="427"/>
    </row>
    <row r="9" spans="2:12" ht="15" customHeight="1">
      <c r="B9" s="182">
        <v>711114</v>
      </c>
      <c r="C9" s="296" t="s">
        <v>612</v>
      </c>
      <c r="D9" s="85">
        <v>80</v>
      </c>
      <c r="E9" s="85">
        <v>50</v>
      </c>
      <c r="F9" s="85">
        <v>0</v>
      </c>
      <c r="G9" s="85">
        <v>50</v>
      </c>
      <c r="H9" s="189">
        <f>IF(E9=0,"",G9/E9*100)</f>
        <v>100</v>
      </c>
      <c r="I9" s="427"/>
    </row>
    <row r="10" spans="2:12" ht="15" customHeight="1">
      <c r="B10" s="182">
        <v>711115</v>
      </c>
      <c r="C10" s="296" t="s">
        <v>338</v>
      </c>
      <c r="D10" s="241">
        <v>140</v>
      </c>
      <c r="E10" s="241">
        <v>120</v>
      </c>
      <c r="F10" s="241">
        <v>96</v>
      </c>
      <c r="G10" s="241">
        <v>120</v>
      </c>
      <c r="H10" s="189">
        <f t="shared" ref="H10:H73" si="0">IF(E10=0,"",G10/E10*100)</f>
        <v>100</v>
      </c>
      <c r="I10" s="427"/>
    </row>
    <row r="11" spans="2:12" s="185" customFormat="1" ht="15" customHeight="1">
      <c r="B11" s="186">
        <v>711200</v>
      </c>
      <c r="C11" s="187" t="s">
        <v>341</v>
      </c>
      <c r="D11" s="183">
        <f>SUM(D12:D13)</f>
        <v>2500250</v>
      </c>
      <c r="E11" s="183">
        <f>SUM(E12:E13)</f>
        <v>3760450</v>
      </c>
      <c r="F11" s="183">
        <f>SUM(F12:F13)</f>
        <v>3146735</v>
      </c>
      <c r="G11" s="183">
        <f>SUM(G12:G13)</f>
        <v>3888290</v>
      </c>
      <c r="H11" s="198">
        <f t="shared" si="0"/>
        <v>103.39959313380047</v>
      </c>
      <c r="I11" s="427"/>
      <c r="J11" s="295"/>
      <c r="K11" s="295"/>
      <c r="L11" s="295"/>
    </row>
    <row r="12" spans="2:12" ht="15" customHeight="1">
      <c r="B12" s="182">
        <v>711211</v>
      </c>
      <c r="C12" s="296" t="s">
        <v>339</v>
      </c>
      <c r="D12" s="241">
        <v>2390850</v>
      </c>
      <c r="E12" s="241">
        <v>3707150</v>
      </c>
      <c r="F12" s="241">
        <v>3106875</v>
      </c>
      <c r="G12" s="241">
        <v>3833180</v>
      </c>
      <c r="H12" s="189">
        <f t="shared" si="0"/>
        <v>103.39964662881189</v>
      </c>
      <c r="I12" s="427"/>
    </row>
    <row r="13" spans="2:12" ht="15" customHeight="1">
      <c r="B13" s="182">
        <v>711212</v>
      </c>
      <c r="C13" s="296" t="s">
        <v>340</v>
      </c>
      <c r="D13" s="241">
        <v>109400</v>
      </c>
      <c r="E13" s="241">
        <v>53300</v>
      </c>
      <c r="F13" s="241">
        <v>39860</v>
      </c>
      <c r="G13" s="241">
        <v>55110</v>
      </c>
      <c r="H13" s="189">
        <f t="shared" si="0"/>
        <v>103.39587242026266</v>
      </c>
      <c r="I13" s="427"/>
    </row>
    <row r="14" spans="2:12" s="185" customFormat="1" ht="15" customHeight="1">
      <c r="B14" s="342">
        <v>713000</v>
      </c>
      <c r="C14" s="345" t="s">
        <v>342</v>
      </c>
      <c r="D14" s="344">
        <f>D15</f>
        <v>3400</v>
      </c>
      <c r="E14" s="344">
        <f>E15</f>
        <v>1450</v>
      </c>
      <c r="F14" s="344">
        <f>F15</f>
        <v>1091</v>
      </c>
      <c r="G14" s="344">
        <f>G15</f>
        <v>1550</v>
      </c>
      <c r="H14" s="314">
        <f t="shared" si="0"/>
        <v>106.89655172413792</v>
      </c>
      <c r="I14" s="427"/>
      <c r="J14" s="295"/>
      <c r="K14" s="295"/>
      <c r="L14" s="295"/>
    </row>
    <row r="15" spans="2:12" s="185" customFormat="1" ht="15" customHeight="1">
      <c r="B15" s="186">
        <v>713100</v>
      </c>
      <c r="C15" s="200" t="s">
        <v>442</v>
      </c>
      <c r="D15" s="201">
        <f>SUM(D16:D17)</f>
        <v>3400</v>
      </c>
      <c r="E15" s="201">
        <f>SUM(E16:E17)</f>
        <v>1450</v>
      </c>
      <c r="F15" s="201">
        <f>SUM(F16:F17)</f>
        <v>1091</v>
      </c>
      <c r="G15" s="201">
        <f>SUM(G16:G17)</f>
        <v>1550</v>
      </c>
      <c r="H15" s="198">
        <f t="shared" si="0"/>
        <v>106.89655172413792</v>
      </c>
      <c r="I15" s="427"/>
      <c r="J15" s="295"/>
      <c r="K15" s="295"/>
      <c r="L15" s="295"/>
    </row>
    <row r="16" spans="2:12" ht="15" customHeight="1">
      <c r="B16" s="182">
        <v>713111</v>
      </c>
      <c r="C16" s="296" t="s">
        <v>343</v>
      </c>
      <c r="D16" s="85">
        <v>3200</v>
      </c>
      <c r="E16" s="85">
        <v>1400</v>
      </c>
      <c r="F16" s="85">
        <v>1091</v>
      </c>
      <c r="G16" s="85">
        <v>1500</v>
      </c>
      <c r="H16" s="189">
        <f t="shared" si="0"/>
        <v>107.14285714285714</v>
      </c>
      <c r="I16" s="364"/>
    </row>
    <row r="17" spans="2:12" ht="15" customHeight="1">
      <c r="B17" s="182">
        <v>713113</v>
      </c>
      <c r="C17" s="296" t="s">
        <v>344</v>
      </c>
      <c r="D17" s="85">
        <v>200</v>
      </c>
      <c r="E17" s="85">
        <v>50</v>
      </c>
      <c r="F17" s="85">
        <v>0</v>
      </c>
      <c r="G17" s="85">
        <v>50</v>
      </c>
      <c r="H17" s="189">
        <f t="shared" si="0"/>
        <v>100</v>
      </c>
      <c r="I17" s="364"/>
    </row>
    <row r="18" spans="2:12" s="185" customFormat="1" ht="15" customHeight="1">
      <c r="B18" s="342">
        <v>714000</v>
      </c>
      <c r="C18" s="345" t="s">
        <v>190</v>
      </c>
      <c r="D18" s="344">
        <f>D19</f>
        <v>275100</v>
      </c>
      <c r="E18" s="344">
        <f>E19</f>
        <v>388650</v>
      </c>
      <c r="F18" s="344">
        <f>F19</f>
        <v>319387</v>
      </c>
      <c r="G18" s="344">
        <f>G19</f>
        <v>402150</v>
      </c>
      <c r="H18" s="314">
        <f t="shared" si="0"/>
        <v>103.47356233114628</v>
      </c>
      <c r="I18" s="427"/>
      <c r="J18" s="295"/>
      <c r="K18" s="295"/>
      <c r="L18" s="295"/>
    </row>
    <row r="19" spans="2:12" s="185" customFormat="1" ht="15" customHeight="1">
      <c r="B19" s="186">
        <v>714100</v>
      </c>
      <c r="C19" s="200" t="s">
        <v>441</v>
      </c>
      <c r="D19" s="201">
        <f>SUM(D20:D25)</f>
        <v>275100</v>
      </c>
      <c r="E19" s="201">
        <f>SUM(E20:E25)</f>
        <v>388650</v>
      </c>
      <c r="F19" s="201">
        <f>SUM(F20:F25)</f>
        <v>319387</v>
      </c>
      <c r="G19" s="201">
        <f>SUM(G20:G25)</f>
        <v>402150</v>
      </c>
      <c r="H19" s="198">
        <f t="shared" si="0"/>
        <v>103.47356233114628</v>
      </c>
      <c r="I19" s="427"/>
      <c r="J19" s="295"/>
      <c r="K19" s="295"/>
      <c r="L19" s="295"/>
    </row>
    <row r="20" spans="2:12" ht="15" customHeight="1">
      <c r="B20" s="182">
        <v>714111</v>
      </c>
      <c r="C20" s="296" t="s">
        <v>345</v>
      </c>
      <c r="D20" s="85">
        <v>42500</v>
      </c>
      <c r="E20" s="85">
        <v>41900</v>
      </c>
      <c r="F20" s="85">
        <v>32347</v>
      </c>
      <c r="G20" s="85">
        <v>42100</v>
      </c>
      <c r="H20" s="189">
        <f t="shared" si="0"/>
        <v>100.47732696897376</v>
      </c>
      <c r="I20" s="364"/>
    </row>
    <row r="21" spans="2:12" ht="15" customHeight="1">
      <c r="B21" s="182">
        <v>714112</v>
      </c>
      <c r="C21" s="296" t="s">
        <v>346</v>
      </c>
      <c r="D21" s="241">
        <v>6350</v>
      </c>
      <c r="E21" s="241">
        <v>5500</v>
      </c>
      <c r="F21" s="241">
        <v>5363</v>
      </c>
      <c r="G21" s="241">
        <v>5800</v>
      </c>
      <c r="H21" s="189">
        <f t="shared" si="0"/>
        <v>105.45454545454544</v>
      </c>
      <c r="I21" s="364"/>
    </row>
    <row r="22" spans="2:12" ht="15" customHeight="1">
      <c r="B22" s="182">
        <v>714113</v>
      </c>
      <c r="C22" s="296" t="s">
        <v>347</v>
      </c>
      <c r="D22" s="85">
        <v>50</v>
      </c>
      <c r="E22" s="85">
        <v>50</v>
      </c>
      <c r="F22" s="85">
        <v>33</v>
      </c>
      <c r="G22" s="85">
        <v>50</v>
      </c>
      <c r="H22" s="189">
        <f t="shared" si="0"/>
        <v>100</v>
      </c>
      <c r="I22" s="364"/>
    </row>
    <row r="23" spans="2:12" ht="15" customHeight="1">
      <c r="B23" s="182">
        <v>714121</v>
      </c>
      <c r="C23" s="296" t="s">
        <v>348</v>
      </c>
      <c r="D23" s="241">
        <v>15200</v>
      </c>
      <c r="E23" s="241">
        <v>13200</v>
      </c>
      <c r="F23" s="241">
        <v>10125</v>
      </c>
      <c r="G23" s="241">
        <v>12500</v>
      </c>
      <c r="H23" s="189">
        <f t="shared" si="0"/>
        <v>94.696969696969703</v>
      </c>
      <c r="I23" s="364"/>
    </row>
    <row r="24" spans="2:12" ht="13.5" customHeight="1">
      <c r="B24" s="182">
        <v>714131</v>
      </c>
      <c r="C24" s="296" t="s">
        <v>349</v>
      </c>
      <c r="D24" s="241">
        <v>115400</v>
      </c>
      <c r="E24" s="241">
        <f>210400+22000</f>
        <v>232400</v>
      </c>
      <c r="F24" s="241">
        <v>199399</v>
      </c>
      <c r="G24" s="241">
        <v>245800</v>
      </c>
      <c r="H24" s="189">
        <f t="shared" si="0"/>
        <v>105.76592082616179</v>
      </c>
      <c r="I24" s="364"/>
    </row>
    <row r="25" spans="2:12" ht="15" customHeight="1">
      <c r="B25" s="182">
        <v>714132</v>
      </c>
      <c r="C25" s="296" t="s">
        <v>350</v>
      </c>
      <c r="D25" s="85">
        <v>95600</v>
      </c>
      <c r="E25" s="85">
        <v>95600</v>
      </c>
      <c r="F25" s="85">
        <v>72120</v>
      </c>
      <c r="G25" s="85">
        <v>95900</v>
      </c>
      <c r="H25" s="189">
        <f t="shared" si="0"/>
        <v>100.31380753138075</v>
      </c>
      <c r="I25" s="364"/>
    </row>
    <row r="26" spans="2:12" s="185" customFormat="1" ht="25.5" customHeight="1">
      <c r="B26" s="342">
        <v>715000</v>
      </c>
      <c r="C26" s="343" t="s">
        <v>351</v>
      </c>
      <c r="D26" s="344">
        <f>D27+D32+D34</f>
        <v>4800</v>
      </c>
      <c r="E26" s="344">
        <f>E27+E32+E34</f>
        <v>2330</v>
      </c>
      <c r="F26" s="344">
        <f>F27+F32+F34</f>
        <v>1700</v>
      </c>
      <c r="G26" s="344">
        <f>G27+G32+G34</f>
        <v>2200</v>
      </c>
      <c r="H26" s="314">
        <f t="shared" si="0"/>
        <v>94.420600858369099</v>
      </c>
      <c r="I26" s="427"/>
      <c r="J26" s="295"/>
      <c r="K26" s="295"/>
      <c r="L26" s="295"/>
    </row>
    <row r="27" spans="2:12" s="185" customFormat="1" ht="26.25" customHeight="1">
      <c r="B27" s="186">
        <v>715100</v>
      </c>
      <c r="C27" s="297" t="s">
        <v>355</v>
      </c>
      <c r="D27" s="183">
        <f>SUM(D28:D31)</f>
        <v>1300</v>
      </c>
      <c r="E27" s="183">
        <f>SUM(E28:E31)</f>
        <v>580</v>
      </c>
      <c r="F27" s="183">
        <f>SUM(F28:F31)</f>
        <v>401</v>
      </c>
      <c r="G27" s="183">
        <f>SUM(G28:G31)</f>
        <v>500</v>
      </c>
      <c r="H27" s="198">
        <f t="shared" si="0"/>
        <v>86.206896551724128</v>
      </c>
      <c r="I27" s="427"/>
      <c r="J27" s="295"/>
      <c r="K27" s="295"/>
      <c r="L27" s="295"/>
    </row>
    <row r="28" spans="2:12" ht="15" customHeight="1">
      <c r="B28" s="182">
        <v>715131</v>
      </c>
      <c r="C28" s="296" t="s">
        <v>352</v>
      </c>
      <c r="D28" s="85">
        <v>200</v>
      </c>
      <c r="E28" s="85">
        <v>130</v>
      </c>
      <c r="F28" s="85">
        <v>94</v>
      </c>
      <c r="G28" s="85">
        <v>100</v>
      </c>
      <c r="H28" s="189">
        <f t="shared" si="0"/>
        <v>76.923076923076934</v>
      </c>
      <c r="I28" s="364"/>
    </row>
    <row r="29" spans="2:12" ht="15" customHeight="1">
      <c r="B29" s="182">
        <v>715132</v>
      </c>
      <c r="C29" s="296" t="s">
        <v>613</v>
      </c>
      <c r="D29" s="85">
        <v>50</v>
      </c>
      <c r="E29" s="85">
        <v>50</v>
      </c>
      <c r="F29" s="85">
        <v>0</v>
      </c>
      <c r="G29" s="85">
        <v>50</v>
      </c>
      <c r="H29" s="189">
        <f t="shared" si="0"/>
        <v>100</v>
      </c>
      <c r="I29" s="364"/>
    </row>
    <row r="30" spans="2:12" ht="15" customHeight="1">
      <c r="B30" s="182">
        <v>715137</v>
      </c>
      <c r="C30" s="296" t="s">
        <v>353</v>
      </c>
      <c r="D30" s="85">
        <v>50</v>
      </c>
      <c r="E30" s="85">
        <v>50</v>
      </c>
      <c r="F30" s="85">
        <v>0</v>
      </c>
      <c r="G30" s="85">
        <v>50</v>
      </c>
      <c r="H30" s="189">
        <f t="shared" si="0"/>
        <v>100</v>
      </c>
      <c r="I30" s="364"/>
    </row>
    <row r="31" spans="2:12" ht="15" customHeight="1">
      <c r="B31" s="182">
        <v>715141</v>
      </c>
      <c r="C31" s="296" t="s">
        <v>354</v>
      </c>
      <c r="D31" s="85">
        <v>1000</v>
      </c>
      <c r="E31" s="85">
        <v>350</v>
      </c>
      <c r="F31" s="85">
        <v>307</v>
      </c>
      <c r="G31" s="85">
        <v>300</v>
      </c>
      <c r="H31" s="189">
        <f t="shared" si="0"/>
        <v>85.714285714285708</v>
      </c>
      <c r="I31" s="364"/>
    </row>
    <row r="32" spans="2:12" s="185" customFormat="1" ht="15" customHeight="1">
      <c r="B32" s="186">
        <v>715200</v>
      </c>
      <c r="C32" s="298" t="s">
        <v>356</v>
      </c>
      <c r="D32" s="183">
        <f>D33</f>
        <v>2000</v>
      </c>
      <c r="E32" s="183">
        <f>E33</f>
        <v>1500</v>
      </c>
      <c r="F32" s="183">
        <f>F33</f>
        <v>1123</v>
      </c>
      <c r="G32" s="183">
        <f>G33</f>
        <v>1500</v>
      </c>
      <c r="H32" s="198">
        <f t="shared" si="0"/>
        <v>100</v>
      </c>
      <c r="I32" s="427"/>
      <c r="J32" s="295"/>
      <c r="K32" s="295"/>
      <c r="L32" s="295"/>
    </row>
    <row r="33" spans="2:12" ht="15" customHeight="1">
      <c r="B33" s="182">
        <v>715211</v>
      </c>
      <c r="C33" s="296" t="s">
        <v>357</v>
      </c>
      <c r="D33" s="85">
        <v>2000</v>
      </c>
      <c r="E33" s="85">
        <v>1500</v>
      </c>
      <c r="F33" s="85">
        <v>1123</v>
      </c>
      <c r="G33" s="85">
        <v>1500</v>
      </c>
      <c r="H33" s="189">
        <f t="shared" si="0"/>
        <v>100</v>
      </c>
      <c r="I33" s="364"/>
    </row>
    <row r="34" spans="2:12" s="185" customFormat="1" ht="15" customHeight="1">
      <c r="B34" s="186">
        <v>715900</v>
      </c>
      <c r="C34" s="298" t="s">
        <v>358</v>
      </c>
      <c r="D34" s="183">
        <f>D35</f>
        <v>1500</v>
      </c>
      <c r="E34" s="183">
        <f>E35</f>
        <v>250</v>
      </c>
      <c r="F34" s="183">
        <f>F35</f>
        <v>176</v>
      </c>
      <c r="G34" s="183">
        <f>G35</f>
        <v>200</v>
      </c>
      <c r="H34" s="198">
        <f t="shared" si="0"/>
        <v>80</v>
      </c>
      <c r="I34" s="427"/>
      <c r="J34" s="295"/>
      <c r="K34" s="295"/>
      <c r="L34" s="295"/>
    </row>
    <row r="35" spans="2:12" ht="27" customHeight="1">
      <c r="B35" s="182">
        <v>715914</v>
      </c>
      <c r="C35" s="299" t="s">
        <v>359</v>
      </c>
      <c r="D35" s="241">
        <v>1500</v>
      </c>
      <c r="E35" s="241">
        <v>250</v>
      </c>
      <c r="F35" s="241">
        <v>176</v>
      </c>
      <c r="G35" s="241">
        <v>200</v>
      </c>
      <c r="H35" s="189">
        <f t="shared" si="0"/>
        <v>80</v>
      </c>
      <c r="I35" s="364"/>
    </row>
    <row r="36" spans="2:12" s="185" customFormat="1" ht="15" customHeight="1">
      <c r="B36" s="342">
        <v>716000</v>
      </c>
      <c r="C36" s="345" t="s">
        <v>191</v>
      </c>
      <c r="D36" s="344">
        <f>D37</f>
        <v>2621680</v>
      </c>
      <c r="E36" s="344">
        <f>E37</f>
        <v>2566390</v>
      </c>
      <c r="F36" s="344">
        <f>F37</f>
        <v>1903402</v>
      </c>
      <c r="G36" s="344">
        <f>G37</f>
        <v>2827910</v>
      </c>
      <c r="H36" s="314">
        <f t="shared" si="0"/>
        <v>110.19018933209684</v>
      </c>
      <c r="I36" s="427"/>
      <c r="J36" s="301"/>
      <c r="K36" s="427"/>
      <c r="L36" s="295"/>
    </row>
    <row r="37" spans="2:12" s="185" customFormat="1" ht="15" customHeight="1">
      <c r="B37" s="186">
        <v>716100</v>
      </c>
      <c r="C37" s="298" t="s">
        <v>360</v>
      </c>
      <c r="D37" s="183">
        <f>SUM(D38:D44)</f>
        <v>2621680</v>
      </c>
      <c r="E37" s="183">
        <f>SUM(E38:E44)</f>
        <v>2566390</v>
      </c>
      <c r="F37" s="183">
        <f>SUM(F38:F44)</f>
        <v>1903402</v>
      </c>
      <c r="G37" s="183">
        <f>SUM(G38:G44)</f>
        <v>2827910</v>
      </c>
      <c r="H37" s="198">
        <f t="shared" si="0"/>
        <v>110.19018933209684</v>
      </c>
      <c r="I37" s="428"/>
      <c r="J37" s="300"/>
      <c r="K37" s="295"/>
      <c r="L37" s="295"/>
    </row>
    <row r="38" spans="2:12" ht="15" customHeight="1">
      <c r="B38" s="182">
        <v>716111</v>
      </c>
      <c r="C38" s="296" t="s">
        <v>362</v>
      </c>
      <c r="D38" s="241">
        <v>1591100</v>
      </c>
      <c r="E38" s="241">
        <f>1438600+350000</f>
        <v>1788600</v>
      </c>
      <c r="F38" s="241">
        <v>1337386</v>
      </c>
      <c r="G38" s="241">
        <v>1970860</v>
      </c>
      <c r="H38" s="189">
        <f t="shared" si="0"/>
        <v>110.19009281001901</v>
      </c>
      <c r="I38" s="427"/>
      <c r="J38" s="300"/>
    </row>
    <row r="39" spans="2:12" ht="15" customHeight="1">
      <c r="B39" s="182">
        <v>716112</v>
      </c>
      <c r="C39" s="296" t="s">
        <v>363</v>
      </c>
      <c r="D39" s="241">
        <v>64500</v>
      </c>
      <c r="E39" s="241">
        <f>83200+19000</f>
        <v>102200</v>
      </c>
      <c r="F39" s="241">
        <v>73647</v>
      </c>
      <c r="G39" s="241">
        <v>112600</v>
      </c>
      <c r="H39" s="189">
        <f t="shared" si="0"/>
        <v>110.17612524461839</v>
      </c>
      <c r="I39" s="427"/>
      <c r="J39" s="300"/>
    </row>
    <row r="40" spans="2:12" ht="15" customHeight="1">
      <c r="B40" s="182">
        <v>716113</v>
      </c>
      <c r="C40" s="296" t="s">
        <v>364</v>
      </c>
      <c r="D40" s="241">
        <v>313190</v>
      </c>
      <c r="E40" s="241">
        <v>25300</v>
      </c>
      <c r="F40" s="241">
        <v>14939</v>
      </c>
      <c r="G40" s="241">
        <v>27900</v>
      </c>
      <c r="H40" s="189">
        <f t="shared" si="0"/>
        <v>110.27667984189723</v>
      </c>
      <c r="I40" s="427"/>
      <c r="J40" s="300"/>
    </row>
    <row r="41" spans="2:12" ht="15" customHeight="1">
      <c r="B41" s="182">
        <v>716114</v>
      </c>
      <c r="C41" s="296" t="s">
        <v>365</v>
      </c>
      <c r="D41" s="241">
        <v>40</v>
      </c>
      <c r="E41" s="241">
        <v>190</v>
      </c>
      <c r="F41" s="241">
        <v>147</v>
      </c>
      <c r="G41" s="241">
        <v>200</v>
      </c>
      <c r="H41" s="189">
        <f t="shared" si="0"/>
        <v>105.26315789473684</v>
      </c>
      <c r="I41" s="427"/>
    </row>
    <row r="42" spans="2:12" ht="25.5" customHeight="1">
      <c r="B42" s="182">
        <v>716115</v>
      </c>
      <c r="C42" s="299" t="s">
        <v>366</v>
      </c>
      <c r="D42" s="241">
        <v>253820</v>
      </c>
      <c r="E42" s="241">
        <v>269200</v>
      </c>
      <c r="F42" s="241">
        <v>201553</v>
      </c>
      <c r="G42" s="241">
        <v>296600</v>
      </c>
      <c r="H42" s="189">
        <f t="shared" si="0"/>
        <v>110.17830609212483</v>
      </c>
      <c r="I42" s="427"/>
    </row>
    <row r="43" spans="2:12" ht="15" customHeight="1">
      <c r="B43" s="182">
        <v>716116</v>
      </c>
      <c r="C43" s="296" t="s">
        <v>367</v>
      </c>
      <c r="D43" s="241">
        <v>248660</v>
      </c>
      <c r="E43" s="241">
        <f>193400+72000</f>
        <v>265400</v>
      </c>
      <c r="F43" s="241">
        <v>174803</v>
      </c>
      <c r="G43" s="241">
        <v>292450</v>
      </c>
      <c r="H43" s="189">
        <f t="shared" si="0"/>
        <v>110.19216277317257</v>
      </c>
      <c r="I43" s="427"/>
    </row>
    <row r="44" spans="2:12" ht="15" customHeight="1">
      <c r="B44" s="182">
        <v>716117</v>
      </c>
      <c r="C44" s="296" t="s">
        <v>361</v>
      </c>
      <c r="D44" s="241">
        <v>150370</v>
      </c>
      <c r="E44" s="241">
        <v>115500</v>
      </c>
      <c r="F44" s="241">
        <v>100927</v>
      </c>
      <c r="G44" s="241">
        <v>127300</v>
      </c>
      <c r="H44" s="189">
        <f t="shared" si="0"/>
        <v>110.21645021645021</v>
      </c>
      <c r="I44" s="427"/>
    </row>
    <row r="45" spans="2:12" s="185" customFormat="1" ht="15" customHeight="1">
      <c r="B45" s="342">
        <v>717000</v>
      </c>
      <c r="C45" s="345" t="s">
        <v>192</v>
      </c>
      <c r="D45" s="344">
        <f>D46</f>
        <v>28178820</v>
      </c>
      <c r="E45" s="344">
        <f>E46</f>
        <v>28469880</v>
      </c>
      <c r="F45" s="344">
        <f>F46</f>
        <v>21458396</v>
      </c>
      <c r="G45" s="344">
        <f>G46</f>
        <v>29886860</v>
      </c>
      <c r="H45" s="314">
        <f t="shared" si="0"/>
        <v>104.97711967876226</v>
      </c>
      <c r="I45" s="427"/>
      <c r="J45" s="295"/>
      <c r="K45" s="295"/>
      <c r="L45" s="295"/>
    </row>
    <row r="46" spans="2:12" s="185" customFormat="1" ht="15" customHeight="1">
      <c r="B46" s="186">
        <v>717100</v>
      </c>
      <c r="C46" s="298" t="s">
        <v>368</v>
      </c>
      <c r="D46" s="183">
        <f>SUM(D47:D48)</f>
        <v>28178820</v>
      </c>
      <c r="E46" s="183">
        <f>SUM(E47:E48)</f>
        <v>28469880</v>
      </c>
      <c r="F46" s="183">
        <f>SUM(F47:F48)</f>
        <v>21458396</v>
      </c>
      <c r="G46" s="183">
        <f>SUM(G47:G48)</f>
        <v>29886860</v>
      </c>
      <c r="H46" s="198">
        <f t="shared" si="0"/>
        <v>104.97711967876226</v>
      </c>
      <c r="I46" s="427"/>
      <c r="J46" s="295"/>
      <c r="K46" s="295"/>
      <c r="L46" s="295"/>
    </row>
    <row r="47" spans="2:12" ht="15" customHeight="1">
      <c r="B47" s="182">
        <v>717121</v>
      </c>
      <c r="C47" s="296" t="s">
        <v>369</v>
      </c>
      <c r="D47" s="241">
        <v>27494830</v>
      </c>
      <c r="E47" s="241">
        <v>27754600</v>
      </c>
      <c r="F47" s="241">
        <v>20919272</v>
      </c>
      <c r="G47" s="241">
        <v>29135980</v>
      </c>
      <c r="H47" s="189">
        <f t="shared" si="0"/>
        <v>104.97712090968705</v>
      </c>
      <c r="I47" s="364"/>
    </row>
    <row r="48" spans="2:12" ht="15" customHeight="1">
      <c r="B48" s="182">
        <v>717131</v>
      </c>
      <c r="C48" s="296" t="s">
        <v>370</v>
      </c>
      <c r="D48" s="241">
        <v>683990</v>
      </c>
      <c r="E48" s="241">
        <v>715280</v>
      </c>
      <c r="F48" s="241">
        <v>539124</v>
      </c>
      <c r="G48" s="241">
        <v>750880</v>
      </c>
      <c r="H48" s="189">
        <f t="shared" si="0"/>
        <v>104.97707191589308</v>
      </c>
      <c r="I48" s="364"/>
      <c r="J48" s="364"/>
    </row>
    <row r="49" spans="1:12" s="185" customFormat="1" ht="15" customHeight="1">
      <c r="B49" s="342">
        <v>719000</v>
      </c>
      <c r="C49" s="345" t="s">
        <v>193</v>
      </c>
      <c r="D49" s="344">
        <f>D50</f>
        <v>150</v>
      </c>
      <c r="E49" s="344">
        <f>E50</f>
        <v>210</v>
      </c>
      <c r="F49" s="344">
        <f>F50</f>
        <v>153</v>
      </c>
      <c r="G49" s="344">
        <f>G50</f>
        <v>220</v>
      </c>
      <c r="H49" s="314">
        <f t="shared" si="0"/>
        <v>104.76190476190477</v>
      </c>
      <c r="I49" s="427"/>
      <c r="J49" s="363"/>
      <c r="K49" s="295"/>
      <c r="L49" s="295"/>
    </row>
    <row r="50" spans="1:12" s="185" customFormat="1" ht="15" customHeight="1">
      <c r="B50" s="186">
        <v>719100</v>
      </c>
      <c r="C50" s="298" t="s">
        <v>371</v>
      </c>
      <c r="D50" s="183">
        <f>SUM(D51:D53)</f>
        <v>150</v>
      </c>
      <c r="E50" s="183">
        <f>SUM(E51:E53)</f>
        <v>210</v>
      </c>
      <c r="F50" s="183">
        <f>SUM(F51:F53)</f>
        <v>153</v>
      </c>
      <c r="G50" s="183">
        <f>SUM(G51:G53)</f>
        <v>220</v>
      </c>
      <c r="H50" s="198">
        <f t="shared" si="0"/>
        <v>104.76190476190477</v>
      </c>
      <c r="I50" s="427"/>
      <c r="J50" s="295"/>
      <c r="K50" s="295"/>
      <c r="L50" s="295"/>
    </row>
    <row r="51" spans="1:12" ht="15" customHeight="1" thickBot="1">
      <c r="A51" s="258"/>
      <c r="B51" s="182">
        <v>719111</v>
      </c>
      <c r="C51" s="296" t="s">
        <v>371</v>
      </c>
      <c r="D51" s="85">
        <v>50</v>
      </c>
      <c r="E51" s="85">
        <v>90</v>
      </c>
      <c r="F51" s="85">
        <v>60</v>
      </c>
      <c r="G51" s="85">
        <v>100</v>
      </c>
      <c r="H51" s="189">
        <f t="shared" si="0"/>
        <v>111.11111111111111</v>
      </c>
      <c r="I51" s="364"/>
    </row>
    <row r="52" spans="1:12">
      <c r="B52" s="306">
        <v>719114</v>
      </c>
      <c r="C52" s="307" t="s">
        <v>372</v>
      </c>
      <c r="D52" s="375">
        <v>50</v>
      </c>
      <c r="E52" s="375">
        <v>50</v>
      </c>
      <c r="F52" s="375">
        <v>43</v>
      </c>
      <c r="G52" s="375">
        <v>50</v>
      </c>
      <c r="H52" s="315">
        <f t="shared" si="0"/>
        <v>100</v>
      </c>
    </row>
    <row r="53" spans="1:12" ht="25.5">
      <c r="B53" s="182">
        <v>719115</v>
      </c>
      <c r="C53" s="299" t="s">
        <v>373</v>
      </c>
      <c r="D53" s="241">
        <v>50</v>
      </c>
      <c r="E53" s="241">
        <v>70</v>
      </c>
      <c r="F53" s="241">
        <v>50</v>
      </c>
      <c r="G53" s="241">
        <v>70</v>
      </c>
      <c r="H53" s="192">
        <f t="shared" si="0"/>
        <v>100</v>
      </c>
      <c r="I53" s="429"/>
    </row>
    <row r="54" spans="1:12">
      <c r="B54" s="182"/>
      <c r="C54" s="29"/>
      <c r="D54" s="85"/>
      <c r="E54" s="85"/>
      <c r="F54" s="85"/>
      <c r="G54" s="85"/>
      <c r="H54" s="192" t="str">
        <f t="shared" si="0"/>
        <v/>
      </c>
      <c r="I54" s="429"/>
    </row>
    <row r="55" spans="1:12" ht="15">
      <c r="B55" s="339">
        <v>720000</v>
      </c>
      <c r="C55" s="340" t="s">
        <v>188</v>
      </c>
      <c r="D55" s="341">
        <f>D56+D68+D137</f>
        <v>2661010</v>
      </c>
      <c r="E55" s="341">
        <f>E56+E68+E137</f>
        <v>2727620</v>
      </c>
      <c r="F55" s="341">
        <f>F56+F68+F137</f>
        <v>1933376</v>
      </c>
      <c r="G55" s="341">
        <f>G56+G68+G137</f>
        <v>2391380</v>
      </c>
      <c r="H55" s="313">
        <f t="shared" si="0"/>
        <v>87.672769667329035</v>
      </c>
      <c r="I55" s="430"/>
      <c r="J55" s="364"/>
    </row>
    <row r="56" spans="1:12" ht="25.5">
      <c r="B56" s="342">
        <v>721000</v>
      </c>
      <c r="C56" s="346" t="s">
        <v>218</v>
      </c>
      <c r="D56" s="344">
        <f>D57+D60+D64+D66</f>
        <v>101060</v>
      </c>
      <c r="E56" s="344">
        <f>E57+E60+E64+E66</f>
        <v>80430</v>
      </c>
      <c r="F56" s="344">
        <f>F57+F60+F64+F66</f>
        <v>77891</v>
      </c>
      <c r="G56" s="344">
        <f>G57+G60+G64+G66</f>
        <v>83380</v>
      </c>
      <c r="H56" s="314">
        <f t="shared" si="0"/>
        <v>103.66778565211985</v>
      </c>
    </row>
    <row r="57" spans="1:12">
      <c r="B57" s="186">
        <v>721100</v>
      </c>
      <c r="C57" s="298" t="s">
        <v>374</v>
      </c>
      <c r="D57" s="183">
        <f>SUM(D58:D59)</f>
        <v>90240</v>
      </c>
      <c r="E57" s="183">
        <f>SUM(E58:E59)</f>
        <v>68600</v>
      </c>
      <c r="F57" s="183">
        <f>SUM(F58:F59)</f>
        <v>68494</v>
      </c>
      <c r="G57" s="183">
        <f>SUM(G58:G59)</f>
        <v>73300</v>
      </c>
      <c r="H57" s="366">
        <f t="shared" si="0"/>
        <v>106.85131195335278</v>
      </c>
      <c r="J57" s="364"/>
    </row>
    <row r="58" spans="1:12">
      <c r="B58" s="182">
        <v>721112</v>
      </c>
      <c r="C58" s="296" t="s">
        <v>375</v>
      </c>
      <c r="D58" s="241">
        <v>240</v>
      </c>
      <c r="E58" s="241">
        <v>300</v>
      </c>
      <c r="F58" s="241">
        <v>239</v>
      </c>
      <c r="G58" s="241">
        <v>300</v>
      </c>
      <c r="H58" s="192">
        <f t="shared" si="0"/>
        <v>100</v>
      </c>
      <c r="I58" s="431"/>
    </row>
    <row r="59" spans="1:12">
      <c r="B59" s="182">
        <v>721121</v>
      </c>
      <c r="C59" s="296" t="s">
        <v>639</v>
      </c>
      <c r="D59" s="241">
        <v>90000</v>
      </c>
      <c r="E59" s="241">
        <v>68300</v>
      </c>
      <c r="F59" s="241">
        <v>68255</v>
      </c>
      <c r="G59" s="241">
        <v>73000</v>
      </c>
      <c r="H59" s="335">
        <f t="shared" si="0"/>
        <v>106.88140556368961</v>
      </c>
      <c r="I59" s="431"/>
      <c r="J59" s="364"/>
    </row>
    <row r="60" spans="1:12">
      <c r="B60" s="194">
        <v>721200</v>
      </c>
      <c r="C60" s="298" t="s">
        <v>376</v>
      </c>
      <c r="D60" s="84">
        <f>SUM(D61:D63)</f>
        <v>10720</v>
      </c>
      <c r="E60" s="84">
        <f>SUM(E61:E63)</f>
        <v>11700</v>
      </c>
      <c r="F60" s="84">
        <f>SUM(F61:F63)</f>
        <v>9365</v>
      </c>
      <c r="G60" s="84">
        <f>SUM(G61:G63)</f>
        <v>10000</v>
      </c>
      <c r="H60" s="184">
        <f t="shared" si="0"/>
        <v>85.470085470085465</v>
      </c>
    </row>
    <row r="61" spans="1:12">
      <c r="B61" s="195">
        <v>721211</v>
      </c>
      <c r="C61" s="296" t="s">
        <v>377</v>
      </c>
      <c r="D61" s="193">
        <v>3700</v>
      </c>
      <c r="E61" s="193">
        <v>1700</v>
      </c>
      <c r="F61" s="193">
        <v>1359</v>
      </c>
      <c r="G61" s="193">
        <v>1500</v>
      </c>
      <c r="H61" s="192">
        <f t="shared" si="0"/>
        <v>88.235294117647058</v>
      </c>
      <c r="J61" s="364"/>
    </row>
    <row r="62" spans="1:12">
      <c r="B62" s="195">
        <v>721225</v>
      </c>
      <c r="C62" s="296" t="s">
        <v>785</v>
      </c>
      <c r="D62" s="188">
        <v>7000</v>
      </c>
      <c r="E62" s="188">
        <v>10000</v>
      </c>
      <c r="F62" s="188">
        <v>8006</v>
      </c>
      <c r="G62" s="188">
        <v>8500</v>
      </c>
      <c r="H62" s="192">
        <f t="shared" si="0"/>
        <v>85</v>
      </c>
    </row>
    <row r="63" spans="1:12">
      <c r="B63" s="195">
        <v>721233</v>
      </c>
      <c r="C63" s="296" t="s">
        <v>784</v>
      </c>
      <c r="D63" s="85">
        <v>20</v>
      </c>
      <c r="E63" s="85">
        <v>0</v>
      </c>
      <c r="F63" s="85">
        <v>0</v>
      </c>
      <c r="G63" s="85">
        <v>0</v>
      </c>
      <c r="H63" s="192" t="str">
        <f t="shared" si="0"/>
        <v/>
      </c>
      <c r="J63" s="364"/>
    </row>
    <row r="64" spans="1:12">
      <c r="B64" s="194">
        <v>721300</v>
      </c>
      <c r="C64" s="298" t="s">
        <v>378</v>
      </c>
      <c r="D64" s="84">
        <f>SUM(D65:D65)</f>
        <v>0</v>
      </c>
      <c r="E64" s="84">
        <f>SUM(E65:E65)</f>
        <v>30</v>
      </c>
      <c r="F64" s="84">
        <f>SUM(F65:F65)</f>
        <v>25</v>
      </c>
      <c r="G64" s="84">
        <f>SUM(G65:G65)</f>
        <v>30</v>
      </c>
      <c r="H64" s="184">
        <f t="shared" si="0"/>
        <v>100</v>
      </c>
      <c r="J64" s="364"/>
    </row>
    <row r="65" spans="2:12">
      <c r="B65" s="195">
        <v>721312</v>
      </c>
      <c r="C65" s="296" t="s">
        <v>379</v>
      </c>
      <c r="D65" s="85">
        <v>0</v>
      </c>
      <c r="E65" s="85">
        <v>30</v>
      </c>
      <c r="F65" s="85">
        <v>25</v>
      </c>
      <c r="G65" s="85">
        <v>30</v>
      </c>
      <c r="H65" s="192">
        <f t="shared" si="0"/>
        <v>100</v>
      </c>
      <c r="J65" s="364"/>
    </row>
    <row r="66" spans="2:12">
      <c r="B66" s="194">
        <v>721500</v>
      </c>
      <c r="C66" s="298" t="s">
        <v>380</v>
      </c>
      <c r="D66" s="84">
        <f>D67</f>
        <v>100</v>
      </c>
      <c r="E66" s="84">
        <f>E67</f>
        <v>100</v>
      </c>
      <c r="F66" s="84">
        <f>F67</f>
        <v>7</v>
      </c>
      <c r="G66" s="84">
        <f>G67</f>
        <v>50</v>
      </c>
      <c r="H66" s="184">
        <f t="shared" si="0"/>
        <v>50</v>
      </c>
    </row>
    <row r="67" spans="2:12">
      <c r="B67" s="195">
        <v>721511</v>
      </c>
      <c r="C67" s="296" t="s">
        <v>380</v>
      </c>
      <c r="D67" s="85">
        <v>100</v>
      </c>
      <c r="E67" s="85">
        <v>100</v>
      </c>
      <c r="F67" s="85">
        <v>7</v>
      </c>
      <c r="G67" s="85">
        <v>50</v>
      </c>
      <c r="H67" s="192">
        <f t="shared" si="0"/>
        <v>50</v>
      </c>
      <c r="J67" s="364"/>
    </row>
    <row r="68" spans="2:12" ht="25.5">
      <c r="B68" s="342">
        <v>722000</v>
      </c>
      <c r="C68" s="343" t="s">
        <v>443</v>
      </c>
      <c r="D68" s="347">
        <f>D69+D71+D73+D89+D126+D133</f>
        <v>2196000</v>
      </c>
      <c r="E68" s="347">
        <f>E69+E71+E73+E89+E126+E133</f>
        <v>2177400</v>
      </c>
      <c r="F68" s="347">
        <f>F69+F71+F73+F89+F126+F133</f>
        <v>1500452</v>
      </c>
      <c r="G68" s="347">
        <f>G69+G71+G73+G89+G126+G133</f>
        <v>1823930</v>
      </c>
      <c r="H68" s="314">
        <f t="shared" si="0"/>
        <v>83.766418664462208</v>
      </c>
    </row>
    <row r="69" spans="2:12">
      <c r="B69" s="186">
        <v>722100</v>
      </c>
      <c r="C69" s="203" t="s">
        <v>381</v>
      </c>
      <c r="D69" s="201">
        <f>D70</f>
        <v>148100</v>
      </c>
      <c r="E69" s="201">
        <f>E70</f>
        <v>119800</v>
      </c>
      <c r="F69" s="201">
        <f>F70</f>
        <v>88813</v>
      </c>
      <c r="G69" s="201">
        <f>G70</f>
        <v>118500</v>
      </c>
      <c r="H69" s="184">
        <f t="shared" si="0"/>
        <v>98.914858096828056</v>
      </c>
      <c r="J69" s="364"/>
    </row>
    <row r="70" spans="2:12">
      <c r="B70" s="190">
        <v>722121</v>
      </c>
      <c r="C70" s="302" t="s">
        <v>382</v>
      </c>
      <c r="D70" s="188">
        <v>148100</v>
      </c>
      <c r="E70" s="188">
        <v>119800</v>
      </c>
      <c r="F70" s="188">
        <v>88813</v>
      </c>
      <c r="G70" s="188">
        <v>118500</v>
      </c>
      <c r="H70" s="192">
        <f t="shared" si="0"/>
        <v>98.914858096828056</v>
      </c>
    </row>
    <row r="71" spans="2:12">
      <c r="B71" s="186">
        <v>722200</v>
      </c>
      <c r="C71" s="203" t="s">
        <v>383</v>
      </c>
      <c r="D71" s="201">
        <f>D72</f>
        <v>410800</v>
      </c>
      <c r="E71" s="201">
        <f>E72</f>
        <v>364600</v>
      </c>
      <c r="F71" s="201">
        <f>F72</f>
        <v>275444</v>
      </c>
      <c r="G71" s="201">
        <f>G72</f>
        <v>365300</v>
      </c>
      <c r="H71" s="184">
        <f t="shared" si="0"/>
        <v>100.19199122325837</v>
      </c>
      <c r="L71" s="432"/>
    </row>
    <row r="72" spans="2:12">
      <c r="B72" s="190">
        <v>722221</v>
      </c>
      <c r="C72" s="302" t="s">
        <v>384</v>
      </c>
      <c r="D72" s="188">
        <v>410800</v>
      </c>
      <c r="E72" s="188">
        <v>364600</v>
      </c>
      <c r="F72" s="188">
        <v>275444</v>
      </c>
      <c r="G72" s="188">
        <v>365300</v>
      </c>
      <c r="H72" s="192">
        <f t="shared" si="0"/>
        <v>100.19199122325837</v>
      </c>
    </row>
    <row r="73" spans="2:12">
      <c r="B73" s="186">
        <v>722400</v>
      </c>
      <c r="C73" s="203" t="s">
        <v>385</v>
      </c>
      <c r="D73" s="201">
        <f>D74+D80+D84</f>
        <v>479400</v>
      </c>
      <c r="E73" s="201">
        <f>E74+E80+E84</f>
        <v>529440</v>
      </c>
      <c r="F73" s="201">
        <f>F74+F80+F84</f>
        <v>195795</v>
      </c>
      <c r="G73" s="201">
        <f>G74+G80+G84</f>
        <v>174340</v>
      </c>
      <c r="H73" s="184">
        <f t="shared" si="0"/>
        <v>32.929132668479902</v>
      </c>
    </row>
    <row r="74" spans="2:12">
      <c r="B74" s="204">
        <v>722420</v>
      </c>
      <c r="C74" s="303" t="s">
        <v>386</v>
      </c>
      <c r="D74" s="191">
        <f>D75+D76+D78+D79</f>
        <v>329700</v>
      </c>
      <c r="E74" s="191">
        <f>E75+E76+E78+E79</f>
        <v>352340</v>
      </c>
      <c r="F74" s="191">
        <f>F75+F76+F78+F79</f>
        <v>79827</v>
      </c>
      <c r="G74" s="191">
        <f>G75+G76+G78+G79</f>
        <v>25540</v>
      </c>
      <c r="H74" s="184">
        <f t="shared" ref="H74:H141" si="1">IF(E74=0,"",G74/E74*100)</f>
        <v>7.2486802520292892</v>
      </c>
    </row>
    <row r="75" spans="2:12">
      <c r="B75" s="190">
        <v>722421</v>
      </c>
      <c r="C75" s="302" t="s">
        <v>386</v>
      </c>
      <c r="D75" s="188">
        <v>0</v>
      </c>
      <c r="E75" s="188">
        <v>20</v>
      </c>
      <c r="F75" s="188">
        <v>10</v>
      </c>
      <c r="G75" s="188">
        <v>20</v>
      </c>
      <c r="H75" s="192">
        <f>IF(E75=0,"",G75/E75*100)</f>
        <v>100</v>
      </c>
    </row>
    <row r="76" spans="2:12">
      <c r="B76" s="190">
        <v>722422</v>
      </c>
      <c r="C76" s="302" t="s">
        <v>473</v>
      </c>
      <c r="D76" s="188">
        <f>D77</f>
        <v>325000</v>
      </c>
      <c r="E76" s="188">
        <f>E77</f>
        <v>346700</v>
      </c>
      <c r="F76" s="188">
        <f>F77</f>
        <v>75763</v>
      </c>
      <c r="G76" s="188">
        <f>G77</f>
        <v>20500</v>
      </c>
      <c r="H76" s="192">
        <f t="shared" si="1"/>
        <v>5.9128929910585519</v>
      </c>
    </row>
    <row r="77" spans="2:12">
      <c r="B77" s="190"/>
      <c r="C77" s="304" t="s">
        <v>806</v>
      </c>
      <c r="D77" s="188">
        <v>325000</v>
      </c>
      <c r="E77" s="188">
        <v>346700</v>
      </c>
      <c r="F77" s="188">
        <v>75763</v>
      </c>
      <c r="G77" s="188">
        <v>20500</v>
      </c>
      <c r="H77" s="192">
        <f t="shared" si="1"/>
        <v>5.9128929910585519</v>
      </c>
      <c r="I77" s="431"/>
    </row>
    <row r="78" spans="2:12">
      <c r="B78" s="190">
        <v>722424</v>
      </c>
      <c r="C78" s="302" t="s">
        <v>389</v>
      </c>
      <c r="D78" s="188">
        <v>4200</v>
      </c>
      <c r="E78" s="188">
        <v>5600</v>
      </c>
      <c r="F78" s="188">
        <v>4050</v>
      </c>
      <c r="G78" s="188">
        <v>5000</v>
      </c>
      <c r="H78" s="192">
        <f t="shared" si="1"/>
        <v>89.285714285714292</v>
      </c>
    </row>
    <row r="79" spans="2:12">
      <c r="B79" s="190">
        <v>722429</v>
      </c>
      <c r="C79" s="302" t="s">
        <v>387</v>
      </c>
      <c r="D79" s="188">
        <v>500</v>
      </c>
      <c r="E79" s="188">
        <v>20</v>
      </c>
      <c r="F79" s="188">
        <v>4</v>
      </c>
      <c r="G79" s="188">
        <v>20</v>
      </c>
      <c r="H79" s="192">
        <f t="shared" si="1"/>
        <v>100</v>
      </c>
      <c r="K79" s="364"/>
    </row>
    <row r="80" spans="2:12">
      <c r="B80" s="202">
        <v>722450</v>
      </c>
      <c r="C80" s="303" t="s">
        <v>388</v>
      </c>
      <c r="D80" s="199">
        <f>SUM(D81:D83)</f>
        <v>8000</v>
      </c>
      <c r="E80" s="199">
        <f>SUM(E81:E83)</f>
        <v>7300</v>
      </c>
      <c r="F80" s="199">
        <f>SUM(F81:F83)</f>
        <v>6426</v>
      </c>
      <c r="G80" s="199">
        <f>SUM(G81:G83)</f>
        <v>7100</v>
      </c>
      <c r="H80" s="184">
        <f t="shared" si="1"/>
        <v>97.260273972602747</v>
      </c>
    </row>
    <row r="81" spans="2:10">
      <c r="B81" s="190">
        <v>722451</v>
      </c>
      <c r="C81" s="302" t="s">
        <v>390</v>
      </c>
      <c r="D81" s="188">
        <v>6400</v>
      </c>
      <c r="E81" s="188">
        <v>5000</v>
      </c>
      <c r="F81" s="188">
        <v>4672</v>
      </c>
      <c r="G81" s="188">
        <v>5200</v>
      </c>
      <c r="H81" s="192">
        <f t="shared" si="1"/>
        <v>104</v>
      </c>
    </row>
    <row r="82" spans="2:10">
      <c r="B82" s="190">
        <v>722454</v>
      </c>
      <c r="C82" s="302" t="s">
        <v>391</v>
      </c>
      <c r="D82" s="188">
        <v>1600</v>
      </c>
      <c r="E82" s="188">
        <v>2300</v>
      </c>
      <c r="F82" s="188">
        <v>1754</v>
      </c>
      <c r="G82" s="188">
        <v>1900</v>
      </c>
      <c r="H82" s="192">
        <f t="shared" si="1"/>
        <v>82.608695652173907</v>
      </c>
    </row>
    <row r="83" spans="2:10" ht="14.25" customHeight="1">
      <c r="B83" s="190">
        <v>722455</v>
      </c>
      <c r="C83" s="304" t="s">
        <v>807</v>
      </c>
      <c r="D83" s="188">
        <v>0</v>
      </c>
      <c r="E83" s="188">
        <v>0</v>
      </c>
      <c r="F83" s="188">
        <v>0</v>
      </c>
      <c r="G83" s="188">
        <v>0</v>
      </c>
      <c r="H83" s="192" t="str">
        <f>IF(E83=0,"",G83/E83*100)</f>
        <v/>
      </c>
      <c r="I83" s="431"/>
    </row>
    <row r="84" spans="2:10" ht="25.5">
      <c r="B84" s="202">
        <v>722470</v>
      </c>
      <c r="C84" s="305" t="s">
        <v>444</v>
      </c>
      <c r="D84" s="199">
        <f>D85+D87+D88</f>
        <v>141700</v>
      </c>
      <c r="E84" s="199">
        <f>E85+E87+E88</f>
        <v>169800</v>
      </c>
      <c r="F84" s="199">
        <f>F85+F87+F88</f>
        <v>109542</v>
      </c>
      <c r="G84" s="199">
        <f>G85+G87+G88</f>
        <v>141700</v>
      </c>
      <c r="H84" s="184">
        <f t="shared" si="1"/>
        <v>83.451118963486465</v>
      </c>
    </row>
    <row r="85" spans="2:10">
      <c r="B85" s="190">
        <v>722471</v>
      </c>
      <c r="C85" s="302" t="s">
        <v>392</v>
      </c>
      <c r="D85" s="188">
        <f>D86</f>
        <v>126100</v>
      </c>
      <c r="E85" s="188">
        <f>E86</f>
        <v>146100</v>
      </c>
      <c r="F85" s="188">
        <f>F86</f>
        <v>89116</v>
      </c>
      <c r="G85" s="188">
        <f>G86</f>
        <v>121500</v>
      </c>
      <c r="H85" s="192">
        <f t="shared" si="1"/>
        <v>83.162217659137568</v>
      </c>
      <c r="J85" s="364"/>
    </row>
    <row r="86" spans="2:10">
      <c r="B86" s="190"/>
      <c r="C86" s="304" t="s">
        <v>806</v>
      </c>
      <c r="D86" s="188">
        <v>126100</v>
      </c>
      <c r="E86" s="188">
        <f>116100+30000</f>
        <v>146100</v>
      </c>
      <c r="F86" s="188">
        <v>89116</v>
      </c>
      <c r="G86" s="188">
        <f>105500+16000</f>
        <v>121500</v>
      </c>
      <c r="H86" s="192">
        <f t="shared" si="1"/>
        <v>83.162217659137568</v>
      </c>
    </row>
    <row r="87" spans="2:10" ht="25.5">
      <c r="B87" s="190">
        <v>722472</v>
      </c>
      <c r="C87" s="304" t="s">
        <v>393</v>
      </c>
      <c r="D87" s="188">
        <v>15600</v>
      </c>
      <c r="E87" s="188">
        <v>18500</v>
      </c>
      <c r="F87" s="188">
        <v>15246</v>
      </c>
      <c r="G87" s="188">
        <v>17500</v>
      </c>
      <c r="H87" s="192">
        <f t="shared" si="1"/>
        <v>94.594594594594597</v>
      </c>
    </row>
    <row r="88" spans="2:10">
      <c r="B88" s="190">
        <v>722479</v>
      </c>
      <c r="C88" s="304" t="s">
        <v>786</v>
      </c>
      <c r="D88" s="188">
        <v>0</v>
      </c>
      <c r="E88" s="188">
        <v>5200</v>
      </c>
      <c r="F88" s="188">
        <v>5180</v>
      </c>
      <c r="G88" s="188">
        <v>2700</v>
      </c>
      <c r="H88" s="192">
        <f t="shared" si="1"/>
        <v>51.923076923076927</v>
      </c>
    </row>
    <row r="89" spans="2:10">
      <c r="B89" s="186">
        <v>722500</v>
      </c>
      <c r="C89" s="67" t="s">
        <v>805</v>
      </c>
      <c r="D89" s="205">
        <f>D90+D94+D105+D110+D112+D119</f>
        <v>744400</v>
      </c>
      <c r="E89" s="205">
        <f>E90+E94+E105+E110+E112+E119</f>
        <v>756270</v>
      </c>
      <c r="F89" s="205">
        <f>F90+F94+F105+F110+F112+F119</f>
        <v>623882</v>
      </c>
      <c r="G89" s="205">
        <f>G90+G94+G105+G110+G112+G119</f>
        <v>760000</v>
      </c>
      <c r="H89" s="184">
        <f t="shared" si="1"/>
        <v>100.49321009692305</v>
      </c>
    </row>
    <row r="90" spans="2:10" ht="27" customHeight="1">
      <c r="B90" s="202">
        <v>722510</v>
      </c>
      <c r="C90" s="206" t="s">
        <v>445</v>
      </c>
      <c r="D90" s="199">
        <f>SUM(D91:D93)</f>
        <v>3750</v>
      </c>
      <c r="E90" s="199">
        <f>SUM(E91:E93)</f>
        <v>9770</v>
      </c>
      <c r="F90" s="199">
        <f>SUM(F91:F93)</f>
        <v>7704</v>
      </c>
      <c r="G90" s="199">
        <f>SUM(G91:G93)</f>
        <v>9330</v>
      </c>
      <c r="H90" s="184">
        <f t="shared" si="1"/>
        <v>95.496417604912992</v>
      </c>
    </row>
    <row r="91" spans="2:10" ht="25.5">
      <c r="B91" s="182">
        <v>722514</v>
      </c>
      <c r="C91" s="105" t="s">
        <v>408</v>
      </c>
      <c r="D91" s="161">
        <v>1800</v>
      </c>
      <c r="E91" s="161">
        <f>2990+550</f>
        <v>3540</v>
      </c>
      <c r="F91" s="161">
        <v>2992</v>
      </c>
      <c r="G91" s="161">
        <v>3000</v>
      </c>
      <c r="H91" s="192">
        <f t="shared" si="1"/>
        <v>84.745762711864401</v>
      </c>
    </row>
    <row r="92" spans="2:10">
      <c r="B92" s="182">
        <v>722515</v>
      </c>
      <c r="C92" s="106" t="s">
        <v>394</v>
      </c>
      <c r="D92" s="161">
        <v>1920</v>
      </c>
      <c r="E92" s="161">
        <f>5100+1100</f>
        <v>6200</v>
      </c>
      <c r="F92" s="161">
        <v>4712</v>
      </c>
      <c r="G92" s="161">
        <v>6300</v>
      </c>
      <c r="H92" s="192">
        <f t="shared" si="1"/>
        <v>101.61290322580645</v>
      </c>
    </row>
    <row r="93" spans="2:10">
      <c r="B93" s="182">
        <v>722516</v>
      </c>
      <c r="C93" s="106" t="s">
        <v>395</v>
      </c>
      <c r="D93" s="161">
        <v>30</v>
      </c>
      <c r="E93" s="161">
        <v>30</v>
      </c>
      <c r="F93" s="161">
        <v>0</v>
      </c>
      <c r="G93" s="161">
        <v>30</v>
      </c>
      <c r="H93" s="192">
        <f t="shared" si="1"/>
        <v>100</v>
      </c>
    </row>
    <row r="94" spans="2:10">
      <c r="B94" s="202">
        <v>722520</v>
      </c>
      <c r="C94" s="207" t="s">
        <v>396</v>
      </c>
      <c r="D94" s="199">
        <f>D95+D97+D98+D99+D100+D101+D102+D103+D104</f>
        <v>226240</v>
      </c>
      <c r="E94" s="199">
        <f>E95+E97+E98+E99+E100+E101+E102+E103+E104</f>
        <v>208060</v>
      </c>
      <c r="F94" s="199">
        <f>F95+F97+F98+F99+F100+F101+F102+F103+F104</f>
        <v>157756</v>
      </c>
      <c r="G94" s="199">
        <f>G95+G97+G98+G99+G100+G101+G102+G103+G104</f>
        <v>207630</v>
      </c>
      <c r="H94" s="184">
        <f t="shared" si="1"/>
        <v>99.793328847447853</v>
      </c>
    </row>
    <row r="95" spans="2:10" ht="25.5">
      <c r="B95" s="182">
        <v>722521</v>
      </c>
      <c r="C95" s="105" t="s">
        <v>409</v>
      </c>
      <c r="D95" s="161">
        <f>D96</f>
        <v>117680</v>
      </c>
      <c r="E95" s="161">
        <f>E96</f>
        <v>92900</v>
      </c>
      <c r="F95" s="161">
        <f>F96</f>
        <v>69820</v>
      </c>
      <c r="G95" s="161">
        <f>G96</f>
        <v>92500</v>
      </c>
      <c r="H95" s="192">
        <f t="shared" si="1"/>
        <v>99.569429494079657</v>
      </c>
    </row>
    <row r="96" spans="2:10">
      <c r="B96" s="190"/>
      <c r="C96" s="304" t="s">
        <v>614</v>
      </c>
      <c r="D96" s="161">
        <v>117680</v>
      </c>
      <c r="E96" s="161">
        <v>92900</v>
      </c>
      <c r="F96" s="161">
        <v>69820</v>
      </c>
      <c r="G96" s="161">
        <v>92500</v>
      </c>
      <c r="H96" s="192">
        <f t="shared" si="1"/>
        <v>99.569429494079657</v>
      </c>
    </row>
    <row r="97" spans="2:10" ht="25.5" customHeight="1">
      <c r="B97" s="306">
        <v>722522</v>
      </c>
      <c r="C97" s="308" t="s">
        <v>410</v>
      </c>
      <c r="D97" s="309">
        <v>30300</v>
      </c>
      <c r="E97" s="309">
        <v>31500</v>
      </c>
      <c r="F97" s="309">
        <v>22406</v>
      </c>
      <c r="G97" s="309">
        <v>31100</v>
      </c>
      <c r="H97" s="316">
        <f t="shared" si="1"/>
        <v>98.730158730158735</v>
      </c>
    </row>
    <row r="98" spans="2:10" ht="25.5">
      <c r="B98" s="182">
        <v>722523</v>
      </c>
      <c r="C98" s="105" t="s">
        <v>411</v>
      </c>
      <c r="D98" s="161">
        <v>4800</v>
      </c>
      <c r="E98" s="161">
        <v>6000</v>
      </c>
      <c r="F98" s="161">
        <v>4271</v>
      </c>
      <c r="G98" s="161">
        <v>5800</v>
      </c>
      <c r="H98" s="189">
        <f t="shared" si="1"/>
        <v>96.666666666666671</v>
      </c>
    </row>
    <row r="99" spans="2:10" ht="27" customHeight="1">
      <c r="B99" s="182">
        <v>722524</v>
      </c>
      <c r="C99" s="442" t="s">
        <v>801</v>
      </c>
      <c r="D99" s="161">
        <v>540</v>
      </c>
      <c r="E99" s="161">
        <v>500</v>
      </c>
      <c r="F99" s="161">
        <v>376</v>
      </c>
      <c r="G99" s="161">
        <v>500</v>
      </c>
      <c r="H99" s="189">
        <f t="shared" si="1"/>
        <v>100</v>
      </c>
    </row>
    <row r="100" spans="2:10" ht="25.5">
      <c r="B100" s="182">
        <v>722525</v>
      </c>
      <c r="C100" s="442" t="s">
        <v>800</v>
      </c>
      <c r="D100" s="161">
        <v>1080</v>
      </c>
      <c r="E100" s="161">
        <v>100</v>
      </c>
      <c r="F100" s="161">
        <v>73</v>
      </c>
      <c r="G100" s="161">
        <v>100</v>
      </c>
      <c r="H100" s="189">
        <f t="shared" si="1"/>
        <v>100</v>
      </c>
    </row>
    <row r="101" spans="2:10" ht="25.5">
      <c r="B101" s="182">
        <v>722526</v>
      </c>
      <c r="C101" s="105" t="s">
        <v>804</v>
      </c>
      <c r="D101" s="161">
        <v>0</v>
      </c>
      <c r="E101" s="161">
        <v>0</v>
      </c>
      <c r="F101" s="161">
        <v>30</v>
      </c>
      <c r="G101" s="161">
        <v>30</v>
      </c>
      <c r="H101" s="189" t="str">
        <f t="shared" si="1"/>
        <v/>
      </c>
    </row>
    <row r="102" spans="2:10">
      <c r="B102" s="182">
        <v>722527</v>
      </c>
      <c r="C102" s="106" t="s">
        <v>615</v>
      </c>
      <c r="D102" s="161">
        <v>5100</v>
      </c>
      <c r="E102" s="161">
        <v>5190</v>
      </c>
      <c r="F102" s="161">
        <v>5186</v>
      </c>
      <c r="G102" s="161">
        <v>5200</v>
      </c>
      <c r="H102" s="336">
        <f t="shared" si="1"/>
        <v>100.1926782273603</v>
      </c>
    </row>
    <row r="103" spans="2:10">
      <c r="B103" s="182">
        <v>722528</v>
      </c>
      <c r="C103" s="106" t="s">
        <v>397</v>
      </c>
      <c r="D103" s="161">
        <v>840</v>
      </c>
      <c r="E103" s="161">
        <v>970</v>
      </c>
      <c r="F103" s="161">
        <v>695</v>
      </c>
      <c r="G103" s="161">
        <v>1000</v>
      </c>
      <c r="H103" s="189">
        <f t="shared" si="1"/>
        <v>103.09278350515463</v>
      </c>
    </row>
    <row r="104" spans="2:10">
      <c r="B104" s="182">
        <v>722529</v>
      </c>
      <c r="C104" s="106" t="s">
        <v>398</v>
      </c>
      <c r="D104" s="161">
        <v>65900</v>
      </c>
      <c r="E104" s="161">
        <f>58900+12000</f>
        <v>70900</v>
      </c>
      <c r="F104" s="161">
        <v>54899</v>
      </c>
      <c r="G104" s="161">
        <v>71400</v>
      </c>
      <c r="H104" s="189">
        <f t="shared" si="1"/>
        <v>100.70521861777151</v>
      </c>
    </row>
    <row r="105" spans="2:10">
      <c r="B105" s="202">
        <v>722530</v>
      </c>
      <c r="C105" s="207" t="s">
        <v>399</v>
      </c>
      <c r="D105" s="199">
        <f>SUM(D106:D109)</f>
        <v>344210</v>
      </c>
      <c r="E105" s="199">
        <f>SUM(E106:E109)</f>
        <v>345660</v>
      </c>
      <c r="F105" s="199">
        <f>SUM(F106:F109)</f>
        <v>259278</v>
      </c>
      <c r="G105" s="199">
        <f>SUM(G106:G109)</f>
        <v>331960</v>
      </c>
      <c r="H105" s="198">
        <f t="shared" si="1"/>
        <v>96.036567725510608</v>
      </c>
    </row>
    <row r="106" spans="2:10">
      <c r="B106" s="182">
        <v>722531</v>
      </c>
      <c r="C106" s="106" t="s">
        <v>400</v>
      </c>
      <c r="D106" s="161">
        <v>95900</v>
      </c>
      <c r="E106" s="161">
        <f>77900+19500</f>
        <v>97400</v>
      </c>
      <c r="F106" s="161">
        <v>72874</v>
      </c>
      <c r="G106" s="161">
        <v>90500</v>
      </c>
      <c r="H106" s="189">
        <f t="shared" si="1"/>
        <v>92.915811088295683</v>
      </c>
    </row>
    <row r="107" spans="2:10">
      <c r="B107" s="182">
        <v>722532</v>
      </c>
      <c r="C107" s="106" t="s">
        <v>401</v>
      </c>
      <c r="D107" s="161">
        <v>248200</v>
      </c>
      <c r="E107" s="161">
        <v>248200</v>
      </c>
      <c r="F107" s="161">
        <v>186404</v>
      </c>
      <c r="G107" s="161">
        <v>241400</v>
      </c>
      <c r="H107" s="189">
        <f t="shared" si="1"/>
        <v>97.260273972602747</v>
      </c>
    </row>
    <row r="108" spans="2:10">
      <c r="B108" s="182">
        <v>722538</v>
      </c>
      <c r="C108" s="106" t="s">
        <v>402</v>
      </c>
      <c r="D108" s="161">
        <v>100</v>
      </c>
      <c r="E108" s="161">
        <v>50</v>
      </c>
      <c r="F108" s="161">
        <v>0</v>
      </c>
      <c r="G108" s="161">
        <v>50</v>
      </c>
      <c r="H108" s="189">
        <f t="shared" si="1"/>
        <v>100</v>
      </c>
    </row>
    <row r="109" spans="2:10">
      <c r="B109" s="182">
        <v>722539</v>
      </c>
      <c r="C109" s="106" t="s">
        <v>634</v>
      </c>
      <c r="D109" s="161">
        <v>10</v>
      </c>
      <c r="E109" s="161">
        <v>10</v>
      </c>
      <c r="F109" s="161">
        <v>0</v>
      </c>
      <c r="G109" s="161">
        <v>10</v>
      </c>
      <c r="H109" s="189">
        <f t="shared" si="1"/>
        <v>100</v>
      </c>
    </row>
    <row r="110" spans="2:10">
      <c r="B110" s="202">
        <v>722540</v>
      </c>
      <c r="C110" s="207" t="s">
        <v>403</v>
      </c>
      <c r="D110" s="199">
        <f>D111</f>
        <v>300</v>
      </c>
      <c r="E110" s="199">
        <f>E111</f>
        <v>2900</v>
      </c>
      <c r="F110" s="199">
        <f>F111</f>
        <v>1038</v>
      </c>
      <c r="G110" s="199">
        <f>G111</f>
        <v>1200</v>
      </c>
      <c r="H110" s="198">
        <f t="shared" si="1"/>
        <v>41.379310344827587</v>
      </c>
    </row>
    <row r="111" spans="2:10">
      <c r="B111" s="182">
        <v>722541</v>
      </c>
      <c r="C111" s="106" t="s">
        <v>404</v>
      </c>
      <c r="D111" s="161">
        <v>300</v>
      </c>
      <c r="E111" s="161">
        <v>2900</v>
      </c>
      <c r="F111" s="161">
        <v>1038</v>
      </c>
      <c r="G111" s="161">
        <v>1200</v>
      </c>
      <c r="H111" s="189">
        <f t="shared" si="1"/>
        <v>41.379310344827587</v>
      </c>
    </row>
    <row r="112" spans="2:10" ht="15">
      <c r="B112" s="202">
        <v>722550</v>
      </c>
      <c r="C112" s="207" t="s">
        <v>405</v>
      </c>
      <c r="D112" s="199">
        <f>D113+D115+D117</f>
        <v>140000</v>
      </c>
      <c r="E112" s="199">
        <f>E113+E115+E117</f>
        <v>160000</v>
      </c>
      <c r="F112" s="199">
        <f>F113+F115+F117</f>
        <v>149420</v>
      </c>
      <c r="G112" s="199">
        <f>G113+G115+G117</f>
        <v>180000</v>
      </c>
      <c r="H112" s="198">
        <f t="shared" si="1"/>
        <v>112.5</v>
      </c>
      <c r="J112" s="363"/>
    </row>
    <row r="113" spans="2:10">
      <c r="B113" s="182">
        <v>722551</v>
      </c>
      <c r="C113" s="106" t="s">
        <v>406</v>
      </c>
      <c r="D113" s="161">
        <f>D114</f>
        <v>6300</v>
      </c>
      <c r="E113" s="161">
        <f>E114</f>
        <v>10980</v>
      </c>
      <c r="F113" s="161">
        <f>F114</f>
        <v>10979</v>
      </c>
      <c r="G113" s="161">
        <f>G114</f>
        <v>11000</v>
      </c>
      <c r="H113" s="189">
        <f t="shared" si="1"/>
        <v>100.18214936247722</v>
      </c>
    </row>
    <row r="114" spans="2:10">
      <c r="B114" s="190"/>
      <c r="C114" s="304" t="s">
        <v>614</v>
      </c>
      <c r="D114" s="161">
        <v>6300</v>
      </c>
      <c r="E114" s="161">
        <v>10980</v>
      </c>
      <c r="F114" s="161">
        <v>10979</v>
      </c>
      <c r="G114" s="161">
        <v>11000</v>
      </c>
      <c r="H114" s="189">
        <f t="shared" si="1"/>
        <v>100.18214936247722</v>
      </c>
    </row>
    <row r="115" spans="2:10" ht="25.5">
      <c r="B115" s="182">
        <v>722555</v>
      </c>
      <c r="C115" s="105" t="s">
        <v>412</v>
      </c>
      <c r="D115" s="161">
        <f>D116</f>
        <v>61200</v>
      </c>
      <c r="E115" s="161">
        <f>E116</f>
        <v>149020</v>
      </c>
      <c r="F115" s="161">
        <f>F116</f>
        <v>46881</v>
      </c>
      <c r="G115" s="161">
        <f>G116</f>
        <v>81450</v>
      </c>
      <c r="H115" s="189">
        <f t="shared" si="1"/>
        <v>54.657093007649983</v>
      </c>
    </row>
    <row r="116" spans="2:10">
      <c r="B116" s="190"/>
      <c r="C116" s="304" t="s">
        <v>614</v>
      </c>
      <c r="D116" s="161">
        <v>61200</v>
      </c>
      <c r="E116" s="161">
        <f>140000-10980+20000</f>
        <v>149020</v>
      </c>
      <c r="F116" s="161">
        <v>46881</v>
      </c>
      <c r="G116" s="161">
        <f>61000+20450</f>
        <v>81450</v>
      </c>
      <c r="H116" s="189">
        <f t="shared" si="1"/>
        <v>54.657093007649983</v>
      </c>
    </row>
    <row r="117" spans="2:10" ht="25.5">
      <c r="B117" s="182">
        <v>722556</v>
      </c>
      <c r="C117" s="105" t="s">
        <v>413</v>
      </c>
      <c r="D117" s="161">
        <f>D118</f>
        <v>72500</v>
      </c>
      <c r="E117" s="161">
        <f>E118</f>
        <v>0</v>
      </c>
      <c r="F117" s="161">
        <f>F118</f>
        <v>91560</v>
      </c>
      <c r="G117" s="161">
        <f>G118</f>
        <v>87550</v>
      </c>
      <c r="H117" s="189" t="str">
        <f t="shared" si="1"/>
        <v/>
      </c>
    </row>
    <row r="118" spans="2:10">
      <c r="B118" s="190"/>
      <c r="C118" s="304" t="s">
        <v>614</v>
      </c>
      <c r="D118" s="161">
        <v>72500</v>
      </c>
      <c r="E118" s="161">
        <v>0</v>
      </c>
      <c r="F118" s="161">
        <v>91560</v>
      </c>
      <c r="G118" s="161">
        <f>180000-11000-81450</f>
        <v>87550</v>
      </c>
      <c r="H118" s="189" t="str">
        <f t="shared" si="1"/>
        <v/>
      </c>
    </row>
    <row r="119" spans="2:10">
      <c r="B119" s="202">
        <v>722580</v>
      </c>
      <c r="C119" s="207" t="s">
        <v>414</v>
      </c>
      <c r="D119" s="199">
        <f>D120+D122+D123+D124+D125</f>
        <v>29900</v>
      </c>
      <c r="E119" s="199">
        <f>E120+E122+E123+E124+E125</f>
        <v>29880</v>
      </c>
      <c r="F119" s="199">
        <f>F120+F122+F123+F124+F125</f>
        <v>48686</v>
      </c>
      <c r="G119" s="199">
        <f>G120+G122+G123+G124+G125</f>
        <v>29880</v>
      </c>
      <c r="H119" s="198">
        <f t="shared" si="1"/>
        <v>100</v>
      </c>
    </row>
    <row r="120" spans="2:10" ht="25.5">
      <c r="B120" s="182">
        <v>722581</v>
      </c>
      <c r="C120" s="105" t="s">
        <v>803</v>
      </c>
      <c r="D120" s="161">
        <f>D121</f>
        <v>23820</v>
      </c>
      <c r="E120" s="161">
        <f>E121</f>
        <v>23430</v>
      </c>
      <c r="F120" s="161">
        <f>F121</f>
        <v>43770</v>
      </c>
      <c r="G120" s="161">
        <f>G121</f>
        <v>22780</v>
      </c>
      <c r="H120" s="189">
        <f t="shared" si="1"/>
        <v>97.225778915919761</v>
      </c>
    </row>
    <row r="121" spans="2:10" ht="15">
      <c r="B121" s="190"/>
      <c r="C121" s="304" t="s">
        <v>616</v>
      </c>
      <c r="D121" s="161">
        <v>23820</v>
      </c>
      <c r="E121" s="161">
        <f>30000-120-3600-1500-950-400</f>
        <v>23430</v>
      </c>
      <c r="F121" s="161">
        <v>43770</v>
      </c>
      <c r="G121" s="161">
        <v>22780</v>
      </c>
      <c r="H121" s="189">
        <f t="shared" si="1"/>
        <v>97.225778915919761</v>
      </c>
      <c r="J121" s="363"/>
    </row>
    <row r="122" spans="2:10" ht="37.5" customHeight="1">
      <c r="B122" s="182">
        <v>722582</v>
      </c>
      <c r="C122" s="442" t="s">
        <v>799</v>
      </c>
      <c r="D122" s="161">
        <v>3000</v>
      </c>
      <c r="E122" s="161">
        <v>3600</v>
      </c>
      <c r="F122" s="161">
        <v>2849</v>
      </c>
      <c r="G122" s="161">
        <v>3700</v>
      </c>
      <c r="H122" s="189">
        <f t="shared" si="1"/>
        <v>102.77777777777777</v>
      </c>
    </row>
    <row r="123" spans="2:10" ht="26.25" customHeight="1">
      <c r="B123" s="182">
        <v>722583</v>
      </c>
      <c r="C123" s="105" t="s">
        <v>415</v>
      </c>
      <c r="D123" s="161">
        <v>1500</v>
      </c>
      <c r="E123" s="161">
        <v>1500</v>
      </c>
      <c r="F123" s="161">
        <v>1092</v>
      </c>
      <c r="G123" s="161">
        <v>1700</v>
      </c>
      <c r="H123" s="189">
        <f t="shared" si="1"/>
        <v>113.33333333333333</v>
      </c>
    </row>
    <row r="124" spans="2:10" ht="25.5">
      <c r="B124" s="182">
        <v>722584</v>
      </c>
      <c r="C124" s="105" t="s">
        <v>416</v>
      </c>
      <c r="D124" s="161">
        <v>1200</v>
      </c>
      <c r="E124" s="161">
        <v>950</v>
      </c>
      <c r="F124" s="161">
        <v>578</v>
      </c>
      <c r="G124" s="161">
        <v>1200</v>
      </c>
      <c r="H124" s="189">
        <f t="shared" si="1"/>
        <v>126.31578947368421</v>
      </c>
    </row>
    <row r="125" spans="2:10" ht="25.5">
      <c r="B125" s="182">
        <v>722585</v>
      </c>
      <c r="C125" s="105" t="s">
        <v>417</v>
      </c>
      <c r="D125" s="161">
        <v>380</v>
      </c>
      <c r="E125" s="161">
        <v>400</v>
      </c>
      <c r="F125" s="161">
        <v>397</v>
      </c>
      <c r="G125" s="161">
        <v>500</v>
      </c>
      <c r="H125" s="189">
        <f t="shared" si="1"/>
        <v>125</v>
      </c>
    </row>
    <row r="126" spans="2:10">
      <c r="B126" s="186">
        <v>722600</v>
      </c>
      <c r="C126" s="67" t="s">
        <v>407</v>
      </c>
      <c r="D126" s="205">
        <f>SUM(D127:D132)</f>
        <v>412650</v>
      </c>
      <c r="E126" s="205">
        <f>SUM(E127:E132)</f>
        <v>406420</v>
      </c>
      <c r="F126" s="205">
        <f>SUM(F127:F132)</f>
        <v>315979</v>
      </c>
      <c r="G126" s="205">
        <f>SUM(G127:G132)</f>
        <v>404720</v>
      </c>
      <c r="H126" s="198">
        <f t="shared" si="1"/>
        <v>99.581713498351448</v>
      </c>
    </row>
    <row r="127" spans="2:10">
      <c r="B127" s="190">
        <v>722611</v>
      </c>
      <c r="C127" s="106" t="s">
        <v>418</v>
      </c>
      <c r="D127" s="161">
        <v>162900</v>
      </c>
      <c r="E127" s="161">
        <v>139500</v>
      </c>
      <c r="F127" s="161">
        <v>104638</v>
      </c>
      <c r="G127" s="161">
        <v>140500</v>
      </c>
      <c r="H127" s="189">
        <f t="shared" si="1"/>
        <v>100.71684587813621</v>
      </c>
    </row>
    <row r="128" spans="2:10">
      <c r="B128" s="190">
        <v>722612</v>
      </c>
      <c r="C128" s="106" t="s">
        <v>419</v>
      </c>
      <c r="D128" s="161">
        <v>43700</v>
      </c>
      <c r="E128" s="161">
        <v>52200</v>
      </c>
      <c r="F128" s="161">
        <v>40475</v>
      </c>
      <c r="G128" s="161">
        <v>49800</v>
      </c>
      <c r="H128" s="189">
        <f t="shared" si="1"/>
        <v>95.402298850574709</v>
      </c>
    </row>
    <row r="129" spans="2:8">
      <c r="B129" s="190">
        <v>722613</v>
      </c>
      <c r="C129" s="106" t="s">
        <v>420</v>
      </c>
      <c r="D129" s="161">
        <v>6800</v>
      </c>
      <c r="E129" s="161">
        <v>9500</v>
      </c>
      <c r="F129" s="161">
        <v>6959</v>
      </c>
      <c r="G129" s="161">
        <v>9500</v>
      </c>
      <c r="H129" s="189">
        <f t="shared" si="1"/>
        <v>100</v>
      </c>
    </row>
    <row r="130" spans="2:8">
      <c r="B130" s="190">
        <v>722621</v>
      </c>
      <c r="C130" s="106" t="s">
        <v>421</v>
      </c>
      <c r="D130" s="161">
        <v>151200</v>
      </c>
      <c r="E130" s="161">
        <v>151200</v>
      </c>
      <c r="F130" s="161">
        <v>119840</v>
      </c>
      <c r="G130" s="161">
        <v>149900</v>
      </c>
      <c r="H130" s="189">
        <f t="shared" si="1"/>
        <v>99.140211640211646</v>
      </c>
    </row>
    <row r="131" spans="2:8">
      <c r="B131" s="190">
        <v>722631</v>
      </c>
      <c r="C131" s="106" t="s">
        <v>422</v>
      </c>
      <c r="D131" s="161">
        <v>48000</v>
      </c>
      <c r="E131" s="161">
        <v>54000</v>
      </c>
      <c r="F131" s="161">
        <v>44067</v>
      </c>
      <c r="G131" s="161">
        <v>55000</v>
      </c>
      <c r="H131" s="189">
        <f t="shared" si="1"/>
        <v>101.85185185185186</v>
      </c>
    </row>
    <row r="132" spans="2:8">
      <c r="B132" s="190">
        <v>722632</v>
      </c>
      <c r="C132" s="106" t="s">
        <v>635</v>
      </c>
      <c r="D132" s="161">
        <v>50</v>
      </c>
      <c r="E132" s="161">
        <v>20</v>
      </c>
      <c r="F132" s="161">
        <v>0</v>
      </c>
      <c r="G132" s="161">
        <v>20</v>
      </c>
      <c r="H132" s="189">
        <f t="shared" si="1"/>
        <v>100</v>
      </c>
    </row>
    <row r="133" spans="2:8">
      <c r="B133" s="202">
        <v>722700</v>
      </c>
      <c r="C133" s="67" t="s">
        <v>423</v>
      </c>
      <c r="D133" s="205">
        <f>SUM(D134:D136)</f>
        <v>650</v>
      </c>
      <c r="E133" s="205">
        <f>SUM(E134:E136)</f>
        <v>870</v>
      </c>
      <c r="F133" s="205">
        <f>SUM(F134:F136)</f>
        <v>539</v>
      </c>
      <c r="G133" s="205">
        <f>SUM(G134:G136)</f>
        <v>1070</v>
      </c>
      <c r="H133" s="189">
        <f t="shared" si="1"/>
        <v>122.98850574712642</v>
      </c>
    </row>
    <row r="134" spans="2:8">
      <c r="B134" s="190">
        <v>722719</v>
      </c>
      <c r="C134" s="106" t="s">
        <v>617</v>
      </c>
      <c r="D134" s="161">
        <v>50</v>
      </c>
      <c r="E134" s="161">
        <v>50</v>
      </c>
      <c r="F134" s="161">
        <v>0</v>
      </c>
      <c r="G134" s="161">
        <v>50</v>
      </c>
      <c r="H134" s="189">
        <f t="shared" si="1"/>
        <v>100</v>
      </c>
    </row>
    <row r="135" spans="2:8">
      <c r="B135" s="190">
        <v>722732</v>
      </c>
      <c r="C135" s="106" t="s">
        <v>424</v>
      </c>
      <c r="D135" s="161">
        <v>100</v>
      </c>
      <c r="E135" s="161">
        <v>20</v>
      </c>
      <c r="F135" s="161">
        <v>0</v>
      </c>
      <c r="G135" s="161">
        <v>20</v>
      </c>
      <c r="H135" s="189">
        <f t="shared" si="1"/>
        <v>100</v>
      </c>
    </row>
    <row r="136" spans="2:8">
      <c r="B136" s="190">
        <v>722791</v>
      </c>
      <c r="C136" s="106" t="s">
        <v>425</v>
      </c>
      <c r="D136" s="161">
        <v>500</v>
      </c>
      <c r="E136" s="161">
        <v>800</v>
      </c>
      <c r="F136" s="161">
        <v>539</v>
      </c>
      <c r="G136" s="161">
        <v>1000</v>
      </c>
      <c r="H136" s="189">
        <f t="shared" si="1"/>
        <v>125</v>
      </c>
    </row>
    <row r="137" spans="2:8">
      <c r="B137" s="342">
        <v>723000</v>
      </c>
      <c r="C137" s="343" t="s">
        <v>194</v>
      </c>
      <c r="D137" s="344">
        <f>D138</f>
        <v>363950</v>
      </c>
      <c r="E137" s="344">
        <f>E138</f>
        <v>469790</v>
      </c>
      <c r="F137" s="344">
        <f>F138</f>
        <v>355033</v>
      </c>
      <c r="G137" s="344">
        <f>G138</f>
        <v>484070</v>
      </c>
      <c r="H137" s="314">
        <f t="shared" si="1"/>
        <v>103.03965601651801</v>
      </c>
    </row>
    <row r="138" spans="2:8">
      <c r="B138" s="194">
        <v>723100</v>
      </c>
      <c r="C138" s="206" t="s">
        <v>426</v>
      </c>
      <c r="D138" s="199">
        <f>SUM(D139:D142)</f>
        <v>363950</v>
      </c>
      <c r="E138" s="199">
        <f>SUM(E139:E142)</f>
        <v>469790</v>
      </c>
      <c r="F138" s="199">
        <f>SUM(F139:F142)</f>
        <v>355033</v>
      </c>
      <c r="G138" s="199">
        <f>SUM(G139:G142)</f>
        <v>484070</v>
      </c>
      <c r="H138" s="189">
        <f t="shared" si="1"/>
        <v>103.03965601651801</v>
      </c>
    </row>
    <row r="139" spans="2:8">
      <c r="B139" s="190">
        <v>723121</v>
      </c>
      <c r="C139" s="29" t="s">
        <v>427</v>
      </c>
      <c r="D139" s="193">
        <v>300</v>
      </c>
      <c r="E139" s="193">
        <v>70</v>
      </c>
      <c r="F139" s="193">
        <v>50</v>
      </c>
      <c r="G139" s="193">
        <v>50</v>
      </c>
      <c r="H139" s="189">
        <f t="shared" si="1"/>
        <v>71.428571428571431</v>
      </c>
    </row>
    <row r="140" spans="2:8">
      <c r="B140" s="190">
        <v>723122</v>
      </c>
      <c r="C140" s="29" t="s">
        <v>428</v>
      </c>
      <c r="D140" s="188">
        <v>50</v>
      </c>
      <c r="E140" s="188">
        <v>20</v>
      </c>
      <c r="F140" s="188">
        <v>0</v>
      </c>
      <c r="G140" s="188">
        <v>20</v>
      </c>
      <c r="H140" s="189">
        <f t="shared" si="1"/>
        <v>100</v>
      </c>
    </row>
    <row r="141" spans="2:8" ht="25.5">
      <c r="B141" s="190">
        <v>723123</v>
      </c>
      <c r="C141" s="65" t="s">
        <v>430</v>
      </c>
      <c r="D141" s="193">
        <v>360000</v>
      </c>
      <c r="E141" s="193">
        <v>465200</v>
      </c>
      <c r="F141" s="193">
        <v>351627</v>
      </c>
      <c r="G141" s="193">
        <v>480000</v>
      </c>
      <c r="H141" s="189">
        <f t="shared" si="1"/>
        <v>103.18142734307824</v>
      </c>
    </row>
    <row r="142" spans="2:8">
      <c r="B142" s="310">
        <v>723129</v>
      </c>
      <c r="C142" s="311" t="s">
        <v>429</v>
      </c>
      <c r="D142" s="312">
        <v>3600</v>
      </c>
      <c r="E142" s="312">
        <v>4500</v>
      </c>
      <c r="F142" s="312">
        <v>3356</v>
      </c>
      <c r="G142" s="312">
        <v>4000</v>
      </c>
      <c r="H142" s="315">
        <f t="shared" ref="H142:H199" si="2">IF(E142=0,"",G142/E142*100)</f>
        <v>88.888888888888886</v>
      </c>
    </row>
    <row r="143" spans="2:8">
      <c r="B143" s="190"/>
      <c r="C143" s="181"/>
      <c r="D143" s="193"/>
      <c r="E143" s="193"/>
      <c r="F143" s="193"/>
      <c r="G143" s="193"/>
      <c r="H143" s="192" t="str">
        <f t="shared" si="2"/>
        <v/>
      </c>
    </row>
    <row r="144" spans="2:8" ht="15">
      <c r="B144" s="472" t="s">
        <v>471</v>
      </c>
      <c r="C144" s="473"/>
      <c r="D144" s="210">
        <f>D5+D55</f>
        <v>36248740</v>
      </c>
      <c r="E144" s="210">
        <f>E5+E55</f>
        <v>37920850</v>
      </c>
      <c r="F144" s="210">
        <f>F5+F55</f>
        <v>28766844</v>
      </c>
      <c r="G144" s="210">
        <f>G5+G55</f>
        <v>39404570</v>
      </c>
      <c r="H144" s="317">
        <f t="shared" si="2"/>
        <v>103.91267600805361</v>
      </c>
    </row>
    <row r="145" spans="2:8">
      <c r="B145" s="68"/>
      <c r="C145" s="66"/>
      <c r="D145" s="85"/>
      <c r="E145" s="85"/>
      <c r="F145" s="85"/>
      <c r="G145" s="85"/>
      <c r="H145" s="192" t="str">
        <f t="shared" si="2"/>
        <v/>
      </c>
    </row>
    <row r="146" spans="2:8" ht="15">
      <c r="B146" s="339">
        <v>730000</v>
      </c>
      <c r="C146" s="348" t="s">
        <v>527</v>
      </c>
      <c r="D146" s="341">
        <f>D147+D154+D169</f>
        <v>3158900</v>
      </c>
      <c r="E146" s="341">
        <f>E147+E154+E169</f>
        <v>1703220</v>
      </c>
      <c r="F146" s="341">
        <f>F147+F154+F169</f>
        <v>311192</v>
      </c>
      <c r="G146" s="341">
        <f>G147+G154+G169</f>
        <v>2828310</v>
      </c>
      <c r="H146" s="313">
        <f t="shared" si="2"/>
        <v>166.05664564765561</v>
      </c>
    </row>
    <row r="147" spans="2:8" ht="25.5">
      <c r="B147" s="349">
        <v>731000</v>
      </c>
      <c r="C147" s="350" t="s">
        <v>509</v>
      </c>
      <c r="D147" s="351">
        <f>D148</f>
        <v>0</v>
      </c>
      <c r="E147" s="351">
        <f>E148</f>
        <v>142910</v>
      </c>
      <c r="F147" s="351">
        <f>F148</f>
        <v>99899</v>
      </c>
      <c r="G147" s="351">
        <f>G148</f>
        <v>0</v>
      </c>
      <c r="H147" s="314">
        <f t="shared" si="2"/>
        <v>0</v>
      </c>
    </row>
    <row r="148" spans="2:8" ht="15" customHeight="1">
      <c r="B148" s="202">
        <v>731100</v>
      </c>
      <c r="C148" s="303" t="s">
        <v>510</v>
      </c>
      <c r="D148" s="199">
        <f>D149+D151</f>
        <v>0</v>
      </c>
      <c r="E148" s="199">
        <f>E149+E151</f>
        <v>142910</v>
      </c>
      <c r="F148" s="199">
        <f>F149+F151</f>
        <v>99899</v>
      </c>
      <c r="G148" s="199">
        <f>G149+G151</f>
        <v>0</v>
      </c>
      <c r="H148" s="184">
        <f t="shared" si="2"/>
        <v>0</v>
      </c>
    </row>
    <row r="149" spans="2:8" ht="15" customHeight="1">
      <c r="B149" s="367">
        <v>731111</v>
      </c>
      <c r="C149" s="296" t="s">
        <v>655</v>
      </c>
      <c r="D149" s="368">
        <f>D150</f>
        <v>0</v>
      </c>
      <c r="E149" s="368">
        <f t="shared" ref="E149:G149" si="3">E150</f>
        <v>20280</v>
      </c>
      <c r="F149" s="368">
        <f t="shared" si="3"/>
        <v>0</v>
      </c>
      <c r="G149" s="368">
        <f t="shared" si="3"/>
        <v>0</v>
      </c>
      <c r="H149" s="369">
        <f>IF(E149=0,"",G149/E149*100)</f>
        <v>0</v>
      </c>
    </row>
    <row r="150" spans="2:8" ht="15" customHeight="1">
      <c r="B150" s="367"/>
      <c r="C150" s="304" t="s">
        <v>796</v>
      </c>
      <c r="D150" s="370">
        <v>0</v>
      </c>
      <c r="E150" s="370">
        <v>20280</v>
      </c>
      <c r="F150" s="370">
        <v>0</v>
      </c>
      <c r="G150" s="370">
        <v>0</v>
      </c>
      <c r="H150" s="369">
        <f>IF(E150=0,"",G150/E150*100)</f>
        <v>0</v>
      </c>
    </row>
    <row r="151" spans="2:8" ht="15" customHeight="1">
      <c r="B151" s="367">
        <v>731121</v>
      </c>
      <c r="C151" s="296" t="s">
        <v>511</v>
      </c>
      <c r="D151" s="368">
        <f>SUM(D152:D153)</f>
        <v>0</v>
      </c>
      <c r="E151" s="368">
        <f>SUM(E152:E153)</f>
        <v>122630</v>
      </c>
      <c r="F151" s="368">
        <f>SUM(F152:F153)</f>
        <v>99899</v>
      </c>
      <c r="G151" s="368">
        <f>SUM(G152:G153)</f>
        <v>0</v>
      </c>
      <c r="H151" s="369">
        <f t="shared" si="2"/>
        <v>0</v>
      </c>
    </row>
    <row r="152" spans="2:8" ht="15" customHeight="1">
      <c r="B152" s="367"/>
      <c r="C152" s="304" t="s">
        <v>787</v>
      </c>
      <c r="D152" s="370">
        <v>0</v>
      </c>
      <c r="E152" s="370">
        <v>11690</v>
      </c>
      <c r="F152" s="370">
        <v>11681</v>
      </c>
      <c r="G152" s="370">
        <v>0</v>
      </c>
      <c r="H152" s="369">
        <f t="shared" si="2"/>
        <v>0</v>
      </c>
    </row>
    <row r="153" spans="2:8" ht="15" customHeight="1">
      <c r="B153" s="367"/>
      <c r="C153" s="304" t="s">
        <v>618</v>
      </c>
      <c r="D153" s="370">
        <v>0</v>
      </c>
      <c r="E153" s="370">
        <f>22720+88220</f>
        <v>110940</v>
      </c>
      <c r="F153" s="370">
        <v>88218</v>
      </c>
      <c r="G153" s="370">
        <v>0</v>
      </c>
      <c r="H153" s="369">
        <f t="shared" si="2"/>
        <v>0</v>
      </c>
    </row>
    <row r="154" spans="2:8" ht="15" customHeight="1">
      <c r="B154" s="352">
        <v>732000</v>
      </c>
      <c r="C154" s="350" t="s">
        <v>512</v>
      </c>
      <c r="D154" s="351">
        <f>D155</f>
        <v>3158900</v>
      </c>
      <c r="E154" s="351">
        <f>E155</f>
        <v>1560310</v>
      </c>
      <c r="F154" s="351">
        <f>F155</f>
        <v>211293</v>
      </c>
      <c r="G154" s="351">
        <f>G155</f>
        <v>2828310</v>
      </c>
      <c r="H154" s="314">
        <f t="shared" si="2"/>
        <v>181.26590228864777</v>
      </c>
    </row>
    <row r="155" spans="2:8" ht="15" customHeight="1">
      <c r="B155" s="202">
        <v>732100</v>
      </c>
      <c r="C155" s="303" t="s">
        <v>513</v>
      </c>
      <c r="D155" s="199">
        <f>D156+D164+D166</f>
        <v>3158900</v>
      </c>
      <c r="E155" s="199">
        <f>E156+E164+E166</f>
        <v>1560310</v>
      </c>
      <c r="F155" s="199">
        <f>F156+F164+F166</f>
        <v>211293</v>
      </c>
      <c r="G155" s="199">
        <f>G156+G164+G166</f>
        <v>2828310</v>
      </c>
      <c r="H155" s="184">
        <f t="shared" si="2"/>
        <v>181.26590228864777</v>
      </c>
    </row>
    <row r="156" spans="2:8" ht="15" customHeight="1">
      <c r="B156" s="186">
        <v>732110</v>
      </c>
      <c r="C156" s="197" t="s">
        <v>514</v>
      </c>
      <c r="D156" s="205">
        <f>D157</f>
        <v>3158900</v>
      </c>
      <c r="E156" s="205">
        <f>E157</f>
        <v>1545310</v>
      </c>
      <c r="F156" s="205">
        <f>F157</f>
        <v>211293</v>
      </c>
      <c r="G156" s="205">
        <f>G157</f>
        <v>2782400</v>
      </c>
      <c r="H156" s="184">
        <f t="shared" si="2"/>
        <v>180.05448744912024</v>
      </c>
    </row>
    <row r="157" spans="2:8" ht="15" customHeight="1">
      <c r="B157" s="367">
        <v>732112</v>
      </c>
      <c r="C157" s="296" t="s">
        <v>515</v>
      </c>
      <c r="D157" s="368">
        <f>SUM(D158:D163)</f>
        <v>3158900</v>
      </c>
      <c r="E157" s="368">
        <f>SUM(E158:E163)</f>
        <v>1545310</v>
      </c>
      <c r="F157" s="368">
        <f>SUM(F158:F163)</f>
        <v>211293</v>
      </c>
      <c r="G157" s="368">
        <f>SUM(G158:G163)</f>
        <v>2782400</v>
      </c>
      <c r="H157" s="369">
        <f t="shared" si="2"/>
        <v>180.05448744912024</v>
      </c>
    </row>
    <row r="158" spans="2:8" ht="15" customHeight="1">
      <c r="B158" s="367"/>
      <c r="C158" s="304" t="s">
        <v>636</v>
      </c>
      <c r="D158" s="370">
        <v>81140</v>
      </c>
      <c r="E158" s="370">
        <v>52230</v>
      </c>
      <c r="F158" s="370">
        <v>0</v>
      </c>
      <c r="G158" s="370">
        <v>9400</v>
      </c>
      <c r="H158" s="369"/>
    </row>
    <row r="159" spans="2:8" ht="25.5">
      <c r="B159" s="367"/>
      <c r="C159" s="304" t="s">
        <v>468</v>
      </c>
      <c r="D159" s="370">
        <v>262680</v>
      </c>
      <c r="E159" s="370">
        <v>267900</v>
      </c>
      <c r="F159" s="370">
        <v>201193</v>
      </c>
      <c r="G159" s="370">
        <v>273000</v>
      </c>
      <c r="H159" s="369">
        <f t="shared" si="2"/>
        <v>101.90369540873461</v>
      </c>
    </row>
    <row r="160" spans="2:8" ht="25.5">
      <c r="B160" s="367"/>
      <c r="C160" s="304" t="s">
        <v>659</v>
      </c>
      <c r="D160" s="370">
        <v>0</v>
      </c>
      <c r="E160" s="370">
        <v>8600</v>
      </c>
      <c r="F160" s="370">
        <v>8600</v>
      </c>
      <c r="G160" s="370">
        <v>0</v>
      </c>
      <c r="H160" s="369">
        <f t="shared" si="2"/>
        <v>0</v>
      </c>
    </row>
    <row r="161" spans="2:9" ht="25.5">
      <c r="B161" s="367"/>
      <c r="C161" s="304" t="s">
        <v>619</v>
      </c>
      <c r="D161" s="370">
        <v>15080</v>
      </c>
      <c r="E161" s="370">
        <v>15080</v>
      </c>
      <c r="F161" s="370">
        <v>0</v>
      </c>
      <c r="G161" s="370">
        <v>0</v>
      </c>
      <c r="H161" s="369">
        <f>IF(E161=0,"",G161/E161*100)</f>
        <v>0</v>
      </c>
    </row>
    <row r="162" spans="2:9" ht="28.5" customHeight="1">
      <c r="B162" s="367"/>
      <c r="C162" s="304" t="s">
        <v>788</v>
      </c>
      <c r="D162" s="370">
        <v>0</v>
      </c>
      <c r="E162" s="370">
        <v>1500</v>
      </c>
      <c r="F162" s="370">
        <v>1500</v>
      </c>
      <c r="G162" s="370">
        <v>0</v>
      </c>
      <c r="H162" s="369">
        <f>IF(E162=0,"",G162/E162*100)</f>
        <v>0</v>
      </c>
    </row>
    <row r="163" spans="2:9" ht="15" customHeight="1">
      <c r="B163" s="367"/>
      <c r="C163" s="304" t="s">
        <v>469</v>
      </c>
      <c r="D163" s="370">
        <v>2800000</v>
      </c>
      <c r="E163" s="370">
        <v>1200000</v>
      </c>
      <c r="F163" s="370">
        <v>0</v>
      </c>
      <c r="G163" s="370">
        <v>2500000</v>
      </c>
      <c r="H163" s="369">
        <f t="shared" si="2"/>
        <v>208.33333333333334</v>
      </c>
    </row>
    <row r="164" spans="2:9" ht="15" customHeight="1">
      <c r="B164" s="186">
        <v>732120</v>
      </c>
      <c r="C164" s="197" t="s">
        <v>516</v>
      </c>
      <c r="D164" s="205">
        <f>SUM(D165:D165)</f>
        <v>0</v>
      </c>
      <c r="E164" s="205">
        <f>SUM(E165:E165)</f>
        <v>15000</v>
      </c>
      <c r="F164" s="205">
        <f>SUM(F165:F165)</f>
        <v>0</v>
      </c>
      <c r="G164" s="205">
        <f>SUM(G165:G165)</f>
        <v>20710</v>
      </c>
      <c r="H164" s="184">
        <f t="shared" si="2"/>
        <v>138.06666666666666</v>
      </c>
    </row>
    <row r="165" spans="2:9" ht="15" customHeight="1">
      <c r="B165" s="195">
        <v>732125</v>
      </c>
      <c r="C165" s="302" t="s">
        <v>789</v>
      </c>
      <c r="D165" s="161">
        <v>0</v>
      </c>
      <c r="E165" s="161">
        <v>15000</v>
      </c>
      <c r="F165" s="161">
        <v>0</v>
      </c>
      <c r="G165" s="161">
        <v>20710</v>
      </c>
      <c r="H165" s="369">
        <f t="shared" si="2"/>
        <v>138.06666666666666</v>
      </c>
      <c r="I165" s="443"/>
    </row>
    <row r="166" spans="2:9" ht="15" customHeight="1">
      <c r="B166" s="186">
        <v>732130</v>
      </c>
      <c r="C166" s="197" t="s">
        <v>760</v>
      </c>
      <c r="D166" s="205">
        <f>SUM(D167:D168)</f>
        <v>0</v>
      </c>
      <c r="E166" s="205">
        <f t="shared" ref="E166:F166" si="4">SUM(E167:E168)</f>
        <v>0</v>
      </c>
      <c r="F166" s="205">
        <f t="shared" si="4"/>
        <v>0</v>
      </c>
      <c r="G166" s="205">
        <f>SUM(G167:G168)</f>
        <v>25200</v>
      </c>
      <c r="H166" s="184" t="str">
        <f t="shared" ref="H166:H167" si="5">IF(E166=0,"",G166/E166*100)</f>
        <v/>
      </c>
    </row>
    <row r="167" spans="2:9" ht="15" customHeight="1">
      <c r="B167" s="195">
        <v>732131</v>
      </c>
      <c r="C167" s="302" t="s">
        <v>815</v>
      </c>
      <c r="D167" s="161">
        <v>0</v>
      </c>
      <c r="E167" s="161">
        <v>0</v>
      </c>
      <c r="F167" s="161">
        <v>0</v>
      </c>
      <c r="G167" s="161">
        <v>18000</v>
      </c>
      <c r="H167" s="369" t="str">
        <f t="shared" si="5"/>
        <v/>
      </c>
    </row>
    <row r="168" spans="2:9" ht="15" customHeight="1">
      <c r="B168" s="195">
        <v>732131</v>
      </c>
      <c r="C168" s="302" t="s">
        <v>816</v>
      </c>
      <c r="D168" s="161">
        <v>0</v>
      </c>
      <c r="E168" s="161">
        <v>0</v>
      </c>
      <c r="F168" s="161">
        <v>0</v>
      </c>
      <c r="G168" s="161">
        <v>7200</v>
      </c>
      <c r="H168" s="369" t="str">
        <f t="shared" ref="H168" si="6">IF(E168=0,"",G168/E168*100)</f>
        <v/>
      </c>
    </row>
    <row r="169" spans="2:9" ht="15" customHeight="1">
      <c r="B169" s="352">
        <v>733000</v>
      </c>
      <c r="C169" s="350" t="s">
        <v>431</v>
      </c>
      <c r="D169" s="351">
        <f>D170</f>
        <v>0</v>
      </c>
      <c r="E169" s="351">
        <f>E170</f>
        <v>0</v>
      </c>
      <c r="F169" s="351">
        <f>F170</f>
        <v>0</v>
      </c>
      <c r="G169" s="351">
        <f>G170</f>
        <v>0</v>
      </c>
      <c r="H169" s="314" t="str">
        <f t="shared" si="2"/>
        <v/>
      </c>
    </row>
    <row r="170" spans="2:9" ht="15" customHeight="1">
      <c r="B170" s="202">
        <v>733100</v>
      </c>
      <c r="C170" s="303" t="s">
        <v>432</v>
      </c>
      <c r="D170" s="199">
        <f>D171+D172</f>
        <v>0</v>
      </c>
      <c r="E170" s="199">
        <f>E171+E172</f>
        <v>0</v>
      </c>
      <c r="F170" s="199">
        <f>F171+F172</f>
        <v>0</v>
      </c>
      <c r="G170" s="199">
        <f>G171+G172</f>
        <v>0</v>
      </c>
      <c r="H170" s="184" t="str">
        <f t="shared" si="2"/>
        <v/>
      </c>
    </row>
    <row r="171" spans="2:9" ht="15" customHeight="1">
      <c r="B171" s="186">
        <v>733110</v>
      </c>
      <c r="C171" s="197" t="s">
        <v>433</v>
      </c>
      <c r="D171" s="205">
        <v>0</v>
      </c>
      <c r="E171" s="205">
        <v>0</v>
      </c>
      <c r="F171" s="205">
        <v>0</v>
      </c>
      <c r="G171" s="205">
        <v>0</v>
      </c>
      <c r="H171" s="184" t="str">
        <f t="shared" si="2"/>
        <v/>
      </c>
    </row>
    <row r="172" spans="2:9" ht="15" customHeight="1">
      <c r="B172" s="186">
        <v>733120</v>
      </c>
      <c r="C172" s="197" t="s">
        <v>434</v>
      </c>
      <c r="D172" s="205">
        <v>0</v>
      </c>
      <c r="E172" s="205">
        <v>0</v>
      </c>
      <c r="F172" s="205">
        <v>0</v>
      </c>
      <c r="G172" s="205">
        <v>0</v>
      </c>
      <c r="H172" s="184" t="str">
        <f t="shared" si="2"/>
        <v/>
      </c>
    </row>
    <row r="173" spans="2:9">
      <c r="B173" s="45"/>
      <c r="C173" s="67"/>
      <c r="D173" s="84"/>
      <c r="E173" s="84"/>
      <c r="F173" s="84"/>
      <c r="G173" s="84"/>
      <c r="H173" s="369" t="str">
        <f t="shared" si="2"/>
        <v/>
      </c>
    </row>
    <row r="174" spans="2:9" ht="15">
      <c r="B174" s="339">
        <v>740000</v>
      </c>
      <c r="C174" s="348" t="s">
        <v>517</v>
      </c>
      <c r="D174" s="341">
        <f>D175+D182</f>
        <v>554000</v>
      </c>
      <c r="E174" s="341">
        <f>E175+E182</f>
        <v>644220</v>
      </c>
      <c r="F174" s="341">
        <f>F175+F182</f>
        <v>238661</v>
      </c>
      <c r="G174" s="341">
        <f>G175+G182</f>
        <v>210200</v>
      </c>
      <c r="H174" s="313">
        <f t="shared" si="2"/>
        <v>32.628605134891806</v>
      </c>
    </row>
    <row r="175" spans="2:9" ht="25.5">
      <c r="B175" s="352">
        <v>741000</v>
      </c>
      <c r="C175" s="350" t="s">
        <v>518</v>
      </c>
      <c r="D175" s="351">
        <f t="shared" ref="D175:G176" si="7">D176</f>
        <v>4000</v>
      </c>
      <c r="E175" s="351">
        <f t="shared" si="7"/>
        <v>198470</v>
      </c>
      <c r="F175" s="351">
        <f t="shared" si="7"/>
        <v>96421</v>
      </c>
      <c r="G175" s="351">
        <f t="shared" si="7"/>
        <v>100000</v>
      </c>
      <c r="H175" s="314">
        <f t="shared" si="2"/>
        <v>50.385448682420517</v>
      </c>
    </row>
    <row r="176" spans="2:9" ht="25.5">
      <c r="B176" s="202">
        <v>741100</v>
      </c>
      <c r="C176" s="305" t="s">
        <v>519</v>
      </c>
      <c r="D176" s="199">
        <f t="shared" si="7"/>
        <v>4000</v>
      </c>
      <c r="E176" s="199">
        <f t="shared" si="7"/>
        <v>198470</v>
      </c>
      <c r="F176" s="199">
        <f t="shared" si="7"/>
        <v>96421</v>
      </c>
      <c r="G176" s="199">
        <f t="shared" si="7"/>
        <v>100000</v>
      </c>
      <c r="H176" s="184">
        <f t="shared" si="2"/>
        <v>50.385448682420517</v>
      </c>
    </row>
    <row r="177" spans="2:8" ht="15" customHeight="1">
      <c r="B177" s="195">
        <v>741111</v>
      </c>
      <c r="C177" s="296" t="s">
        <v>520</v>
      </c>
      <c r="D177" s="93">
        <f>SUM(D178:D181)</f>
        <v>4000</v>
      </c>
      <c r="E177" s="93">
        <f>SUM(E178:E181)</f>
        <v>198470</v>
      </c>
      <c r="F177" s="93">
        <f>SUM(F178:F181)</f>
        <v>96421</v>
      </c>
      <c r="G177" s="93">
        <f>SUM(G178:G181)</f>
        <v>100000</v>
      </c>
      <c r="H177" s="369">
        <f t="shared" si="2"/>
        <v>50.385448682420517</v>
      </c>
    </row>
    <row r="178" spans="2:8" ht="15" customHeight="1">
      <c r="B178" s="367"/>
      <c r="C178" s="304" t="s">
        <v>638</v>
      </c>
      <c r="D178" s="370">
        <v>0</v>
      </c>
      <c r="E178" s="370">
        <v>86830</v>
      </c>
      <c r="F178" s="370">
        <v>86828</v>
      </c>
      <c r="G178" s="370">
        <v>0</v>
      </c>
      <c r="H178" s="369">
        <f>IF(E178=0,"",G178/E178*100)</f>
        <v>0</v>
      </c>
    </row>
    <row r="179" spans="2:8" ht="15" customHeight="1">
      <c r="B179" s="367"/>
      <c r="C179" s="304" t="s">
        <v>638</v>
      </c>
      <c r="D179" s="370">
        <v>0</v>
      </c>
      <c r="E179" s="370">
        <v>102040</v>
      </c>
      <c r="F179" s="370">
        <v>0</v>
      </c>
      <c r="G179" s="370">
        <v>100000</v>
      </c>
      <c r="H179" s="369">
        <f>IF(E179=0,"",G179/E179*100)</f>
        <v>98.000784006272042</v>
      </c>
    </row>
    <row r="180" spans="2:8" ht="15" customHeight="1">
      <c r="B180" s="367"/>
      <c r="C180" s="304" t="s">
        <v>790</v>
      </c>
      <c r="D180" s="370">
        <v>4000</v>
      </c>
      <c r="E180" s="370">
        <v>3900</v>
      </c>
      <c r="F180" s="370">
        <v>3896</v>
      </c>
      <c r="G180" s="370">
        <v>0</v>
      </c>
      <c r="H180" s="369">
        <f>IF(E180=0,"",G180/E180*100)</f>
        <v>0</v>
      </c>
    </row>
    <row r="181" spans="2:8" ht="15" customHeight="1">
      <c r="B181" s="367"/>
      <c r="C181" s="304" t="s">
        <v>791</v>
      </c>
      <c r="D181" s="370">
        <v>0</v>
      </c>
      <c r="E181" s="370">
        <v>5700</v>
      </c>
      <c r="F181" s="370">
        <v>5697</v>
      </c>
      <c r="G181" s="370">
        <v>0</v>
      </c>
      <c r="H181" s="369">
        <f>IF(E181=0,"",G181/E181*100)</f>
        <v>0</v>
      </c>
    </row>
    <row r="182" spans="2:8" ht="25.5" customHeight="1">
      <c r="B182" s="352">
        <v>742000</v>
      </c>
      <c r="C182" s="350" t="s">
        <v>521</v>
      </c>
      <c r="D182" s="351">
        <f>D183</f>
        <v>550000</v>
      </c>
      <c r="E182" s="351">
        <f>E183</f>
        <v>445750</v>
      </c>
      <c r="F182" s="351">
        <f>F183</f>
        <v>142240</v>
      </c>
      <c r="G182" s="351">
        <f>G183</f>
        <v>110200</v>
      </c>
      <c r="H182" s="314">
        <f t="shared" si="2"/>
        <v>24.722378014582162</v>
      </c>
    </row>
    <row r="183" spans="2:8" ht="15" customHeight="1">
      <c r="B183" s="202">
        <v>742100</v>
      </c>
      <c r="C183" s="305" t="s">
        <v>522</v>
      </c>
      <c r="D183" s="199">
        <f>D184+D185+D193</f>
        <v>550000</v>
      </c>
      <c r="E183" s="199">
        <f>E184+E185+E193</f>
        <v>445750</v>
      </c>
      <c r="F183" s="199">
        <f>F184+F185+F193</f>
        <v>142240</v>
      </c>
      <c r="G183" s="199">
        <f>G184+G185+G193</f>
        <v>110200</v>
      </c>
      <c r="H183" s="184">
        <f t="shared" si="2"/>
        <v>24.722378014582162</v>
      </c>
    </row>
    <row r="184" spans="2:8" ht="15" customHeight="1">
      <c r="B184" s="195">
        <v>742111</v>
      </c>
      <c r="C184" s="296" t="s">
        <v>656</v>
      </c>
      <c r="D184" s="93">
        <v>0</v>
      </c>
      <c r="E184" s="93">
        <v>0</v>
      </c>
      <c r="F184" s="93">
        <v>0</v>
      </c>
      <c r="G184" s="93">
        <v>0</v>
      </c>
      <c r="H184" s="369" t="str">
        <f>IF(E184=0,"",G184/E184*100)</f>
        <v/>
      </c>
    </row>
    <row r="185" spans="2:8" ht="15" customHeight="1">
      <c r="B185" s="195">
        <v>742112</v>
      </c>
      <c r="C185" s="296" t="s">
        <v>523</v>
      </c>
      <c r="D185" s="93">
        <f>SUM(D186:D192)</f>
        <v>550000</v>
      </c>
      <c r="E185" s="93">
        <f>SUM(E186:E192)</f>
        <v>445750</v>
      </c>
      <c r="F185" s="93">
        <f>SUM(F186:F192)</f>
        <v>142240</v>
      </c>
      <c r="G185" s="93">
        <f>SUM(G186:G192)</f>
        <v>110200</v>
      </c>
      <c r="H185" s="369">
        <f t="shared" si="2"/>
        <v>24.722378014582162</v>
      </c>
    </row>
    <row r="186" spans="2:8" ht="15" customHeight="1">
      <c r="B186" s="186"/>
      <c r="C186" s="304" t="s">
        <v>620</v>
      </c>
      <c r="D186" s="161">
        <v>0</v>
      </c>
      <c r="E186" s="161">
        <v>142240</v>
      </c>
      <c r="F186" s="161">
        <v>142240</v>
      </c>
      <c r="G186" s="161">
        <v>0</v>
      </c>
      <c r="H186" s="369">
        <f t="shared" si="2"/>
        <v>0</v>
      </c>
    </row>
    <row r="187" spans="2:8" ht="15" customHeight="1">
      <c r="B187" s="186"/>
      <c r="C187" s="304" t="s">
        <v>756</v>
      </c>
      <c r="D187" s="161">
        <v>0</v>
      </c>
      <c r="E187" s="161">
        <v>0</v>
      </c>
      <c r="F187" s="161">
        <v>0</v>
      </c>
      <c r="G187" s="161">
        <v>100000</v>
      </c>
      <c r="H187" s="369" t="str">
        <f t="shared" ref="H187" si="8">IF(E187=0,"",G187/E187*100)</f>
        <v/>
      </c>
    </row>
    <row r="188" spans="2:8" ht="25.5">
      <c r="B188" s="186"/>
      <c r="C188" s="304" t="s">
        <v>621</v>
      </c>
      <c r="D188" s="161">
        <v>500000</v>
      </c>
      <c r="E188" s="161">
        <v>200000</v>
      </c>
      <c r="F188" s="161">
        <v>0</v>
      </c>
      <c r="G188" s="161">
        <v>0</v>
      </c>
      <c r="H188" s="369">
        <f t="shared" si="2"/>
        <v>0</v>
      </c>
    </row>
    <row r="189" spans="2:8" ht="25.5">
      <c r="B189" s="186"/>
      <c r="C189" s="304" t="s">
        <v>622</v>
      </c>
      <c r="D189" s="161">
        <v>0</v>
      </c>
      <c r="E189" s="161">
        <v>50000</v>
      </c>
      <c r="F189" s="161">
        <v>0</v>
      </c>
      <c r="G189" s="161">
        <v>0</v>
      </c>
      <c r="H189" s="369">
        <f t="shared" si="2"/>
        <v>0</v>
      </c>
    </row>
    <row r="190" spans="2:8" ht="25.5">
      <c r="B190" s="367"/>
      <c r="C190" s="304" t="s">
        <v>792</v>
      </c>
      <c r="D190" s="370">
        <v>50000</v>
      </c>
      <c r="E190" s="370">
        <v>50000</v>
      </c>
      <c r="F190" s="370">
        <v>0</v>
      </c>
      <c r="G190" s="370">
        <v>0</v>
      </c>
      <c r="H190" s="369">
        <f>IF(E190=0,"",G190/E190*100)</f>
        <v>0</v>
      </c>
    </row>
    <row r="191" spans="2:8" ht="25.5">
      <c r="B191" s="367"/>
      <c r="C191" s="304" t="s">
        <v>793</v>
      </c>
      <c r="D191" s="370">
        <v>0</v>
      </c>
      <c r="E191" s="370">
        <v>0</v>
      </c>
      <c r="F191" s="370">
        <v>0</v>
      </c>
      <c r="G191" s="370">
        <v>10200</v>
      </c>
      <c r="H191" s="369" t="str">
        <f>IF(E191=0,"",G191/E191*100)</f>
        <v/>
      </c>
    </row>
    <row r="192" spans="2:8" ht="15" customHeight="1">
      <c r="B192" s="186"/>
      <c r="C192" s="304" t="s">
        <v>794</v>
      </c>
      <c r="D192" s="161">
        <v>0</v>
      </c>
      <c r="E192" s="161">
        <v>3510</v>
      </c>
      <c r="F192" s="161">
        <v>0</v>
      </c>
      <c r="G192" s="161">
        <v>0</v>
      </c>
      <c r="H192" s="369">
        <f t="shared" si="2"/>
        <v>0</v>
      </c>
    </row>
    <row r="193" spans="2:8" ht="15" customHeight="1">
      <c r="B193" s="195">
        <v>742116</v>
      </c>
      <c r="C193" s="296" t="s">
        <v>637</v>
      </c>
      <c r="D193" s="93">
        <v>0</v>
      </c>
      <c r="E193" s="93">
        <v>0</v>
      </c>
      <c r="F193" s="93">
        <v>0</v>
      </c>
      <c r="G193" s="93">
        <v>0</v>
      </c>
      <c r="H193" s="369" t="str">
        <f>IF(E193=0,"",G193/E193*100)</f>
        <v/>
      </c>
    </row>
    <row r="194" spans="2:8">
      <c r="B194" s="186"/>
      <c r="C194" s="304"/>
      <c r="D194" s="161"/>
      <c r="E194" s="161"/>
      <c r="F194" s="161"/>
      <c r="G194" s="161"/>
      <c r="H194" s="369" t="str">
        <f t="shared" si="2"/>
        <v/>
      </c>
    </row>
    <row r="195" spans="2:8" ht="15" customHeight="1">
      <c r="B195" s="339">
        <v>777000</v>
      </c>
      <c r="C195" s="340" t="s">
        <v>435</v>
      </c>
      <c r="D195" s="353">
        <f>SUM(D196:D197)</f>
        <v>1300</v>
      </c>
      <c r="E195" s="353">
        <f>SUM(E196:E197)</f>
        <v>21470</v>
      </c>
      <c r="F195" s="353">
        <f>SUM(F196:F197)</f>
        <v>21351</v>
      </c>
      <c r="G195" s="353">
        <f>SUM(G196:G197)</f>
        <v>920</v>
      </c>
      <c r="H195" s="334">
        <f t="shared" si="2"/>
        <v>4.2850489054494645</v>
      </c>
    </row>
    <row r="196" spans="2:8" ht="15" customHeight="1">
      <c r="B196" s="182">
        <v>777778</v>
      </c>
      <c r="C196" s="302" t="s">
        <v>436</v>
      </c>
      <c r="D196" s="85">
        <v>1200</v>
      </c>
      <c r="E196" s="85">
        <v>21200</v>
      </c>
      <c r="F196" s="85">
        <v>21091</v>
      </c>
      <c r="G196" s="85">
        <f>60*12</f>
        <v>720</v>
      </c>
      <c r="H196" s="369">
        <f t="shared" si="2"/>
        <v>3.3962264150943398</v>
      </c>
    </row>
    <row r="197" spans="2:8" ht="15" customHeight="1">
      <c r="B197" s="182">
        <v>777779</v>
      </c>
      <c r="C197" s="296" t="s">
        <v>437</v>
      </c>
      <c r="D197" s="85">
        <v>100</v>
      </c>
      <c r="E197" s="85">
        <v>270</v>
      </c>
      <c r="F197" s="85">
        <v>260</v>
      </c>
      <c r="G197" s="241">
        <v>200</v>
      </c>
      <c r="H197" s="369">
        <f t="shared" si="2"/>
        <v>74.074074074074076</v>
      </c>
    </row>
    <row r="198" spans="2:8" ht="15" customHeight="1">
      <c r="B198" s="91"/>
      <c r="C198" s="92"/>
      <c r="D198" s="161"/>
      <c r="E198" s="161"/>
      <c r="F198" s="161"/>
      <c r="G198" s="161"/>
      <c r="H198" s="369" t="str">
        <f t="shared" si="2"/>
        <v/>
      </c>
    </row>
    <row r="199" spans="2:8" ht="15" customHeight="1">
      <c r="B199" s="472" t="s">
        <v>472</v>
      </c>
      <c r="C199" s="473"/>
      <c r="D199" s="210">
        <f>D144+D146+D174+D195</f>
        <v>39962940</v>
      </c>
      <c r="E199" s="210">
        <f>E144+E146+E174+E195</f>
        <v>40289760</v>
      </c>
      <c r="F199" s="210">
        <f>F144+F146+F174+F195</f>
        <v>29338048</v>
      </c>
      <c r="G199" s="210">
        <f>G144+G146+G174+G195</f>
        <v>42444000</v>
      </c>
      <c r="H199" s="317">
        <f t="shared" si="2"/>
        <v>105.34686729332714</v>
      </c>
    </row>
    <row r="200" spans="2:8" ht="15" customHeight="1">
      <c r="B200" s="208"/>
      <c r="C200" s="209"/>
      <c r="D200" s="210"/>
      <c r="E200" s="210"/>
      <c r="F200" s="210"/>
      <c r="G200" s="210"/>
      <c r="H200" s="369" t="str">
        <f t="shared" ref="H200:H212" si="9">IF(E200=0,"",G200/E200*100)</f>
        <v/>
      </c>
    </row>
    <row r="201" spans="2:8" ht="15" customHeight="1">
      <c r="B201" s="339">
        <v>810000</v>
      </c>
      <c r="C201" s="340" t="s">
        <v>438</v>
      </c>
      <c r="D201" s="341">
        <f>D202</f>
        <v>0</v>
      </c>
      <c r="E201" s="341">
        <f>E202</f>
        <v>53470</v>
      </c>
      <c r="F201" s="341">
        <f>F202</f>
        <v>53467</v>
      </c>
      <c r="G201" s="341">
        <f>G202</f>
        <v>0</v>
      </c>
      <c r="H201" s="314">
        <f t="shared" si="9"/>
        <v>0</v>
      </c>
    </row>
    <row r="202" spans="2:8" ht="15" customHeight="1">
      <c r="B202" s="349">
        <v>811000</v>
      </c>
      <c r="C202" s="350" t="s">
        <v>440</v>
      </c>
      <c r="D202" s="351">
        <f>SUM(D203:D203)</f>
        <v>0</v>
      </c>
      <c r="E202" s="351">
        <f>SUM(E203:E203)</f>
        <v>53470</v>
      </c>
      <c r="F202" s="351">
        <f>SUM(F203:F203)</f>
        <v>53467</v>
      </c>
      <c r="G202" s="351">
        <f>SUM(G203:G203)</f>
        <v>0</v>
      </c>
      <c r="H202" s="314">
        <f t="shared" si="9"/>
        <v>0</v>
      </c>
    </row>
    <row r="203" spans="2:8" ht="15" customHeight="1">
      <c r="B203" s="202">
        <v>811100</v>
      </c>
      <c r="C203" s="207" t="s">
        <v>439</v>
      </c>
      <c r="D203" s="205">
        <f>D204+D206</f>
        <v>0</v>
      </c>
      <c r="E203" s="205">
        <f>E204+E206</f>
        <v>53470</v>
      </c>
      <c r="F203" s="205">
        <f>F204+F206</f>
        <v>53467</v>
      </c>
      <c r="G203" s="205">
        <f>G204+G206</f>
        <v>0</v>
      </c>
      <c r="H203" s="184">
        <f t="shared" si="9"/>
        <v>0</v>
      </c>
    </row>
    <row r="204" spans="2:8" ht="15" customHeight="1">
      <c r="B204" s="182">
        <v>811111</v>
      </c>
      <c r="C204" s="302" t="s">
        <v>645</v>
      </c>
      <c r="D204" s="85">
        <f>SUM(D205:D205)</f>
        <v>0</v>
      </c>
      <c r="E204" s="85">
        <f>SUM(E205:E205)</f>
        <v>1500</v>
      </c>
      <c r="F204" s="85">
        <f>SUM(F205:F205)</f>
        <v>1500</v>
      </c>
      <c r="G204" s="85">
        <f>SUM(G205:G205)</f>
        <v>0</v>
      </c>
      <c r="H204" s="369">
        <f t="shared" si="9"/>
        <v>0</v>
      </c>
    </row>
    <row r="205" spans="2:8" ht="15" customHeight="1">
      <c r="B205" s="182"/>
      <c r="C205" s="304" t="s">
        <v>660</v>
      </c>
      <c r="D205" s="85">
        <v>0</v>
      </c>
      <c r="E205" s="85">
        <v>1500</v>
      </c>
      <c r="F205" s="85">
        <v>1500</v>
      </c>
      <c r="G205" s="85">
        <v>0</v>
      </c>
      <c r="H205" s="369">
        <f>IF(E205=0,"",G205/E205*100)</f>
        <v>0</v>
      </c>
    </row>
    <row r="206" spans="2:8" ht="15" customHeight="1">
      <c r="B206" s="182">
        <v>811114</v>
      </c>
      <c r="C206" s="296" t="s">
        <v>646</v>
      </c>
      <c r="D206" s="85">
        <f>SUM(D207:D210)</f>
        <v>0</v>
      </c>
      <c r="E206" s="85">
        <f>SUM(E207:E210)</f>
        <v>51970</v>
      </c>
      <c r="F206" s="85">
        <f>SUM(F207:F210)</f>
        <v>51967</v>
      </c>
      <c r="G206" s="85">
        <f>SUM(G207:G210)</f>
        <v>0</v>
      </c>
      <c r="H206" s="369">
        <f t="shared" si="9"/>
        <v>0</v>
      </c>
    </row>
    <row r="207" spans="2:8" ht="15" customHeight="1">
      <c r="B207" s="182"/>
      <c r="C207" s="304" t="s">
        <v>661</v>
      </c>
      <c r="D207" s="85">
        <v>0</v>
      </c>
      <c r="E207" s="85">
        <v>3450</v>
      </c>
      <c r="F207" s="85">
        <v>3450</v>
      </c>
      <c r="G207" s="85">
        <v>0</v>
      </c>
      <c r="H207" s="369">
        <f t="shared" si="9"/>
        <v>0</v>
      </c>
    </row>
    <row r="208" spans="2:8" ht="15" customHeight="1">
      <c r="B208" s="182"/>
      <c r="C208" s="304" t="s">
        <v>657</v>
      </c>
      <c r="D208" s="85">
        <v>0</v>
      </c>
      <c r="E208" s="85">
        <v>6000</v>
      </c>
      <c r="F208" s="85">
        <v>6000</v>
      </c>
      <c r="G208" s="85">
        <v>0</v>
      </c>
      <c r="H208" s="369">
        <f>IF(E208=0,"",G208/E208*100)</f>
        <v>0</v>
      </c>
    </row>
    <row r="209" spans="2:8" ht="15" customHeight="1">
      <c r="B209" s="182"/>
      <c r="C209" s="304" t="s">
        <v>662</v>
      </c>
      <c r="D209" s="85">
        <v>0</v>
      </c>
      <c r="E209" s="85">
        <v>39900</v>
      </c>
      <c r="F209" s="85">
        <v>39901</v>
      </c>
      <c r="G209" s="85">
        <v>0</v>
      </c>
      <c r="H209" s="369">
        <f>IF(E209=0,"",G209/E209*100)</f>
        <v>0</v>
      </c>
    </row>
    <row r="210" spans="2:8" ht="15" customHeight="1">
      <c r="B210" s="182"/>
      <c r="C210" s="304" t="s">
        <v>798</v>
      </c>
      <c r="D210" s="85">
        <v>0</v>
      </c>
      <c r="E210" s="85">
        <v>2620</v>
      </c>
      <c r="F210" s="85">
        <v>2616</v>
      </c>
      <c r="G210" s="85">
        <v>0</v>
      </c>
      <c r="H210" s="369">
        <f>IF(E210=0,"",G210/E210*100)</f>
        <v>0</v>
      </c>
    </row>
    <row r="211" spans="2:8" ht="15" customHeight="1" thickBot="1">
      <c r="B211" s="263"/>
      <c r="C211" s="264"/>
      <c r="D211" s="264"/>
      <c r="E211" s="264"/>
      <c r="F211" s="264"/>
      <c r="G211" s="264"/>
      <c r="H211" s="371" t="str">
        <f t="shared" si="9"/>
        <v/>
      </c>
    </row>
    <row r="212" spans="2:8" ht="15" customHeight="1" thickBot="1">
      <c r="B212" s="474" t="s">
        <v>524</v>
      </c>
      <c r="C212" s="475"/>
      <c r="D212" s="354">
        <f>D199+D201</f>
        <v>39962940</v>
      </c>
      <c r="E212" s="354">
        <f>E199+E201</f>
        <v>40343230</v>
      </c>
      <c r="F212" s="354">
        <f>F199+F201</f>
        <v>29391515</v>
      </c>
      <c r="G212" s="354">
        <f>G199+G201</f>
        <v>42444000</v>
      </c>
      <c r="H212" s="318">
        <f t="shared" si="9"/>
        <v>105.2072429500563</v>
      </c>
    </row>
    <row r="215" spans="2:8">
      <c r="D215" s="94"/>
      <c r="E215" s="94"/>
      <c r="F215" s="94"/>
    </row>
  </sheetData>
  <mergeCells count="4">
    <mergeCell ref="B2:H2"/>
    <mergeCell ref="B144:C144"/>
    <mergeCell ref="B199:C199"/>
    <mergeCell ref="B212:C212"/>
  </mergeCells>
  <pageMargins left="0.43307086614173229" right="0.15748031496062992" top="0.39370078740157483" bottom="0.62992125984251968" header="0.31496062992125984" footer="0.43307086614173229"/>
  <pageSetup paperSize="9" scale="80" firstPageNumber="2" orientation="portrait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M117"/>
  <sheetViews>
    <sheetView topLeftCell="C70" zoomScaleNormal="100" workbookViewId="0">
      <selection activeCell="J37" sqref="J37"/>
    </sheetView>
  </sheetViews>
  <sheetFormatPr defaultRowHeight="12" customHeight="1"/>
  <cols>
    <col min="1" max="1" width="0.5703125" style="13" hidden="1" customWidth="1"/>
    <col min="2" max="2" width="5.7109375" style="13" hidden="1" customWidth="1"/>
    <col min="3" max="3" width="9.7109375" style="24" customWidth="1"/>
    <col min="4" max="4" width="54" style="13" customWidth="1"/>
    <col min="5" max="8" width="12.7109375" style="13" customWidth="1"/>
    <col min="9" max="9" width="7.7109375" style="127" customWidth="1"/>
    <col min="10" max="10" width="9.140625" style="13"/>
    <col min="11" max="11" width="13.140625" style="13" bestFit="1" customWidth="1"/>
    <col min="12" max="13" width="10.140625" style="13" bestFit="1" customWidth="1"/>
    <col min="14" max="16384" width="9.140625" style="13"/>
  </cols>
  <sheetData>
    <row r="2" spans="2:13" ht="2.25" customHeight="1"/>
    <row r="3" spans="2:13" s="1" customFormat="1" ht="30.75" customHeight="1" thickBot="1">
      <c r="C3" s="478" t="s">
        <v>77</v>
      </c>
      <c r="D3" s="478"/>
      <c r="E3" s="125"/>
      <c r="F3" s="125"/>
      <c r="G3" s="125"/>
      <c r="H3" s="476"/>
      <c r="I3" s="477"/>
    </row>
    <row r="4" spans="2:13" s="1" customFormat="1" ht="51.75" customHeight="1">
      <c r="B4" s="3" t="s">
        <v>78</v>
      </c>
      <c r="C4" s="37" t="s">
        <v>736</v>
      </c>
      <c r="D4" s="38" t="s">
        <v>80</v>
      </c>
      <c r="E4" s="158" t="s">
        <v>641</v>
      </c>
      <c r="F4" s="158" t="s">
        <v>780</v>
      </c>
      <c r="G4" s="158" t="s">
        <v>735</v>
      </c>
      <c r="H4" s="158" t="s">
        <v>730</v>
      </c>
      <c r="I4" s="128" t="s">
        <v>781</v>
      </c>
    </row>
    <row r="5" spans="2:13" s="2" customFormat="1" ht="14.1" customHeight="1">
      <c r="B5" s="8">
        <v>1</v>
      </c>
      <c r="C5" s="8">
        <v>1</v>
      </c>
      <c r="D5" s="9">
        <v>2</v>
      </c>
      <c r="E5" s="33">
        <v>3</v>
      </c>
      <c r="F5" s="33">
        <v>4</v>
      </c>
      <c r="G5" s="33">
        <v>5</v>
      </c>
      <c r="H5" s="9">
        <v>6</v>
      </c>
      <c r="I5" s="135">
        <v>7</v>
      </c>
    </row>
    <row r="6" spans="2:13" s="2" customFormat="1" ht="15" customHeight="1">
      <c r="B6" s="8"/>
      <c r="C6" s="8"/>
      <c r="D6" s="27" t="s">
        <v>160</v>
      </c>
      <c r="E6" s="25">
        <f>E8+E14+E20+E23+E45+E86+E89+E95+E101</f>
        <v>39940550</v>
      </c>
      <c r="F6" s="25">
        <f>F8+F14+F20+F23+F45+F86+F89+F95+F101</f>
        <v>40327360</v>
      </c>
      <c r="G6" s="25">
        <f>G8+G14+G20+G23+G45+G86+G89+G95+G101</f>
        <v>25929831</v>
      </c>
      <c r="H6" s="25">
        <f>H8+H14+H20+H23+H45+H86+H89+H95+H101</f>
        <v>42441870</v>
      </c>
      <c r="I6" s="153">
        <f>IF(F6=0,"",H6/F6*100)</f>
        <v>105.24336331463304</v>
      </c>
      <c r="K6" s="256"/>
    </row>
    <row r="7" spans="2:13" s="2" customFormat="1" ht="9" customHeight="1">
      <c r="B7" s="8"/>
      <c r="C7" s="8"/>
      <c r="D7" s="27"/>
      <c r="E7" s="25"/>
      <c r="F7" s="25"/>
      <c r="G7" s="25"/>
      <c r="H7" s="25"/>
      <c r="I7" s="157" t="str">
        <f>IF(E7=0,"",H7/E7*100)</f>
        <v/>
      </c>
      <c r="K7" s="124"/>
    </row>
    <row r="8" spans="2:13" s="2" customFormat="1" ht="15" customHeight="1">
      <c r="B8" s="8"/>
      <c r="C8" s="394">
        <v>600000</v>
      </c>
      <c r="D8" s="27" t="s">
        <v>121</v>
      </c>
      <c r="E8" s="25">
        <f>E9+E10+E11+E12</f>
        <v>510000</v>
      </c>
      <c r="F8" s="25">
        <f t="shared" ref="F8:G8" si="0">F9+F10+F11+F12</f>
        <v>690000</v>
      </c>
      <c r="G8" s="25">
        <f t="shared" si="0"/>
        <v>380418</v>
      </c>
      <c r="H8" s="25">
        <f>H9+H10+H11+H12</f>
        <v>660000</v>
      </c>
      <c r="I8" s="153">
        <f>IF(F8=0,"",H8/F8*100)</f>
        <v>95.652173913043484</v>
      </c>
      <c r="K8" s="256"/>
    </row>
    <row r="9" spans="2:13" s="2" customFormat="1" ht="15" customHeight="1">
      <c r="B9" s="8"/>
      <c r="C9" s="395">
        <v>600000</v>
      </c>
      <c r="D9" s="52" t="s">
        <v>97</v>
      </c>
      <c r="E9" s="59">
        <f>'3'!G8</f>
        <v>450000</v>
      </c>
      <c r="F9" s="59">
        <f>'3'!H8</f>
        <v>630000</v>
      </c>
      <c r="G9" s="59">
        <f>'3'!I8</f>
        <v>345568</v>
      </c>
      <c r="H9" s="365">
        <f>'3'!J8</f>
        <v>600000</v>
      </c>
      <c r="I9" s="157">
        <f>IF(F9=0,"",H9/F9*100)</f>
        <v>95.238095238095227</v>
      </c>
      <c r="M9" s="124"/>
    </row>
    <row r="10" spans="2:13" s="2" customFormat="1" ht="15" customHeight="1">
      <c r="B10" s="8"/>
      <c r="C10" s="395">
        <v>600000</v>
      </c>
      <c r="D10" s="52" t="s">
        <v>98</v>
      </c>
      <c r="E10" s="59">
        <f>'3'!G9</f>
        <v>30000</v>
      </c>
      <c r="F10" s="59">
        <f>'3'!H9</f>
        <v>30000</v>
      </c>
      <c r="G10" s="59">
        <f>'3'!I9</f>
        <v>19500</v>
      </c>
      <c r="H10" s="59">
        <f>'3'!J9</f>
        <v>30000</v>
      </c>
      <c r="I10" s="157">
        <f t="shared" ref="I10:I72" si="1">IF(F10=0,"",H10/F10*100)</f>
        <v>100</v>
      </c>
      <c r="L10" s="124"/>
    </row>
    <row r="11" spans="2:13" s="2" customFormat="1" ht="15" customHeight="1">
      <c r="B11" s="8"/>
      <c r="C11" s="395">
        <v>600000</v>
      </c>
      <c r="D11" s="52" t="s">
        <v>122</v>
      </c>
      <c r="E11" s="59">
        <f>'3'!G10</f>
        <v>15000</v>
      </c>
      <c r="F11" s="59">
        <f>'3'!H10</f>
        <v>15000</v>
      </c>
      <c r="G11" s="59">
        <f>'3'!I10</f>
        <v>8650</v>
      </c>
      <c r="H11" s="59">
        <f>'3'!J10</f>
        <v>15000</v>
      </c>
      <c r="I11" s="157">
        <f t="shared" si="1"/>
        <v>100</v>
      </c>
      <c r="M11" s="124"/>
    </row>
    <row r="12" spans="2:13" s="2" customFormat="1" ht="15" customHeight="1">
      <c r="B12" s="8"/>
      <c r="C12" s="395">
        <v>600000</v>
      </c>
      <c r="D12" s="52" t="s">
        <v>109</v>
      </c>
      <c r="E12" s="59">
        <f>'16'!G8</f>
        <v>15000</v>
      </c>
      <c r="F12" s="59">
        <f>'16'!H8</f>
        <v>15000</v>
      </c>
      <c r="G12" s="59">
        <f>'16'!I8</f>
        <v>6700</v>
      </c>
      <c r="H12" s="59">
        <f>'16'!J8</f>
        <v>15000</v>
      </c>
      <c r="I12" s="157">
        <f t="shared" si="1"/>
        <v>100</v>
      </c>
    </row>
    <row r="13" spans="2:13" s="2" customFormat="1" ht="10.5" customHeight="1">
      <c r="B13" s="8"/>
      <c r="C13" s="395"/>
      <c r="D13" s="52"/>
      <c r="E13" s="121"/>
      <c r="F13" s="121"/>
      <c r="G13" s="121"/>
      <c r="H13" s="121"/>
      <c r="I13" s="157" t="str">
        <f t="shared" si="1"/>
        <v/>
      </c>
    </row>
    <row r="14" spans="2:13" s="1" customFormat="1" ht="15" customHeight="1">
      <c r="B14" s="10"/>
      <c r="C14" s="394">
        <v>611000</v>
      </c>
      <c r="D14" s="12" t="s">
        <v>164</v>
      </c>
      <c r="E14" s="99">
        <f>E15+E16</f>
        <v>20585650</v>
      </c>
      <c r="F14" s="99">
        <f t="shared" ref="F14:G14" si="2">F15+F16</f>
        <v>19585650</v>
      </c>
      <c r="G14" s="99">
        <f t="shared" si="2"/>
        <v>14328063</v>
      </c>
      <c r="H14" s="99">
        <f>H15+H16</f>
        <v>20818240</v>
      </c>
      <c r="I14" s="441">
        <f t="shared" si="1"/>
        <v>106.29333210794638</v>
      </c>
      <c r="K14" s="83"/>
      <c r="L14" s="83"/>
    </row>
    <row r="15" spans="2:13" ht="15" customHeight="1">
      <c r="B15" s="14"/>
      <c r="C15" s="396">
        <v>611100</v>
      </c>
      <c r="D15" s="26" t="s">
        <v>207</v>
      </c>
      <c r="E15" s="40">
        <f>'1'!G8+'2'!G8+'3'!G13+'4'!G8+'5'!G8+'6'!G8+'8'!G8+'9'!G8+'10'!G8+'11'!G8+'12'!G8+'13'!G8+'14'!G8+'15'!G8+'16'!G11+'17'!G8+'18'!G8+'19'!G8+'20'!G8+'22'!G8+'23'!G8+'21'!G8+'24'!G8+'25'!G8+'26'!G8+'27'!G8+'28'!G8+'29'!G8+'30'!G8+'31'!G8+'32'!G8+'33'!G8+'34'!G8+'35'!G8+'36'!G8+'37'!G8+'7'!G8</f>
        <v>16741350</v>
      </c>
      <c r="F15" s="40">
        <f>'1'!H8+'2'!H8+'3'!H13+'4'!H8+'5'!H8+'6'!H8+'8'!H8+'9'!H8+'10'!H8+'11'!H8+'12'!H8+'13'!H8+'14'!H8+'15'!H8+'16'!H11+'17'!H8+'18'!H8+'19'!H8+'20'!H8+'22'!H8+'23'!H8+'21'!H8+'24'!H8+'25'!H8+'26'!H8+'27'!H8+'28'!H8+'29'!H8+'30'!H8+'31'!H8+'32'!H8+'33'!H8+'34'!H8+'35'!H8+'36'!H8+'37'!H8+'7'!H8</f>
        <v>15847530</v>
      </c>
      <c r="G15" s="40">
        <f>'1'!I8+'2'!I8+'3'!I13+'4'!I8+'5'!I8+'6'!I8+'8'!I8+'9'!I8+'10'!I8+'11'!I8+'12'!I8+'13'!I8+'14'!I8+'15'!I8+'16'!I11+'17'!I8+'18'!I8+'19'!I8+'20'!I8+'22'!I8+'23'!I8+'21'!I8+'24'!I8+'25'!I8+'26'!I8+'27'!I8+'28'!I8+'29'!I8+'30'!I8+'31'!I8+'32'!I8+'33'!I8+'34'!I8+'35'!I8+'36'!I8+'37'!I8+'7'!I8</f>
        <v>11744287</v>
      </c>
      <c r="H15" s="40">
        <f>'1'!J8+'2'!J8+'3'!J13+'4'!J8+'5'!J8+'6'!J8+'8'!J8+'9'!J8+'10'!J8+'11'!J8+'12'!J8+'13'!J8+'14'!J8+'15'!J8+'16'!J11+'17'!J8+'18'!J8+'19'!J8+'20'!J8+'22'!J8+'23'!J8+'21'!J8+'24'!J8+'25'!J8+'26'!J8+'27'!J8+'28'!J8+'29'!J8+'30'!J8+'31'!J8+'32'!J8+'33'!J8+'34'!J8+'35'!J8+'36'!J8+'37'!J8+'7'!J8</f>
        <v>17008050</v>
      </c>
      <c r="I15" s="157">
        <f t="shared" si="1"/>
        <v>107.32303393651881</v>
      </c>
      <c r="K15" s="82"/>
    </row>
    <row r="16" spans="2:13" ht="15" customHeight="1">
      <c r="B16" s="14"/>
      <c r="C16" s="396">
        <v>611200</v>
      </c>
      <c r="D16" s="26" t="s">
        <v>208</v>
      </c>
      <c r="E16" s="40">
        <f>E17+E18</f>
        <v>3844300</v>
      </c>
      <c r="F16" s="40">
        <f t="shared" ref="F16:G16" si="3">F17+F18</f>
        <v>3738120</v>
      </c>
      <c r="G16" s="40">
        <f t="shared" si="3"/>
        <v>2583776</v>
      </c>
      <c r="H16" s="40">
        <f>H17+H18</f>
        <v>3810190</v>
      </c>
      <c r="I16" s="157">
        <f t="shared" si="1"/>
        <v>101.92797448985051</v>
      </c>
      <c r="K16" s="82"/>
    </row>
    <row r="17" spans="2:12" ht="15" customHeight="1">
      <c r="B17" s="14"/>
      <c r="C17" s="397">
        <v>611200</v>
      </c>
      <c r="D17" s="380" t="s">
        <v>208</v>
      </c>
      <c r="E17" s="381">
        <f>'1'!G9+'2'!G9+'3'!G14+'4'!G9+'5'!G9+'6'!G9+'8'!G9+'9'!G9+'10'!G9+'11'!G9+'12'!G9+'13'!G9+'14'!G9+'15'!G9+'16'!G12+'17'!G9+'18'!G9+'19'!G9+'20'!G9+'22'!G9+'23'!G9+'21'!G9+'24'!G9+'25'!G9+'26'!G9+'27'!G9+'28'!G9+'29'!G9+'30'!G9+'31'!G9+'32'!G9+'33'!G9+'34'!G9+'35'!G9+'36'!G9+'37'!G9+'7'!G9</f>
        <v>3655300</v>
      </c>
      <c r="F17" s="381">
        <f>'1'!H9+'2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3565420</v>
      </c>
      <c r="G17" s="381">
        <f>'1'!I9+'2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2466535</v>
      </c>
      <c r="H17" s="381">
        <f>'1'!J9+'2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3608290</v>
      </c>
      <c r="I17" s="382">
        <f t="shared" si="1"/>
        <v>101.20238288897241</v>
      </c>
      <c r="K17" s="82"/>
    </row>
    <row r="18" spans="2:12" ht="15" customHeight="1">
      <c r="B18" s="14"/>
      <c r="C18" s="397">
        <v>611200</v>
      </c>
      <c r="D18" s="380" t="s">
        <v>808</v>
      </c>
      <c r="E18" s="381">
        <f>'1'!G10+'2'!G10+'3'!G15+'4'!G10+'5'!G10+'6'!G10+'8'!G10+'9'!G10+'10'!G10+'11'!G10+'12'!G10+'13'!G10+'14'!G10+'15'!G10+'16'!G13+'17'!G10+'18'!G10+'19'!G10+'20'!G10+'22'!G10+'23'!G10+'21'!G10+'24'!G10+'25'!G10+'26'!G10+'27'!G10+'28'!G10+'29'!G10+'30'!G10+'31'!G10+'32'!G10+'33'!G10+'34'!G10+'35'!G10+'36'!G10+'37'!G10+'7'!G10</f>
        <v>189000</v>
      </c>
      <c r="F18" s="381">
        <f>'1'!H10+'2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172700</v>
      </c>
      <c r="G18" s="381">
        <f>'1'!I10+'2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117241</v>
      </c>
      <c r="H18" s="381">
        <f>'1'!J10+'2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201900</v>
      </c>
      <c r="I18" s="382">
        <f t="shared" si="1"/>
        <v>116.90793283149972</v>
      </c>
      <c r="K18" s="82"/>
    </row>
    <row r="19" spans="2:12" ht="12.75" customHeight="1">
      <c r="B19" s="14"/>
      <c r="C19" s="396"/>
      <c r="D19" s="15"/>
      <c r="E19" s="74"/>
      <c r="F19" s="74"/>
      <c r="G19" s="74"/>
      <c r="H19" s="74"/>
      <c r="I19" s="157" t="str">
        <f t="shared" si="1"/>
        <v/>
      </c>
      <c r="K19" s="82"/>
    </row>
    <row r="20" spans="2:12" ht="15" customHeight="1">
      <c r="B20" s="14"/>
      <c r="C20" s="394">
        <v>612000</v>
      </c>
      <c r="D20" s="12" t="s">
        <v>163</v>
      </c>
      <c r="E20" s="20">
        <f>E21</f>
        <v>2005190</v>
      </c>
      <c r="F20" s="20">
        <f t="shared" ref="F20:G20" si="4">F21</f>
        <v>1886580</v>
      </c>
      <c r="G20" s="20">
        <f t="shared" si="4"/>
        <v>1402863</v>
      </c>
      <c r="H20" s="20">
        <f>H21</f>
        <v>2016960</v>
      </c>
      <c r="I20" s="441">
        <f t="shared" si="1"/>
        <v>106.91091816938587</v>
      </c>
      <c r="K20" s="82"/>
      <c r="L20" s="82"/>
    </row>
    <row r="21" spans="2:12" s="1" customFormat="1" ht="15" customHeight="1">
      <c r="B21" s="17"/>
      <c r="C21" s="396">
        <v>612100</v>
      </c>
      <c r="D21" s="18" t="s">
        <v>83</v>
      </c>
      <c r="E21" s="40">
        <f>'1'!G13+'2'!G13+'3'!G18+'4'!G13+'5'!G13+'6'!G13+'8'!G13+'9'!G13+'10'!G13+'11'!G13+'12'!G13+'13'!G13+'14'!G13+'15'!G13+'16'!G16+'17'!G13+'18'!G13+'19'!G13+'20'!G13+'22'!G13+'23'!G13+'21'!G13+'24'!G13+'25'!G13+'26'!G13+'27'!G13+'28'!G13+'29'!G13+'30'!G13+'31'!G13+'32'!G13+'33'!G13+'34'!G13+'35'!G13+'36'!G13+'37'!G13+'7'!G13</f>
        <v>2005190</v>
      </c>
      <c r="F21" s="40">
        <f>'1'!H13+'2'!H13+'3'!H18+'4'!H13+'5'!H13+'6'!H13+'8'!H13+'9'!H13+'10'!H13+'11'!H13+'12'!H13+'13'!H13+'14'!H13+'15'!H13+'16'!H16+'17'!H13+'18'!H13+'19'!H13+'20'!H13+'22'!H13+'23'!H13+'21'!H13+'24'!H13+'25'!H13+'26'!H13+'27'!H13+'28'!H13+'29'!H13+'30'!H13+'31'!H13+'32'!H13+'33'!H13+'34'!H13+'35'!H13+'36'!H13+'37'!H13+'7'!H13</f>
        <v>1886580</v>
      </c>
      <c r="G21" s="40">
        <f>'1'!I13+'2'!I13+'3'!I18+'4'!I13+'5'!I13+'6'!I13+'8'!I13+'9'!I13+'10'!I13+'11'!I13+'12'!I13+'13'!I13+'14'!I13+'15'!I13+'16'!I16+'17'!I13+'18'!I13+'19'!I13+'20'!I13+'22'!I13+'23'!I13+'21'!I13+'24'!I13+'25'!I13+'26'!I13+'27'!I13+'28'!I13+'29'!I13+'30'!I13+'31'!I13+'32'!I13+'33'!I13+'34'!I13+'35'!I13+'36'!I13+'37'!I13+'7'!I13</f>
        <v>1402863</v>
      </c>
      <c r="H21" s="40">
        <f>'1'!J13+'2'!J13+'3'!J18+'4'!J13+'5'!J13+'6'!J13+'8'!J13+'9'!J13+'10'!J13+'11'!J13+'12'!J13+'13'!J13+'14'!J13+'15'!J13+'16'!J16+'17'!J13+'18'!J13+'19'!J13+'20'!J13+'22'!J13+'23'!J13+'21'!J13+'24'!J13+'25'!J13+'26'!J13+'27'!J13+'28'!J13+'29'!J13+'30'!J13+'31'!J13+'32'!J13+'33'!J13+'34'!J13+'35'!J13+'36'!J13+'37'!J13+'7'!J13</f>
        <v>2016960</v>
      </c>
      <c r="I21" s="157">
        <f t="shared" si="1"/>
        <v>106.91091816938587</v>
      </c>
    </row>
    <row r="22" spans="2:12" ht="11.25" customHeight="1">
      <c r="B22" s="14"/>
      <c r="C22" s="396"/>
      <c r="D22" s="26"/>
      <c r="E22" s="40"/>
      <c r="F22" s="40"/>
      <c r="G22" s="40"/>
      <c r="H22" s="40"/>
      <c r="I22" s="157" t="str">
        <f t="shared" si="1"/>
        <v/>
      </c>
    </row>
    <row r="23" spans="2:12" ht="15" customHeight="1">
      <c r="B23" s="14"/>
      <c r="C23" s="394">
        <v>613000</v>
      </c>
      <c r="D23" s="12" t="s">
        <v>165</v>
      </c>
      <c r="E23" s="20">
        <f>E24+E25+E26+E27+E28+E29+E30+E33+E36</f>
        <v>4503190</v>
      </c>
      <c r="F23" s="20">
        <f t="shared" ref="F23:G23" si="5">F24+F25+F26+F27+F28+F29+F30+F33+F36</f>
        <v>4571650</v>
      </c>
      <c r="G23" s="20">
        <f t="shared" si="5"/>
        <v>2721417</v>
      </c>
      <c r="H23" s="20">
        <f>H24+H25+H26+H27+H28+H29+H30+H33+H36</f>
        <v>4531970</v>
      </c>
      <c r="I23" s="441">
        <f t="shared" si="1"/>
        <v>99.132042041713603</v>
      </c>
      <c r="K23" s="127"/>
    </row>
    <row r="24" spans="2:12" s="1" customFormat="1" ht="15" customHeight="1">
      <c r="B24" s="17"/>
      <c r="C24" s="396">
        <v>613100</v>
      </c>
      <c r="D24" s="15" t="s">
        <v>84</v>
      </c>
      <c r="E24" s="40">
        <f>'1'!G16+'2'!G16+'3'!G21+'4'!G16+'5'!G16+'6'!G16+'8'!G16+'9'!G16+'10'!G16+'11'!G16+'12'!G16+'13'!G16+'14'!G16+'15'!G16+'16'!G19+'17'!G16+'18'!G16+'19'!G16+'20'!G16+'22'!G16+'23'!G16+'21'!G16+'24'!G16+'25'!G16+'26'!G16+'27'!G16+'28'!G16+'29'!G16+'30'!G16+'31'!G16+'32'!G16+'33'!G16+'34'!G16+'35'!G16+'36'!G16+'37'!G16+'7'!G16</f>
        <v>153910</v>
      </c>
      <c r="F24" s="40">
        <f>'1'!H16+'2'!H16+'3'!H21+'4'!H16+'5'!H16+'6'!H16+'8'!H16+'9'!H16+'10'!H16+'11'!H16+'12'!H16+'13'!H16+'14'!H16+'15'!H16+'16'!H19+'17'!H16+'18'!H16+'19'!H16+'20'!H16+'22'!H16+'23'!H16+'21'!H16+'24'!H16+'25'!H16+'26'!H16+'27'!H16+'28'!H16+'29'!H16+'30'!H16+'31'!H16+'32'!H16+'33'!H16+'34'!H16+'35'!H16+'36'!H16+'37'!H16+'7'!H16</f>
        <v>158810</v>
      </c>
      <c r="G24" s="40">
        <f>'1'!I16+'2'!I16+'3'!I21+'4'!I16+'5'!I16+'6'!I16+'8'!I16+'9'!I16+'10'!I16+'11'!I16+'12'!I16+'13'!I16+'14'!I16+'15'!I16+'16'!I19+'17'!I16+'18'!I16+'19'!I16+'20'!I16+'22'!I16+'23'!I16+'21'!I16+'24'!I16+'25'!I16+'26'!I16+'27'!I16+'28'!I16+'29'!I16+'30'!I16+'31'!I16+'32'!I16+'33'!I16+'34'!I16+'35'!I16+'36'!I16+'37'!I16+'7'!I16</f>
        <v>101412</v>
      </c>
      <c r="H24" s="40">
        <f>'1'!J16+'2'!J16+'3'!J21+'4'!J16+'5'!J16+'6'!J16+'8'!J16+'9'!J16+'10'!J16+'11'!J16+'12'!J16+'13'!J16+'14'!J16+'15'!J16+'16'!J19+'17'!J16+'18'!J16+'19'!J16+'20'!J16+'22'!J16+'23'!J16+'21'!J16+'24'!J16+'25'!J16+'26'!J16+'27'!J16+'28'!J16+'29'!J16+'30'!J16+'31'!J16+'32'!J16+'33'!J16+'34'!J16+'35'!J16+'36'!J16+'37'!J16+'7'!J16</f>
        <v>160910</v>
      </c>
      <c r="I24" s="157">
        <f t="shared" si="1"/>
        <v>101.32233486556261</v>
      </c>
      <c r="K24" s="83"/>
    </row>
    <row r="25" spans="2:12" ht="15" customHeight="1">
      <c r="B25" s="14"/>
      <c r="C25" s="396">
        <v>613200</v>
      </c>
      <c r="D25" s="15" t="s">
        <v>85</v>
      </c>
      <c r="E25" s="40">
        <f>'1'!G17+'2'!G17+'3'!G22+'4'!G17+'5'!G17+'6'!G17+'8'!G17+'9'!G17+'10'!G17+'11'!G17+'12'!G17+'13'!G17+'14'!G17+'15'!G17+'16'!G20+'17'!G17+'18'!G17+'19'!G17+'20'!G17+'22'!G17+'23'!G17+'21'!G17+'24'!G17+'25'!G17+'26'!G17+'27'!G17+'28'!G17+'29'!G17+'30'!G17+'31'!G17+'32'!G17+'33'!G17+'34'!G17+'35'!G17+'36'!G17+'37'!G17+'7'!G17</f>
        <v>746600</v>
      </c>
      <c r="F25" s="40">
        <f>'1'!H17+'2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738500</v>
      </c>
      <c r="G25" s="40">
        <f>'1'!I17+'2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375828</v>
      </c>
      <c r="H25" s="40">
        <f>'1'!J17+'2'!J17+'3'!J22+'4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752100</v>
      </c>
      <c r="I25" s="157">
        <f t="shared" si="1"/>
        <v>101.84157075152336</v>
      </c>
    </row>
    <row r="26" spans="2:12" ht="15" customHeight="1">
      <c r="B26" s="14"/>
      <c r="C26" s="396">
        <v>613300</v>
      </c>
      <c r="D26" s="26" t="s">
        <v>209</v>
      </c>
      <c r="E26" s="40">
        <f>'1'!G18+'2'!G18+'3'!G23+'4'!G18+'5'!G18+'6'!G18+'8'!G18+'9'!G18+'10'!G18+'11'!G18+'12'!G18+'13'!G18+'14'!G18+'15'!G18+'16'!G21+'17'!G18+'18'!G18+'19'!G18+'20'!G18+'22'!G18+'23'!G18+'21'!G18+'24'!G18+'25'!G18+'26'!G18+'27'!G18+'28'!G18+'29'!G18+'30'!G18+'31'!G18+'32'!G18+'33'!G18+'34'!G18+'35'!G18+'36'!G18+'37'!G18+'7'!G18</f>
        <v>450800</v>
      </c>
      <c r="F26" s="40">
        <f>'1'!H18+'2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430500</v>
      </c>
      <c r="G26" s="40">
        <f>'1'!I18+'2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276382</v>
      </c>
      <c r="H26" s="40">
        <f>'1'!J18+'2'!J18+'3'!J23+'4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439600</v>
      </c>
      <c r="I26" s="157">
        <f t="shared" si="1"/>
        <v>102.11382113821139</v>
      </c>
    </row>
    <row r="27" spans="2:12" ht="15" customHeight="1">
      <c r="B27" s="14"/>
      <c r="C27" s="396">
        <v>613400</v>
      </c>
      <c r="D27" s="26" t="s">
        <v>166</v>
      </c>
      <c r="E27" s="40">
        <f>'1'!G19+'2'!G19+'3'!G24+'4'!G19+'5'!G19+'6'!G19+'8'!G19+'9'!G19+'10'!G19+'11'!G19+'12'!G19+'13'!G19+'14'!G19+'15'!G19+'16'!G22+'17'!G19+'18'!G19+'19'!G19+'20'!G19+'22'!G19+'23'!G19+'21'!G19+'24'!G19+'25'!G19+'26'!G19+'27'!G19+'28'!G19+'29'!G19+'30'!G19+'31'!G19+'32'!G19+'33'!G19+'34'!G19+'35'!G19+'36'!G19+'37'!G19+'7'!G19</f>
        <v>523000</v>
      </c>
      <c r="F27" s="40">
        <f>'1'!H19+'2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592050</v>
      </c>
      <c r="G27" s="40">
        <f>'1'!I19+'2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322604</v>
      </c>
      <c r="H27" s="40">
        <f>'1'!J19+'2'!J19+'3'!J24+'4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520600</v>
      </c>
      <c r="I27" s="157">
        <f t="shared" si="1"/>
        <v>87.931762520057433</v>
      </c>
    </row>
    <row r="28" spans="2:12" ht="15" customHeight="1">
      <c r="B28" s="14"/>
      <c r="C28" s="396">
        <v>613500</v>
      </c>
      <c r="D28" s="19" t="s">
        <v>86</v>
      </c>
      <c r="E28" s="108">
        <f>'1'!G20+'2'!G20+'3'!G25+'4'!G20+'5'!G20+'6'!G20+'8'!G20+'9'!G20+'10'!G20+'11'!G20+'12'!G20+'13'!G20+'14'!G20+'15'!G20+'16'!G23+'17'!G20+'18'!G20+'19'!G20+'20'!G20+'22'!G20+'23'!G20+'21'!G20+'24'!G20+'25'!G20+'26'!G20+'27'!G20+'28'!G20+'29'!G20+'30'!G20+'31'!G20+'32'!G20+'33'!G20+'34'!G20+'35'!G20+'36'!G20+'37'!G20+'7'!G20</f>
        <v>188290</v>
      </c>
      <c r="F28" s="108">
        <f>'1'!H20+'2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201790</v>
      </c>
      <c r="G28" s="108">
        <f>'1'!I20+'2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135491</v>
      </c>
      <c r="H28" s="108">
        <f>'1'!J20+'2'!J20+'3'!J25+'4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204490</v>
      </c>
      <c r="I28" s="157">
        <f t="shared" si="1"/>
        <v>101.33802467912186</v>
      </c>
    </row>
    <row r="29" spans="2:12" ht="15" customHeight="1">
      <c r="B29" s="14"/>
      <c r="C29" s="396">
        <v>613600</v>
      </c>
      <c r="D29" s="101" t="s">
        <v>210</v>
      </c>
      <c r="E29" s="108">
        <f>'1'!G21+'2'!G21+'3'!G26+'4'!G21+'5'!G21+'6'!G21+'8'!G21+'9'!G21+'10'!G21+'11'!G21+'12'!G21+'13'!G21+'14'!G21+'15'!G21+'16'!G24+'17'!G21+'18'!G21+'19'!G21+'20'!G21+'22'!G21+'23'!G21+'21'!G21+'24'!G21+'25'!G21+'26'!G21+'27'!G21+'28'!G21+'29'!G21+'30'!G21+'31'!G21+'32'!G21+'33'!G21+'34'!G21+'35'!G21+'36'!G21+'37'!G21+'7'!G21</f>
        <v>32500</v>
      </c>
      <c r="F29" s="108">
        <f>'1'!H21+'2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37000</v>
      </c>
      <c r="G29" s="108">
        <f>'1'!I21+'2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27007</v>
      </c>
      <c r="H29" s="108">
        <f>'1'!J21+'2'!J21+'3'!J26+'4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38500</v>
      </c>
      <c r="I29" s="157">
        <f t="shared" si="1"/>
        <v>104.05405405405406</v>
      </c>
    </row>
    <row r="30" spans="2:12" ht="15" customHeight="1">
      <c r="B30" s="14"/>
      <c r="C30" s="396">
        <v>613700</v>
      </c>
      <c r="D30" s="19" t="s">
        <v>87</v>
      </c>
      <c r="E30" s="108">
        <f>E31+E32</f>
        <v>635600</v>
      </c>
      <c r="F30" s="108">
        <f t="shared" ref="F30:G30" si="6">F31+F32</f>
        <v>516100</v>
      </c>
      <c r="G30" s="108">
        <f t="shared" si="6"/>
        <v>288630</v>
      </c>
      <c r="H30" s="108">
        <f>H31+H32</f>
        <v>533600</v>
      </c>
      <c r="I30" s="157">
        <f t="shared" si="1"/>
        <v>103.390815733385</v>
      </c>
    </row>
    <row r="31" spans="2:12" ht="15" customHeight="1">
      <c r="B31" s="14"/>
      <c r="C31" s="397">
        <v>613700</v>
      </c>
      <c r="D31" s="383" t="s">
        <v>675</v>
      </c>
      <c r="E31" s="384">
        <f>'1'!G22+'2'!G22+'3'!G27+'4'!G22+'5'!G22+'6'!G22+'8'!G22+'9'!G22+'10'!G22+'11'!G22+'12'!G22+'13'!G22+'14'!G22+'15'!G22+'16'!G25+'17'!G22+'18'!G22+'19'!G22+'20'!G22+'22'!G22+'23'!G22+'21'!G22+'24'!G22+'25'!G22+'26'!G22+'27'!G22+'28'!G22+'29'!G22+'30'!G22+'31'!G22+'32'!G22+'33'!G22+'34'!G22+'35'!G22+'36'!G22+'37'!G22+'7'!G22</f>
        <v>335600</v>
      </c>
      <c r="F31" s="384">
        <f>'1'!H22+'2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316100</v>
      </c>
      <c r="G31" s="384">
        <f>'1'!I22+'2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195871</v>
      </c>
      <c r="H31" s="384">
        <f>'1'!J22+'2'!J22+'3'!J27+'4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333600</v>
      </c>
      <c r="I31" s="382">
        <f t="shared" si="1"/>
        <v>105.53622271433092</v>
      </c>
    </row>
    <row r="32" spans="2:12" ht="15" customHeight="1">
      <c r="B32" s="14"/>
      <c r="C32" s="397">
        <v>613700</v>
      </c>
      <c r="D32" s="383" t="s">
        <v>676</v>
      </c>
      <c r="E32" s="384">
        <f>'18'!G23</f>
        <v>300000</v>
      </c>
      <c r="F32" s="384">
        <f>'18'!H23</f>
        <v>200000</v>
      </c>
      <c r="G32" s="384">
        <f>'18'!I23</f>
        <v>92759</v>
      </c>
      <c r="H32" s="384">
        <f>'18'!J23</f>
        <v>200000</v>
      </c>
      <c r="I32" s="382">
        <f t="shared" si="1"/>
        <v>100</v>
      </c>
    </row>
    <row r="33" spans="2:11" ht="15" customHeight="1">
      <c r="B33" s="14"/>
      <c r="C33" s="396">
        <v>613800</v>
      </c>
      <c r="D33" s="101" t="s">
        <v>167</v>
      </c>
      <c r="E33" s="108">
        <f>E34+E35</f>
        <v>45840</v>
      </c>
      <c r="F33" s="108">
        <f t="shared" ref="F33:G33" si="7">F34+F35</f>
        <v>47750</v>
      </c>
      <c r="G33" s="108">
        <f t="shared" si="7"/>
        <v>28451</v>
      </c>
      <c r="H33" s="108">
        <f>H34+H35</f>
        <v>51360</v>
      </c>
      <c r="I33" s="157">
        <f t="shared" si="1"/>
        <v>107.56020942408378</v>
      </c>
    </row>
    <row r="34" spans="2:11" ht="15" customHeight="1">
      <c r="B34" s="14"/>
      <c r="C34" s="397">
        <v>613800</v>
      </c>
      <c r="D34" s="383" t="s">
        <v>677</v>
      </c>
      <c r="E34" s="384">
        <f>'1'!G23+'2'!G23+'3'!G28+'4'!G23+'5'!G23+'6'!G23+'8'!G23+'9'!G23+'10'!G23+'11'!G23+'12'!G23+'13'!G23+'14'!G23+'15'!G23+'16'!G26+'17'!G23+'18'!G24+'19'!G23+'20'!G23+'22'!G23+'23'!G23+'21'!G23+'24'!G23+'25'!G23+'26'!G23+'27'!G23+'28'!G23+'29'!G23+'30'!G23+'31'!G23+'32'!G23+'33'!G23+'34'!G23+'35'!G23+'36'!G23+'37'!G23+'7'!G23</f>
        <v>45840</v>
      </c>
      <c r="F34" s="384">
        <f>'1'!H23+'2'!H23+'3'!H28+'4'!H23+'5'!H23+'6'!H23+'8'!H23+'9'!H23+'10'!H23+'11'!H23+'12'!H23+'13'!H23+'14'!H23+'15'!H23+'16'!H26+'17'!H23+'18'!H24+'19'!H23+'20'!H23+'22'!H23+'23'!H23+'21'!H23+'24'!H23+'25'!H23+'26'!H23+'27'!H23+'28'!H23+'29'!H23+'30'!H23+'31'!H23+'32'!H23+'33'!H23+'34'!H23+'35'!H23+'36'!H23+'37'!H23+'7'!H23</f>
        <v>47750</v>
      </c>
      <c r="G34" s="384">
        <f>'1'!I23+'2'!I23+'3'!I28+'4'!I23+'5'!I23+'6'!I23+'8'!I23+'9'!I23+'10'!I23+'11'!I23+'12'!I23+'13'!I23+'14'!I23+'15'!I23+'16'!I26+'17'!I23+'18'!I24+'19'!I23+'20'!I23+'22'!I23+'23'!I23+'21'!I23+'24'!I23+'25'!I23+'26'!I23+'27'!I23+'28'!I23+'29'!I23+'30'!I23+'31'!I23+'32'!I23+'33'!I23+'34'!I23+'35'!I23+'36'!I23+'37'!I23+'7'!I23</f>
        <v>28451</v>
      </c>
      <c r="H34" s="384">
        <f>'1'!J23+'2'!J23+'3'!J28+'4'!J23+'5'!J23+'6'!J23+'8'!J23+'9'!J23+'10'!J23+'11'!J23+'12'!J23+'13'!J23+'14'!J23+'15'!J23+'16'!J26+'17'!J23+'18'!J24+'19'!J23+'20'!J23+'22'!J23+'23'!J23+'21'!J23+'24'!J23+'25'!J23+'26'!J23+'27'!J23+'28'!J23+'29'!J23+'30'!J23+'31'!J23+'32'!J23+'33'!J23+'34'!J23+'35'!J23+'36'!J23+'37'!J23+'7'!J23</f>
        <v>51360</v>
      </c>
      <c r="I34" s="382">
        <f t="shared" si="1"/>
        <v>107.56020942408378</v>
      </c>
    </row>
    <row r="35" spans="2:11" ht="15" customHeight="1">
      <c r="B35" s="14"/>
      <c r="C35" s="397">
        <v>613800</v>
      </c>
      <c r="D35" s="380" t="s">
        <v>678</v>
      </c>
      <c r="E35" s="381">
        <f>'20'!G24</f>
        <v>0</v>
      </c>
      <c r="F35" s="381">
        <f>'20'!H24</f>
        <v>0</v>
      </c>
      <c r="G35" s="381">
        <f>'20'!I24</f>
        <v>0</v>
      </c>
      <c r="H35" s="381">
        <f>'20'!J24</f>
        <v>0</v>
      </c>
      <c r="I35" s="382" t="str">
        <f t="shared" si="1"/>
        <v/>
      </c>
    </row>
    <row r="36" spans="2:11" ht="15" customHeight="1">
      <c r="B36" s="14"/>
      <c r="C36" s="398">
        <v>613900</v>
      </c>
      <c r="D36" s="101" t="s">
        <v>168</v>
      </c>
      <c r="E36" s="111">
        <f>SUM(E37:E43)</f>
        <v>1726650</v>
      </c>
      <c r="F36" s="111">
        <f t="shared" ref="F36:G36" si="8">SUM(F37:F43)</f>
        <v>1849150</v>
      </c>
      <c r="G36" s="111">
        <f t="shared" si="8"/>
        <v>1165612</v>
      </c>
      <c r="H36" s="111">
        <f>SUM(H37:H43)</f>
        <v>1830810</v>
      </c>
      <c r="I36" s="157">
        <f t="shared" si="1"/>
        <v>99.008192953519185</v>
      </c>
    </row>
    <row r="37" spans="2:11" ht="15" customHeight="1">
      <c r="B37" s="14"/>
      <c r="C37" s="399">
        <v>613900</v>
      </c>
      <c r="D37" s="383" t="s">
        <v>679</v>
      </c>
      <c r="E37" s="385">
        <f>'1'!G24+'2'!G24+'3'!G29+'4'!G24+'5'!G24+'6'!G24+'8'!G24+'9'!G24+'10'!G24+'11'!G24+'12'!G24+'13'!G24+'14'!G24+'15'!G24+'16'!G27+'17'!G24+'18'!G25+'19'!G24+'20'!G25+'22'!G24+'23'!G24+'21'!G24+'24'!G24+'25'!G24+'26'!G24+'27'!G24+'28'!G24+'29'!G24+'30'!G24+'31'!G24+'32'!G24+'33'!G24+'34'!G24+'35'!G24+'36'!G24+'37'!G24+'7'!G24</f>
        <v>1371650</v>
      </c>
      <c r="F37" s="385">
        <f>'1'!H24+'2'!H24+'3'!H29+'4'!H24+'5'!H24+'6'!H24+'8'!H24+'9'!H24+'10'!H24+'11'!H24+'12'!H24+'13'!H24+'14'!H24+'15'!H24+'16'!H27+'17'!H24+'18'!H25+'19'!H24+'20'!H25+'22'!H24+'23'!H24+'21'!H24+'24'!H24+'25'!H24+'26'!H24+'27'!H24+'28'!H24+'29'!H24+'30'!H24+'31'!H24+'32'!H24+'33'!H24+'34'!H24+'35'!H24+'36'!H24+'37'!H24+'7'!H24</f>
        <v>1429150</v>
      </c>
      <c r="G37" s="385">
        <f>'1'!I24+'2'!I24+'3'!I29+'4'!I24+'5'!I24+'6'!I24+'8'!I24+'9'!I24+'10'!I24+'11'!I24+'12'!I24+'13'!I24+'14'!I24+'15'!I24+'16'!I27+'17'!I24+'18'!I25+'19'!I24+'20'!I25+'22'!I24+'23'!I24+'21'!I24+'24'!I24+'25'!I24+'26'!I24+'27'!I24+'28'!I24+'29'!I24+'30'!I24+'31'!I24+'32'!I24+'33'!I24+'34'!I24+'35'!I24+'36'!I24+'37'!I24+'7'!I24</f>
        <v>931038</v>
      </c>
      <c r="H37" s="385">
        <f>'1'!J24+'2'!J24+'3'!J29+'4'!J24+'5'!J24+'6'!J24+'8'!J24+'9'!J24+'10'!J24+'11'!J24+'12'!J24+'13'!J24+'14'!J24+'15'!J24+'16'!J27+'17'!J24+'18'!J25+'19'!J24+'20'!J25+'22'!J24+'23'!J24+'21'!J24+'24'!J24+'25'!J24+'26'!J24+'27'!J24+'28'!J24+'29'!J24+'30'!J24+'31'!J24+'32'!J24+'33'!J24+'34'!J24+'35'!J24+'36'!J24+'37'!J24+'7'!J24</f>
        <v>1386900</v>
      </c>
      <c r="I37" s="382">
        <f t="shared" si="1"/>
        <v>97.043697302592449</v>
      </c>
    </row>
    <row r="38" spans="2:11" ht="15" customHeight="1">
      <c r="B38" s="14"/>
      <c r="C38" s="397">
        <v>613900</v>
      </c>
      <c r="D38" s="380" t="s">
        <v>680</v>
      </c>
      <c r="E38" s="381">
        <f>'3'!G30</f>
        <v>36000</v>
      </c>
      <c r="F38" s="381">
        <f>'3'!H30</f>
        <v>29500</v>
      </c>
      <c r="G38" s="381">
        <f>'3'!I30</f>
        <v>12072</v>
      </c>
      <c r="H38" s="381">
        <f>'3'!J30</f>
        <v>29500</v>
      </c>
      <c r="I38" s="382">
        <f t="shared" si="1"/>
        <v>100</v>
      </c>
    </row>
    <row r="39" spans="2:11" ht="15" customHeight="1">
      <c r="B39" s="14"/>
      <c r="C39" s="397">
        <v>613900</v>
      </c>
      <c r="D39" s="380" t="s">
        <v>681</v>
      </c>
      <c r="E39" s="381">
        <f>'16'!G28</f>
        <v>73500</v>
      </c>
      <c r="F39" s="381">
        <f>'16'!H28</f>
        <v>73500</v>
      </c>
      <c r="G39" s="381">
        <f>'16'!I28</f>
        <v>44046</v>
      </c>
      <c r="H39" s="381">
        <f>'16'!J28</f>
        <v>80000</v>
      </c>
      <c r="I39" s="382">
        <f t="shared" si="1"/>
        <v>108.84353741496599</v>
      </c>
    </row>
    <row r="40" spans="2:11" ht="15" customHeight="1">
      <c r="B40" s="14"/>
      <c r="C40" s="397">
        <v>613900</v>
      </c>
      <c r="D40" s="380" t="s">
        <v>682</v>
      </c>
      <c r="E40" s="381">
        <f>'20'!G26</f>
        <v>55000</v>
      </c>
      <c r="F40" s="381">
        <f>'20'!H26</f>
        <v>66000</v>
      </c>
      <c r="G40" s="381">
        <f>'20'!I26</f>
        <v>49991</v>
      </c>
      <c r="H40" s="381">
        <f>'20'!J26</f>
        <v>55000</v>
      </c>
      <c r="I40" s="382">
        <f t="shared" si="1"/>
        <v>83.333333333333343</v>
      </c>
    </row>
    <row r="41" spans="2:11" ht="15" customHeight="1">
      <c r="B41" s="14"/>
      <c r="C41" s="397">
        <v>613900</v>
      </c>
      <c r="D41" s="380" t="s">
        <v>809</v>
      </c>
      <c r="E41" s="381">
        <f>'1'!G25+'2'!G25+'3'!G31+'4'!G25+'5'!G25+'6'!G25+'8'!G25+'9'!G25+'10'!G25+'11'!G25+'12'!G25+'13'!G25+'14'!G25+'15'!G25+'16'!G29+'17'!G25+'18'!G26+'19'!G25+'20'!G27+'22'!G25+'23'!G25+'21'!G25+'24'!G25+'25'!G25+'26'!G25+'27'!G25+'28'!G25+'29'!G25+'30'!G25+'31'!G25+'32'!G25+'33'!G25+'34'!G25+'35'!G25+'36'!G25+'37'!G25+'7'!G25</f>
        <v>190500</v>
      </c>
      <c r="F41" s="381">
        <f>'1'!H25+'2'!H25+'3'!H31+'4'!H25+'5'!H25+'6'!H25+'8'!H25+'9'!H25+'10'!H25+'11'!H25+'12'!H25+'13'!H25+'14'!H25+'15'!H25+'16'!H29+'17'!H25+'18'!H26+'19'!H25+'20'!H27+'22'!H25+'23'!H25+'21'!H25+'24'!H25+'25'!H25+'26'!H25+'27'!H25+'28'!H25+'29'!H25+'30'!H25+'31'!H25+'32'!H25+'33'!H25+'34'!H25+'35'!H25+'36'!H25+'37'!H25+'7'!H25</f>
        <v>186000</v>
      </c>
      <c r="G41" s="381">
        <f>'1'!I25+'2'!I25+'3'!I31+'4'!I25+'5'!I25+'6'!I25+'8'!I25+'9'!I25+'10'!I25+'11'!I25+'12'!I25+'13'!I25+'14'!I25+'15'!I25+'16'!I29+'17'!I25+'18'!I26+'19'!I25+'20'!I27+'22'!I25+'23'!I25+'21'!I25+'24'!I25+'25'!I25+'26'!I25+'27'!I25+'28'!I25+'29'!I25+'30'!I25+'31'!I25+'32'!I25+'33'!I25+'34'!I25+'35'!I25+'36'!I25+'37'!I25+'7'!I25</f>
        <v>128465</v>
      </c>
      <c r="H41" s="381">
        <f>'1'!J25+'2'!J25+'3'!J31+'4'!J25+'5'!J25+'6'!J25+'8'!J25+'9'!J25+'10'!J25+'11'!J25+'12'!J25+'13'!J25+'14'!J25+'15'!J25+'16'!J29+'17'!J25+'18'!J26+'19'!J25+'20'!J27+'22'!J25+'23'!J25+'21'!J25+'24'!J25+'25'!J25+'26'!J25+'27'!J25+'28'!J25+'29'!J25+'30'!J25+'31'!J25+'32'!J25+'33'!J25+'34'!J25+'35'!J25+'36'!J25+'37'!J25+'7'!J25</f>
        <v>208700</v>
      </c>
      <c r="I41" s="382">
        <f t="shared" si="1"/>
        <v>112.20430107526882</v>
      </c>
    </row>
    <row r="42" spans="2:11" ht="15" customHeight="1">
      <c r="B42" s="14"/>
      <c r="C42" s="397">
        <v>613900</v>
      </c>
      <c r="D42" s="380" t="s">
        <v>683</v>
      </c>
      <c r="E42" s="381">
        <f>'15'!G26</f>
        <v>0</v>
      </c>
      <c r="F42" s="381">
        <f>'15'!H26</f>
        <v>50000</v>
      </c>
      <c r="G42" s="381">
        <f>'15'!I26</f>
        <v>0</v>
      </c>
      <c r="H42" s="381">
        <f>'15'!J26</f>
        <v>50000</v>
      </c>
      <c r="I42" s="382">
        <f t="shared" si="1"/>
        <v>100</v>
      </c>
    </row>
    <row r="43" spans="2:11" ht="15" customHeight="1">
      <c r="B43" s="14"/>
      <c r="C43" s="397">
        <v>613900</v>
      </c>
      <c r="D43" s="380" t="s">
        <v>684</v>
      </c>
      <c r="E43" s="381">
        <f>'23'!G26</f>
        <v>0</v>
      </c>
      <c r="F43" s="381">
        <f>'23'!H26</f>
        <v>15000</v>
      </c>
      <c r="G43" s="381">
        <f>'23'!I26</f>
        <v>0</v>
      </c>
      <c r="H43" s="381">
        <f>'23'!J26</f>
        <v>20710</v>
      </c>
      <c r="I43" s="382">
        <f t="shared" si="1"/>
        <v>138.06666666666666</v>
      </c>
    </row>
    <row r="44" spans="2:11" ht="11.25" customHeight="1">
      <c r="B44" s="14"/>
      <c r="C44" s="396"/>
      <c r="D44" s="15"/>
      <c r="E44" s="74"/>
      <c r="F44" s="74"/>
      <c r="G44" s="74"/>
      <c r="H44" s="74"/>
      <c r="I44" s="157" t="str">
        <f t="shared" si="1"/>
        <v/>
      </c>
    </row>
    <row r="45" spans="2:11" ht="15" customHeight="1">
      <c r="B45" s="14"/>
      <c r="C45" s="394">
        <v>614000</v>
      </c>
      <c r="D45" s="12" t="s">
        <v>211</v>
      </c>
      <c r="E45" s="99">
        <f>E46+E57+E65+E77+E82</f>
        <v>9220000</v>
      </c>
      <c r="F45" s="99">
        <f>F46+F57+F65+F77+F82</f>
        <v>9665000</v>
      </c>
      <c r="G45" s="99">
        <f>G46+G57+G65+G77+G82</f>
        <v>5002931</v>
      </c>
      <c r="H45" s="99">
        <f>H46+H57+H65+H77+H82</f>
        <v>11566000</v>
      </c>
      <c r="I45" s="441">
        <f t="shared" si="1"/>
        <v>119.66890843248837</v>
      </c>
      <c r="K45" s="127"/>
    </row>
    <row r="46" spans="2:11" s="73" customFormat="1" ht="15" customHeight="1">
      <c r="B46" s="407"/>
      <c r="C46" s="408">
        <v>614100</v>
      </c>
      <c r="D46" s="26" t="s">
        <v>715</v>
      </c>
      <c r="E46" s="151">
        <f>SUM(E47:E56)</f>
        <v>2015000</v>
      </c>
      <c r="F46" s="151">
        <f t="shared" ref="F46:G46" si="9">SUM(F47:F56)</f>
        <v>2210000</v>
      </c>
      <c r="G46" s="151">
        <f t="shared" si="9"/>
        <v>1437304</v>
      </c>
      <c r="H46" s="151">
        <f>SUM(H47:H56)</f>
        <v>2465000</v>
      </c>
      <c r="I46" s="157">
        <f t="shared" si="1"/>
        <v>111.53846153846155</v>
      </c>
      <c r="K46" s="86"/>
    </row>
    <row r="47" spans="2:11" s="87" customFormat="1" ht="15" customHeight="1">
      <c r="B47" s="88"/>
      <c r="C47" s="397">
        <v>614100</v>
      </c>
      <c r="D47" s="380" t="s">
        <v>685</v>
      </c>
      <c r="E47" s="384">
        <f>'3'!G34</f>
        <v>200000</v>
      </c>
      <c r="F47" s="384">
        <f>'3'!H34</f>
        <v>200000</v>
      </c>
      <c r="G47" s="384">
        <f>'3'!I34</f>
        <v>200000</v>
      </c>
      <c r="H47" s="384">
        <f>'3'!J34</f>
        <v>100000</v>
      </c>
      <c r="I47" s="382">
        <f t="shared" si="1"/>
        <v>50</v>
      </c>
      <c r="K47" s="159"/>
    </row>
    <row r="48" spans="2:11" s="87" customFormat="1" ht="15" customHeight="1">
      <c r="B48" s="88"/>
      <c r="C48" s="397">
        <v>614100</v>
      </c>
      <c r="D48" s="383" t="s">
        <v>686</v>
      </c>
      <c r="E48" s="384">
        <f>'3'!G35</f>
        <v>200000</v>
      </c>
      <c r="F48" s="384">
        <f>'3'!H35</f>
        <v>200000</v>
      </c>
      <c r="G48" s="384">
        <f>'3'!I35</f>
        <v>150000</v>
      </c>
      <c r="H48" s="384">
        <f>'3'!J35</f>
        <v>200000</v>
      </c>
      <c r="I48" s="382">
        <f t="shared" si="1"/>
        <v>100</v>
      </c>
    </row>
    <row r="49" spans="2:9" s="1" customFormat="1" ht="15" customHeight="1">
      <c r="B49" s="17"/>
      <c r="C49" s="397">
        <v>614100</v>
      </c>
      <c r="D49" s="386" t="s">
        <v>687</v>
      </c>
      <c r="E49" s="381">
        <f>'16'!G32</f>
        <v>250000</v>
      </c>
      <c r="F49" s="381">
        <f>'16'!H32</f>
        <v>270000</v>
      </c>
      <c r="G49" s="381">
        <f>'16'!I32</f>
        <v>125000</v>
      </c>
      <c r="H49" s="381">
        <f>'16'!J32</f>
        <v>350000</v>
      </c>
      <c r="I49" s="382">
        <f t="shared" si="1"/>
        <v>129.62962962962962</v>
      </c>
    </row>
    <row r="50" spans="2:9" s="1" customFormat="1" ht="15" customHeight="1">
      <c r="B50" s="17"/>
      <c r="C50" s="400">
        <v>614100</v>
      </c>
      <c r="D50" s="380" t="s">
        <v>688</v>
      </c>
      <c r="E50" s="381">
        <f>'17'!G28</f>
        <v>300000</v>
      </c>
      <c r="F50" s="381">
        <f>'17'!H28</f>
        <v>430000</v>
      </c>
      <c r="G50" s="381">
        <f>'17'!I28</f>
        <v>278000</v>
      </c>
      <c r="H50" s="381">
        <f>'17'!J28</f>
        <v>650000</v>
      </c>
      <c r="I50" s="382">
        <f t="shared" si="1"/>
        <v>151.16279069767441</v>
      </c>
    </row>
    <row r="51" spans="2:9" s="1" customFormat="1" ht="15" customHeight="1">
      <c r="B51" s="17"/>
      <c r="C51" s="397">
        <v>614100</v>
      </c>
      <c r="D51" s="387" t="s">
        <v>689</v>
      </c>
      <c r="E51" s="381">
        <f>'18'!G29</f>
        <v>140000</v>
      </c>
      <c r="F51" s="381">
        <f>'18'!H29</f>
        <v>160000</v>
      </c>
      <c r="G51" s="381">
        <f>'18'!I29</f>
        <v>84521</v>
      </c>
      <c r="H51" s="381">
        <f>'18'!J29</f>
        <v>180000</v>
      </c>
      <c r="I51" s="382">
        <f t="shared" si="1"/>
        <v>112.5</v>
      </c>
    </row>
    <row r="52" spans="2:9" s="1" customFormat="1" ht="15" customHeight="1">
      <c r="B52" s="17"/>
      <c r="C52" s="397">
        <v>614100</v>
      </c>
      <c r="D52" s="387" t="s">
        <v>690</v>
      </c>
      <c r="E52" s="381">
        <f>'18'!G30</f>
        <v>20000</v>
      </c>
      <c r="F52" s="381">
        <f>'18'!H30</f>
        <v>0</v>
      </c>
      <c r="G52" s="381">
        <f>'18'!I30</f>
        <v>0</v>
      </c>
      <c r="H52" s="384">
        <f>'18'!J30</f>
        <v>30000</v>
      </c>
      <c r="I52" s="382" t="str">
        <f t="shared" si="1"/>
        <v/>
      </c>
    </row>
    <row r="53" spans="2:9" s="1" customFormat="1" ht="15" customHeight="1">
      <c r="B53" s="17"/>
      <c r="C53" s="397">
        <v>614100</v>
      </c>
      <c r="D53" s="383" t="s">
        <v>691</v>
      </c>
      <c r="E53" s="381">
        <f>'19'!G28</f>
        <v>150000</v>
      </c>
      <c r="F53" s="381">
        <f>'19'!H28</f>
        <v>180000</v>
      </c>
      <c r="G53" s="381">
        <f>'19'!I28</f>
        <v>41044</v>
      </c>
      <c r="H53" s="381">
        <f>'19'!J28</f>
        <v>150000</v>
      </c>
      <c r="I53" s="382">
        <f t="shared" si="1"/>
        <v>83.333333333333343</v>
      </c>
    </row>
    <row r="54" spans="2:9" s="1" customFormat="1" ht="24.75" customHeight="1">
      <c r="B54" s="17"/>
      <c r="C54" s="400">
        <v>614100</v>
      </c>
      <c r="D54" s="388" t="s">
        <v>692</v>
      </c>
      <c r="E54" s="381">
        <f>'20'!G30</f>
        <v>160000</v>
      </c>
      <c r="F54" s="381">
        <f>'20'!H30</f>
        <v>150000</v>
      </c>
      <c r="G54" s="381">
        <f>'20'!I30</f>
        <v>120650</v>
      </c>
      <c r="H54" s="381">
        <f>'20'!J30</f>
        <v>160000</v>
      </c>
      <c r="I54" s="382">
        <f t="shared" si="1"/>
        <v>106.66666666666667</v>
      </c>
    </row>
    <row r="55" spans="2:9" s="1" customFormat="1" ht="15" customHeight="1">
      <c r="B55" s="17"/>
      <c r="C55" s="401" t="s">
        <v>108</v>
      </c>
      <c r="D55" s="389" t="s">
        <v>693</v>
      </c>
      <c r="E55" s="384">
        <f>'20'!G31</f>
        <v>300000</v>
      </c>
      <c r="F55" s="384">
        <f>'20'!H31</f>
        <v>320000</v>
      </c>
      <c r="G55" s="384">
        <f>'20'!I31</f>
        <v>264150</v>
      </c>
      <c r="H55" s="384">
        <f>'20'!J31</f>
        <v>350000</v>
      </c>
      <c r="I55" s="382">
        <f t="shared" si="1"/>
        <v>109.375</v>
      </c>
    </row>
    <row r="56" spans="2:9" s="1" customFormat="1" ht="15" customHeight="1">
      <c r="B56" s="17"/>
      <c r="C56" s="401" t="s">
        <v>108</v>
      </c>
      <c r="D56" s="389" t="s">
        <v>694</v>
      </c>
      <c r="E56" s="384">
        <f>'20'!G32</f>
        <v>295000</v>
      </c>
      <c r="F56" s="384">
        <f>'20'!H32</f>
        <v>300000</v>
      </c>
      <c r="G56" s="384">
        <f>'20'!I32</f>
        <v>173939</v>
      </c>
      <c r="H56" s="384">
        <f>'20'!J32</f>
        <v>295000</v>
      </c>
      <c r="I56" s="382">
        <f t="shared" si="1"/>
        <v>98.333333333333329</v>
      </c>
    </row>
    <row r="57" spans="2:9" s="73" customFormat="1" ht="15" customHeight="1">
      <c r="B57" s="407"/>
      <c r="C57" s="409" t="s">
        <v>106</v>
      </c>
      <c r="D57" s="410" t="s">
        <v>716</v>
      </c>
      <c r="E57" s="151">
        <f>SUM(E58:E64)</f>
        <v>3980000</v>
      </c>
      <c r="F57" s="151">
        <f t="shared" ref="F57:G57" si="10">SUM(F58:F64)</f>
        <v>4175000</v>
      </c>
      <c r="G57" s="151">
        <f t="shared" si="10"/>
        <v>2291178</v>
      </c>
      <c r="H57" s="151">
        <f>SUM(H58:H64)</f>
        <v>4895000</v>
      </c>
      <c r="I57" s="157">
        <f t="shared" si="1"/>
        <v>117.24550898203591</v>
      </c>
    </row>
    <row r="58" spans="2:9" s="1" customFormat="1" ht="15" customHeight="1">
      <c r="B58" s="17"/>
      <c r="C58" s="401" t="s">
        <v>106</v>
      </c>
      <c r="D58" s="390" t="s">
        <v>695</v>
      </c>
      <c r="E58" s="384">
        <f>'3'!G36</f>
        <v>100000</v>
      </c>
      <c r="F58" s="384">
        <f>'3'!H36</f>
        <v>100000</v>
      </c>
      <c r="G58" s="384">
        <f>'3'!I36</f>
        <v>99680</v>
      </c>
      <c r="H58" s="384">
        <f>'3'!J36</f>
        <v>150000</v>
      </c>
      <c r="I58" s="382">
        <f t="shared" si="1"/>
        <v>150</v>
      </c>
    </row>
    <row r="59" spans="2:9" s="1" customFormat="1" ht="15" customHeight="1">
      <c r="B59" s="17"/>
      <c r="C59" s="400">
        <v>614200</v>
      </c>
      <c r="D59" s="386" t="s">
        <v>696</v>
      </c>
      <c r="E59" s="381">
        <f>'4'!G28</f>
        <v>15000</v>
      </c>
      <c r="F59" s="381">
        <f>'4'!H28</f>
        <v>15000</v>
      </c>
      <c r="G59" s="381">
        <f>'4'!I28</f>
        <v>0</v>
      </c>
      <c r="H59" s="381">
        <f>'4'!J28</f>
        <v>20000</v>
      </c>
      <c r="I59" s="382">
        <f t="shared" si="1"/>
        <v>133.33333333333331</v>
      </c>
    </row>
    <row r="60" spans="2:9" s="1" customFormat="1" ht="15" customHeight="1">
      <c r="B60" s="17"/>
      <c r="C60" s="400" t="s">
        <v>106</v>
      </c>
      <c r="D60" s="380" t="s">
        <v>697</v>
      </c>
      <c r="E60" s="381">
        <f>'17'!G29</f>
        <v>2700000</v>
      </c>
      <c r="F60" s="381">
        <f>'17'!H29</f>
        <v>2700000</v>
      </c>
      <c r="G60" s="381">
        <f>'17'!I29</f>
        <v>1578956</v>
      </c>
      <c r="H60" s="381">
        <f>'17'!J29</f>
        <v>3430000</v>
      </c>
      <c r="I60" s="382">
        <f t="shared" si="1"/>
        <v>127.03703703703704</v>
      </c>
    </row>
    <row r="61" spans="2:9" s="1" customFormat="1" ht="15" customHeight="1">
      <c r="B61" s="17"/>
      <c r="C61" s="400" t="s">
        <v>106</v>
      </c>
      <c r="D61" s="386" t="s">
        <v>698</v>
      </c>
      <c r="E61" s="381">
        <f>'20'!G33</f>
        <v>120000</v>
      </c>
      <c r="F61" s="381">
        <f>'20'!H33</f>
        <v>120000</v>
      </c>
      <c r="G61" s="381">
        <f>'20'!I33</f>
        <v>88800</v>
      </c>
      <c r="H61" s="381">
        <f>'20'!J33</f>
        <v>150000</v>
      </c>
      <c r="I61" s="382">
        <f t="shared" si="1"/>
        <v>125</v>
      </c>
    </row>
    <row r="62" spans="2:9" s="1" customFormat="1" ht="24.75" customHeight="1">
      <c r="B62" s="17"/>
      <c r="C62" s="400" t="s">
        <v>106</v>
      </c>
      <c r="D62" s="391" t="s">
        <v>699</v>
      </c>
      <c r="E62" s="381">
        <f>'20'!G34</f>
        <v>15000</v>
      </c>
      <c r="F62" s="381">
        <f>'20'!H34</f>
        <v>10000</v>
      </c>
      <c r="G62" s="381">
        <f>'20'!I34</f>
        <v>0</v>
      </c>
      <c r="H62" s="381">
        <f>'20'!J34</f>
        <v>15000</v>
      </c>
      <c r="I62" s="382">
        <f t="shared" si="1"/>
        <v>150</v>
      </c>
    </row>
    <row r="63" spans="2:9" s="1" customFormat="1" ht="15" customHeight="1">
      <c r="B63" s="17"/>
      <c r="C63" s="400">
        <v>614200</v>
      </c>
      <c r="D63" s="386" t="s">
        <v>700</v>
      </c>
      <c r="E63" s="381">
        <f>'31'!G28</f>
        <v>1000000</v>
      </c>
      <c r="F63" s="381">
        <f>'31'!H28</f>
        <v>1000000</v>
      </c>
      <c r="G63" s="381">
        <f>'31'!I28</f>
        <v>518134</v>
      </c>
      <c r="H63" s="381">
        <f>'31'!J28</f>
        <v>1100000</v>
      </c>
      <c r="I63" s="382">
        <f t="shared" si="1"/>
        <v>110.00000000000001</v>
      </c>
    </row>
    <row r="64" spans="2:9" s="1" customFormat="1" ht="15" customHeight="1">
      <c r="B64" s="17"/>
      <c r="C64" s="400" t="s">
        <v>106</v>
      </c>
      <c r="D64" s="380" t="s">
        <v>701</v>
      </c>
      <c r="E64" s="381">
        <f>'33'!G28</f>
        <v>30000</v>
      </c>
      <c r="F64" s="381">
        <f>'33'!H28</f>
        <v>230000</v>
      </c>
      <c r="G64" s="381">
        <f>'33'!I28</f>
        <v>5608</v>
      </c>
      <c r="H64" s="381">
        <f>'33'!J28</f>
        <v>30000</v>
      </c>
      <c r="I64" s="382">
        <f t="shared" si="1"/>
        <v>13.043478260869565</v>
      </c>
    </row>
    <row r="65" spans="2:9" s="73" customFormat="1" ht="15" customHeight="1">
      <c r="B65" s="407"/>
      <c r="C65" s="411" t="s">
        <v>107</v>
      </c>
      <c r="D65" s="392" t="s">
        <v>717</v>
      </c>
      <c r="E65" s="412">
        <f>SUM(E66:E76)</f>
        <v>530000</v>
      </c>
      <c r="F65" s="412">
        <f t="shared" ref="F65:H65" si="11">SUM(F66:F76)</f>
        <v>585000</v>
      </c>
      <c r="G65" s="412">
        <f t="shared" si="11"/>
        <v>418588</v>
      </c>
      <c r="H65" s="412">
        <f t="shared" si="11"/>
        <v>795000</v>
      </c>
      <c r="I65" s="157">
        <f t="shared" si="1"/>
        <v>135.89743589743591</v>
      </c>
    </row>
    <row r="66" spans="2:9" s="1" customFormat="1" ht="15" customHeight="1">
      <c r="B66" s="17"/>
      <c r="C66" s="400" t="s">
        <v>107</v>
      </c>
      <c r="D66" s="386" t="s">
        <v>702</v>
      </c>
      <c r="E66" s="381">
        <f>'3'!G44</f>
        <v>160000</v>
      </c>
      <c r="F66" s="381">
        <f>'3'!H44</f>
        <v>160000</v>
      </c>
      <c r="G66" s="381">
        <f>'3'!I44</f>
        <v>106667</v>
      </c>
      <c r="H66" s="381">
        <f>'3'!J44</f>
        <v>160000</v>
      </c>
      <c r="I66" s="382">
        <f t="shared" si="1"/>
        <v>100</v>
      </c>
    </row>
    <row r="67" spans="2:9" s="1" customFormat="1" ht="15" customHeight="1">
      <c r="B67" s="17"/>
      <c r="C67" s="400" t="s">
        <v>107</v>
      </c>
      <c r="D67" s="383" t="s">
        <v>703</v>
      </c>
      <c r="E67" s="381">
        <f>'3'!G37</f>
        <v>70000</v>
      </c>
      <c r="F67" s="381">
        <f>'3'!H37</f>
        <v>70000</v>
      </c>
      <c r="G67" s="381">
        <f>'3'!I37</f>
        <v>70000</v>
      </c>
      <c r="H67" s="381">
        <f>'3'!J37</f>
        <v>70000</v>
      </c>
      <c r="I67" s="382">
        <f t="shared" si="1"/>
        <v>100</v>
      </c>
    </row>
    <row r="68" spans="2:9" ht="15" customHeight="1">
      <c r="B68" s="14"/>
      <c r="C68" s="400" t="s">
        <v>107</v>
      </c>
      <c r="D68" s="383" t="s">
        <v>704</v>
      </c>
      <c r="E68" s="384">
        <f>'3'!G38</f>
        <v>30000</v>
      </c>
      <c r="F68" s="384">
        <f>'3'!H38</f>
        <v>35000</v>
      </c>
      <c r="G68" s="384">
        <f>'3'!I38</f>
        <v>20000</v>
      </c>
      <c r="H68" s="384">
        <f>'3'!J38</f>
        <v>35000</v>
      </c>
      <c r="I68" s="382">
        <f t="shared" si="1"/>
        <v>100</v>
      </c>
    </row>
    <row r="69" spans="2:9" s="1" customFormat="1" ht="15" customHeight="1">
      <c r="B69" s="17"/>
      <c r="C69" s="401" t="s">
        <v>107</v>
      </c>
      <c r="D69" s="383" t="s">
        <v>705</v>
      </c>
      <c r="E69" s="384">
        <f>'3'!G39</f>
        <v>25000</v>
      </c>
      <c r="F69" s="384">
        <f>'3'!H39</f>
        <v>25000</v>
      </c>
      <c r="G69" s="384">
        <f>'3'!I39</f>
        <v>14585</v>
      </c>
      <c r="H69" s="384">
        <f>'3'!J39</f>
        <v>40000</v>
      </c>
      <c r="I69" s="382">
        <f t="shared" si="1"/>
        <v>160</v>
      </c>
    </row>
    <row r="70" spans="2:9" s="1" customFormat="1" ht="25.5" customHeight="1">
      <c r="B70" s="28"/>
      <c r="C70" s="401" t="s">
        <v>107</v>
      </c>
      <c r="D70" s="390" t="s">
        <v>813</v>
      </c>
      <c r="E70" s="384">
        <f>'3'!G40</f>
        <v>25000</v>
      </c>
      <c r="F70" s="384">
        <f>'3'!H40</f>
        <v>25000</v>
      </c>
      <c r="G70" s="384">
        <f>'3'!I40</f>
        <v>16668</v>
      </c>
      <c r="H70" s="384">
        <f>'3'!J40</f>
        <v>40000</v>
      </c>
      <c r="I70" s="382">
        <f t="shared" si="1"/>
        <v>160</v>
      </c>
    </row>
    <row r="71" spans="2:9" s="1" customFormat="1" ht="26.25" customHeight="1">
      <c r="B71" s="28"/>
      <c r="C71" s="401" t="s">
        <v>107</v>
      </c>
      <c r="D71" s="390" t="s">
        <v>706</v>
      </c>
      <c r="E71" s="384">
        <f>'3'!G41</f>
        <v>10000</v>
      </c>
      <c r="F71" s="384">
        <f>'3'!H41</f>
        <v>10000</v>
      </c>
      <c r="G71" s="384">
        <f>'3'!I41</f>
        <v>6668</v>
      </c>
      <c r="H71" s="384">
        <f>'3'!J41</f>
        <v>15000</v>
      </c>
      <c r="I71" s="382">
        <f t="shared" si="1"/>
        <v>150</v>
      </c>
    </row>
    <row r="72" spans="2:9" s="1" customFormat="1" ht="15" customHeight="1">
      <c r="B72" s="28"/>
      <c r="C72" s="401" t="s">
        <v>107</v>
      </c>
      <c r="D72" s="383" t="s">
        <v>707</v>
      </c>
      <c r="E72" s="384">
        <f>'3'!G42</f>
        <v>30000</v>
      </c>
      <c r="F72" s="384">
        <f>'3'!H42</f>
        <v>30000</v>
      </c>
      <c r="G72" s="384">
        <f>'3'!I42</f>
        <v>20000</v>
      </c>
      <c r="H72" s="384">
        <f>'3'!J42</f>
        <v>30000</v>
      </c>
      <c r="I72" s="382">
        <f t="shared" si="1"/>
        <v>100</v>
      </c>
    </row>
    <row r="73" spans="2:9" s="1" customFormat="1" ht="15" customHeight="1">
      <c r="B73" s="28"/>
      <c r="C73" s="401" t="s">
        <v>107</v>
      </c>
      <c r="D73" s="383" t="s">
        <v>811</v>
      </c>
      <c r="E73" s="384">
        <f>'3'!G43</f>
        <v>0</v>
      </c>
      <c r="F73" s="384">
        <f>'3'!H43</f>
        <v>0</v>
      </c>
      <c r="G73" s="384">
        <f>'3'!I43</f>
        <v>0</v>
      </c>
      <c r="H73" s="384">
        <f>'3'!J43</f>
        <v>15000</v>
      </c>
      <c r="I73" s="382" t="str">
        <f t="shared" ref="I73" si="12">IF(F73=0,"",H73/F73*100)</f>
        <v/>
      </c>
    </row>
    <row r="74" spans="2:9" ht="15" customHeight="1" thickBot="1">
      <c r="B74" s="21"/>
      <c r="C74" s="401" t="s">
        <v>107</v>
      </c>
      <c r="D74" s="389" t="s">
        <v>708</v>
      </c>
      <c r="E74" s="384">
        <f>'20'!G35</f>
        <v>30000</v>
      </c>
      <c r="F74" s="384">
        <f>'20'!H35</f>
        <v>30000</v>
      </c>
      <c r="G74" s="384">
        <f>'20'!I35</f>
        <v>14000</v>
      </c>
      <c r="H74" s="384">
        <f>'20'!J35</f>
        <v>40000</v>
      </c>
      <c r="I74" s="382">
        <f t="shared" ref="I74:I108" si="13">IF(F74=0,"",H74/F74*100)</f>
        <v>133.33333333333331</v>
      </c>
    </row>
    <row r="75" spans="2:9" ht="15" customHeight="1">
      <c r="C75" s="401" t="s">
        <v>107</v>
      </c>
      <c r="D75" s="389" t="s">
        <v>709</v>
      </c>
      <c r="E75" s="384">
        <f>'20'!G36</f>
        <v>150000</v>
      </c>
      <c r="F75" s="384">
        <f>'20'!H36</f>
        <v>200000</v>
      </c>
      <c r="G75" s="384">
        <f>'20'!I36</f>
        <v>150000</v>
      </c>
      <c r="H75" s="384">
        <f>'20'!J36</f>
        <v>200000</v>
      </c>
      <c r="I75" s="382">
        <f t="shared" si="13"/>
        <v>100</v>
      </c>
    </row>
    <row r="76" spans="2:9" ht="15" customHeight="1">
      <c r="C76" s="401" t="s">
        <v>107</v>
      </c>
      <c r="D76" s="389" t="s">
        <v>763</v>
      </c>
      <c r="E76" s="384">
        <f>'33'!G29</f>
        <v>0</v>
      </c>
      <c r="F76" s="384">
        <f>'33'!H29</f>
        <v>0</v>
      </c>
      <c r="G76" s="384">
        <f>'33'!I29</f>
        <v>0</v>
      </c>
      <c r="H76" s="384">
        <f>'33'!J29</f>
        <v>150000</v>
      </c>
      <c r="I76" s="382" t="str">
        <f t="shared" si="13"/>
        <v/>
      </c>
    </row>
    <row r="77" spans="2:9" s="73" customFormat="1" ht="15" customHeight="1">
      <c r="C77" s="409" t="s">
        <v>215</v>
      </c>
      <c r="D77" s="393" t="s">
        <v>718</v>
      </c>
      <c r="E77" s="151">
        <f>SUM(E78:E81)</f>
        <v>2615000</v>
      </c>
      <c r="F77" s="151">
        <f t="shared" ref="F77:G77" si="14">SUM(F78:F81)</f>
        <v>2615000</v>
      </c>
      <c r="G77" s="151">
        <f t="shared" si="14"/>
        <v>796408</v>
      </c>
      <c r="H77" s="151">
        <f>SUM(H78:H81)</f>
        <v>3300000</v>
      </c>
      <c r="I77" s="157">
        <f t="shared" si="13"/>
        <v>126.19502868068832</v>
      </c>
    </row>
    <row r="78" spans="2:9" ht="15" customHeight="1">
      <c r="C78" s="401" t="s">
        <v>215</v>
      </c>
      <c r="D78" s="389" t="s">
        <v>819</v>
      </c>
      <c r="E78" s="384">
        <f>'15'!G29</f>
        <v>900000</v>
      </c>
      <c r="F78" s="384">
        <f>'15'!H29</f>
        <v>900000</v>
      </c>
      <c r="G78" s="384">
        <f>'15'!I29</f>
        <v>149062</v>
      </c>
      <c r="H78" s="384">
        <f>'15'!J29</f>
        <v>1300000</v>
      </c>
      <c r="I78" s="382">
        <f t="shared" si="13"/>
        <v>144.44444444444443</v>
      </c>
    </row>
    <row r="79" spans="2:9" ht="15" customHeight="1">
      <c r="C79" s="400" t="s">
        <v>215</v>
      </c>
      <c r="D79" s="386" t="s">
        <v>710</v>
      </c>
      <c r="E79" s="381">
        <f>'19'!G29</f>
        <v>900000</v>
      </c>
      <c r="F79" s="381">
        <f>'19'!H29</f>
        <v>900000</v>
      </c>
      <c r="G79" s="381">
        <f>'19'!I29</f>
        <v>316468</v>
      </c>
      <c r="H79" s="381">
        <f>'19'!J29</f>
        <v>1100000</v>
      </c>
      <c r="I79" s="382">
        <f t="shared" si="13"/>
        <v>122.22222222222223</v>
      </c>
    </row>
    <row r="80" spans="2:9" ht="15" customHeight="1">
      <c r="C80" s="400" t="s">
        <v>215</v>
      </c>
      <c r="D80" s="386" t="s">
        <v>711</v>
      </c>
      <c r="E80" s="381">
        <f>'19'!G30</f>
        <v>400000</v>
      </c>
      <c r="F80" s="381">
        <f>'19'!H30</f>
        <v>400000</v>
      </c>
      <c r="G80" s="381">
        <f>'19'!I30</f>
        <v>186860</v>
      </c>
      <c r="H80" s="381">
        <f>'19'!J30</f>
        <v>500000</v>
      </c>
      <c r="I80" s="382">
        <f t="shared" si="13"/>
        <v>125</v>
      </c>
    </row>
    <row r="81" spans="3:9" ht="15" customHeight="1">
      <c r="C81" s="400" t="s">
        <v>215</v>
      </c>
      <c r="D81" s="386" t="s">
        <v>712</v>
      </c>
      <c r="E81" s="381">
        <f>'19'!G31</f>
        <v>415000</v>
      </c>
      <c r="F81" s="381">
        <f>'19'!H31</f>
        <v>415000</v>
      </c>
      <c r="G81" s="381">
        <f>'19'!I31</f>
        <v>144018</v>
      </c>
      <c r="H81" s="381">
        <f>'19'!J31</f>
        <v>400000</v>
      </c>
      <c r="I81" s="382">
        <f t="shared" si="13"/>
        <v>96.385542168674704</v>
      </c>
    </row>
    <row r="82" spans="3:9" s="73" customFormat="1" ht="15" customHeight="1">
      <c r="C82" s="411">
        <v>614800</v>
      </c>
      <c r="D82" s="392" t="s">
        <v>719</v>
      </c>
      <c r="E82" s="412">
        <f>SUM(E83:E84)</f>
        <v>80000</v>
      </c>
      <c r="F82" s="412">
        <f>SUM(F83:F84)</f>
        <v>80000</v>
      </c>
      <c r="G82" s="412">
        <f>SUM(G83:G84)</f>
        <v>59453</v>
      </c>
      <c r="H82" s="412">
        <f>SUM(H83:H84)</f>
        <v>111000</v>
      </c>
      <c r="I82" s="157">
        <f t="shared" si="13"/>
        <v>138.75</v>
      </c>
    </row>
    <row r="83" spans="3:9" ht="15" customHeight="1">
      <c r="C83" s="400">
        <v>614800</v>
      </c>
      <c r="D83" s="386" t="s">
        <v>713</v>
      </c>
      <c r="E83" s="381">
        <f>'16'!G33</f>
        <v>50000</v>
      </c>
      <c r="F83" s="381">
        <f>'16'!H33</f>
        <v>50600</v>
      </c>
      <c r="G83" s="381">
        <f>'16'!I33</f>
        <v>50557</v>
      </c>
      <c r="H83" s="381">
        <f>'16'!J33</f>
        <v>51000</v>
      </c>
      <c r="I83" s="382">
        <f t="shared" si="13"/>
        <v>100.79051383399209</v>
      </c>
    </row>
    <row r="84" spans="3:9" ht="27" customHeight="1">
      <c r="C84" s="400">
        <v>614800</v>
      </c>
      <c r="D84" s="391" t="s">
        <v>714</v>
      </c>
      <c r="E84" s="381">
        <f>'16'!G34</f>
        <v>30000</v>
      </c>
      <c r="F84" s="381">
        <f>'16'!H34</f>
        <v>29400</v>
      </c>
      <c r="G84" s="381">
        <f>'16'!I34</f>
        <v>8896</v>
      </c>
      <c r="H84" s="381">
        <f>'16'!J34</f>
        <v>60000</v>
      </c>
      <c r="I84" s="382">
        <f t="shared" si="13"/>
        <v>204.08163265306123</v>
      </c>
    </row>
    <row r="85" spans="3:9" ht="13.5" customHeight="1">
      <c r="C85" s="402"/>
      <c r="D85" s="12"/>
      <c r="E85" s="20"/>
      <c r="F85" s="20"/>
      <c r="G85" s="20"/>
      <c r="H85" s="20"/>
      <c r="I85" s="157" t="str">
        <f t="shared" si="13"/>
        <v/>
      </c>
    </row>
    <row r="86" spans="3:9" ht="15" customHeight="1">
      <c r="C86" s="403">
        <v>615000</v>
      </c>
      <c r="D86" s="32" t="s">
        <v>89</v>
      </c>
      <c r="E86" s="20">
        <f>SUM(E87:E88)</f>
        <v>400000</v>
      </c>
      <c r="F86" s="20">
        <f t="shared" ref="F86:G86" si="15">SUM(F87:F88)</f>
        <v>400000</v>
      </c>
      <c r="G86" s="20">
        <f t="shared" si="15"/>
        <v>0</v>
      </c>
      <c r="H86" s="20">
        <f>SUM(H87:H88)</f>
        <v>700000</v>
      </c>
      <c r="I86" s="441">
        <f t="shared" si="13"/>
        <v>175</v>
      </c>
    </row>
    <row r="87" spans="3:9" ht="15" customHeight="1">
      <c r="C87" s="404" t="s">
        <v>217</v>
      </c>
      <c r="D87" s="60" t="s">
        <v>89</v>
      </c>
      <c r="E87" s="40">
        <f>'3'!G47+'20'!G39</f>
        <v>400000</v>
      </c>
      <c r="F87" s="40">
        <f>'3'!H47+'20'!H39</f>
        <v>400000</v>
      </c>
      <c r="G87" s="40">
        <f>'3'!I47+'20'!I39</f>
        <v>0</v>
      </c>
      <c r="H87" s="40">
        <f>'3'!J47+'20'!J39</f>
        <v>700000</v>
      </c>
      <c r="I87" s="157">
        <f t="shared" si="13"/>
        <v>175</v>
      </c>
    </row>
    <row r="88" spans="3:9" ht="12.75" customHeight="1">
      <c r="C88" s="405"/>
      <c r="D88" s="29"/>
      <c r="E88" s="40"/>
      <c r="F88" s="40"/>
      <c r="G88" s="40"/>
      <c r="H88" s="40"/>
      <c r="I88" s="157" t="str">
        <f t="shared" si="13"/>
        <v/>
      </c>
    </row>
    <row r="89" spans="3:9" ht="15" customHeight="1">
      <c r="C89" s="406" t="s">
        <v>103</v>
      </c>
      <c r="D89" s="32" t="s">
        <v>212</v>
      </c>
      <c r="E89" s="20">
        <f>SUM(E90:E93)</f>
        <v>89800</v>
      </c>
      <c r="F89" s="20">
        <f t="shared" ref="F89:G89" si="16">SUM(F90:F93)</f>
        <v>80230</v>
      </c>
      <c r="G89" s="20">
        <f t="shared" si="16"/>
        <v>58093</v>
      </c>
      <c r="H89" s="20">
        <f>SUM(H90:H93)</f>
        <v>72000</v>
      </c>
      <c r="I89" s="441">
        <f t="shared" si="13"/>
        <v>89.741991773650753</v>
      </c>
    </row>
    <row r="90" spans="3:9" ht="15" customHeight="1">
      <c r="C90" s="396">
        <v>616300</v>
      </c>
      <c r="D90" s="60" t="s">
        <v>195</v>
      </c>
      <c r="E90" s="40">
        <f>'20'!G42</f>
        <v>9300</v>
      </c>
      <c r="F90" s="40">
        <f>'20'!H42</f>
        <v>9330</v>
      </c>
      <c r="G90" s="40">
        <f>'20'!I42</f>
        <v>9325</v>
      </c>
      <c r="H90" s="40">
        <f>'20'!J42</f>
        <v>6500</v>
      </c>
      <c r="I90" s="157">
        <f t="shared" si="13"/>
        <v>69.667738478027857</v>
      </c>
    </row>
    <row r="91" spans="3:9" ht="15" customHeight="1">
      <c r="C91" s="396">
        <v>616300</v>
      </c>
      <c r="D91" s="60" t="s">
        <v>327</v>
      </c>
      <c r="E91" s="40">
        <f>'16'!G37</f>
        <v>11000</v>
      </c>
      <c r="F91" s="40">
        <f>'16'!H37</f>
        <v>7400</v>
      </c>
      <c r="G91" s="40">
        <f>'16'!I37</f>
        <v>6039</v>
      </c>
      <c r="H91" s="40">
        <f>'16'!J37</f>
        <v>0</v>
      </c>
      <c r="I91" s="157">
        <f t="shared" si="13"/>
        <v>0</v>
      </c>
    </row>
    <row r="92" spans="3:9" ht="15" customHeight="1">
      <c r="C92" s="396">
        <v>616300</v>
      </c>
      <c r="D92" s="60" t="s">
        <v>219</v>
      </c>
      <c r="E92" s="40">
        <f>'16'!G38</f>
        <v>25000</v>
      </c>
      <c r="F92" s="40">
        <f>'16'!H38</f>
        <v>22900</v>
      </c>
      <c r="G92" s="40">
        <f>'16'!I38</f>
        <v>22861</v>
      </c>
      <c r="H92" s="40">
        <f>'16'!J38</f>
        <v>24000</v>
      </c>
      <c r="I92" s="157">
        <f t="shared" si="13"/>
        <v>104.80349344978166</v>
      </c>
    </row>
    <row r="93" spans="3:9" ht="15" customHeight="1">
      <c r="C93" s="396">
        <v>616300</v>
      </c>
      <c r="D93" s="60" t="s">
        <v>223</v>
      </c>
      <c r="E93" s="40">
        <f>'16'!G39</f>
        <v>44500</v>
      </c>
      <c r="F93" s="40">
        <f>'16'!H39</f>
        <v>40600</v>
      </c>
      <c r="G93" s="40">
        <f>'16'!I39</f>
        <v>19868</v>
      </c>
      <c r="H93" s="40">
        <f>'16'!J39</f>
        <v>41500</v>
      </c>
      <c r="I93" s="157">
        <f t="shared" si="13"/>
        <v>102.21674876847291</v>
      </c>
    </row>
    <row r="94" spans="3:9" ht="12" customHeight="1">
      <c r="C94" s="396"/>
      <c r="D94" s="60"/>
      <c r="E94" s="40"/>
      <c r="F94" s="40"/>
      <c r="G94" s="40"/>
      <c r="H94" s="40"/>
      <c r="I94" s="157" t="str">
        <f t="shared" si="13"/>
        <v/>
      </c>
    </row>
    <row r="95" spans="3:9" ht="15" customHeight="1">
      <c r="C95" s="394">
        <v>821000</v>
      </c>
      <c r="D95" s="12" t="s">
        <v>90</v>
      </c>
      <c r="E95" s="20">
        <f>SUM(E96:E99)</f>
        <v>1167100</v>
      </c>
      <c r="F95" s="20">
        <f t="shared" ref="F95:G95" si="17">SUM(F96:F99)</f>
        <v>1988650</v>
      </c>
      <c r="G95" s="20">
        <f t="shared" si="17"/>
        <v>576491</v>
      </c>
      <c r="H95" s="20">
        <f>SUM(H96:H99)</f>
        <v>1476200</v>
      </c>
      <c r="I95" s="441">
        <f t="shared" si="13"/>
        <v>74.231262414200586</v>
      </c>
    </row>
    <row r="96" spans="3:9" ht="15" customHeight="1">
      <c r="C96" s="398">
        <v>821200</v>
      </c>
      <c r="D96" s="19" t="s">
        <v>91</v>
      </c>
      <c r="E96" s="108">
        <f>'1'!G28+'2'!G28+'3'!G50+'4'!G31+'5'!G28+'6'!G28+'7'!G28+'8'!G28+'9'!G28+'10'!G28+'11'!G29+'12'!G28+'13'!G28+'14'!G28+'15'!G32+'16'!G42+'17'!G32+'18'!G33+'19'!G34+'20'!G45+'21'!G28+'22'!G28+'23'!G29+'24'!G28+'25'!G28+'26'!G28+'27'!G28+'28'!G28+'29'!G28+'30'!G28+'31'!G31+'32'!G28+'33'!G32+'34'!G28+'35'!G28+'36'!G28+'37'!G28</f>
        <v>158000</v>
      </c>
      <c r="F96" s="108">
        <f>'1'!H28+'2'!H28+'3'!H50+'4'!H31+'5'!H28+'6'!H28+'7'!H28+'8'!H28+'9'!H28+'10'!H28+'11'!H29+'12'!H28+'13'!H28+'14'!H28+'15'!H32+'16'!H42+'17'!H32+'18'!H33+'19'!H34+'20'!H45+'21'!H28+'22'!H28+'23'!H29+'24'!H28+'25'!H28+'26'!H28+'27'!H28+'28'!H28+'29'!H28+'30'!H28+'31'!H31+'32'!H28+'33'!H32+'34'!H28+'35'!H28+'36'!H28+'37'!H28</f>
        <v>295520</v>
      </c>
      <c r="G96" s="108">
        <f>'1'!I28+'2'!I28+'3'!I50+'4'!I31+'5'!I28+'6'!I28+'7'!I28+'8'!I28+'9'!I28+'10'!I28+'11'!I29+'12'!I28+'13'!I28+'14'!I28+'15'!I32+'16'!I42+'17'!I32+'18'!I33+'19'!I34+'20'!I45+'21'!I28+'22'!I28+'23'!I29+'24'!I28+'25'!I28+'26'!I28+'27'!I28+'28'!I28+'29'!I28+'30'!I28+'31'!I31+'32'!I28+'33'!I32+'34'!I28+'35'!I28+'36'!I28+'37'!I28</f>
        <v>19453</v>
      </c>
      <c r="H96" s="108">
        <f>'1'!J28+'2'!J28+'3'!J50+'4'!J31+'5'!J28+'6'!J28+'7'!J28+'8'!J28+'9'!J28+'10'!J28+'11'!J29+'12'!J28+'13'!J28+'14'!J28+'15'!J32+'16'!J42+'17'!J32+'18'!J33+'19'!J34+'20'!J45+'21'!J28+'22'!J28+'23'!J29+'24'!J28+'25'!J28+'26'!J28+'27'!J28+'28'!J28+'29'!J28+'30'!J28+'31'!J31+'32'!J28+'33'!J32+'34'!J28+'35'!J28+'36'!J28+'37'!J28</f>
        <v>129500</v>
      </c>
      <c r="I96" s="157">
        <f t="shared" si="13"/>
        <v>43.821061180292361</v>
      </c>
    </row>
    <row r="97" spans="3:9" ht="15" customHeight="1">
      <c r="C97" s="398">
        <v>821300</v>
      </c>
      <c r="D97" s="19" t="s">
        <v>92</v>
      </c>
      <c r="E97" s="108">
        <f>'1'!G29+'2'!G29+'3'!G51+'4'!G32+'5'!G29+'6'!G29+'7'!G29+'8'!G29+'9'!G29+'10'!G29+'11'!G30+'12'!G29+'13'!G29+'14'!G29+'15'!G33+'16'!G43+'17'!G33+'18'!G34+'19'!G35+'20'!G46+'21'!G29+'22'!G29+'23'!G30+'24'!G29+'25'!G29+'26'!G29+'27'!G29+'28'!G29+'29'!G29+'30'!G29+'31'!G32+'32'!G29+'33'!G33+'34'!G29+'35'!G29+'36'!G29+'37'!G29</f>
        <v>359100</v>
      </c>
      <c r="F97" s="108">
        <f>'1'!H29+'2'!H29+'3'!H51+'4'!H32+'5'!H29+'6'!H29+'7'!H29+'8'!H29+'9'!H29+'10'!H29+'11'!H30+'12'!H29+'13'!H29+'14'!H29+'15'!H33+'16'!H43+'17'!H33+'18'!H34+'19'!H35+'20'!H46+'21'!H29+'22'!H29+'23'!H30+'24'!H29+'25'!H29+'26'!H29+'27'!H29+'28'!H29+'29'!H29+'30'!H29+'31'!H32+'32'!H29+'33'!H33+'34'!H29+'35'!H29+'36'!H29+'37'!H29</f>
        <v>572010</v>
      </c>
      <c r="G97" s="108">
        <f>'1'!I29+'2'!I29+'3'!I51+'4'!I32+'5'!I29+'6'!I29+'7'!I29+'8'!I29+'9'!I29+'10'!I29+'11'!I30+'12'!I29+'13'!I29+'14'!I29+'15'!I33+'16'!I43+'17'!I33+'18'!I34+'19'!I35+'20'!I46+'21'!I29+'22'!I29+'23'!I30+'24'!I29+'25'!I29+'26'!I29+'27'!I29+'28'!I29+'29'!I29+'30'!I29+'31'!I32+'32'!I29+'33'!I33+'34'!I29+'35'!I29+'36'!I29+'37'!I29</f>
        <v>280417</v>
      </c>
      <c r="H97" s="108">
        <f>'1'!J29+'2'!J29+'3'!J51+'4'!J32+'5'!J29+'6'!J29+'7'!J29+'8'!J29+'9'!J29+'10'!J29+'11'!J30+'12'!J29+'13'!J29+'14'!J29+'15'!J33+'16'!J43+'17'!J33+'18'!J34+'19'!J35+'20'!J46+'21'!J29+'22'!J29+'23'!J30+'24'!J29+'25'!J29+'26'!J29+'27'!J29+'28'!J29+'29'!J29+'30'!J29+'31'!J32+'32'!J29+'33'!J33+'34'!J29+'35'!J29+'36'!J29+'37'!J29</f>
        <v>254700</v>
      </c>
      <c r="I97" s="157">
        <f t="shared" si="13"/>
        <v>44.527193580531808</v>
      </c>
    </row>
    <row r="98" spans="3:9" ht="15" customHeight="1">
      <c r="C98" s="398">
        <v>821500</v>
      </c>
      <c r="D98" s="288" t="s">
        <v>611</v>
      </c>
      <c r="E98" s="108">
        <f>'3'!G52</f>
        <v>50000</v>
      </c>
      <c r="F98" s="108">
        <f>'3'!H52</f>
        <v>381120</v>
      </c>
      <c r="G98" s="108">
        <f>'3'!I52</f>
        <v>229062</v>
      </c>
      <c r="H98" s="108">
        <f>'3'!J52</f>
        <v>200000</v>
      </c>
      <c r="I98" s="157">
        <f t="shared" si="13"/>
        <v>52.476910159529808</v>
      </c>
    </row>
    <row r="99" spans="3:9" ht="15" customHeight="1">
      <c r="C99" s="398">
        <v>821600</v>
      </c>
      <c r="D99" s="101" t="s">
        <v>104</v>
      </c>
      <c r="E99" s="108">
        <f>'18'!G35</f>
        <v>600000</v>
      </c>
      <c r="F99" s="108">
        <f>'18'!H35</f>
        <v>740000</v>
      </c>
      <c r="G99" s="108">
        <f>'18'!I35</f>
        <v>47559</v>
      </c>
      <c r="H99" s="108">
        <f>'18'!J35</f>
        <v>892000</v>
      </c>
      <c r="I99" s="157">
        <f t="shared" si="13"/>
        <v>120.54054054054053</v>
      </c>
    </row>
    <row r="100" spans="3:9" ht="11.25" customHeight="1">
      <c r="C100" s="396"/>
      <c r="D100" s="15"/>
      <c r="E100" s="39"/>
      <c r="F100" s="39"/>
      <c r="G100" s="39"/>
      <c r="H100" s="39"/>
      <c r="I100" s="157" t="str">
        <f t="shared" si="13"/>
        <v/>
      </c>
    </row>
    <row r="101" spans="3:9" ht="15" customHeight="1">
      <c r="C101" s="394">
        <v>823000</v>
      </c>
      <c r="D101" s="12" t="s">
        <v>213</v>
      </c>
      <c r="E101" s="20">
        <f>SUM(E102:E105)</f>
        <v>1459620</v>
      </c>
      <c r="F101" s="20">
        <f t="shared" ref="F101:H101" si="18">SUM(F102:F105)</f>
        <v>1459600</v>
      </c>
      <c r="G101" s="20">
        <f t="shared" si="18"/>
        <v>1459555</v>
      </c>
      <c r="H101" s="20">
        <f t="shared" si="18"/>
        <v>600500</v>
      </c>
      <c r="I101" s="441">
        <f t="shared" si="13"/>
        <v>41.141408605097283</v>
      </c>
    </row>
    <row r="102" spans="3:9" ht="15" customHeight="1">
      <c r="C102" s="396">
        <v>823300</v>
      </c>
      <c r="D102" s="26" t="s">
        <v>222</v>
      </c>
      <c r="E102" s="39">
        <f>'20'!G49</f>
        <v>75000</v>
      </c>
      <c r="F102" s="39">
        <f>'20'!H49</f>
        <v>74980</v>
      </c>
      <c r="G102" s="39">
        <f>'20'!I49</f>
        <v>74940</v>
      </c>
      <c r="H102" s="39">
        <f>'20'!J49</f>
        <v>75000</v>
      </c>
      <c r="I102" s="157">
        <f t="shared" si="13"/>
        <v>100.02667377967458</v>
      </c>
    </row>
    <row r="103" spans="3:9" ht="15" customHeight="1">
      <c r="C103" s="396">
        <v>823300</v>
      </c>
      <c r="D103" s="26" t="s">
        <v>326</v>
      </c>
      <c r="E103" s="40">
        <f>'16'!G46</f>
        <v>1384620</v>
      </c>
      <c r="F103" s="40">
        <f>'16'!H46</f>
        <v>1384620</v>
      </c>
      <c r="G103" s="40">
        <f>'16'!I46</f>
        <v>1384615</v>
      </c>
      <c r="H103" s="40">
        <f>'16'!J46</f>
        <v>0</v>
      </c>
      <c r="I103" s="157">
        <f t="shared" si="13"/>
        <v>0</v>
      </c>
    </row>
    <row r="104" spans="3:9" ht="15" customHeight="1">
      <c r="C104" s="396">
        <v>823300</v>
      </c>
      <c r="D104" s="26" t="s">
        <v>751</v>
      </c>
      <c r="E104" s="40">
        <f>'16'!G47</f>
        <v>0</v>
      </c>
      <c r="F104" s="40">
        <f>'16'!H47</f>
        <v>0</v>
      </c>
      <c r="G104" s="40">
        <f>'16'!I47</f>
        <v>0</v>
      </c>
      <c r="H104" s="40">
        <f>'16'!J47</f>
        <v>95000</v>
      </c>
      <c r="I104" s="157" t="str">
        <f t="shared" si="13"/>
        <v/>
      </c>
    </row>
    <row r="105" spans="3:9" ht="15" customHeight="1">
      <c r="C105" s="396">
        <v>823300</v>
      </c>
      <c r="D105" s="26" t="s">
        <v>750</v>
      </c>
      <c r="E105" s="40">
        <f>'16'!G48</f>
        <v>0</v>
      </c>
      <c r="F105" s="40">
        <f>'16'!H48</f>
        <v>0</v>
      </c>
      <c r="G105" s="40">
        <f>'16'!I48</f>
        <v>0</v>
      </c>
      <c r="H105" s="40">
        <f>'16'!J48</f>
        <v>430500</v>
      </c>
      <c r="I105" s="157" t="str">
        <f t="shared" si="13"/>
        <v/>
      </c>
    </row>
    <row r="106" spans="3:9" ht="15" customHeight="1">
      <c r="C106" s="35"/>
      <c r="D106" s="15"/>
      <c r="E106" s="39"/>
      <c r="F106" s="39"/>
      <c r="G106" s="39"/>
      <c r="H106" s="39"/>
      <c r="I106" s="157" t="str">
        <f t="shared" si="13"/>
        <v/>
      </c>
    </row>
    <row r="107" spans="3:9" ht="15" customHeight="1">
      <c r="C107" s="8"/>
      <c r="D107" s="12" t="s">
        <v>93</v>
      </c>
      <c r="E107" s="121" t="s">
        <v>782</v>
      </c>
      <c r="F107" s="121" t="s">
        <v>752</v>
      </c>
      <c r="G107" s="121" t="s">
        <v>761</v>
      </c>
      <c r="H107" s="121" t="s">
        <v>817</v>
      </c>
      <c r="I107" s="157"/>
    </row>
    <row r="108" spans="3:9" ht="15" customHeight="1">
      <c r="C108" s="8"/>
      <c r="D108" s="12" t="s">
        <v>113</v>
      </c>
      <c r="E108" s="20">
        <f>'1'!G32+'2'!G32+'3'!G55+'4'!G35+'5'!G32+'6'!G32+'7'!G32+'8'!G32+'9'!G32+'10'!G32+'11'!G33+'12'!G32+'13'!G32+'14'!G32+'15'!G36+'16'!G51+'17'!G36+'18'!G38+'19'!G38+'20'!G52+'21'!G32+'22'!G32+'23'!G33+'24'!G32+'25'!G32+'26'!G32+'27'!G32+'28'!G32+'29'!G32+'30'!G32+'31'!G35+'32'!G32+'33'!G36+'34'!G32+'35'!G32+'36'!G32+'37'!G32</f>
        <v>39940550</v>
      </c>
      <c r="F108" s="20">
        <f>'1'!H32+'2'!H32+'3'!H55+'4'!H35+'5'!H32+'6'!H32+'7'!H32+'8'!H32+'9'!H32+'10'!H32+'11'!H33+'12'!H32+'13'!H32+'14'!H32+'15'!H36+'16'!H51+'17'!H36+'18'!H38+'19'!H38+'20'!H52+'21'!H32+'22'!H32+'23'!H33+'24'!H32+'25'!H32+'26'!H32+'27'!H32+'28'!H32+'29'!H32+'30'!H32+'31'!H35+'32'!H32+'33'!H36+'34'!H32+'35'!H32+'36'!H32+'37'!H32</f>
        <v>40327360</v>
      </c>
      <c r="G108" s="20">
        <f>'1'!I32+'2'!I32+'3'!I55+'4'!I35+'5'!I32+'6'!I32+'7'!I32+'8'!I32+'9'!I32+'10'!I32+'11'!I33+'12'!I32+'13'!I32+'14'!I32+'15'!I36+'16'!I51+'17'!I36+'18'!I38+'19'!I38+'20'!I52+'21'!I32+'22'!I32+'23'!I33+'24'!I32+'25'!I32+'26'!I32+'27'!I32+'28'!I32+'29'!I32+'30'!I32+'31'!I35+'32'!I32+'33'!I36+'34'!I32+'35'!I32+'36'!I32+'37'!I32</f>
        <v>25929831</v>
      </c>
      <c r="H108" s="20">
        <f>'1'!J32+'2'!J32+'3'!J55+'4'!J35+'5'!J32+'6'!J32+'7'!J32+'8'!J32+'9'!J32+'10'!J32+'11'!J33+'12'!J32+'13'!J32+'14'!J32+'15'!J36+'16'!J51+'17'!J36+'18'!J38+'19'!J38+'20'!J52+'21'!J32+'22'!J32+'23'!J33+'24'!J32+'25'!J32+'26'!J32+'27'!J32+'28'!J32+'29'!J32+'30'!J32+'31'!J35+'32'!J32+'33'!J36+'34'!J32+'35'!J32+'36'!J32+'37'!J32</f>
        <v>42441870</v>
      </c>
      <c r="I108" s="441">
        <f t="shared" si="13"/>
        <v>105.24336331463304</v>
      </c>
    </row>
    <row r="109" spans="3:9" ht="15" customHeight="1" thickBot="1">
      <c r="C109" s="36"/>
      <c r="D109" s="22"/>
      <c r="E109" s="34"/>
      <c r="F109" s="34"/>
      <c r="G109" s="34"/>
      <c r="H109" s="22"/>
      <c r="I109" s="141"/>
    </row>
    <row r="110" spans="3:9" ht="15" customHeight="1" thickBot="1">
      <c r="C110" s="71"/>
      <c r="D110" s="72"/>
      <c r="E110" s="72"/>
      <c r="F110" s="72"/>
      <c r="G110" s="72"/>
      <c r="H110" s="72"/>
      <c r="I110" s="129"/>
    </row>
    <row r="111" spans="3:9" ht="7.5" customHeight="1"/>
    <row r="112" spans="3:9" ht="8.25" customHeight="1">
      <c r="C112" s="42"/>
    </row>
    <row r="113" spans="3:9" ht="12" customHeight="1">
      <c r="C113" s="96" t="s">
        <v>225</v>
      </c>
    </row>
    <row r="114" spans="3:9" ht="6.75" customHeight="1">
      <c r="C114" s="97"/>
    </row>
    <row r="115" spans="3:9" ht="12" customHeight="1">
      <c r="C115" s="479" t="s">
        <v>226</v>
      </c>
      <c r="D115" s="479"/>
      <c r="E115" s="43"/>
      <c r="F115" s="43"/>
      <c r="G115" s="43"/>
      <c r="H115" s="43"/>
      <c r="I115" s="130"/>
    </row>
    <row r="116" spans="3:9" ht="8.25" customHeight="1">
      <c r="C116" s="42"/>
    </row>
    <row r="117" spans="3:9" ht="18" customHeight="1">
      <c r="C117" s="480" t="str">
        <f>CONCATENATE("     Rashodi i izdaci u Proračunu u iznosu od ",TEXT(H108,"#.##0")," KM raspoređuju se po korisnicima proračuna u Posebnom dijelu Proračuna kako slijedi:")</f>
        <v xml:space="preserve">     Rashodi i izdaci u Proračunu u iznosu od 42.441.870 KM raspoređuju se po korisnicima proračuna u Posebnom dijelu Proračuna kako slijedi:</v>
      </c>
      <c r="D117" s="480"/>
      <c r="E117" s="480"/>
      <c r="F117" s="480"/>
      <c r="G117" s="480"/>
      <c r="H117" s="480"/>
      <c r="I117" s="480"/>
    </row>
  </sheetData>
  <mergeCells count="4">
    <mergeCell ref="H3:I3"/>
    <mergeCell ref="C3:D3"/>
    <mergeCell ref="C115:D115"/>
    <mergeCell ref="C117:I117"/>
  </mergeCells>
  <phoneticPr fontId="2" type="noConversion"/>
  <pageMargins left="0.38" right="0.15748031496062992" top="0.38" bottom="0.64" header="0.41" footer="0.39370078740157483"/>
  <pageSetup paperSize="9" scale="80" firstPageNumber="6" orientation="portrait" useFirstPageNumber="1" r:id="rId1"/>
  <headerFooter alignWithMargins="0">
    <oddFooter>&amp;R&amp;P</oddFooter>
  </headerFooter>
  <rowBreaks count="2" manualBreakCount="2">
    <brk id="62" min="2" max="8" man="1"/>
    <brk id="117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N59"/>
  <sheetViews>
    <sheetView topLeftCell="B25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81" t="s">
        <v>116</v>
      </c>
      <c r="C2" s="481"/>
      <c r="D2" s="481"/>
      <c r="E2" s="481"/>
      <c r="F2" s="481"/>
      <c r="G2" s="481"/>
      <c r="H2" s="481"/>
      <c r="I2" s="481"/>
      <c r="J2" s="481"/>
      <c r="K2" s="481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6" t="s">
        <v>736</v>
      </c>
      <c r="F4" s="7" t="s">
        <v>80</v>
      </c>
      <c r="G4" s="61" t="s">
        <v>641</v>
      </c>
      <c r="H4" s="437" t="s">
        <v>766</v>
      </c>
      <c r="I4" s="61" t="s">
        <v>735</v>
      </c>
      <c r="J4" s="61" t="s">
        <v>730</v>
      </c>
      <c r="K4" s="134" t="s">
        <v>767</v>
      </c>
    </row>
    <row r="5" spans="2:13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>
        <v>10</v>
      </c>
      <c r="C6" s="11" t="s">
        <v>81</v>
      </c>
      <c r="D6" s="11" t="s">
        <v>82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SUM(G8:G10)</f>
        <v>403370</v>
      </c>
      <c r="H7" s="356">
        <f>SUM(H8:H10)</f>
        <v>443878</v>
      </c>
      <c r="I7" s="356">
        <f t="shared" ref="I7" si="0">SUM(I8:I10)</f>
        <v>326822</v>
      </c>
      <c r="J7" s="356">
        <f>SUM(J8:J10)</f>
        <v>449460</v>
      </c>
      <c r="K7" s="137">
        <f>IF(H7=0,"",J7/H7*100)</f>
        <v>101.25755275098112</v>
      </c>
      <c r="M7" s="81"/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55">
        <v>333970</v>
      </c>
      <c r="H8" s="355">
        <v>359633</v>
      </c>
      <c r="I8" s="355">
        <v>267155</v>
      </c>
      <c r="J8" s="355">
        <f>357700+2000+10730</f>
        <v>370430</v>
      </c>
      <c r="K8" s="138">
        <f>IF(H8=0,"",J8/H8*100)</f>
        <v>103.00222727057862</v>
      </c>
      <c r="L8" s="73"/>
      <c r="M8" s="81"/>
    </row>
    <row r="9" spans="2:13" ht="17.100000000000001" customHeight="1">
      <c r="B9" s="14"/>
      <c r="C9" s="15"/>
      <c r="D9" s="15"/>
      <c r="E9" s="16">
        <v>611200</v>
      </c>
      <c r="F9" s="26" t="s">
        <v>208</v>
      </c>
      <c r="G9" s="355">
        <v>69400</v>
      </c>
      <c r="H9" s="355">
        <f>79825+17*260</f>
        <v>84245</v>
      </c>
      <c r="I9" s="355">
        <v>59667</v>
      </c>
      <c r="J9" s="355">
        <f>77030+2000</f>
        <v>79030</v>
      </c>
      <c r="K9" s="138">
        <f t="shared" ref="K9:K34" si="1">IF(H9=0,"",J9/H9*100)</f>
        <v>93.809721645201492</v>
      </c>
      <c r="M9" s="81"/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55">
        <v>0</v>
      </c>
      <c r="H10" s="355">
        <v>0</v>
      </c>
      <c r="I10" s="355">
        <v>0</v>
      </c>
      <c r="J10" s="355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327"/>
      <c r="G11" s="355"/>
      <c r="H11" s="355"/>
      <c r="I11" s="355"/>
      <c r="J11" s="355"/>
      <c r="K11" s="138" t="str">
        <f t="shared" si="1"/>
        <v/>
      </c>
      <c r="M11" s="81"/>
    </row>
    <row r="12" spans="2:13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G13+G14</f>
        <v>35790</v>
      </c>
      <c r="H12" s="356">
        <f>H13+H14</f>
        <v>38456</v>
      </c>
      <c r="I12" s="356">
        <f t="shared" ref="I12" si="2">I13+I14</f>
        <v>28499</v>
      </c>
      <c r="J12" s="356">
        <f>J13+J14</f>
        <v>39650</v>
      </c>
      <c r="K12" s="180">
        <f t="shared" si="1"/>
        <v>103.10484709798212</v>
      </c>
      <c r="M12" s="81"/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355">
        <v>35790</v>
      </c>
      <c r="H13" s="355">
        <v>38456</v>
      </c>
      <c r="I13" s="355">
        <v>28499</v>
      </c>
      <c r="J13" s="355">
        <f>38200+300+1150</f>
        <v>39650</v>
      </c>
      <c r="K13" s="138">
        <f t="shared" si="1"/>
        <v>103.10484709798212</v>
      </c>
      <c r="M13" s="81"/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  <c r="M14" s="81"/>
    </row>
    <row r="15" spans="2:13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270740</v>
      </c>
      <c r="H15" s="44">
        <f>SUM(H16:H25)</f>
        <v>271778</v>
      </c>
      <c r="I15" s="44">
        <f t="shared" ref="I15" si="3">SUM(I16:I25)</f>
        <v>196426</v>
      </c>
      <c r="J15" s="44">
        <f>SUM(J16:J25)</f>
        <v>278400</v>
      </c>
      <c r="K15" s="180">
        <f t="shared" si="1"/>
        <v>102.43654747624899</v>
      </c>
      <c r="M15" s="81"/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39">
        <v>6000</v>
      </c>
      <c r="H16" s="39">
        <v>6500</v>
      </c>
      <c r="I16" s="39">
        <v>3093</v>
      </c>
      <c r="J16" s="39">
        <v>6500</v>
      </c>
      <c r="K16" s="138">
        <f t="shared" si="1"/>
        <v>100</v>
      </c>
      <c r="M16" s="81"/>
    </row>
    <row r="17" spans="2:14" ht="17.100000000000001" customHeight="1">
      <c r="B17" s="14"/>
      <c r="C17" s="15"/>
      <c r="D17" s="15"/>
      <c r="E17" s="16">
        <v>613200</v>
      </c>
      <c r="F17" s="15" t="s">
        <v>85</v>
      </c>
      <c r="G17" s="39">
        <v>13600</v>
      </c>
      <c r="H17" s="39">
        <v>13600</v>
      </c>
      <c r="I17" s="39">
        <v>7700</v>
      </c>
      <c r="J17" s="39">
        <v>13600</v>
      </c>
      <c r="K17" s="138">
        <f t="shared" si="1"/>
        <v>100</v>
      </c>
      <c r="M17" s="81"/>
    </row>
    <row r="18" spans="2:14" ht="17.100000000000001" customHeight="1">
      <c r="B18" s="14"/>
      <c r="C18" s="15"/>
      <c r="D18" s="15"/>
      <c r="E18" s="16">
        <v>613300</v>
      </c>
      <c r="F18" s="26" t="s">
        <v>209</v>
      </c>
      <c r="G18" s="39">
        <v>7300</v>
      </c>
      <c r="H18" s="39">
        <v>7300</v>
      </c>
      <c r="I18" s="39">
        <v>5369</v>
      </c>
      <c r="J18" s="39">
        <v>7300</v>
      </c>
      <c r="K18" s="138">
        <f t="shared" si="1"/>
        <v>100</v>
      </c>
      <c r="M18" s="81"/>
    </row>
    <row r="19" spans="2:14" ht="17.100000000000001" customHeight="1">
      <c r="B19" s="14"/>
      <c r="C19" s="15"/>
      <c r="D19" s="15"/>
      <c r="E19" s="16">
        <v>613400</v>
      </c>
      <c r="F19" s="26" t="s">
        <v>166</v>
      </c>
      <c r="G19" s="74">
        <v>5500</v>
      </c>
      <c r="H19" s="74">
        <v>5500</v>
      </c>
      <c r="I19" s="74">
        <v>3480</v>
      </c>
      <c r="J19" s="74">
        <v>5500</v>
      </c>
      <c r="K19" s="138">
        <f t="shared" si="1"/>
        <v>100</v>
      </c>
      <c r="M19" s="81"/>
    </row>
    <row r="20" spans="2:14" ht="17.100000000000001" customHeight="1">
      <c r="B20" s="14"/>
      <c r="C20" s="15"/>
      <c r="D20" s="15"/>
      <c r="E20" s="16">
        <v>613500</v>
      </c>
      <c r="F20" s="15" t="s">
        <v>86</v>
      </c>
      <c r="G20" s="74">
        <v>10000</v>
      </c>
      <c r="H20" s="74">
        <v>10000</v>
      </c>
      <c r="I20" s="74">
        <v>7736</v>
      </c>
      <c r="J20" s="74">
        <v>10000</v>
      </c>
      <c r="K20" s="138">
        <f t="shared" si="1"/>
        <v>100</v>
      </c>
      <c r="M20" s="81"/>
    </row>
    <row r="21" spans="2:14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  <c r="M21" s="81"/>
    </row>
    <row r="22" spans="2:14" ht="17.100000000000001" customHeight="1">
      <c r="B22" s="14"/>
      <c r="C22" s="15"/>
      <c r="D22" s="15"/>
      <c r="E22" s="16">
        <v>613700</v>
      </c>
      <c r="F22" s="15" t="s">
        <v>87</v>
      </c>
      <c r="G22" s="39">
        <v>8000</v>
      </c>
      <c r="H22" s="39">
        <v>8000</v>
      </c>
      <c r="I22" s="39">
        <v>3790</v>
      </c>
      <c r="J22" s="39">
        <v>8000</v>
      </c>
      <c r="K22" s="138">
        <f t="shared" si="1"/>
        <v>100</v>
      </c>
      <c r="M22" s="81"/>
    </row>
    <row r="23" spans="2:14" ht="17.100000000000001" customHeight="1">
      <c r="B23" s="14"/>
      <c r="C23" s="15"/>
      <c r="D23" s="15"/>
      <c r="E23" s="16">
        <v>613800</v>
      </c>
      <c r="F23" s="26" t="s">
        <v>167</v>
      </c>
      <c r="G23" s="39">
        <v>340</v>
      </c>
      <c r="H23" s="39">
        <v>2440</v>
      </c>
      <c r="I23" s="39">
        <v>2423</v>
      </c>
      <c r="J23" s="39">
        <v>2500</v>
      </c>
      <c r="K23" s="138">
        <f t="shared" si="1"/>
        <v>102.45901639344261</v>
      </c>
      <c r="M23" s="81"/>
    </row>
    <row r="24" spans="2:14" ht="17.100000000000001" customHeight="1">
      <c r="B24" s="14"/>
      <c r="C24" s="15"/>
      <c r="D24" s="15"/>
      <c r="E24" s="16">
        <v>613900</v>
      </c>
      <c r="F24" s="26" t="s">
        <v>168</v>
      </c>
      <c r="G24" s="74">
        <v>220000</v>
      </c>
      <c r="H24" s="74">
        <f>220538-2100</f>
        <v>218438</v>
      </c>
      <c r="I24" s="74">
        <v>162835</v>
      </c>
      <c r="J24" s="74">
        <v>225000</v>
      </c>
      <c r="K24" s="138">
        <f t="shared" si="1"/>
        <v>103.00405607083016</v>
      </c>
      <c r="L24" s="98"/>
      <c r="M24" s="81"/>
    </row>
    <row r="25" spans="2:14" ht="17.100000000000001" customHeight="1">
      <c r="B25" s="14"/>
      <c r="C25" s="15"/>
      <c r="D25" s="15"/>
      <c r="E25" s="16">
        <v>613900</v>
      </c>
      <c r="F25" s="327" t="s">
        <v>644</v>
      </c>
      <c r="G25" s="39">
        <v>0</v>
      </c>
      <c r="H25" s="39">
        <v>0</v>
      </c>
      <c r="I25" s="39">
        <v>0</v>
      </c>
      <c r="J25" s="39">
        <v>0</v>
      </c>
      <c r="K25" s="138" t="str">
        <f t="shared" si="1"/>
        <v/>
      </c>
      <c r="M25" s="81"/>
      <c r="N25" s="73"/>
    </row>
    <row r="26" spans="2:14" ht="17.100000000000001" customHeight="1">
      <c r="B26" s="14"/>
      <c r="C26" s="15"/>
      <c r="D26" s="15"/>
      <c r="E26" s="16"/>
      <c r="F26" s="15"/>
      <c r="G26" s="39"/>
      <c r="H26" s="39"/>
      <c r="I26" s="39"/>
      <c r="J26" s="39"/>
      <c r="K26" s="138" t="str">
        <f t="shared" si="1"/>
        <v/>
      </c>
      <c r="M26" s="81"/>
    </row>
    <row r="27" spans="2:14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57000</v>
      </c>
      <c r="H27" s="20">
        <f>SUM(H28:H29)</f>
        <v>57000</v>
      </c>
      <c r="I27" s="20">
        <f t="shared" ref="I27" si="4">SUM(I28:I29)</f>
        <v>54900</v>
      </c>
      <c r="J27" s="20">
        <f>SUM(J28:J29)</f>
        <v>10000</v>
      </c>
      <c r="K27" s="180">
        <f t="shared" si="1"/>
        <v>17.543859649122805</v>
      </c>
      <c r="M27" s="81"/>
    </row>
    <row r="28" spans="2:14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74">
        <v>2000</v>
      </c>
      <c r="H28" s="74">
        <v>2000</v>
      </c>
      <c r="I28" s="74">
        <v>0</v>
      </c>
      <c r="J28" s="74">
        <v>5000</v>
      </c>
      <c r="K28" s="138">
        <f t="shared" si="1"/>
        <v>250</v>
      </c>
      <c r="M28" s="81"/>
    </row>
    <row r="29" spans="2:14" ht="17.100000000000001" customHeight="1">
      <c r="B29" s="14"/>
      <c r="C29" s="15"/>
      <c r="D29" s="15"/>
      <c r="E29" s="16">
        <v>821300</v>
      </c>
      <c r="F29" s="15" t="s">
        <v>92</v>
      </c>
      <c r="G29" s="74">
        <v>55000</v>
      </c>
      <c r="H29" s="74">
        <v>55000</v>
      </c>
      <c r="I29" s="74">
        <v>54900</v>
      </c>
      <c r="J29" s="74">
        <v>5000</v>
      </c>
      <c r="K29" s="138">
        <f t="shared" si="1"/>
        <v>9.0909090909090917</v>
      </c>
      <c r="L29" s="73"/>
      <c r="M29" s="81"/>
    </row>
    <row r="30" spans="2:14" ht="17.100000000000001" customHeight="1">
      <c r="B30" s="14"/>
      <c r="C30" s="15"/>
      <c r="D30" s="15"/>
      <c r="E30" s="16"/>
      <c r="F30" s="15"/>
      <c r="G30" s="39"/>
      <c r="H30" s="39"/>
      <c r="I30" s="39"/>
      <c r="J30" s="39"/>
      <c r="K30" s="138" t="str">
        <f t="shared" si="1"/>
        <v/>
      </c>
      <c r="M30" s="81"/>
    </row>
    <row r="31" spans="2:14" ht="17.100000000000001" customHeight="1">
      <c r="B31" s="17"/>
      <c r="C31" s="12"/>
      <c r="D31" s="12"/>
      <c r="E31" s="9"/>
      <c r="F31" s="12" t="s">
        <v>93</v>
      </c>
      <c r="G31" s="121">
        <v>15</v>
      </c>
      <c r="H31" s="121">
        <v>17</v>
      </c>
      <c r="I31" s="121" t="s">
        <v>740</v>
      </c>
      <c r="J31" s="121">
        <v>17</v>
      </c>
      <c r="K31" s="138"/>
      <c r="M31" s="81"/>
    </row>
    <row r="32" spans="2:14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766900</v>
      </c>
      <c r="H32" s="20">
        <f>H7+H12+H15+H27</f>
        <v>811112</v>
      </c>
      <c r="I32" s="20">
        <f>I7+I12+I15+I27</f>
        <v>606647</v>
      </c>
      <c r="J32" s="20">
        <f>J7+J12+J15+J27</f>
        <v>777510</v>
      </c>
      <c r="K32" s="180">
        <f t="shared" si="1"/>
        <v>95.857292211186618</v>
      </c>
      <c r="M32" s="81"/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20"/>
      <c r="K33" s="138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20"/>
      <c r="K34" s="138" t="str">
        <f t="shared" si="1"/>
        <v/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41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K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M59"/>
  <sheetViews>
    <sheetView topLeftCell="A25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117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7.100000000000001" customHeight="1">
      <c r="B6" s="10">
        <v>10</v>
      </c>
      <c r="C6" s="11" t="s">
        <v>81</v>
      </c>
      <c r="D6" s="11" t="s">
        <v>118</v>
      </c>
      <c r="E6" s="9"/>
      <c r="F6" s="9"/>
      <c r="G6" s="9"/>
      <c r="H6" s="9"/>
      <c r="I6" s="9"/>
      <c r="J6" s="9"/>
      <c r="K6" s="136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164</v>
      </c>
      <c r="G7" s="356">
        <f>SUM(G8:G11)</f>
        <v>57480</v>
      </c>
      <c r="H7" s="356">
        <f>SUM(H8:H11)</f>
        <v>4412</v>
      </c>
      <c r="I7" s="356">
        <f t="shared" ref="I7" si="0">SUM(I8:I11)</f>
        <v>4412</v>
      </c>
      <c r="J7" s="356">
        <f>SUM(J8:J11)</f>
        <v>0</v>
      </c>
      <c r="K7" s="137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207</v>
      </c>
      <c r="G8" s="372">
        <v>44680</v>
      </c>
      <c r="H8" s="372">
        <v>3467</v>
      </c>
      <c r="I8" s="372">
        <v>3467</v>
      </c>
      <c r="J8" s="372">
        <v>0</v>
      </c>
      <c r="K8" s="138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208</v>
      </c>
      <c r="G9" s="372">
        <v>12800</v>
      </c>
      <c r="H9" s="372">
        <v>945</v>
      </c>
      <c r="I9" s="372">
        <v>945</v>
      </c>
      <c r="J9" s="372">
        <v>0</v>
      </c>
      <c r="K9" s="138">
        <f t="shared" ref="K9:K34" si="1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327" t="s">
        <v>643</v>
      </c>
      <c r="G10" s="372">
        <v>0</v>
      </c>
      <c r="H10" s="372">
        <v>0</v>
      </c>
      <c r="I10" s="372">
        <v>0</v>
      </c>
      <c r="J10" s="372">
        <v>0</v>
      </c>
      <c r="K10" s="138" t="str">
        <f t="shared" si="1"/>
        <v/>
      </c>
      <c r="M10" s="81"/>
    </row>
    <row r="11" spans="2:13" ht="17.100000000000001" customHeight="1">
      <c r="B11" s="14"/>
      <c r="C11" s="15"/>
      <c r="D11" s="15"/>
      <c r="E11" s="16"/>
      <c r="F11" s="26"/>
      <c r="G11" s="372"/>
      <c r="H11" s="372"/>
      <c r="I11" s="372"/>
      <c r="J11" s="372"/>
      <c r="K11" s="138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163</v>
      </c>
      <c r="G12" s="356">
        <f>G13</f>
        <v>5030</v>
      </c>
      <c r="H12" s="356">
        <f>H13</f>
        <v>374</v>
      </c>
      <c r="I12" s="356">
        <f t="shared" ref="I12" si="2">I13</f>
        <v>374</v>
      </c>
      <c r="J12" s="356">
        <f>J13</f>
        <v>0</v>
      </c>
      <c r="K12" s="180">
        <f t="shared" si="1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372">
        <v>5030</v>
      </c>
      <c r="H13" s="372">
        <v>374</v>
      </c>
      <c r="I13" s="372">
        <v>374</v>
      </c>
      <c r="J13" s="372">
        <v>0</v>
      </c>
      <c r="K13" s="138">
        <f t="shared" si="1"/>
        <v>0</v>
      </c>
    </row>
    <row r="14" spans="2:13" ht="17.100000000000001" customHeight="1">
      <c r="B14" s="14"/>
      <c r="C14" s="15"/>
      <c r="D14" s="15"/>
      <c r="E14" s="16"/>
      <c r="F14" s="15"/>
      <c r="G14" s="39"/>
      <c r="H14" s="39"/>
      <c r="I14" s="39"/>
      <c r="J14" s="39"/>
      <c r="K14" s="138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165</v>
      </c>
      <c r="G15" s="44">
        <f>SUM(G16:G25)</f>
        <v>1050</v>
      </c>
      <c r="H15" s="44">
        <f>SUM(H16:H25)</f>
        <v>12</v>
      </c>
      <c r="I15" s="44">
        <f t="shared" ref="I15" si="3">SUM(I16:I25)</f>
        <v>12</v>
      </c>
      <c r="J15" s="44">
        <f>SUM(J16:J25)</f>
        <v>0</v>
      </c>
      <c r="K15" s="180">
        <f t="shared" si="1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39">
        <v>500</v>
      </c>
      <c r="H16" s="39">
        <v>0</v>
      </c>
      <c r="I16" s="39">
        <v>0</v>
      </c>
      <c r="J16" s="39">
        <v>0</v>
      </c>
      <c r="K16" s="138" t="str">
        <f t="shared" si="1"/>
        <v/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39">
        <v>0</v>
      </c>
      <c r="H17" s="39">
        <v>0</v>
      </c>
      <c r="I17" s="39">
        <v>0</v>
      </c>
      <c r="J17" s="39">
        <v>0</v>
      </c>
      <c r="K17" s="138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209</v>
      </c>
      <c r="G18" s="39">
        <v>0</v>
      </c>
      <c r="H18" s="39">
        <v>0</v>
      </c>
      <c r="I18" s="39">
        <v>0</v>
      </c>
      <c r="J18" s="39">
        <v>0</v>
      </c>
      <c r="K18" s="138" t="str">
        <f t="shared" si="1"/>
        <v/>
      </c>
    </row>
    <row r="19" spans="2:11" ht="17.100000000000001" customHeight="1">
      <c r="B19" s="14"/>
      <c r="C19" s="15"/>
      <c r="D19" s="15"/>
      <c r="E19" s="16">
        <v>613400</v>
      </c>
      <c r="F19" s="15" t="s">
        <v>166</v>
      </c>
      <c r="G19" s="39">
        <v>0</v>
      </c>
      <c r="H19" s="39">
        <v>0</v>
      </c>
      <c r="I19" s="39">
        <v>0</v>
      </c>
      <c r="J19" s="39">
        <v>0</v>
      </c>
      <c r="K19" s="138" t="str">
        <f t="shared" si="1"/>
        <v/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39">
        <v>0</v>
      </c>
      <c r="H20" s="39">
        <v>0</v>
      </c>
      <c r="I20" s="39">
        <v>0</v>
      </c>
      <c r="J20" s="39">
        <v>0</v>
      </c>
      <c r="K20" s="138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210</v>
      </c>
      <c r="G21" s="39">
        <v>0</v>
      </c>
      <c r="H21" s="39">
        <v>0</v>
      </c>
      <c r="I21" s="39">
        <v>0</v>
      </c>
      <c r="J21" s="39">
        <v>0</v>
      </c>
      <c r="K21" s="138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39">
        <v>0</v>
      </c>
      <c r="H22" s="39">
        <v>0</v>
      </c>
      <c r="I22" s="39">
        <v>0</v>
      </c>
      <c r="J22" s="39">
        <v>0</v>
      </c>
      <c r="K22" s="138" t="str">
        <f t="shared" si="1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167</v>
      </c>
      <c r="G23" s="39">
        <v>0</v>
      </c>
      <c r="H23" s="39">
        <v>0</v>
      </c>
      <c r="I23" s="39">
        <v>0</v>
      </c>
      <c r="J23" s="39">
        <v>0</v>
      </c>
      <c r="K23" s="138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168</v>
      </c>
      <c r="G24" s="39">
        <v>550</v>
      </c>
      <c r="H24" s="39">
        <v>12</v>
      </c>
      <c r="I24" s="39">
        <v>12</v>
      </c>
      <c r="J24" s="39">
        <v>0</v>
      </c>
      <c r="K24" s="138">
        <f t="shared" si="1"/>
        <v>0</v>
      </c>
    </row>
    <row r="25" spans="2:11" ht="17.100000000000001" customHeight="1">
      <c r="B25" s="14"/>
      <c r="C25" s="15"/>
      <c r="D25" s="15"/>
      <c r="E25" s="16">
        <v>613900</v>
      </c>
      <c r="F25" s="327" t="s">
        <v>644</v>
      </c>
      <c r="G25" s="40">
        <v>0</v>
      </c>
      <c r="H25" s="40">
        <v>0</v>
      </c>
      <c r="I25" s="40">
        <v>0</v>
      </c>
      <c r="J25" s="40">
        <v>0</v>
      </c>
      <c r="K25" s="138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39"/>
      <c r="H26" s="39"/>
      <c r="I26" s="39"/>
      <c r="J26" s="39"/>
      <c r="K26" s="138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20">
        <f>SUM(G28:G29)</f>
        <v>0</v>
      </c>
      <c r="H27" s="20">
        <f>SUM(H28:H29)</f>
        <v>0</v>
      </c>
      <c r="I27" s="20">
        <f t="shared" ref="I27" si="4">SUM(I28:I29)</f>
        <v>0</v>
      </c>
      <c r="J27" s="20">
        <f>SUM(J28:J29)</f>
        <v>0</v>
      </c>
      <c r="K27" s="138" t="str">
        <f t="shared" si="1"/>
        <v/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4">
        <v>0</v>
      </c>
      <c r="H28" s="74">
        <v>0</v>
      </c>
      <c r="I28" s="74">
        <v>0</v>
      </c>
      <c r="J28" s="74">
        <v>0</v>
      </c>
      <c r="K28" s="138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39">
        <v>0</v>
      </c>
      <c r="H29" s="39">
        <v>0</v>
      </c>
      <c r="I29" s="39">
        <v>0</v>
      </c>
      <c r="J29" s="39">
        <v>0</v>
      </c>
      <c r="K29" s="138" t="str">
        <f t="shared" si="1"/>
        <v/>
      </c>
    </row>
    <row r="30" spans="2:11" ht="17.100000000000001" customHeight="1">
      <c r="B30" s="14"/>
      <c r="C30" s="15"/>
      <c r="D30" s="15"/>
      <c r="E30" s="16"/>
      <c r="F30" s="15"/>
      <c r="G30" s="20"/>
      <c r="H30" s="20"/>
      <c r="I30" s="20"/>
      <c r="J30" s="20"/>
      <c r="K30" s="138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25">
        <v>3</v>
      </c>
      <c r="H31" s="25">
        <v>0</v>
      </c>
      <c r="I31" s="25" t="s">
        <v>739</v>
      </c>
      <c r="J31" s="25">
        <v>0</v>
      </c>
      <c r="K31" s="138" t="str">
        <f t="shared" si="1"/>
        <v/>
      </c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63560</v>
      </c>
      <c r="H32" s="20">
        <f>H7+H12+H15+H27</f>
        <v>4798</v>
      </c>
      <c r="I32" s="20">
        <f>I7+I12+I15+I27</f>
        <v>4798</v>
      </c>
      <c r="J32" s="20">
        <f>J7+J12+J15+J27</f>
        <v>0</v>
      </c>
      <c r="K32" s="138"/>
    </row>
    <row r="33" spans="2:11" s="1" customFormat="1" ht="17.100000000000001" customHeight="1">
      <c r="B33" s="17"/>
      <c r="C33" s="12"/>
      <c r="D33" s="12"/>
      <c r="E33" s="9"/>
      <c r="F33" s="12" t="s">
        <v>94</v>
      </c>
      <c r="G33" s="20">
        <f>G32+'1'!G32</f>
        <v>830460</v>
      </c>
      <c r="H33" s="20">
        <f>H32+'1'!H32</f>
        <v>815910</v>
      </c>
      <c r="I33" s="20">
        <f>I32+'1'!I32</f>
        <v>611445</v>
      </c>
      <c r="J33" s="20">
        <f>J32+'1'!J32</f>
        <v>777510</v>
      </c>
      <c r="K33" s="180">
        <f>IF(H33=0,"",J33/H33*100)</f>
        <v>95.293598558664556</v>
      </c>
    </row>
    <row r="34" spans="2:11" s="1" customFormat="1" ht="17.100000000000001" customHeight="1">
      <c r="B34" s="17"/>
      <c r="C34" s="12"/>
      <c r="D34" s="12"/>
      <c r="E34" s="9"/>
      <c r="F34" s="12" t="s">
        <v>95</v>
      </c>
      <c r="G34" s="20">
        <f>G33+'1'!G33</f>
        <v>830460</v>
      </c>
      <c r="H34" s="20">
        <f>H33+'1'!H33</f>
        <v>815910</v>
      </c>
      <c r="I34" s="20">
        <f>I33+'1'!I33</f>
        <v>611445</v>
      </c>
      <c r="J34" s="20">
        <f>J33+'1'!J33</f>
        <v>777510</v>
      </c>
      <c r="K34" s="180">
        <f t="shared" si="1"/>
        <v>95.293598558664556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141"/>
    </row>
    <row r="36" spans="2:11" ht="17.100000000000001" customHeight="1"/>
    <row r="37" spans="2:11" ht="17.100000000000001" customHeight="1">
      <c r="B37" s="73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orientation="portrait" horizontalDpi="180" verticalDpi="18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2:O62"/>
  <sheetViews>
    <sheetView topLeftCell="B22" zoomScaleNormal="100" workbookViewId="0">
      <selection activeCell="J37" sqref="J37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10" width="11.7109375" style="13" customWidth="1"/>
    <col min="11" max="11" width="7.7109375" style="127" customWidth="1"/>
    <col min="12" max="16384" width="9.140625" style="13"/>
  </cols>
  <sheetData>
    <row r="2" spans="2:13" ht="15" customHeight="1">
      <c r="B2" s="481" t="s">
        <v>119</v>
      </c>
      <c r="C2" s="481"/>
      <c r="D2" s="481"/>
      <c r="E2" s="481"/>
      <c r="F2" s="481"/>
      <c r="G2" s="481"/>
      <c r="H2" s="481"/>
      <c r="I2" s="481"/>
      <c r="J2" s="481"/>
      <c r="K2" s="132"/>
    </row>
    <row r="3" spans="2:13" s="1" customFormat="1" ht="16.5" thickBot="1">
      <c r="E3" s="2"/>
      <c r="F3" s="482"/>
      <c r="G3" s="482"/>
      <c r="H3" s="416"/>
      <c r="I3" s="416"/>
      <c r="J3" s="162"/>
      <c r="K3" s="163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419" t="s">
        <v>736</v>
      </c>
      <c r="F4" s="7" t="s">
        <v>80</v>
      </c>
      <c r="G4" s="287" t="s">
        <v>641</v>
      </c>
      <c r="H4" s="437" t="s">
        <v>766</v>
      </c>
      <c r="I4" s="287" t="s">
        <v>735</v>
      </c>
      <c r="J4" s="287" t="s">
        <v>730</v>
      </c>
      <c r="K4" s="418" t="s">
        <v>767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35">
        <v>10</v>
      </c>
    </row>
    <row r="6" spans="2:13" s="2" customFormat="1" ht="15.95" customHeight="1">
      <c r="B6" s="10" t="s">
        <v>120</v>
      </c>
      <c r="C6" s="11" t="s">
        <v>81</v>
      </c>
      <c r="D6" s="11" t="s">
        <v>82</v>
      </c>
      <c r="E6" s="9"/>
      <c r="F6" s="9"/>
      <c r="G6" s="146"/>
      <c r="H6" s="146"/>
      <c r="I6" s="146"/>
      <c r="J6" s="146"/>
      <c r="K6" s="136"/>
    </row>
    <row r="7" spans="2:13" s="2" customFormat="1" ht="15.95" customHeight="1">
      <c r="B7" s="10"/>
      <c r="C7" s="11"/>
      <c r="D7" s="11"/>
      <c r="E7" s="9">
        <v>600000</v>
      </c>
      <c r="F7" s="27" t="s">
        <v>121</v>
      </c>
      <c r="G7" s="147">
        <f>G8+G9+G10</f>
        <v>495000</v>
      </c>
      <c r="H7" s="147">
        <f>H8+H9+H10</f>
        <v>675000</v>
      </c>
      <c r="I7" s="147">
        <f t="shared" ref="I7" si="0">I8+I9+I10</f>
        <v>373718</v>
      </c>
      <c r="J7" s="147">
        <f>J8+J9+J10</f>
        <v>645000</v>
      </c>
      <c r="K7" s="180">
        <f>IF(H7=0,"",J7/H7*100)</f>
        <v>95.555555555555557</v>
      </c>
    </row>
    <row r="8" spans="2:13" s="2" customFormat="1" ht="15.95" customHeight="1">
      <c r="B8" s="10"/>
      <c r="C8" s="11"/>
      <c r="D8" s="11"/>
      <c r="E8" s="51">
        <v>600000</v>
      </c>
      <c r="F8" s="52" t="s">
        <v>97</v>
      </c>
      <c r="G8" s="145">
        <v>450000</v>
      </c>
      <c r="H8" s="145">
        <v>630000</v>
      </c>
      <c r="I8" s="145">
        <v>345568</v>
      </c>
      <c r="J8" s="145">
        <v>600000</v>
      </c>
      <c r="K8" s="138">
        <f>IF(H8=0,"",J8/H8*100)</f>
        <v>95.238095238095227</v>
      </c>
    </row>
    <row r="9" spans="2:13" s="2" customFormat="1" ht="15.95" customHeight="1">
      <c r="B9" s="10"/>
      <c r="C9" s="11"/>
      <c r="D9" s="11"/>
      <c r="E9" s="51">
        <v>600000</v>
      </c>
      <c r="F9" s="52" t="s">
        <v>98</v>
      </c>
      <c r="G9" s="145">
        <v>30000</v>
      </c>
      <c r="H9" s="145">
        <v>30000</v>
      </c>
      <c r="I9" s="145">
        <v>19500</v>
      </c>
      <c r="J9" s="145">
        <v>30000</v>
      </c>
      <c r="K9" s="138">
        <f t="shared" ref="K9:K32" si="1">IF(H9=0,"",J9/H9*100)</f>
        <v>100</v>
      </c>
    </row>
    <row r="10" spans="2:13" s="2" customFormat="1" ht="15.95" customHeight="1">
      <c r="B10" s="10"/>
      <c r="C10" s="11"/>
      <c r="D10" s="11"/>
      <c r="E10" s="51">
        <v>600000</v>
      </c>
      <c r="F10" s="52" t="s">
        <v>122</v>
      </c>
      <c r="G10" s="145">
        <v>15000</v>
      </c>
      <c r="H10" s="145">
        <v>15000</v>
      </c>
      <c r="I10" s="145">
        <v>8650</v>
      </c>
      <c r="J10" s="145">
        <v>15000</v>
      </c>
      <c r="K10" s="138">
        <f t="shared" si="1"/>
        <v>100</v>
      </c>
    </row>
    <row r="11" spans="2:13" s="2" customFormat="1" ht="15.95" customHeight="1">
      <c r="B11" s="10"/>
      <c r="C11" s="11"/>
      <c r="D11" s="11"/>
      <c r="E11" s="9"/>
      <c r="F11" s="9"/>
      <c r="G11" s="148"/>
      <c r="H11" s="148"/>
      <c r="I11" s="148"/>
      <c r="J11" s="148"/>
      <c r="K11" s="138" t="str">
        <f t="shared" si="1"/>
        <v/>
      </c>
    </row>
    <row r="12" spans="2:13" s="1" customFormat="1" ht="15.95" customHeight="1">
      <c r="B12" s="17"/>
      <c r="C12" s="12"/>
      <c r="D12" s="12"/>
      <c r="E12" s="9">
        <v>611000</v>
      </c>
      <c r="F12" s="12" t="s">
        <v>164</v>
      </c>
      <c r="G12" s="362">
        <f>SUM(G13:G16)</f>
        <v>342050</v>
      </c>
      <c r="H12" s="362">
        <f>SUM(H13:H16)</f>
        <v>295090</v>
      </c>
      <c r="I12" s="362">
        <f t="shared" ref="I12" si="2">SUM(I13:I16)</f>
        <v>206143</v>
      </c>
      <c r="J12" s="362">
        <f>SUM(J13:J16)</f>
        <v>355500</v>
      </c>
      <c r="K12" s="180">
        <f t="shared" si="1"/>
        <v>120.47172049205328</v>
      </c>
    </row>
    <row r="13" spans="2:13" ht="15.95" customHeight="1">
      <c r="B13" s="14"/>
      <c r="C13" s="15"/>
      <c r="D13" s="15"/>
      <c r="E13" s="16">
        <v>611100</v>
      </c>
      <c r="F13" s="26" t="s">
        <v>207</v>
      </c>
      <c r="G13" s="357">
        <v>127050</v>
      </c>
      <c r="H13" s="357">
        <f>105480+1000</f>
        <v>106480</v>
      </c>
      <c r="I13" s="357">
        <v>78635</v>
      </c>
      <c r="J13" s="357">
        <f>107280+1000+16500+3220</f>
        <v>128000</v>
      </c>
      <c r="K13" s="138">
        <f t="shared" si="1"/>
        <v>120.21036814425243</v>
      </c>
    </row>
    <row r="14" spans="2:13" ht="15.95" customHeight="1">
      <c r="B14" s="14"/>
      <c r="C14" s="15"/>
      <c r="D14" s="15"/>
      <c r="E14" s="16">
        <v>611200</v>
      </c>
      <c r="F14" s="15" t="s">
        <v>208</v>
      </c>
      <c r="G14" s="357">
        <v>26000</v>
      </c>
      <c r="H14" s="357">
        <f>25480+300+1530+5*260</f>
        <v>28610</v>
      </c>
      <c r="I14" s="357">
        <v>20309</v>
      </c>
      <c r="J14" s="357">
        <f>20950+1000+3650</f>
        <v>25600</v>
      </c>
      <c r="K14" s="138">
        <f t="shared" si="1"/>
        <v>89.479203075847607</v>
      </c>
    </row>
    <row r="15" spans="2:13" ht="15.95" customHeight="1">
      <c r="B15" s="14"/>
      <c r="C15" s="15"/>
      <c r="D15" s="15"/>
      <c r="E15" s="16">
        <v>611200</v>
      </c>
      <c r="F15" s="26" t="s">
        <v>754</v>
      </c>
      <c r="G15" s="357">
        <v>189000</v>
      </c>
      <c r="H15" s="357">
        <v>160000</v>
      </c>
      <c r="I15" s="357">
        <v>107199</v>
      </c>
      <c r="J15" s="357">
        <f>40400+161500</f>
        <v>201900</v>
      </c>
      <c r="K15" s="138">
        <f t="shared" si="1"/>
        <v>126.18750000000001</v>
      </c>
      <c r="M15" s="81"/>
    </row>
    <row r="16" spans="2:13" ht="15.95" customHeight="1">
      <c r="B16" s="14"/>
      <c r="C16" s="15"/>
      <c r="D16" s="15"/>
      <c r="E16" s="16"/>
      <c r="F16" s="26"/>
      <c r="G16" s="362"/>
      <c r="H16" s="362"/>
      <c r="I16" s="362"/>
      <c r="J16" s="362"/>
      <c r="K16" s="138" t="str">
        <f t="shared" si="1"/>
        <v/>
      </c>
    </row>
    <row r="17" spans="2:12" s="1" customFormat="1" ht="15.95" customHeight="1">
      <c r="B17" s="17"/>
      <c r="C17" s="12"/>
      <c r="D17" s="12"/>
      <c r="E17" s="9">
        <v>612000</v>
      </c>
      <c r="F17" s="12" t="s">
        <v>163</v>
      </c>
      <c r="G17" s="362">
        <f>G18+G19</f>
        <v>14010</v>
      </c>
      <c r="H17" s="362">
        <f>H18+H19</f>
        <v>11440</v>
      </c>
      <c r="I17" s="362">
        <f t="shared" ref="I17" si="3">I18+I19</f>
        <v>8381</v>
      </c>
      <c r="J17" s="362">
        <f>J18+J19</f>
        <v>13760</v>
      </c>
      <c r="K17" s="180">
        <f t="shared" si="1"/>
        <v>120.27972027972027</v>
      </c>
    </row>
    <row r="18" spans="2:12" ht="15.95" customHeight="1">
      <c r="B18" s="14"/>
      <c r="C18" s="15"/>
      <c r="D18" s="15"/>
      <c r="E18" s="16">
        <v>612100</v>
      </c>
      <c r="F18" s="18" t="s">
        <v>83</v>
      </c>
      <c r="G18" s="357">
        <v>14010</v>
      </c>
      <c r="H18" s="357">
        <f>11240+200</f>
        <v>11440</v>
      </c>
      <c r="I18" s="357">
        <v>8381</v>
      </c>
      <c r="J18" s="357">
        <f>11410+200+1800+350</f>
        <v>13760</v>
      </c>
      <c r="K18" s="138">
        <f t="shared" si="1"/>
        <v>120.27972027972027</v>
      </c>
    </row>
    <row r="19" spans="2:12" ht="15.95" customHeight="1">
      <c r="B19" s="14"/>
      <c r="C19" s="15"/>
      <c r="D19" s="15"/>
      <c r="E19" s="16"/>
      <c r="F19" s="15"/>
      <c r="G19" s="142"/>
      <c r="H19" s="142"/>
      <c r="I19" s="142"/>
      <c r="J19" s="142"/>
      <c r="K19" s="138" t="str">
        <f t="shared" si="1"/>
        <v/>
      </c>
    </row>
    <row r="20" spans="2:12" s="1" customFormat="1" ht="15.95" customHeight="1">
      <c r="B20" s="17"/>
      <c r="C20" s="12"/>
      <c r="D20" s="12"/>
      <c r="E20" s="9">
        <v>613000</v>
      </c>
      <c r="F20" s="12" t="s">
        <v>165</v>
      </c>
      <c r="G20" s="143">
        <f>SUM(G21:G31)</f>
        <v>398600</v>
      </c>
      <c r="H20" s="143">
        <f>SUM(H21:H31)</f>
        <v>387460</v>
      </c>
      <c r="I20" s="143">
        <f t="shared" ref="I20" si="4">SUM(I21:I31)</f>
        <v>274301</v>
      </c>
      <c r="J20" s="143">
        <f>SUM(J21:J31)</f>
        <v>433260</v>
      </c>
      <c r="K20" s="180">
        <f t="shared" si="1"/>
        <v>111.82057502709957</v>
      </c>
    </row>
    <row r="21" spans="2:12" ht="15.95" customHeight="1">
      <c r="B21" s="14"/>
      <c r="C21" s="15"/>
      <c r="D21" s="15"/>
      <c r="E21" s="16">
        <v>613100</v>
      </c>
      <c r="F21" s="15" t="s">
        <v>84</v>
      </c>
      <c r="G21" s="142">
        <v>14000</v>
      </c>
      <c r="H21" s="142">
        <v>14000</v>
      </c>
      <c r="I21" s="142">
        <v>10827</v>
      </c>
      <c r="J21" s="142">
        <v>14000</v>
      </c>
      <c r="K21" s="138">
        <f t="shared" si="1"/>
        <v>100</v>
      </c>
    </row>
    <row r="22" spans="2:12" ht="15.95" customHeight="1">
      <c r="B22" s="14"/>
      <c r="C22" s="15"/>
      <c r="D22" s="15"/>
      <c r="E22" s="16">
        <v>613200</v>
      </c>
      <c r="F22" s="15" t="s">
        <v>85</v>
      </c>
      <c r="G22" s="142">
        <v>0</v>
      </c>
      <c r="H22" s="142">
        <v>0</v>
      </c>
      <c r="I22" s="142">
        <v>0</v>
      </c>
      <c r="J22" s="142">
        <v>0</v>
      </c>
      <c r="K22" s="138" t="str">
        <f t="shared" si="1"/>
        <v/>
      </c>
    </row>
    <row r="23" spans="2:12" ht="15.95" customHeight="1">
      <c r="B23" s="14"/>
      <c r="C23" s="15"/>
      <c r="D23" s="15"/>
      <c r="E23" s="16">
        <v>613300</v>
      </c>
      <c r="F23" s="26" t="s">
        <v>209</v>
      </c>
      <c r="G23" s="142">
        <v>5500</v>
      </c>
      <c r="H23" s="142">
        <v>5500</v>
      </c>
      <c r="I23" s="142">
        <v>3846</v>
      </c>
      <c r="J23" s="142">
        <v>5500</v>
      </c>
      <c r="K23" s="138">
        <f t="shared" si="1"/>
        <v>100</v>
      </c>
    </row>
    <row r="24" spans="2:12" ht="15.95" customHeight="1">
      <c r="B24" s="14"/>
      <c r="C24" s="15"/>
      <c r="D24" s="15"/>
      <c r="E24" s="16">
        <v>613400</v>
      </c>
      <c r="F24" s="15" t="s">
        <v>166</v>
      </c>
      <c r="G24" s="142">
        <v>1500</v>
      </c>
      <c r="H24" s="142">
        <v>1500</v>
      </c>
      <c r="I24" s="142">
        <v>169</v>
      </c>
      <c r="J24" s="142">
        <v>1500</v>
      </c>
      <c r="K24" s="138">
        <f t="shared" si="1"/>
        <v>100</v>
      </c>
    </row>
    <row r="25" spans="2:12" ht="15.95" customHeight="1">
      <c r="B25" s="14"/>
      <c r="C25" s="15"/>
      <c r="D25" s="15"/>
      <c r="E25" s="16">
        <v>613500</v>
      </c>
      <c r="F25" s="15" t="s">
        <v>86</v>
      </c>
      <c r="G25" s="144">
        <v>1500</v>
      </c>
      <c r="H25" s="144">
        <v>1500</v>
      </c>
      <c r="I25" s="144">
        <v>175</v>
      </c>
      <c r="J25" s="144">
        <v>1500</v>
      </c>
      <c r="K25" s="138">
        <f t="shared" si="1"/>
        <v>100</v>
      </c>
    </row>
    <row r="26" spans="2:12" ht="15.95" customHeight="1">
      <c r="B26" s="14"/>
      <c r="C26" s="15"/>
      <c r="D26" s="15"/>
      <c r="E26" s="16">
        <v>613600</v>
      </c>
      <c r="F26" s="26" t="s">
        <v>210</v>
      </c>
      <c r="G26" s="142">
        <v>0</v>
      </c>
      <c r="H26" s="142">
        <v>0</v>
      </c>
      <c r="I26" s="142">
        <v>0</v>
      </c>
      <c r="J26" s="142">
        <v>0</v>
      </c>
      <c r="K26" s="138" t="str">
        <f t="shared" si="1"/>
        <v/>
      </c>
    </row>
    <row r="27" spans="2:12" ht="15.95" customHeight="1">
      <c r="B27" s="14"/>
      <c r="C27" s="15"/>
      <c r="D27" s="15"/>
      <c r="E27" s="16">
        <v>613700</v>
      </c>
      <c r="F27" s="15" t="s">
        <v>87</v>
      </c>
      <c r="G27" s="142">
        <v>7000</v>
      </c>
      <c r="H27" s="142">
        <v>7000</v>
      </c>
      <c r="I27" s="142">
        <v>2308</v>
      </c>
      <c r="J27" s="142">
        <v>7000</v>
      </c>
      <c r="K27" s="138">
        <f t="shared" si="1"/>
        <v>100</v>
      </c>
    </row>
    <row r="28" spans="2:12" ht="15.95" customHeight="1">
      <c r="B28" s="14"/>
      <c r="C28" s="15"/>
      <c r="D28" s="15"/>
      <c r="E28" s="16">
        <v>613800</v>
      </c>
      <c r="F28" s="15" t="s">
        <v>167</v>
      </c>
      <c r="G28" s="145">
        <v>4500</v>
      </c>
      <c r="H28" s="145">
        <v>3460</v>
      </c>
      <c r="I28" s="145">
        <v>499</v>
      </c>
      <c r="J28" s="145">
        <v>3460</v>
      </c>
      <c r="K28" s="138">
        <f t="shared" si="1"/>
        <v>100</v>
      </c>
    </row>
    <row r="29" spans="2:12" ht="15.95" customHeight="1">
      <c r="B29" s="14"/>
      <c r="C29" s="15"/>
      <c r="D29" s="15"/>
      <c r="E29" s="110">
        <v>613900</v>
      </c>
      <c r="F29" s="19" t="s">
        <v>168</v>
      </c>
      <c r="G29" s="145">
        <v>138100</v>
      </c>
      <c r="H29" s="145">
        <v>152100</v>
      </c>
      <c r="I29" s="145">
        <v>126749</v>
      </c>
      <c r="J29" s="145">
        <v>162100</v>
      </c>
      <c r="K29" s="138">
        <f t="shared" si="1"/>
        <v>106.57462195923735</v>
      </c>
      <c r="L29" s="73"/>
    </row>
    <row r="30" spans="2:12" ht="15.95" customHeight="1">
      <c r="B30" s="14"/>
      <c r="C30" s="15"/>
      <c r="D30" s="15"/>
      <c r="E30" s="16">
        <v>613900</v>
      </c>
      <c r="F30" s="26" t="s">
        <v>216</v>
      </c>
      <c r="G30" s="145">
        <v>36000</v>
      </c>
      <c r="H30" s="145">
        <v>29500</v>
      </c>
      <c r="I30" s="145">
        <v>12072</v>
      </c>
      <c r="J30" s="145">
        <v>29500</v>
      </c>
      <c r="K30" s="138">
        <f t="shared" si="1"/>
        <v>100</v>
      </c>
    </row>
    <row r="31" spans="2:12" ht="15.95" customHeight="1">
      <c r="B31" s="14"/>
      <c r="C31" s="15"/>
      <c r="D31" s="15"/>
      <c r="E31" s="16">
        <v>613900</v>
      </c>
      <c r="F31" s="26" t="s">
        <v>755</v>
      </c>
      <c r="G31" s="142">
        <v>190500</v>
      </c>
      <c r="H31" s="142">
        <v>172900</v>
      </c>
      <c r="I31" s="142">
        <v>117656</v>
      </c>
      <c r="J31" s="145">
        <f>43700+165000</f>
        <v>208700</v>
      </c>
      <c r="K31" s="138">
        <f t="shared" si="1"/>
        <v>120.7056101792944</v>
      </c>
    </row>
    <row r="32" spans="2:12" ht="15.95" customHeight="1">
      <c r="B32" s="14"/>
      <c r="C32" s="15"/>
      <c r="D32" s="15"/>
      <c r="E32" s="16"/>
      <c r="F32" s="15"/>
      <c r="G32" s="142"/>
      <c r="H32" s="142"/>
      <c r="I32" s="142"/>
      <c r="J32" s="142"/>
      <c r="K32" s="138" t="str">
        <f t="shared" si="1"/>
        <v/>
      </c>
    </row>
    <row r="33" spans="2:15" s="1" customFormat="1" ht="15.95" customHeight="1">
      <c r="B33" s="17"/>
      <c r="C33" s="12"/>
      <c r="D33" s="12"/>
      <c r="E33" s="9">
        <v>614000</v>
      </c>
      <c r="F33" s="12" t="s">
        <v>211</v>
      </c>
      <c r="G33" s="148">
        <f>SUM(G34:G44)</f>
        <v>850000</v>
      </c>
      <c r="H33" s="148">
        <f>SUM(H34:H44)</f>
        <v>855000</v>
      </c>
      <c r="I33" s="148">
        <f t="shared" ref="I33" si="5">SUM(I34:I44)</f>
        <v>704268</v>
      </c>
      <c r="J33" s="148">
        <f>SUM(J34:J44)</f>
        <v>855000</v>
      </c>
      <c r="K33" s="180">
        <f>IF(H33=0,"",J33/H33*100)</f>
        <v>100</v>
      </c>
    </row>
    <row r="34" spans="2:15" s="87" customFormat="1" ht="15.95" customHeight="1">
      <c r="B34" s="88"/>
      <c r="C34" s="18"/>
      <c r="D34" s="18"/>
      <c r="E34" s="51">
        <v>614100</v>
      </c>
      <c r="F34" s="18" t="s">
        <v>328</v>
      </c>
      <c r="G34" s="144">
        <v>200000</v>
      </c>
      <c r="H34" s="144">
        <v>200000</v>
      </c>
      <c r="I34" s="144">
        <v>200000</v>
      </c>
      <c r="J34" s="144">
        <v>100000</v>
      </c>
      <c r="K34" s="138">
        <f t="shared" ref="K34:K55" si="6">IF(H34=0,"",J34/H34*100)</f>
        <v>50</v>
      </c>
    </row>
    <row r="35" spans="2:15" s="87" customFormat="1" ht="15.95" customHeight="1">
      <c r="B35" s="88"/>
      <c r="C35" s="18"/>
      <c r="D35" s="18"/>
      <c r="E35" s="51">
        <v>614100</v>
      </c>
      <c r="F35" s="107" t="s">
        <v>329</v>
      </c>
      <c r="G35" s="144">
        <v>200000</v>
      </c>
      <c r="H35" s="144">
        <v>200000</v>
      </c>
      <c r="I35" s="144">
        <v>150000</v>
      </c>
      <c r="J35" s="144">
        <v>200000</v>
      </c>
      <c r="K35" s="138">
        <f t="shared" si="6"/>
        <v>100</v>
      </c>
    </row>
    <row r="36" spans="2:15" s="178" customFormat="1" ht="15" customHeight="1">
      <c r="B36" s="173"/>
      <c r="C36" s="174"/>
      <c r="D36" s="174"/>
      <c r="E36" s="175">
        <v>614200</v>
      </c>
      <c r="F36" s="176" t="s">
        <v>812</v>
      </c>
      <c r="G36" s="177">
        <v>100000</v>
      </c>
      <c r="H36" s="177">
        <v>100000</v>
      </c>
      <c r="I36" s="177">
        <v>99680</v>
      </c>
      <c r="J36" s="177">
        <v>150000</v>
      </c>
      <c r="K36" s="138">
        <f t="shared" si="6"/>
        <v>150</v>
      </c>
      <c r="O36" s="179"/>
    </row>
    <row r="37" spans="2:15" ht="25.5" customHeight="1">
      <c r="B37" s="14"/>
      <c r="C37" s="15"/>
      <c r="D37" s="15"/>
      <c r="E37" s="16">
        <v>614300</v>
      </c>
      <c r="F37" s="360" t="s">
        <v>648</v>
      </c>
      <c r="G37" s="149">
        <v>70000</v>
      </c>
      <c r="H37" s="149">
        <v>70000</v>
      </c>
      <c r="I37" s="149">
        <v>70000</v>
      </c>
      <c r="J37" s="149">
        <v>70000</v>
      </c>
      <c r="K37" s="438">
        <f t="shared" si="6"/>
        <v>100</v>
      </c>
    </row>
    <row r="38" spans="2:15" ht="15.95" customHeight="1">
      <c r="B38" s="14"/>
      <c r="C38" s="15"/>
      <c r="D38" s="15"/>
      <c r="E38" s="16">
        <v>614300</v>
      </c>
      <c r="F38" s="101" t="s">
        <v>231</v>
      </c>
      <c r="G38" s="149">
        <v>30000</v>
      </c>
      <c r="H38" s="149">
        <v>35000</v>
      </c>
      <c r="I38" s="149">
        <v>20000</v>
      </c>
      <c r="J38" s="149">
        <v>35000</v>
      </c>
      <c r="K38" s="138">
        <f t="shared" si="6"/>
        <v>100</v>
      </c>
    </row>
    <row r="39" spans="2:15" ht="15.95" customHeight="1">
      <c r="B39" s="14"/>
      <c r="C39" s="15"/>
      <c r="D39" s="15"/>
      <c r="E39" s="16">
        <v>614300</v>
      </c>
      <c r="F39" s="101" t="s">
        <v>318</v>
      </c>
      <c r="G39" s="149">
        <v>25000</v>
      </c>
      <c r="H39" s="149">
        <v>25000</v>
      </c>
      <c r="I39" s="149">
        <v>14585</v>
      </c>
      <c r="J39" s="149">
        <v>40000</v>
      </c>
      <c r="K39" s="138">
        <f t="shared" si="6"/>
        <v>160</v>
      </c>
    </row>
    <row r="40" spans="2:15" ht="26.25" customHeight="1">
      <c r="B40" s="14"/>
      <c r="C40" s="15"/>
      <c r="D40" s="15"/>
      <c r="E40" s="16">
        <v>614300</v>
      </c>
      <c r="F40" s="410" t="s">
        <v>814</v>
      </c>
      <c r="G40" s="149">
        <v>25000</v>
      </c>
      <c r="H40" s="149">
        <v>25000</v>
      </c>
      <c r="I40" s="149">
        <v>16668</v>
      </c>
      <c r="J40" s="149">
        <v>40000</v>
      </c>
      <c r="K40" s="138">
        <f t="shared" si="6"/>
        <v>160</v>
      </c>
    </row>
    <row r="41" spans="2:15" ht="27" customHeight="1">
      <c r="B41" s="14"/>
      <c r="C41" s="15"/>
      <c r="D41" s="15"/>
      <c r="E41" s="16">
        <v>614300</v>
      </c>
      <c r="F41" s="289" t="s">
        <v>610</v>
      </c>
      <c r="G41" s="149">
        <v>10000</v>
      </c>
      <c r="H41" s="149">
        <v>10000</v>
      </c>
      <c r="I41" s="149">
        <v>6668</v>
      </c>
      <c r="J41" s="149">
        <v>15000</v>
      </c>
      <c r="K41" s="138">
        <f t="shared" si="6"/>
        <v>150</v>
      </c>
    </row>
    <row r="42" spans="2:15" ht="15.95" customHeight="1">
      <c r="B42" s="14"/>
      <c r="C42" s="15"/>
      <c r="D42" s="15"/>
      <c r="E42" s="16">
        <v>614300</v>
      </c>
      <c r="F42" s="101" t="s">
        <v>233</v>
      </c>
      <c r="G42" s="149">
        <v>30000</v>
      </c>
      <c r="H42" s="149">
        <v>30000</v>
      </c>
      <c r="I42" s="149">
        <v>20000</v>
      </c>
      <c r="J42" s="149">
        <v>30000</v>
      </c>
      <c r="K42" s="138">
        <f t="shared" si="6"/>
        <v>100</v>
      </c>
    </row>
    <row r="43" spans="2:15" ht="15.95" customHeight="1">
      <c r="B43" s="14"/>
      <c r="C43" s="15"/>
      <c r="D43" s="15"/>
      <c r="E43" s="16">
        <v>614300</v>
      </c>
      <c r="F43" s="101" t="s">
        <v>810</v>
      </c>
      <c r="G43" s="149">
        <v>0</v>
      </c>
      <c r="H43" s="149">
        <v>0</v>
      </c>
      <c r="I43" s="149">
        <v>0</v>
      </c>
      <c r="J43" s="149">
        <v>15000</v>
      </c>
      <c r="K43" s="138" t="str">
        <f t="shared" ref="K43" si="7">IF(H43=0,"",J43/H43*100)</f>
        <v/>
      </c>
    </row>
    <row r="44" spans="2:15" ht="15.95" customHeight="1">
      <c r="B44" s="14"/>
      <c r="C44" s="15"/>
      <c r="D44" s="15"/>
      <c r="E44" s="16">
        <v>614300</v>
      </c>
      <c r="F44" s="288" t="s">
        <v>96</v>
      </c>
      <c r="G44" s="149">
        <v>160000</v>
      </c>
      <c r="H44" s="149">
        <v>160000</v>
      </c>
      <c r="I44" s="149">
        <v>106667</v>
      </c>
      <c r="J44" s="149">
        <v>160000</v>
      </c>
      <c r="K44" s="138">
        <f t="shared" si="6"/>
        <v>100</v>
      </c>
    </row>
    <row r="45" spans="2:15" ht="15.95" customHeight="1">
      <c r="B45" s="14"/>
      <c r="C45" s="15"/>
      <c r="D45" s="15"/>
      <c r="E45" s="16"/>
      <c r="F45" s="101"/>
      <c r="G45" s="149"/>
      <c r="H45" s="149"/>
      <c r="I45" s="149"/>
      <c r="J45" s="149"/>
      <c r="K45" s="138" t="str">
        <f t="shared" si="6"/>
        <v/>
      </c>
    </row>
    <row r="46" spans="2:15" ht="15.95" customHeight="1">
      <c r="B46" s="14"/>
      <c r="C46" s="15"/>
      <c r="D46" s="15"/>
      <c r="E46" s="9">
        <v>615000</v>
      </c>
      <c r="F46" s="12" t="s">
        <v>89</v>
      </c>
      <c r="G46" s="148">
        <f>G47</f>
        <v>400000</v>
      </c>
      <c r="H46" s="148">
        <f>H47</f>
        <v>400000</v>
      </c>
      <c r="I46" s="148">
        <f t="shared" ref="I46" si="8">I47</f>
        <v>0</v>
      </c>
      <c r="J46" s="148">
        <f>J47</f>
        <v>700000</v>
      </c>
      <c r="K46" s="180">
        <f t="shared" si="6"/>
        <v>175</v>
      </c>
    </row>
    <row r="47" spans="2:15" ht="15.95" customHeight="1">
      <c r="B47" s="14"/>
      <c r="C47" s="15"/>
      <c r="D47" s="15"/>
      <c r="E47" s="51">
        <v>615100</v>
      </c>
      <c r="F47" s="18" t="s">
        <v>89</v>
      </c>
      <c r="G47" s="144">
        <v>400000</v>
      </c>
      <c r="H47" s="144">
        <v>400000</v>
      </c>
      <c r="I47" s="144">
        <v>0</v>
      </c>
      <c r="J47" s="144">
        <v>700000</v>
      </c>
      <c r="K47" s="138">
        <f t="shared" si="6"/>
        <v>175</v>
      </c>
    </row>
    <row r="48" spans="2:15" ht="15.95" customHeight="1">
      <c r="B48" s="14"/>
      <c r="C48" s="15"/>
      <c r="D48" s="15"/>
      <c r="E48" s="16"/>
      <c r="F48" s="19"/>
      <c r="G48" s="145"/>
      <c r="H48" s="145"/>
      <c r="I48" s="145"/>
      <c r="J48" s="145"/>
      <c r="K48" s="138" t="str">
        <f t="shared" si="6"/>
        <v/>
      </c>
    </row>
    <row r="49" spans="2:11" ht="15.95" customHeight="1">
      <c r="B49" s="17"/>
      <c r="C49" s="12"/>
      <c r="D49" s="12"/>
      <c r="E49" s="9">
        <v>821000</v>
      </c>
      <c r="F49" s="12" t="s">
        <v>90</v>
      </c>
      <c r="G49" s="20">
        <f>SUM(G50:G52)</f>
        <v>55000</v>
      </c>
      <c r="H49" s="20">
        <f>SUM(H50:H52)</f>
        <v>466120</v>
      </c>
      <c r="I49" s="20">
        <f t="shared" ref="I49" si="9">SUM(I50:I52)</f>
        <v>229062</v>
      </c>
      <c r="J49" s="20">
        <f>SUM(J50:J52)</f>
        <v>210000</v>
      </c>
      <c r="K49" s="180">
        <f t="shared" si="6"/>
        <v>45.05277610915644</v>
      </c>
    </row>
    <row r="50" spans="2:11" ht="15.95" customHeight="1">
      <c r="B50" s="14"/>
      <c r="C50" s="15"/>
      <c r="D50" s="15"/>
      <c r="E50" s="16">
        <v>821200</v>
      </c>
      <c r="F50" s="15" t="s">
        <v>91</v>
      </c>
      <c r="G50" s="74">
        <v>0</v>
      </c>
      <c r="H50" s="74">
        <v>0</v>
      </c>
      <c r="I50" s="74">
        <v>0</v>
      </c>
      <c r="J50" s="74">
        <v>0</v>
      </c>
      <c r="K50" s="138" t="str">
        <f t="shared" si="6"/>
        <v/>
      </c>
    </row>
    <row r="51" spans="2:11" ht="15.95" customHeight="1">
      <c r="B51" s="14"/>
      <c r="C51" s="15"/>
      <c r="D51" s="15"/>
      <c r="E51" s="16">
        <v>821300</v>
      </c>
      <c r="F51" s="15" t="s">
        <v>92</v>
      </c>
      <c r="G51" s="108">
        <v>5000</v>
      </c>
      <c r="H51" s="108">
        <v>85000</v>
      </c>
      <c r="I51" s="108">
        <v>0</v>
      </c>
      <c r="J51" s="108">
        <v>10000</v>
      </c>
      <c r="K51" s="138">
        <f t="shared" si="6"/>
        <v>11.76470588235294</v>
      </c>
    </row>
    <row r="52" spans="2:11" ht="15.95" customHeight="1">
      <c r="B52" s="14"/>
      <c r="C52" s="15"/>
      <c r="D52" s="15"/>
      <c r="E52" s="16">
        <v>821500</v>
      </c>
      <c r="F52" s="15" t="s">
        <v>611</v>
      </c>
      <c r="G52" s="154">
        <v>50000</v>
      </c>
      <c r="H52" s="154">
        <f>279080+102040</f>
        <v>381120</v>
      </c>
      <c r="I52" s="154">
        <v>229062</v>
      </c>
      <c r="J52" s="154">
        <v>200000</v>
      </c>
      <c r="K52" s="138">
        <f t="shared" si="6"/>
        <v>52.476910159529808</v>
      </c>
    </row>
    <row r="53" spans="2:11" s="1" customFormat="1" ht="9" customHeight="1">
      <c r="B53" s="14"/>
      <c r="C53" s="15"/>
      <c r="D53" s="15"/>
      <c r="E53" s="16"/>
      <c r="F53" s="15"/>
      <c r="G53" s="20"/>
      <c r="H53" s="20"/>
      <c r="I53" s="20"/>
      <c r="J53" s="20"/>
      <c r="K53" s="138" t="str">
        <f t="shared" si="6"/>
        <v/>
      </c>
    </row>
    <row r="54" spans="2:11" ht="15.95" customHeight="1">
      <c r="B54" s="17"/>
      <c r="C54" s="12"/>
      <c r="D54" s="12"/>
      <c r="E54" s="9"/>
      <c r="F54" s="12" t="s">
        <v>93</v>
      </c>
      <c r="G54" s="20">
        <v>6</v>
      </c>
      <c r="H54" s="20">
        <v>5</v>
      </c>
      <c r="I54" s="20">
        <v>5</v>
      </c>
      <c r="J54" s="20">
        <v>6</v>
      </c>
      <c r="K54" s="138"/>
    </row>
    <row r="55" spans="2:11" ht="15.95" customHeight="1">
      <c r="B55" s="17"/>
      <c r="C55" s="12"/>
      <c r="D55" s="12"/>
      <c r="E55" s="9"/>
      <c r="F55" s="12" t="s">
        <v>113</v>
      </c>
      <c r="G55" s="20">
        <f>G7+G12+G17+G20+G33+G46+G49</f>
        <v>2554660</v>
      </c>
      <c r="H55" s="20">
        <f>H7+H12+H17+H20+H33+H46+H49</f>
        <v>3090110</v>
      </c>
      <c r="I55" s="20">
        <f>I7+I12+I17+I20+I33+I46+I49</f>
        <v>1795873</v>
      </c>
      <c r="J55" s="20">
        <f>J7+J12+J17+J20+J33+J46+J49</f>
        <v>3212520</v>
      </c>
      <c r="K55" s="180">
        <f t="shared" si="6"/>
        <v>103.96134765429062</v>
      </c>
    </row>
    <row r="56" spans="2:11" ht="15.95" customHeight="1">
      <c r="B56" s="17"/>
      <c r="C56" s="12"/>
      <c r="D56" s="12"/>
      <c r="E56" s="9"/>
      <c r="F56" s="12" t="s">
        <v>94</v>
      </c>
      <c r="G56" s="15"/>
      <c r="H56" s="15"/>
      <c r="I56" s="15"/>
      <c r="J56" s="15"/>
      <c r="K56" s="139"/>
    </row>
    <row r="57" spans="2:11" ht="15.95" customHeight="1">
      <c r="B57" s="17"/>
      <c r="C57" s="12"/>
      <c r="D57" s="12"/>
      <c r="E57" s="9"/>
      <c r="F57" s="12" t="s">
        <v>95</v>
      </c>
      <c r="G57" s="15"/>
      <c r="H57" s="15"/>
      <c r="I57" s="15"/>
      <c r="J57" s="15"/>
      <c r="K57" s="139"/>
    </row>
    <row r="58" spans="2:11" s="1" customFormat="1" ht="9.75" customHeight="1" thickBot="1">
      <c r="B58" s="21"/>
      <c r="C58" s="22"/>
      <c r="D58" s="22"/>
      <c r="E58" s="23"/>
      <c r="F58" s="22"/>
      <c r="G58" s="22"/>
      <c r="H58" s="22"/>
      <c r="I58" s="22"/>
      <c r="J58" s="22"/>
      <c r="K58" s="141"/>
    </row>
    <row r="59" spans="2:11" s="1" customFormat="1" ht="15.95" customHeight="1">
      <c r="B59" s="13"/>
      <c r="C59" s="13"/>
      <c r="D59" s="13"/>
      <c r="E59" s="24"/>
      <c r="F59" s="13"/>
      <c r="G59" s="13"/>
      <c r="H59" s="13"/>
      <c r="I59" s="13"/>
      <c r="J59" s="13"/>
      <c r="K59" s="127"/>
    </row>
    <row r="60" spans="2:11" s="1" customFormat="1" ht="15.95" customHeight="1">
      <c r="B60" s="13"/>
      <c r="C60" s="13"/>
      <c r="D60" s="13"/>
      <c r="E60" s="24"/>
      <c r="F60" s="13"/>
      <c r="G60" s="13"/>
      <c r="H60" s="13"/>
      <c r="I60" s="13"/>
      <c r="J60" s="13"/>
      <c r="K60" s="127"/>
    </row>
    <row r="61" spans="2:11" s="1" customFormat="1" ht="12.95" customHeight="1">
      <c r="B61" s="13"/>
      <c r="C61" s="13"/>
      <c r="D61" s="13"/>
      <c r="E61" s="24"/>
      <c r="F61" s="13"/>
      <c r="G61" s="13"/>
      <c r="H61" s="13"/>
      <c r="I61" s="13"/>
      <c r="J61" s="13"/>
      <c r="K61" s="127"/>
    </row>
    <row r="62" spans="2:11" ht="12.95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12</vt:i4>
      </vt:variant>
    </vt:vector>
  </HeadingPairs>
  <TitlesOfParts>
    <vt:vector size="58" baseType="lpstr">
      <vt:lpstr>Naslovnica</vt:lpstr>
      <vt:lpstr>Sadrzaj</vt:lpstr>
      <vt:lpstr>Uvod</vt:lpstr>
      <vt:lpstr>Prihodi</vt:lpstr>
      <vt:lpstr>Rashodi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2018-01-03T09:11:03Z</cp:lastPrinted>
  <dcterms:created xsi:type="dcterms:W3CDTF">2004-07-23T11:14:23Z</dcterms:created>
  <dcterms:modified xsi:type="dcterms:W3CDTF">2018-01-03T09:25:57Z</dcterms:modified>
</cp:coreProperties>
</file>