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1660" windowHeight="4785" tabRatio="964" firstSheet="1" activeTab="36"/>
  </bookViews>
  <sheets>
    <sheet name="CODE" sheetId="65119" state="veryHidden" r:id="rId1"/>
    <sheet name="1" sheetId="16" r:id="rId2"/>
    <sheet name="3" sheetId="65065" r:id="rId3"/>
    <sheet name="4" sheetId="65066" r:id="rId4"/>
    <sheet name="5" sheetId="65067" r:id="rId5"/>
    <sheet name="6" sheetId="65099" r:id="rId6"/>
    <sheet name="7" sheetId="65123" r:id="rId7"/>
    <sheet name="8" sheetId="65068" r:id="rId8"/>
    <sheet name="9" sheetId="65069" r:id="rId9"/>
    <sheet name="10" sheetId="65070" r:id="rId10"/>
    <sheet name="11" sheetId="65071" r:id="rId11"/>
    <sheet name="12" sheetId="65074" r:id="rId12"/>
    <sheet name="13" sheetId="65100" r:id="rId13"/>
    <sheet name="14" sheetId="65115" r:id="rId14"/>
    <sheet name="15" sheetId="65075" r:id="rId15"/>
    <sheet name="16" sheetId="65076" r:id="rId16"/>
    <sheet name="17" sheetId="65077" r:id="rId17"/>
    <sheet name="18" sheetId="65078" r:id="rId18"/>
    <sheet name="19" sheetId="65079" r:id="rId19"/>
    <sheet name="20" sheetId="65080" r:id="rId20"/>
    <sheet name="21" sheetId="65082" r:id="rId21"/>
    <sheet name="22" sheetId="65081" r:id="rId22"/>
    <sheet name="23" sheetId="65122" r:id="rId23"/>
    <sheet name="24" sheetId="65083" r:id="rId24"/>
    <sheet name="25" sheetId="65084" r:id="rId25"/>
    <sheet name="26" sheetId="65085" r:id="rId26"/>
    <sheet name="27" sheetId="65086" r:id="rId27"/>
    <sheet name="28" sheetId="65087" r:id="rId28"/>
    <sheet name="29" sheetId="65088" r:id="rId29"/>
    <sheet name="30" sheetId="65089" r:id="rId30"/>
    <sheet name="31" sheetId="65093" r:id="rId31"/>
    <sheet name="32" sheetId="65094" r:id="rId32"/>
    <sheet name="33" sheetId="65095" r:id="rId33"/>
    <sheet name="34" sheetId="65096" r:id="rId34"/>
    <sheet name="35" sheetId="65097" r:id="rId35"/>
    <sheet name="36" sheetId="65098" r:id="rId36"/>
    <sheet name="37" sheetId="65105" r:id="rId37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4">'15'!$B$1:$K$41</definedName>
    <definedName name="_xlnm.Print_Area" localSheetId="15">'16'!$A$1:$K$53</definedName>
    <definedName name="_xlnm.Print_Area" localSheetId="16">'17'!$A$1:$K$46</definedName>
    <definedName name="_xlnm.Print_Area" localSheetId="20">'21'!$A$1:$K$35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H49" i="65065"/>
  <c r="H46"/>
  <c r="H33"/>
  <c r="H31"/>
  <c r="H20"/>
  <c r="H18"/>
  <c r="H17"/>
  <c r="H15"/>
  <c r="H14"/>
  <c r="H13"/>
  <c r="H12"/>
  <c r="H7"/>
  <c r="H55" s="1"/>
  <c r="H30" i="65066"/>
  <c r="H27"/>
  <c r="H15"/>
  <c r="H13"/>
  <c r="H12" s="1"/>
  <c r="H9"/>
  <c r="H8"/>
  <c r="H7"/>
  <c r="H27" i="65067"/>
  <c r="H15"/>
  <c r="H13"/>
  <c r="H12" s="1"/>
  <c r="H9"/>
  <c r="H8"/>
  <c r="H7"/>
  <c r="H27" i="65099"/>
  <c r="H15"/>
  <c r="H13"/>
  <c r="H12" s="1"/>
  <c r="H9"/>
  <c r="H8"/>
  <c r="H7"/>
  <c r="H27" i="65123"/>
  <c r="H15"/>
  <c r="H13"/>
  <c r="H12" s="1"/>
  <c r="H9"/>
  <c r="H8"/>
  <c r="H7"/>
  <c r="H27" i="65068"/>
  <c r="H15"/>
  <c r="H13"/>
  <c r="H12" s="1"/>
  <c r="H9"/>
  <c r="H8"/>
  <c r="H7"/>
  <c r="H31" i="65069"/>
  <c r="H27"/>
  <c r="H15"/>
  <c r="H13"/>
  <c r="H12"/>
  <c r="H9"/>
  <c r="H8"/>
  <c r="H7" s="1"/>
  <c r="H27" i="65070"/>
  <c r="H15"/>
  <c r="H13"/>
  <c r="H12"/>
  <c r="H9"/>
  <c r="H8"/>
  <c r="H7" s="1"/>
  <c r="H32" s="1"/>
  <c r="H28" i="65071"/>
  <c r="H15"/>
  <c r="H13"/>
  <c r="H12" s="1"/>
  <c r="H9"/>
  <c r="H8"/>
  <c r="H7"/>
  <c r="H33" s="1"/>
  <c r="H27" i="65074"/>
  <c r="H15"/>
  <c r="H13"/>
  <c r="H12"/>
  <c r="H9"/>
  <c r="H8"/>
  <c r="H7" s="1"/>
  <c r="H27" i="65100"/>
  <c r="H15"/>
  <c r="H13"/>
  <c r="H12"/>
  <c r="H9"/>
  <c r="H8"/>
  <c r="H7" s="1"/>
  <c r="H27" i="65115"/>
  <c r="H15"/>
  <c r="H13"/>
  <c r="H12"/>
  <c r="H9"/>
  <c r="H8"/>
  <c r="H7" s="1"/>
  <c r="H32" s="1"/>
  <c r="H33" s="1"/>
  <c r="H31" i="65075"/>
  <c r="H28"/>
  <c r="H15"/>
  <c r="H13"/>
  <c r="H12"/>
  <c r="H9"/>
  <c r="H8"/>
  <c r="H7" s="1"/>
  <c r="H44" i="65076"/>
  <c r="H40"/>
  <c r="H36"/>
  <c r="H31"/>
  <c r="H18"/>
  <c r="H16"/>
  <c r="H15"/>
  <c r="H12"/>
  <c r="H11"/>
  <c r="H10" s="1"/>
  <c r="H7"/>
  <c r="H31" i="65077"/>
  <c r="H27"/>
  <c r="H15"/>
  <c r="H13"/>
  <c r="H12"/>
  <c r="H9"/>
  <c r="H8"/>
  <c r="H7" s="1"/>
  <c r="H32" i="65078"/>
  <c r="H28"/>
  <c r="H15"/>
  <c r="H13"/>
  <c r="H12"/>
  <c r="H9"/>
  <c r="H8"/>
  <c r="H7" s="1"/>
  <c r="H33" i="65079"/>
  <c r="H27"/>
  <c r="H15"/>
  <c r="H13"/>
  <c r="H12"/>
  <c r="H9"/>
  <c r="H8"/>
  <c r="H7"/>
  <c r="H48" i="65080"/>
  <c r="H44"/>
  <c r="H41"/>
  <c r="H38"/>
  <c r="H29"/>
  <c r="H15"/>
  <c r="H13"/>
  <c r="H12"/>
  <c r="H9"/>
  <c r="H8"/>
  <c r="H7" s="1"/>
  <c r="H27" i="65082"/>
  <c r="H15"/>
  <c r="H13"/>
  <c r="H12"/>
  <c r="H9"/>
  <c r="H8"/>
  <c r="H7" s="1"/>
  <c r="H27" i="65081"/>
  <c r="H15"/>
  <c r="H13"/>
  <c r="H12"/>
  <c r="H9"/>
  <c r="H8"/>
  <c r="H7" s="1"/>
  <c r="H30" i="65122"/>
  <c r="H28"/>
  <c r="H15"/>
  <c r="H13"/>
  <c r="H12"/>
  <c r="H9"/>
  <c r="H8"/>
  <c r="H7"/>
  <c r="H33" s="1"/>
  <c r="H27" i="65083"/>
  <c r="H15"/>
  <c r="H13"/>
  <c r="H12"/>
  <c r="H9"/>
  <c r="H8"/>
  <c r="H7" s="1"/>
  <c r="H27" i="65084"/>
  <c r="H15"/>
  <c r="H13"/>
  <c r="H12"/>
  <c r="H9"/>
  <c r="H8"/>
  <c r="H7" s="1"/>
  <c r="H27" i="65085"/>
  <c r="H15"/>
  <c r="H13"/>
  <c r="H12"/>
  <c r="H9"/>
  <c r="H8"/>
  <c r="H7" s="1"/>
  <c r="H27" i="65086"/>
  <c r="H15"/>
  <c r="H13"/>
  <c r="H12"/>
  <c r="H9"/>
  <c r="H8"/>
  <c r="H7" s="1"/>
  <c r="H27" i="65087"/>
  <c r="H15"/>
  <c r="H13"/>
  <c r="H12"/>
  <c r="H9"/>
  <c r="H8"/>
  <c r="H7" s="1"/>
  <c r="H27" i="65088"/>
  <c r="H15"/>
  <c r="H13"/>
  <c r="H12"/>
  <c r="H9"/>
  <c r="H8"/>
  <c r="H7" s="1"/>
  <c r="H27" i="65089"/>
  <c r="H15"/>
  <c r="H13"/>
  <c r="H12"/>
  <c r="H9"/>
  <c r="H8"/>
  <c r="H7" s="1"/>
  <c r="H30" i="65093"/>
  <c r="H27"/>
  <c r="H15"/>
  <c r="H13"/>
  <c r="H12"/>
  <c r="H9"/>
  <c r="H8"/>
  <c r="H7" s="1"/>
  <c r="H27" i="65094"/>
  <c r="H15"/>
  <c r="H13"/>
  <c r="H12"/>
  <c r="H9"/>
  <c r="H8"/>
  <c r="H7" s="1"/>
  <c r="H31" i="65095"/>
  <c r="H27"/>
  <c r="H15"/>
  <c r="H13"/>
  <c r="H12"/>
  <c r="H9"/>
  <c r="H8"/>
  <c r="H7" s="1"/>
  <c r="H27" i="65096"/>
  <c r="H15"/>
  <c r="H13"/>
  <c r="H12"/>
  <c r="H9"/>
  <c r="H8"/>
  <c r="H7" s="1"/>
  <c r="H27" i="65097"/>
  <c r="H15"/>
  <c r="H13"/>
  <c r="H12"/>
  <c r="H9"/>
  <c r="H8"/>
  <c r="H7" s="1"/>
  <c r="H27" i="65098"/>
  <c r="H15"/>
  <c r="H13"/>
  <c r="H12"/>
  <c r="H9"/>
  <c r="H8"/>
  <c r="H7" s="1"/>
  <c r="H27" i="65105"/>
  <c r="H15"/>
  <c r="H13"/>
  <c r="H12"/>
  <c r="H9"/>
  <c r="H8"/>
  <c r="H7" s="1"/>
  <c r="H27" i="16"/>
  <c r="H15"/>
  <c r="H13"/>
  <c r="H12"/>
  <c r="H9"/>
  <c r="H8"/>
  <c r="H7" s="1"/>
  <c r="G49" i="65065"/>
  <c r="G46"/>
  <c r="G33"/>
  <c r="G31"/>
  <c r="G20"/>
  <c r="G18"/>
  <c r="G17"/>
  <c r="G15"/>
  <c r="G14"/>
  <c r="G13"/>
  <c r="G12"/>
  <c r="G7"/>
  <c r="G55" s="1"/>
  <c r="G30" i="65066"/>
  <c r="G27"/>
  <c r="G35" s="1"/>
  <c r="G15"/>
  <c r="G13"/>
  <c r="G12"/>
  <c r="G9"/>
  <c r="G8"/>
  <c r="G7"/>
  <c r="G27" i="65067"/>
  <c r="G15"/>
  <c r="G13"/>
  <c r="G12"/>
  <c r="G9"/>
  <c r="G8"/>
  <c r="G7" s="1"/>
  <c r="G32" s="1"/>
  <c r="G27" i="65099"/>
  <c r="G15"/>
  <c r="G13"/>
  <c r="G12"/>
  <c r="G9"/>
  <c r="G8"/>
  <c r="G7" s="1"/>
  <c r="G32" s="1"/>
  <c r="G27" i="65123"/>
  <c r="G15"/>
  <c r="G13"/>
  <c r="G12" s="1"/>
  <c r="G9"/>
  <c r="G8"/>
  <c r="G7"/>
  <c r="G32" s="1"/>
  <c r="G33" s="1"/>
  <c r="G34" s="1"/>
  <c r="G27" i="65068"/>
  <c r="G15"/>
  <c r="G13"/>
  <c r="G12"/>
  <c r="G9"/>
  <c r="G8"/>
  <c r="G7"/>
  <c r="G32" s="1"/>
  <c r="G33" s="1"/>
  <c r="G34" s="1"/>
  <c r="G31" i="65069"/>
  <c r="G27"/>
  <c r="G15"/>
  <c r="G13"/>
  <c r="G12" s="1"/>
  <c r="G9"/>
  <c r="G8"/>
  <c r="G7"/>
  <c r="G32" s="1"/>
  <c r="G33" s="1"/>
  <c r="G34" s="1"/>
  <c r="G27" i="65070"/>
  <c r="G15"/>
  <c r="G13"/>
  <c r="G12"/>
  <c r="G9"/>
  <c r="G8"/>
  <c r="G7" s="1"/>
  <c r="G32" s="1"/>
  <c r="G28" i="65071"/>
  <c r="G15"/>
  <c r="G13"/>
  <c r="G12" s="1"/>
  <c r="G9"/>
  <c r="G8"/>
  <c r="G7"/>
  <c r="G33" s="1"/>
  <c r="G34" s="1"/>
  <c r="G27" i="65074"/>
  <c r="G15"/>
  <c r="G13"/>
  <c r="G12"/>
  <c r="G9"/>
  <c r="G8"/>
  <c r="G7" s="1"/>
  <c r="G32" s="1"/>
  <c r="G33" s="1"/>
  <c r="G27" i="65100"/>
  <c r="G15"/>
  <c r="G13"/>
  <c r="G12"/>
  <c r="G9"/>
  <c r="G8"/>
  <c r="G7" s="1"/>
  <c r="G32" s="1"/>
  <c r="G33" s="1"/>
  <c r="G34" s="1"/>
  <c r="G27" i="65115"/>
  <c r="G15"/>
  <c r="G13"/>
  <c r="G12"/>
  <c r="G9"/>
  <c r="G8"/>
  <c r="G7" s="1"/>
  <c r="G32" s="1"/>
  <c r="G33" s="1"/>
  <c r="G34" s="1"/>
  <c r="G31" i="65075"/>
  <c r="G28"/>
  <c r="G15"/>
  <c r="G13"/>
  <c r="G12"/>
  <c r="G9"/>
  <c r="G8"/>
  <c r="G7" s="1"/>
  <c r="G36" s="1"/>
  <c r="G37" s="1"/>
  <c r="G38" s="1"/>
  <c r="G44" i="65076"/>
  <c r="G40"/>
  <c r="G36"/>
  <c r="G31"/>
  <c r="G18"/>
  <c r="G16"/>
  <c r="G15" s="1"/>
  <c r="G12"/>
  <c r="G11"/>
  <c r="G7"/>
  <c r="G31" i="65077"/>
  <c r="G27"/>
  <c r="G15"/>
  <c r="G13"/>
  <c r="G12"/>
  <c r="G9"/>
  <c r="G8"/>
  <c r="G7" s="1"/>
  <c r="G36" s="1"/>
  <c r="G37" s="1"/>
  <c r="G38" s="1"/>
  <c r="G32" i="65078"/>
  <c r="G28"/>
  <c r="G15"/>
  <c r="G13"/>
  <c r="G12"/>
  <c r="G9"/>
  <c r="G8"/>
  <c r="G7" s="1"/>
  <c r="G38" s="1"/>
  <c r="G39" s="1"/>
  <c r="G40" s="1"/>
  <c r="G33" i="65079"/>
  <c r="G27"/>
  <c r="G15"/>
  <c r="G13"/>
  <c r="G12"/>
  <c r="G9"/>
  <c r="G8"/>
  <c r="G7" s="1"/>
  <c r="G38" s="1"/>
  <c r="G39" s="1"/>
  <c r="G40" s="1"/>
  <c r="G48" i="65080"/>
  <c r="G44"/>
  <c r="G41"/>
  <c r="G38"/>
  <c r="G29"/>
  <c r="G15"/>
  <c r="G13"/>
  <c r="G12"/>
  <c r="G9"/>
  <c r="G8"/>
  <c r="G7" s="1"/>
  <c r="G52" s="1"/>
  <c r="G27" i="65082"/>
  <c r="G15"/>
  <c r="G13"/>
  <c r="G12"/>
  <c r="G9"/>
  <c r="G8"/>
  <c r="G7" s="1"/>
  <c r="G32" s="1"/>
  <c r="G27" i="65081"/>
  <c r="G15"/>
  <c r="G13"/>
  <c r="G12"/>
  <c r="G9"/>
  <c r="G8"/>
  <c r="G7" s="1"/>
  <c r="G32" s="1"/>
  <c r="G30" i="65122"/>
  <c r="G28" s="1"/>
  <c r="G15"/>
  <c r="G13"/>
  <c r="G12"/>
  <c r="G9"/>
  <c r="G8"/>
  <c r="G7" s="1"/>
  <c r="G33" s="1"/>
  <c r="G34" s="1"/>
  <c r="G27" i="65083"/>
  <c r="G15"/>
  <c r="G13"/>
  <c r="G12"/>
  <c r="G9"/>
  <c r="G8"/>
  <c r="G7" s="1"/>
  <c r="G32" s="1"/>
  <c r="G27" i="65084"/>
  <c r="G15"/>
  <c r="G13"/>
  <c r="G12"/>
  <c r="G9"/>
  <c r="G8"/>
  <c r="G7" s="1"/>
  <c r="G32" s="1"/>
  <c r="G27" i="65085"/>
  <c r="G15"/>
  <c r="G13"/>
  <c r="G12"/>
  <c r="G9"/>
  <c r="G8"/>
  <c r="G7" s="1"/>
  <c r="G32" s="1"/>
  <c r="G27" i="65086"/>
  <c r="G15"/>
  <c r="G13"/>
  <c r="G12"/>
  <c r="G9"/>
  <c r="G8"/>
  <c r="G7" s="1"/>
  <c r="G32" s="1"/>
  <c r="G27" i="65087"/>
  <c r="G15"/>
  <c r="G13"/>
  <c r="G12"/>
  <c r="G9"/>
  <c r="G8"/>
  <c r="G7" s="1"/>
  <c r="G32" s="1"/>
  <c r="G27" i="65088"/>
  <c r="G15"/>
  <c r="G13"/>
  <c r="G12"/>
  <c r="G9"/>
  <c r="G8"/>
  <c r="G7" s="1"/>
  <c r="G32" s="1"/>
  <c r="G27" i="65089"/>
  <c r="G15"/>
  <c r="G13"/>
  <c r="G12"/>
  <c r="G9"/>
  <c r="G8"/>
  <c r="G7" s="1"/>
  <c r="G32" s="1"/>
  <c r="G33" s="1"/>
  <c r="G34" s="1"/>
  <c r="G30" i="65093"/>
  <c r="G27"/>
  <c r="G15"/>
  <c r="G13"/>
  <c r="G12"/>
  <c r="G9"/>
  <c r="G8"/>
  <c r="G7"/>
  <c r="G35" s="1"/>
  <c r="G36" s="1"/>
  <c r="G37" s="1"/>
  <c r="G27" i="65094"/>
  <c r="G15"/>
  <c r="G13"/>
  <c r="G12"/>
  <c r="G9"/>
  <c r="G8"/>
  <c r="G7" s="1"/>
  <c r="G32" s="1"/>
  <c r="G33" s="1"/>
  <c r="G34" s="1"/>
  <c r="G31" i="65095"/>
  <c r="G27"/>
  <c r="G15"/>
  <c r="G13"/>
  <c r="G12" s="1"/>
  <c r="G9"/>
  <c r="G8"/>
  <c r="G7"/>
  <c r="G27" i="65096"/>
  <c r="G15"/>
  <c r="G13"/>
  <c r="G12"/>
  <c r="G9"/>
  <c r="G8"/>
  <c r="G7" s="1"/>
  <c r="G32" s="1"/>
  <c r="G33" s="1"/>
  <c r="G34" s="1"/>
  <c r="G27" i="65097"/>
  <c r="G15"/>
  <c r="G13"/>
  <c r="G12"/>
  <c r="G9"/>
  <c r="G8"/>
  <c r="G7" s="1"/>
  <c r="G32" s="1"/>
  <c r="G33" s="1"/>
  <c r="G34" s="1"/>
  <c r="G27" i="65098"/>
  <c r="G15"/>
  <c r="G13"/>
  <c r="G12"/>
  <c r="G9"/>
  <c r="G8"/>
  <c r="G7" s="1"/>
  <c r="G32" s="1"/>
  <c r="G33" s="1"/>
  <c r="G34" s="1"/>
  <c r="G27" i="65105"/>
  <c r="G15"/>
  <c r="G13"/>
  <c r="G12"/>
  <c r="G9"/>
  <c r="G8"/>
  <c r="G7" s="1"/>
  <c r="G32" s="1"/>
  <c r="G33" s="1"/>
  <c r="G34" s="1"/>
  <c r="G27" i="16"/>
  <c r="G15"/>
  <c r="G13"/>
  <c r="G12"/>
  <c r="G9"/>
  <c r="G8"/>
  <c r="G7" s="1"/>
  <c r="G32" s="1"/>
  <c r="K43" i="65065"/>
  <c r="K32" i="65095"/>
  <c r="K33"/>
  <c r="K34"/>
  <c r="K33" i="65093"/>
  <c r="K33" i="65080"/>
  <c r="K34"/>
  <c r="K35"/>
  <c r="K36"/>
  <c r="K37"/>
  <c r="K38"/>
  <c r="K39"/>
  <c r="K40"/>
  <c r="K42"/>
  <c r="K43"/>
  <c r="K45"/>
  <c r="K46"/>
  <c r="K47"/>
  <c r="K49"/>
  <c r="K50"/>
  <c r="K28" i="65079"/>
  <c r="K29"/>
  <c r="K30"/>
  <c r="K31"/>
  <c r="K32"/>
  <c r="K34"/>
  <c r="K35"/>
  <c r="K36"/>
  <c r="K33" i="65078"/>
  <c r="K34"/>
  <c r="K35"/>
  <c r="K36"/>
  <c r="K29" i="65077"/>
  <c r="K30"/>
  <c r="K32"/>
  <c r="K33"/>
  <c r="K34"/>
  <c r="K34" i="65076"/>
  <c r="K35"/>
  <c r="K37"/>
  <c r="K38"/>
  <c r="K39"/>
  <c r="K41"/>
  <c r="K42"/>
  <c r="K43"/>
  <c r="K45"/>
  <c r="K46"/>
  <c r="K47"/>
  <c r="K34" i="65065"/>
  <c r="K35"/>
  <c r="K36"/>
  <c r="K37"/>
  <c r="K38"/>
  <c r="K39"/>
  <c r="K40"/>
  <c r="K41"/>
  <c r="K42"/>
  <c r="K44"/>
  <c r="K45"/>
  <c r="K47"/>
  <c r="K48"/>
  <c r="K50"/>
  <c r="K51"/>
  <c r="K52"/>
  <c r="K53"/>
  <c r="K31" i="65093"/>
  <c r="K31" i="65122"/>
  <c r="K31" i="65080"/>
  <c r="K31" i="65078"/>
  <c r="K31" i="65071"/>
  <c r="K31" i="65066"/>
  <c r="K33"/>
  <c r="K33" i="65067"/>
  <c r="K34"/>
  <c r="K33" i="65099"/>
  <c r="K34"/>
  <c r="K33" i="65070"/>
  <c r="K34"/>
  <c r="K34" i="65074"/>
  <c r="K33" i="65075"/>
  <c r="K34"/>
  <c r="K33" i="65076"/>
  <c r="K33" i="65082"/>
  <c r="K34"/>
  <c r="K33" i="65081"/>
  <c r="K34"/>
  <c r="K33" i="65083"/>
  <c r="K34"/>
  <c r="K33" i="65084"/>
  <c r="K34"/>
  <c r="K33" i="65085"/>
  <c r="K34"/>
  <c r="K33" i="65086"/>
  <c r="K34"/>
  <c r="K33" i="65087"/>
  <c r="K34"/>
  <c r="K33" i="65088"/>
  <c r="K34"/>
  <c r="K33" i="16"/>
  <c r="K34"/>
  <c r="K9" i="65065"/>
  <c r="K10"/>
  <c r="K11"/>
  <c r="K16"/>
  <c r="K19"/>
  <c r="K21"/>
  <c r="K22"/>
  <c r="K23"/>
  <c r="K24"/>
  <c r="K25"/>
  <c r="K26"/>
  <c r="K27"/>
  <c r="K28"/>
  <c r="K29"/>
  <c r="K30"/>
  <c r="K32"/>
  <c r="K9" i="65066"/>
  <c r="K10"/>
  <c r="K11"/>
  <c r="K13"/>
  <c r="K14"/>
  <c r="K16"/>
  <c r="K17"/>
  <c r="K18"/>
  <c r="K19"/>
  <c r="K20"/>
  <c r="K21"/>
  <c r="K22"/>
  <c r="K23"/>
  <c r="K24"/>
  <c r="K25"/>
  <c r="K26"/>
  <c r="K28"/>
  <c r="K29"/>
  <c r="K32"/>
  <c r="K9" i="65067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9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23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68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69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70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71"/>
  <c r="K10"/>
  <c r="K11"/>
  <c r="K13"/>
  <c r="K14"/>
  <c r="K16"/>
  <c r="K17"/>
  <c r="K18"/>
  <c r="K19"/>
  <c r="K20"/>
  <c r="K21"/>
  <c r="K22"/>
  <c r="K23"/>
  <c r="K24"/>
  <c r="K25"/>
  <c r="K26"/>
  <c r="K27"/>
  <c r="K29"/>
  <c r="K30"/>
  <c r="K9" i="65074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00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15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75"/>
  <c r="K10"/>
  <c r="K11"/>
  <c r="K13"/>
  <c r="K14"/>
  <c r="K16"/>
  <c r="K17"/>
  <c r="K18"/>
  <c r="K19"/>
  <c r="K20"/>
  <c r="K21"/>
  <c r="K22"/>
  <c r="K23"/>
  <c r="K24"/>
  <c r="K25"/>
  <c r="K26"/>
  <c r="K27"/>
  <c r="K29"/>
  <c r="K30"/>
  <c r="K32"/>
  <c r="K9" i="65076"/>
  <c r="K13"/>
  <c r="K14"/>
  <c r="K17"/>
  <c r="K19"/>
  <c r="K20"/>
  <c r="K21"/>
  <c r="K22"/>
  <c r="K23"/>
  <c r="K24"/>
  <c r="K25"/>
  <c r="K26"/>
  <c r="K27"/>
  <c r="K28"/>
  <c r="K29"/>
  <c r="K30"/>
  <c r="K32"/>
  <c r="K9" i="65077"/>
  <c r="K10"/>
  <c r="K11"/>
  <c r="K13"/>
  <c r="K14"/>
  <c r="K16"/>
  <c r="K17"/>
  <c r="K18"/>
  <c r="K19"/>
  <c r="K20"/>
  <c r="K21"/>
  <c r="K22"/>
  <c r="K23"/>
  <c r="K24"/>
  <c r="K25"/>
  <c r="K26"/>
  <c r="K28"/>
  <c r="K9" i="65078"/>
  <c r="K10"/>
  <c r="K11"/>
  <c r="K13"/>
  <c r="K14"/>
  <c r="K16"/>
  <c r="K17"/>
  <c r="K18"/>
  <c r="K19"/>
  <c r="K20"/>
  <c r="K21"/>
  <c r="K22"/>
  <c r="K23"/>
  <c r="K24"/>
  <c r="K25"/>
  <c r="K26"/>
  <c r="K27"/>
  <c r="K29"/>
  <c r="K30"/>
  <c r="K9" i="65079"/>
  <c r="K10"/>
  <c r="K11"/>
  <c r="K13"/>
  <c r="K14"/>
  <c r="K16"/>
  <c r="K17"/>
  <c r="K18"/>
  <c r="K19"/>
  <c r="K20"/>
  <c r="K21"/>
  <c r="K22"/>
  <c r="K23"/>
  <c r="K24"/>
  <c r="K25"/>
  <c r="K26"/>
  <c r="K9" i="65080"/>
  <c r="K10"/>
  <c r="K11"/>
  <c r="K13"/>
  <c r="K14"/>
  <c r="K16"/>
  <c r="K17"/>
  <c r="K18"/>
  <c r="K19"/>
  <c r="K20"/>
  <c r="K21"/>
  <c r="K22"/>
  <c r="K23"/>
  <c r="K24"/>
  <c r="K25"/>
  <c r="K26"/>
  <c r="K27"/>
  <c r="K28"/>
  <c r="K30"/>
  <c r="K32"/>
  <c r="K9" i="65082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1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22"/>
  <c r="K10"/>
  <c r="K11"/>
  <c r="K13"/>
  <c r="K14"/>
  <c r="K16"/>
  <c r="K17"/>
  <c r="K18"/>
  <c r="K19"/>
  <c r="K20"/>
  <c r="K21"/>
  <c r="K22"/>
  <c r="K23"/>
  <c r="K24"/>
  <c r="K25"/>
  <c r="K26"/>
  <c r="K27"/>
  <c r="K29"/>
  <c r="K30"/>
  <c r="K9" i="65083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4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5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6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7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8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89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3"/>
  <c r="K10"/>
  <c r="K11"/>
  <c r="K13"/>
  <c r="K14"/>
  <c r="K16"/>
  <c r="K17"/>
  <c r="K18"/>
  <c r="K19"/>
  <c r="K20"/>
  <c r="K21"/>
  <c r="K22"/>
  <c r="K23"/>
  <c r="K24"/>
  <c r="K25"/>
  <c r="K26"/>
  <c r="K28"/>
  <c r="K29"/>
  <c r="K32"/>
  <c r="K9" i="65094"/>
  <c r="K10"/>
  <c r="K11"/>
  <c r="K13"/>
  <c r="K14"/>
  <c r="K16"/>
  <c r="K17"/>
  <c r="K18"/>
  <c r="K19"/>
  <c r="K20"/>
  <c r="K21"/>
  <c r="K22"/>
  <c r="K23"/>
  <c r="K24"/>
  <c r="K25"/>
  <c r="K26"/>
  <c r="K27"/>
  <c r="K28"/>
  <c r="K29"/>
  <c r="K30"/>
  <c r="K9" i="65095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6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7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098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65105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9" i="16"/>
  <c r="K10"/>
  <c r="K11"/>
  <c r="K13"/>
  <c r="K14"/>
  <c r="K16"/>
  <c r="K17"/>
  <c r="K18"/>
  <c r="K19"/>
  <c r="K20"/>
  <c r="K21"/>
  <c r="K22"/>
  <c r="K23"/>
  <c r="K24"/>
  <c r="K25"/>
  <c r="K26"/>
  <c r="K28"/>
  <c r="K29"/>
  <c r="K30"/>
  <c r="K8" i="65065"/>
  <c r="K8" i="65066"/>
  <c r="K8" i="65067"/>
  <c r="K8" i="65099"/>
  <c r="K8" i="65123"/>
  <c r="K8" i="65068"/>
  <c r="K8" i="65069"/>
  <c r="K8" i="65070"/>
  <c r="K8" i="65071"/>
  <c r="K8" i="65074"/>
  <c r="K8" i="65100"/>
  <c r="K8" i="65115"/>
  <c r="K8" i="65075"/>
  <c r="K8" i="65076"/>
  <c r="K8" i="65077"/>
  <c r="K8" i="65078"/>
  <c r="K8" i="65079"/>
  <c r="K8" i="65080"/>
  <c r="K8" i="65082"/>
  <c r="K8" i="65081"/>
  <c r="K8" i="65122"/>
  <c r="K8" i="65083"/>
  <c r="K8" i="65084"/>
  <c r="K8" i="65085"/>
  <c r="K8" i="65086"/>
  <c r="K8" i="65087"/>
  <c r="K8" i="65088"/>
  <c r="K8" i="65089"/>
  <c r="K8" i="65093"/>
  <c r="K8" i="65094"/>
  <c r="K8" i="65095"/>
  <c r="K8" i="65096"/>
  <c r="K8" i="65097"/>
  <c r="K8" i="65098"/>
  <c r="K8" i="65105"/>
  <c r="K8" i="16"/>
  <c r="I32" i="65105"/>
  <c r="I33" s="1"/>
  <c r="I34" s="1"/>
  <c r="I32" i="65098"/>
  <c r="I33" s="1"/>
  <c r="I34" s="1"/>
  <c r="I32" i="65097"/>
  <c r="I33" s="1"/>
  <c r="I34" s="1"/>
  <c r="I32" i="65096"/>
  <c r="I33" s="1"/>
  <c r="I34" s="1"/>
  <c r="I36" i="65095"/>
  <c r="I37" s="1"/>
  <c r="I38" s="1"/>
  <c r="I32" i="65094"/>
  <c r="I33" s="1"/>
  <c r="I34" s="1"/>
  <c r="I35" i="65093"/>
  <c r="I36" s="1"/>
  <c r="I37" s="1"/>
  <c r="I32" i="65089"/>
  <c r="I32" i="65088"/>
  <c r="I32" i="65087"/>
  <c r="I32" i="65086"/>
  <c r="I32" i="65085"/>
  <c r="I32" i="65084"/>
  <c r="I32" i="65083"/>
  <c r="I33" i="65122"/>
  <c r="I32" i="65081"/>
  <c r="I32" i="65082"/>
  <c r="I52" i="65080"/>
  <c r="I38" i="65079"/>
  <c r="I39" s="1"/>
  <c r="I40" s="1"/>
  <c r="I38" i="65078"/>
  <c r="I39" s="1"/>
  <c r="I40" s="1"/>
  <c r="I36" i="65077"/>
  <c r="I37" s="1"/>
  <c r="I38" s="1"/>
  <c r="I49" i="65076"/>
  <c r="I50" s="1"/>
  <c r="I51" s="1"/>
  <c r="I36" i="65075"/>
  <c r="I37" s="1"/>
  <c r="I38" s="1"/>
  <c r="I32" i="65115"/>
  <c r="I33" s="1"/>
  <c r="I32" i="65100"/>
  <c r="I33" s="1"/>
  <c r="I32" i="65074"/>
  <c r="I33" s="1"/>
  <c r="I33" i="65071"/>
  <c r="I34" s="1"/>
  <c r="I32" i="65070"/>
  <c r="I32" i="65069"/>
  <c r="I33" s="1"/>
  <c r="I34" s="1"/>
  <c r="I32" i="65068"/>
  <c r="I33" s="1"/>
  <c r="I34" s="1"/>
  <c r="I32" i="65123"/>
  <c r="I32" i="65099"/>
  <c r="I32" i="65067"/>
  <c r="I35" i="65066"/>
  <c r="I32" i="16"/>
  <c r="J27" i="65095"/>
  <c r="K27" s="1"/>
  <c r="K16" i="65076"/>
  <c r="I33" i="65089" l="1"/>
  <c r="I34" i="65122"/>
  <c r="H38" i="65079"/>
  <c r="K11" i="65076"/>
  <c r="G10"/>
  <c r="I34" i="65100"/>
  <c r="I34" i="65115"/>
  <c r="H32" i="16"/>
  <c r="H32" i="65105"/>
  <c r="H32" i="65098"/>
  <c r="H32" i="65097"/>
  <c r="H32" i="65096"/>
  <c r="H36" i="65095"/>
  <c r="H32" i="65089"/>
  <c r="H32" i="65088"/>
  <c r="H32" i="65087"/>
  <c r="H32" i="65086"/>
  <c r="H32" i="65085"/>
  <c r="H32" i="65084"/>
  <c r="H32" i="65083"/>
  <c r="H32" i="65081"/>
  <c r="H32" i="65082"/>
  <c r="H52" i="65080"/>
  <c r="H39" i="65079"/>
  <c r="H40" s="1"/>
  <c r="H38" i="65078"/>
  <c r="H39" s="1"/>
  <c r="H40" s="1"/>
  <c r="H36" i="65075"/>
  <c r="H34" i="65122"/>
  <c r="H49" i="65076"/>
  <c r="H50" s="1"/>
  <c r="H51" s="1"/>
  <c r="H32" i="65068"/>
  <c r="H32" i="65123"/>
  <c r="H32" i="65099"/>
  <c r="H32" i="65067"/>
  <c r="H32" i="65094"/>
  <c r="H35" i="65093"/>
  <c r="H36" i="65077"/>
  <c r="H32" i="65100"/>
  <c r="H32" i="65074"/>
  <c r="H34" i="65071"/>
  <c r="H32" i="65069"/>
  <c r="H35" i="65066"/>
  <c r="G36" i="65095"/>
  <c r="G37" s="1"/>
  <c r="G38" s="1"/>
  <c r="G49" i="65076"/>
  <c r="G50" s="1"/>
  <c r="G51" s="1"/>
  <c r="K13" i="65065"/>
  <c r="I55"/>
  <c r="I33" i="65123" s="1"/>
  <c r="I34" s="1"/>
  <c r="K18" i="65065"/>
  <c r="I34" i="65089" l="1"/>
  <c r="H33" i="65100"/>
  <c r="H36" i="65093"/>
  <c r="H37" i="65075"/>
  <c r="H38" s="1"/>
  <c r="H33" i="65089"/>
  <c r="H34" s="1"/>
  <c r="H33" i="65096"/>
  <c r="H33" i="65098"/>
  <c r="H33" i="65105"/>
  <c r="H33" i="65074"/>
  <c r="H37" i="65077"/>
  <c r="H38" s="1"/>
  <c r="H33" i="65068"/>
  <c r="H37" i="65095"/>
  <c r="H38" s="1"/>
  <c r="H33" i="65097"/>
  <c r="H33" i="65069"/>
  <c r="H33" i="65094"/>
  <c r="H33" i="65123"/>
  <c r="H34" s="1"/>
  <c r="K15" i="65065"/>
  <c r="K31"/>
  <c r="H34" i="65094" l="1"/>
  <c r="H34" i="65097"/>
  <c r="H34" i="65068"/>
  <c r="H34" i="65098"/>
  <c r="H34" i="65096"/>
  <c r="H34" i="65069"/>
  <c r="H34" i="65105"/>
  <c r="H37" i="65093"/>
  <c r="H34" i="65100"/>
  <c r="H34" i="65115"/>
  <c r="K14" i="65065"/>
  <c r="K12" i="65076" l="1"/>
  <c r="J27" i="65093"/>
  <c r="K27" s="1"/>
  <c r="J27" i="65079"/>
  <c r="K27" s="1"/>
  <c r="J27" i="65067"/>
  <c r="K27" s="1"/>
  <c r="J44" i="65076" l="1"/>
  <c r="K44" s="1"/>
  <c r="J12" i="65094" l="1"/>
  <c r="K12" s="1"/>
  <c r="J31" i="65095"/>
  <c r="K31" s="1"/>
  <c r="J30" i="65093"/>
  <c r="K30" s="1"/>
  <c r="J29" i="65080"/>
  <c r="K29" s="1"/>
  <c r="J28" i="65078"/>
  <c r="K28" s="1"/>
  <c r="J27" i="65077"/>
  <c r="K27" s="1"/>
  <c r="J31"/>
  <c r="K31" s="1"/>
  <c r="J31" i="65076"/>
  <c r="K31" s="1"/>
  <c r="J28" i="65075"/>
  <c r="K28" s="1"/>
  <c r="J31"/>
  <c r="K31" s="1"/>
  <c r="J27" i="65066"/>
  <c r="K27" s="1"/>
  <c r="J15" i="65122" l="1"/>
  <c r="K15" s="1"/>
  <c r="J15" i="65075"/>
  <c r="K15" s="1"/>
  <c r="J7" i="65080"/>
  <c r="K7" s="1"/>
  <c r="J27" i="65085"/>
  <c r="K27" s="1"/>
  <c r="J12" i="65098"/>
  <c r="K12" s="1"/>
  <c r="J7"/>
  <c r="K7" s="1"/>
  <c r="J12" i="65096"/>
  <c r="K12" s="1"/>
  <c r="J7"/>
  <c r="K7" s="1"/>
  <c r="J12" i="65071"/>
  <c r="K12" s="1"/>
  <c r="J7"/>
  <c r="K7" s="1"/>
  <c r="J12" i="65105"/>
  <c r="J7"/>
  <c r="K7" s="1"/>
  <c r="J12" i="65097"/>
  <c r="K12" s="1"/>
  <c r="J7"/>
  <c r="K7" s="1"/>
  <c r="J12" i="65095"/>
  <c r="K12" s="1"/>
  <c r="J7"/>
  <c r="K7" s="1"/>
  <c r="J7" i="65094"/>
  <c r="K7" s="1"/>
  <c r="J12" i="65093"/>
  <c r="K12" s="1"/>
  <c r="J7"/>
  <c r="K7" s="1"/>
  <c r="J12" i="65089"/>
  <c r="K12" s="1"/>
  <c r="J7"/>
  <c r="K7" s="1"/>
  <c r="J12" i="65088"/>
  <c r="K12" s="1"/>
  <c r="J7"/>
  <c r="K7" s="1"/>
  <c r="J12" i="65087"/>
  <c r="J7"/>
  <c r="K7" s="1"/>
  <c r="J12" i="65086"/>
  <c r="K12" s="1"/>
  <c r="J7"/>
  <c r="K7" s="1"/>
  <c r="J12" i="65085"/>
  <c r="K12" s="1"/>
  <c r="J7"/>
  <c r="K7" s="1"/>
  <c r="J12" i="65084"/>
  <c r="K12" s="1"/>
  <c r="J7"/>
  <c r="K7" s="1"/>
  <c r="J12" i="65083"/>
  <c r="K12" s="1"/>
  <c r="J7"/>
  <c r="K7" s="1"/>
  <c r="J12" i="65122"/>
  <c r="K12" s="1"/>
  <c r="J7"/>
  <c r="K7" s="1"/>
  <c r="J12" i="65081"/>
  <c r="K12" s="1"/>
  <c r="J7"/>
  <c r="K7" s="1"/>
  <c r="J12" i="65082"/>
  <c r="K12" s="1"/>
  <c r="J7"/>
  <c r="K7" s="1"/>
  <c r="J12" i="65080"/>
  <c r="J12" i="65079"/>
  <c r="K12" s="1"/>
  <c r="J7"/>
  <c r="K7" s="1"/>
  <c r="J12" i="65078"/>
  <c r="K12" s="1"/>
  <c r="J7"/>
  <c r="K7" s="1"/>
  <c r="J12" i="65077"/>
  <c r="K12" s="1"/>
  <c r="J7"/>
  <c r="K7" s="1"/>
  <c r="J15" i="65076"/>
  <c r="J10"/>
  <c r="K10" s="1"/>
  <c r="J12" i="65075"/>
  <c r="K12" s="1"/>
  <c r="J7"/>
  <c r="K7" s="1"/>
  <c r="J12" i="65115"/>
  <c r="K12" s="1"/>
  <c r="J7"/>
  <c r="K7" s="1"/>
  <c r="J12" i="65100"/>
  <c r="K12" s="1"/>
  <c r="J7"/>
  <c r="K7" s="1"/>
  <c r="J12" i="65074"/>
  <c r="K12" s="1"/>
  <c r="J7"/>
  <c r="K7" s="1"/>
  <c r="J12" i="65070"/>
  <c r="K12" s="1"/>
  <c r="J7"/>
  <c r="K7" s="1"/>
  <c r="J12" i="65069"/>
  <c r="J7"/>
  <c r="K7" s="1"/>
  <c r="J12" i="65068"/>
  <c r="K12" s="1"/>
  <c r="J7"/>
  <c r="K7" s="1"/>
  <c r="J12" i="65123"/>
  <c r="K12" s="1"/>
  <c r="J7"/>
  <c r="K7" s="1"/>
  <c r="J12" i="65099"/>
  <c r="J7"/>
  <c r="K7" s="1"/>
  <c r="J12" i="65067"/>
  <c r="K12" s="1"/>
  <c r="J7"/>
  <c r="K7" s="1"/>
  <c r="J12" i="65066"/>
  <c r="K12" s="1"/>
  <c r="J7"/>
  <c r="K7" s="1"/>
  <c r="J17" i="65065"/>
  <c r="K17" s="1"/>
  <c r="J12"/>
  <c r="K12" s="1"/>
  <c r="J12" i="16"/>
  <c r="K12" s="1"/>
  <c r="J7"/>
  <c r="K7" s="1"/>
  <c r="J15" i="65105"/>
  <c r="K15" s="1"/>
  <c r="J27"/>
  <c r="K27" s="1"/>
  <c r="J15" i="65098"/>
  <c r="J27"/>
  <c r="K27" s="1"/>
  <c r="J15" i="65097"/>
  <c r="K15" s="1"/>
  <c r="J27"/>
  <c r="K27" s="1"/>
  <c r="J15" i="65096"/>
  <c r="K15" s="1"/>
  <c r="J27"/>
  <c r="K27" s="1"/>
  <c r="J15" i="65095"/>
  <c r="K15" s="1"/>
  <c r="J15" i="65094"/>
  <c r="K15" s="1"/>
  <c r="J27"/>
  <c r="J15" i="65093"/>
  <c r="K15" s="1"/>
  <c r="J15" i="65089"/>
  <c r="K15" s="1"/>
  <c r="J27"/>
  <c r="K27" s="1"/>
  <c r="J15" i="65088"/>
  <c r="K15" s="1"/>
  <c r="J27"/>
  <c r="J15" i="65087"/>
  <c r="K15" s="1"/>
  <c r="J27"/>
  <c r="J15" i="65086"/>
  <c r="K15" s="1"/>
  <c r="J27"/>
  <c r="K27" s="1"/>
  <c r="J15" i="65085"/>
  <c r="K15" s="1"/>
  <c r="J15" i="65084"/>
  <c r="J27"/>
  <c r="J15" i="65083"/>
  <c r="J27"/>
  <c r="K27" s="1"/>
  <c r="J28" i="65122"/>
  <c r="K28" s="1"/>
  <c r="J15" i="65081"/>
  <c r="J27"/>
  <c r="K27" s="1"/>
  <c r="J15" i="65082"/>
  <c r="K15" s="1"/>
  <c r="J27"/>
  <c r="K27" s="1"/>
  <c r="J15" i="65080"/>
  <c r="K15" s="1"/>
  <c r="J38"/>
  <c r="J41"/>
  <c r="K41" s="1"/>
  <c r="J44"/>
  <c r="K44" s="1"/>
  <c r="J48"/>
  <c r="K48" s="1"/>
  <c r="J15" i="65079"/>
  <c r="K15" s="1"/>
  <c r="J33"/>
  <c r="K33" s="1"/>
  <c r="J15" i="65078"/>
  <c r="K15" s="1"/>
  <c r="J32"/>
  <c r="K32" s="1"/>
  <c r="J15" i="65077"/>
  <c r="K15" s="1"/>
  <c r="J7" i="65076"/>
  <c r="K7" s="1"/>
  <c r="J18"/>
  <c r="K18" s="1"/>
  <c r="J36"/>
  <c r="K36" s="1"/>
  <c r="J40"/>
  <c r="K40" s="1"/>
  <c r="J15" i="65115"/>
  <c r="K15" s="1"/>
  <c r="J27"/>
  <c r="J15" i="65100"/>
  <c r="K15" s="1"/>
  <c r="J27"/>
  <c r="K27" s="1"/>
  <c r="J15" i="65074"/>
  <c r="J27"/>
  <c r="K27" s="1"/>
  <c r="J15" i="65071"/>
  <c r="J28"/>
  <c r="J15" i="65070"/>
  <c r="J27"/>
  <c r="K27" s="1"/>
  <c r="J15" i="65069"/>
  <c r="K15" s="1"/>
  <c r="J27"/>
  <c r="K27" s="1"/>
  <c r="J15" i="65068"/>
  <c r="K15" s="1"/>
  <c r="J27"/>
  <c r="K27" s="1"/>
  <c r="J15" i="65123"/>
  <c r="K15" s="1"/>
  <c r="J27"/>
  <c r="K27" s="1"/>
  <c r="J15" i="65099"/>
  <c r="K15" s="1"/>
  <c r="J27"/>
  <c r="J15" i="65067"/>
  <c r="K15" s="1"/>
  <c r="J15" i="65066"/>
  <c r="K15" s="1"/>
  <c r="J30"/>
  <c r="K30" s="1"/>
  <c r="J7" i="65065"/>
  <c r="K7" s="1"/>
  <c r="J20"/>
  <c r="K20" s="1"/>
  <c r="J33"/>
  <c r="K33" s="1"/>
  <c r="J46"/>
  <c r="K46" s="1"/>
  <c r="J49"/>
  <c r="K49" s="1"/>
  <c r="J15" i="16"/>
  <c r="K15" s="1"/>
  <c r="J27"/>
  <c r="J32" i="65084"/>
  <c r="K32" s="1"/>
  <c r="J32" i="65074"/>
  <c r="J32" i="65123"/>
  <c r="K32" s="1"/>
  <c r="J32" i="65068"/>
  <c r="J38" i="65078"/>
  <c r="J32" i="65087"/>
  <c r="K32" s="1"/>
  <c r="J32" i="65100"/>
  <c r="J32" i="65086"/>
  <c r="K32" s="1"/>
  <c r="J32" i="65089"/>
  <c r="K32" s="1"/>
  <c r="J32" i="65085"/>
  <c r="K32" s="1"/>
  <c r="J32" i="65082"/>
  <c r="K32" s="1"/>
  <c r="J32" i="65070"/>
  <c r="J32" i="65069"/>
  <c r="J32" i="65115"/>
  <c r="J36" i="65077"/>
  <c r="J32" i="65083"/>
  <c r="K32" s="1"/>
  <c r="J49" i="65076"/>
  <c r="J33" i="65122"/>
  <c r="K33" s="1"/>
  <c r="J38" i="65079"/>
  <c r="J55" i="65065"/>
  <c r="K55" s="1"/>
  <c r="J32" i="65088"/>
  <c r="K32" s="1"/>
  <c r="J36" i="65095"/>
  <c r="J33" i="65071"/>
  <c r="J32" i="65098"/>
  <c r="J35" i="65093"/>
  <c r="K35" s="1"/>
  <c r="J52" i="65080"/>
  <c r="K52" s="1"/>
  <c r="J36" i="65075"/>
  <c r="J32" i="65081"/>
  <c r="K32" s="1"/>
  <c r="K12" i="65105" l="1"/>
  <c r="K15" i="65098"/>
  <c r="J33"/>
  <c r="K33" s="1"/>
  <c r="K32"/>
  <c r="K27" i="65088"/>
  <c r="K27" i="65087"/>
  <c r="K12"/>
  <c r="K27" i="65084"/>
  <c r="K15"/>
  <c r="K15" i="65083"/>
  <c r="K15" i="65081"/>
  <c r="K12" i="65080"/>
  <c r="K15" i="65076"/>
  <c r="K27" i="65115"/>
  <c r="J33" i="65100"/>
  <c r="K33" s="1"/>
  <c r="K32"/>
  <c r="K15" i="65074"/>
  <c r="J33"/>
  <c r="K33" s="1"/>
  <c r="K32"/>
  <c r="K28" i="65071"/>
  <c r="K15"/>
  <c r="J34"/>
  <c r="K34" s="1"/>
  <c r="K33"/>
  <c r="K15" i="65070"/>
  <c r="K12" i="65069"/>
  <c r="J33"/>
  <c r="K33" s="1"/>
  <c r="K32"/>
  <c r="J33" i="65068"/>
  <c r="K33" s="1"/>
  <c r="K32"/>
  <c r="K27" i="65099"/>
  <c r="J32"/>
  <c r="K32" s="1"/>
  <c r="K12"/>
  <c r="K27" i="16"/>
  <c r="K32" i="65070"/>
  <c r="J33" i="65115"/>
  <c r="K33" s="1"/>
  <c r="K32"/>
  <c r="J37" i="65075"/>
  <c r="K37" s="1"/>
  <c r="K36"/>
  <c r="K38" i="65079"/>
  <c r="J37" i="65095"/>
  <c r="K36"/>
  <c r="J39" i="65078"/>
  <c r="K39" s="1"/>
  <c r="K38"/>
  <c r="J37" i="65077"/>
  <c r="K36"/>
  <c r="J50" i="65076"/>
  <c r="K49"/>
  <c r="J32" i="65105"/>
  <c r="K32" s="1"/>
  <c r="J32" i="65094"/>
  <c r="J39" i="65079"/>
  <c r="J32" i="65067"/>
  <c r="K32" s="1"/>
  <c r="J32" i="65096"/>
  <c r="J35" i="65066"/>
  <c r="K35" s="1"/>
  <c r="J32" i="16"/>
  <c r="K32" s="1"/>
  <c r="J32" i="65097"/>
  <c r="J33" i="65105"/>
  <c r="J34" i="65098"/>
  <c r="K34" s="1"/>
  <c r="J36" i="65093"/>
  <c r="J33" i="65089"/>
  <c r="K33" s="1"/>
  <c r="J34" i="65122"/>
  <c r="K34" s="1"/>
  <c r="J40" i="65078"/>
  <c r="K40" s="1"/>
  <c r="J38" i="65075"/>
  <c r="K38" s="1"/>
  <c r="J34" i="65069"/>
  <c r="K34" s="1"/>
  <c r="J34" i="65068"/>
  <c r="K34" s="1"/>
  <c r="J34" i="65105" l="1"/>
  <c r="K34" s="1"/>
  <c r="K33"/>
  <c r="J33" i="65097"/>
  <c r="K33" s="1"/>
  <c r="K32"/>
  <c r="J33" i="65096"/>
  <c r="K33" s="1"/>
  <c r="K32"/>
  <c r="J33" i="65094"/>
  <c r="K32"/>
  <c r="J37" i="65093"/>
  <c r="K37" s="1"/>
  <c r="K36"/>
  <c r="J34" i="65115"/>
  <c r="K34" s="1"/>
  <c r="J34" i="65100"/>
  <c r="K34" s="1"/>
  <c r="J40" i="65079"/>
  <c r="K40" s="1"/>
  <c r="K39"/>
  <c r="J38" i="65095"/>
  <c r="K38" s="1"/>
  <c r="K37"/>
  <c r="J38" i="65077"/>
  <c r="K38" s="1"/>
  <c r="K37"/>
  <c r="J51" i="65076"/>
  <c r="K51" s="1"/>
  <c r="K50"/>
  <c r="J33" i="65123"/>
  <c r="J34" i="65096"/>
  <c r="K34" s="1"/>
  <c r="J34" i="65097"/>
  <c r="K34" s="1"/>
  <c r="J34" i="65089"/>
  <c r="K34" s="1"/>
  <c r="K33" i="65094" l="1"/>
  <c r="J34"/>
  <c r="K34" s="1"/>
  <c r="J34" i="65123"/>
  <c r="K34" s="1"/>
  <c r="K33"/>
</calcChain>
</file>

<file path=xl/sharedStrings.xml><?xml version="1.0" encoding="utf-8"?>
<sst xmlns="http://schemas.openxmlformats.org/spreadsheetml/2006/main" count="1472" uniqueCount="185">
  <si>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</si>
  <si>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</si>
  <si>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</si>
  <si>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</si>
  <si>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</si>
  <si>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</si>
  <si>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</si>
  <si>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</si>
  <si>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</si>
  <si>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</si>
  <si>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</si>
  <si>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</si>
  <si>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</si>
  <si>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</si>
  <si>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</si>
  <si>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</si>
  <si>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</si>
  <si>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</si>
  <si>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</si>
  <si>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</si>
  <si>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</si>
  <si>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</si>
  <si>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</si>
  <si>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</si>
  <si>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</si>
  <si>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 xml:space="preserve"> Rekonstrukcija i investicijsko održavanje</t>
  </si>
  <si>
    <t xml:space="preserve"> Grantovi za zdravstvene i socijalne potrebe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</si>
  <si>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</si>
  <si>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</si>
  <si>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</si>
  <si>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</si>
  <si>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</si>
  <si>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</si>
  <si>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</si>
  <si>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</si>
  <si>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</si>
  <si>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</si>
  <si>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</si>
  <si>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</si>
  <si>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</si>
  <si>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</si>
  <si>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</si>
  <si>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</si>
  <si>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</si>
  <si>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</si>
  <si>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</si>
  <si>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</si>
  <si>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</si>
  <si>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</si>
  <si>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</si>
  <si>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</si>
  <si>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</si>
  <si>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</si>
  <si>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</si>
  <si>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</si>
  <si>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</si>
  <si>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</si>
  <si>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</si>
  <si>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</si>
  <si>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</si>
  <si>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</si>
  <si>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</si>
  <si>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</si>
  <si>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</si>
  <si>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</si>
  <si>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</si>
  <si>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</si>
  <si>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</si>
  <si>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</si>
  <si>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</si>
  <si>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</si>
  <si>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</si>
  <si>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</si>
  <si>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</si>
  <si>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</si>
  <si>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</si>
  <si>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</si>
  <si>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</si>
  <si>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</si>
  <si>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</si>
  <si>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</si>
  <si>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</si>
  <si>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</si>
  <si>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</si>
  <si>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</si>
  <si>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</si>
  <si>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</si>
  <si>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</si>
  <si>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</si>
  <si>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</si>
  <si>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</si>
  <si>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</si>
  <si>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</si>
  <si>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</si>
  <si>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</si>
  <si>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</si>
  <si>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</si>
  <si>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</si>
  <si>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</si>
  <si>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</si>
  <si>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 xml:space="preserve"> Otplate domaćeg pozajmljivanja</t>
  </si>
  <si>
    <t xml:space="preserve"> Izdaci za negativne tečajne razlike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</si>
  <si>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</si>
  <si>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</si>
  <si>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</si>
  <si>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</si>
  <si>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</si>
  <si>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</si>
  <si>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</si>
  <si>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</si>
  <si>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</si>
  <si>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</si>
  <si>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</si>
  <si>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 xml:space="preserve"> Agencija za državnu službu ŽP</t>
  </si>
  <si>
    <t xml:space="preserve"> Kamate na domaće pozajmljivanje-Koreja</t>
  </si>
  <si>
    <t>Izdaci za otplate dugova</t>
  </si>
  <si>
    <t xml:space="preserve"> Kamate na domaće pozajmljivanje-OPEC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</si>
  <si>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</si>
  <si>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</si>
  <si>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</si>
  <si>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</si>
  <si>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</si>
  <si>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</si>
  <si>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</si>
  <si>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</si>
  <si>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</si>
  <si>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</si>
  <si>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</si>
  <si>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 xml:space="preserve"> Grant za sufinanciranje osn.i srednjeg obrazovanja
 djece s posebnim potrebama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</si>
  <si>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</si>
  <si>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</si>
  <si>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</si>
  <si>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</si>
  <si>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</si>
  <si>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</si>
  <si>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</si>
  <si>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 xml:space="preserve"> Grant za Udr.roditelja djece s pos.potrebama 
 Angelus Domaljevac</t>
  </si>
  <si>
    <t xml:space="preserve"> Nabavka stalnih sredstava u obliku prava</t>
  </si>
  <si>
    <t xml:space="preserve"> Naknade troškova zaposlenih - volonteri ()</t>
  </si>
  <si>
    <t xml:space="preserve"> Ugovorene i druge posebne usluge-volonteri ()</t>
  </si>
  <si>
    <t xml:space="preserve"> Potpora riznici</t>
  </si>
  <si>
    <t xml:space="preserve"> Grantovi neprofitnim organizacijama i udrugama 
 građana</t>
  </si>
  <si>
    <t>21 (21)</t>
  </si>
  <si>
    <t>URED ZA RAZVOJ I EUROPSKE INTEGRACIJE ŽUPANIJE POSAVSKE</t>
  </si>
  <si>
    <t>43 (45)</t>
  </si>
  <si>
    <t>51 (51)</t>
  </si>
  <si>
    <t>32 (33)</t>
  </si>
  <si>
    <t>29 (29)</t>
  </si>
  <si>
    <t xml:space="preserve"> Ugovorene i druge posebne usluge-prostorni plan</t>
  </si>
  <si>
    <t xml:space="preserve"> Ugovorene i druge posebne usluge-Nerda</t>
  </si>
  <si>
    <t>PRORAČUN za 2018.</t>
  </si>
  <si>
    <t>Ekon. 
kod</t>
  </si>
  <si>
    <t xml:space="preserve"> Ostali grantovi-izvršenje sudskih presuda i rješenja
 o izvršenju</t>
  </si>
  <si>
    <t xml:space="preserve"> Transfer za zdravstvene institucije i centre za
 soc.rad</t>
  </si>
  <si>
    <t>53 (60)</t>
  </si>
  <si>
    <t>43 (43)</t>
  </si>
  <si>
    <t>28 (28)</t>
  </si>
  <si>
    <t>Otplate domaćeg pozajmljivanja-Austrija</t>
  </si>
  <si>
    <t>Otplate domaćeg pozajmljivanja-Koreja</t>
  </si>
  <si>
    <t>105 (109)</t>
  </si>
  <si>
    <t xml:space="preserve"> Naknade troškova zaposlenih - volonteri (57) (60)</t>
  </si>
  <si>
    <t xml:space="preserve"> Ugovorene i dr. posebne usluge-volonteri (57) (60)</t>
  </si>
  <si>
    <t>53 (55)</t>
  </si>
  <si>
    <t>53 (53)</t>
  </si>
  <si>
    <t>45 (45)</t>
  </si>
  <si>
    <t xml:space="preserve"> Grant za sufinanciranje profesionalne vatrogasne
 postrojbe</t>
  </si>
  <si>
    <t>INDEKS 9/7</t>
  </si>
  <si>
    <t>54 (61)</t>
  </si>
  <si>
    <t xml:space="preserve"> Naknade troškova zaposlenih - volonteri (1) (0)</t>
  </si>
  <si>
    <t xml:space="preserve"> Ugovorene i druge posebne usluge-volonteri (1) (0)</t>
  </si>
  <si>
    <t xml:space="preserve"> Naknade troškova zaposlenih - volonteri (2) (0)</t>
  </si>
  <si>
    <t xml:space="preserve"> Ugovorene i druge posebne usluge-volonteri (2) (0)</t>
  </si>
  <si>
    <t xml:space="preserve"> Grant za Obrtničku komoru ŽP</t>
  </si>
  <si>
    <t xml:space="preserve"> Grant za sufinanc.nabavke udžbenika učenicima</t>
  </si>
  <si>
    <t xml:space="preserve"> Grant za Udr.osoba s posebnim potrebama Put
 u život Orašje</t>
  </si>
  <si>
    <t xml:space="preserve"> Grant za razvoj poduzetništva, obrta i zadruga</t>
  </si>
  <si>
    <t>Izvršenje Proračuna 01.01.-30.09.18.</t>
  </si>
  <si>
    <t>Povećanje/ smanjenje PRORAČUNA za 2018.</t>
  </si>
  <si>
    <t>54 (54)</t>
  </si>
  <si>
    <r>
      <t xml:space="preserve">44 (45) </t>
    </r>
    <r>
      <rPr>
        <b/>
        <i/>
        <sz val="10"/>
        <rFont val="Arial"/>
        <family val="2"/>
        <charset val="238"/>
      </rPr>
      <t>(59)</t>
    </r>
  </si>
  <si>
    <t>107 (110)</t>
  </si>
  <si>
    <t>31 (31)</t>
  </si>
  <si>
    <t>48 (49)</t>
  </si>
  <si>
    <t>20 (20)</t>
  </si>
  <si>
    <t>Izmjene i dopune PRORAČUNA za 2018.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</si>
</sst>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</numFmts>
  <fonts count="13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7" fillId="0" borderId="0" applyFont="0" applyFill="0" applyBorder="0" applyAlignment="0" applyProtection="0"/>
    <xf numFmtId="0" fontId="1" fillId="0" borderId="0"/>
    <xf numFmtId="0" fontId="6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51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 vertical="center" textRotation="90" wrapText="1"/>
    </xf>
    <xf numFmtId="0" fontId="2" fillId="0" borderId="2" xfId="2" applyFont="1" applyBorder="1" applyAlignment="1">
      <alignment horizontal="center" vertical="center" textRotation="90" wrapText="1"/>
    </xf>
    <xf numFmtId="0" fontId="2" fillId="0" borderId="2" xfId="2" applyFont="1" applyFill="1" applyBorder="1" applyAlignment="1">
      <alignment horizontal="center" vertical="center" textRotation="90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49" fontId="2" fillId="0" borderId="3" xfId="2" applyNumberFormat="1" applyFont="1" applyBorder="1" applyAlignment="1">
      <alignment horizontal="center"/>
    </xf>
    <xf numFmtId="49" fontId="2" fillId="0" borderId="4" xfId="2" applyNumberFormat="1" applyFont="1" applyBorder="1" applyAlignment="1">
      <alignment horizontal="center"/>
    </xf>
    <xf numFmtId="0" fontId="2" fillId="0" borderId="4" xfId="2" applyFont="1" applyBorder="1"/>
    <xf numFmtId="0" fontId="1" fillId="0" borderId="0" xfId="2"/>
    <xf numFmtId="0" fontId="1" fillId="0" borderId="3" xfId="2" applyBorder="1"/>
    <xf numFmtId="0" fontId="1" fillId="0" borderId="4" xfId="2" applyBorder="1"/>
    <xf numFmtId="0" fontId="1" fillId="0" borderId="4" xfId="2" applyBorder="1" applyAlignment="1">
      <alignment horizontal="center"/>
    </xf>
    <xf numFmtId="0" fontId="2" fillId="0" borderId="3" xfId="2" applyFont="1" applyBorder="1"/>
    <xf numFmtId="0" fontId="3" fillId="0" borderId="4" xfId="2" applyFont="1" applyBorder="1"/>
    <xf numFmtId="0" fontId="1" fillId="0" borderId="4" xfId="2" applyFill="1" applyBorder="1"/>
    <xf numFmtId="3" fontId="2" fillId="0" borderId="4" xfId="2" applyNumberFormat="1" applyFont="1" applyBorder="1"/>
    <xf numFmtId="0" fontId="1" fillId="0" borderId="5" xfId="2" applyBorder="1"/>
    <xf numFmtId="0" fontId="1" fillId="0" borderId="6" xfId="2" applyBorder="1"/>
    <xf numFmtId="0" fontId="1" fillId="0" borderId="6" xfId="2" applyBorder="1" applyAlignment="1">
      <alignment horizontal="center"/>
    </xf>
    <xf numFmtId="0" fontId="1" fillId="0" borderId="0" xfId="2" applyAlignment="1">
      <alignment horizontal="center"/>
    </xf>
    <xf numFmtId="3" fontId="2" fillId="0" borderId="4" xfId="2" applyNumberFormat="1" applyFont="1" applyBorder="1" applyAlignment="1">
      <alignment horizontal="right"/>
    </xf>
    <xf numFmtId="0" fontId="1" fillId="0" borderId="4" xfId="2" applyFont="1" applyBorder="1"/>
    <xf numFmtId="0" fontId="2" fillId="0" borderId="4" xfId="2" applyFont="1" applyBorder="1" applyAlignment="1">
      <alignment horizontal="left"/>
    </xf>
    <xf numFmtId="0" fontId="0" fillId="0" borderId="4" xfId="0" applyBorder="1"/>
    <xf numFmtId="0" fontId="1" fillId="0" borderId="7" xfId="2" applyBorder="1"/>
    <xf numFmtId="0" fontId="2" fillId="0" borderId="7" xfId="2" applyFont="1" applyBorder="1"/>
    <xf numFmtId="0" fontId="2" fillId="0" borderId="4" xfId="0" applyFont="1" applyBorder="1"/>
    <xf numFmtId="3" fontId="1" fillId="0" borderId="4" xfId="2" applyNumberFormat="1" applyBorder="1"/>
    <xf numFmtId="3" fontId="3" fillId="0" borderId="4" xfId="2" applyNumberFormat="1" applyFont="1" applyBorder="1"/>
    <xf numFmtId="3" fontId="1" fillId="0" borderId="6" xfId="2" applyNumberFormat="1" applyBorder="1"/>
    <xf numFmtId="3" fontId="2" fillId="2" borderId="4" xfId="2" applyNumberFormat="1" applyFont="1" applyFill="1" applyBorder="1"/>
    <xf numFmtId="0" fontId="3" fillId="0" borderId="4" xfId="2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0" fontId="0" fillId="0" borderId="8" xfId="0" applyBorder="1"/>
    <xf numFmtId="0" fontId="2" fillId="0" borderId="9" xfId="2" applyFont="1" applyBorder="1" applyAlignment="1">
      <alignment horizontal="center"/>
    </xf>
    <xf numFmtId="0" fontId="1" fillId="0" borderId="10" xfId="2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8" xfId="2" applyFill="1" applyBorder="1"/>
    <xf numFmtId="0" fontId="1" fillId="0" borderId="9" xfId="2" applyBorder="1" applyAlignment="1">
      <alignment horizontal="center"/>
    </xf>
    <xf numFmtId="0" fontId="3" fillId="0" borderId="4" xfId="0" applyFont="1" applyBorder="1"/>
    <xf numFmtId="0" fontId="2" fillId="0" borderId="2" xfId="2" applyFont="1" applyFill="1" applyBorder="1" applyAlignment="1">
      <alignment horizontal="center" vertical="center" wrapText="1"/>
    </xf>
    <xf numFmtId="0" fontId="1" fillId="0" borderId="10" xfId="2" applyFont="1" applyBorder="1"/>
    <xf numFmtId="0" fontId="2" fillId="0" borderId="10" xfId="2" applyFont="1" applyBorder="1"/>
    <xf numFmtId="0" fontId="1" fillId="0" borderId="8" xfId="2" applyBorder="1" applyAlignment="1">
      <alignment horizontal="center"/>
    </xf>
    <xf numFmtId="0" fontId="1" fillId="0" borderId="0" xfId="2" applyFont="1"/>
    <xf numFmtId="3" fontId="1" fillId="0" borderId="4" xfId="2" applyNumberFormat="1" applyFill="1" applyBorder="1"/>
    <xf numFmtId="3" fontId="1" fillId="0" borderId="12" xfId="2" applyNumberFormat="1" applyBorder="1"/>
    <xf numFmtId="2" fontId="2" fillId="0" borderId="0" xfId="2" applyNumberFormat="1" applyFont="1"/>
    <xf numFmtId="3" fontId="1" fillId="0" borderId="0" xfId="2" applyNumberFormat="1"/>
    <xf numFmtId="3" fontId="2" fillId="0" borderId="0" xfId="2" applyNumberFormat="1" applyFont="1"/>
    <xf numFmtId="3" fontId="1" fillId="0" borderId="0" xfId="2" applyNumberFormat="1" applyFont="1"/>
    <xf numFmtId="0" fontId="3" fillId="0" borderId="0" xfId="2" applyFont="1"/>
    <xf numFmtId="0" fontId="3" fillId="0" borderId="3" xfId="2" applyFont="1" applyBorder="1"/>
    <xf numFmtId="0" fontId="2" fillId="0" borderId="13" xfId="2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6" fillId="0" borderId="0" xfId="2" applyFont="1"/>
    <xf numFmtId="3" fontId="2" fillId="0" borderId="4" xfId="2" applyNumberFormat="1" applyFont="1" applyFill="1" applyBorder="1"/>
    <xf numFmtId="3" fontId="6" fillId="0" borderId="4" xfId="2" applyNumberFormat="1" applyFont="1" applyBorder="1"/>
    <xf numFmtId="0" fontId="1" fillId="0" borderId="4" xfId="2" applyFont="1" applyFill="1" applyBorder="1"/>
    <xf numFmtId="0" fontId="1" fillId="0" borderId="0" xfId="2" applyFont="1" applyFill="1"/>
    <xf numFmtId="0" fontId="1" fillId="0" borderId="0" xfId="2" applyFill="1"/>
    <xf numFmtId="0" fontId="2" fillId="0" borderId="0" xfId="2" applyFont="1" applyFill="1"/>
    <xf numFmtId="0" fontId="0" fillId="0" borderId="4" xfId="0" applyFill="1" applyBorder="1"/>
    <xf numFmtId="0" fontId="3" fillId="0" borderId="4" xfId="2" applyFont="1" applyFill="1" applyBorder="1"/>
    <xf numFmtId="3" fontId="3" fillId="0" borderId="4" xfId="2" applyNumberFormat="1" applyFont="1" applyFill="1" applyBorder="1"/>
    <xf numFmtId="0" fontId="1" fillId="0" borderId="10" xfId="2" applyFill="1" applyBorder="1" applyAlignment="1">
      <alignment horizontal="center"/>
    </xf>
    <xf numFmtId="0" fontId="1" fillId="0" borderId="4" xfId="2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3" fontId="2" fillId="0" borderId="4" xfId="2" applyNumberFormat="1" applyFont="1" applyFill="1" applyBorder="1" applyAlignment="1">
      <alignment horizontal="right"/>
    </xf>
    <xf numFmtId="49" fontId="2" fillId="0" borderId="3" xfId="2" applyNumberFormat="1" applyFont="1" applyFill="1" applyBorder="1" applyAlignment="1">
      <alignment horizontal="center"/>
    </xf>
    <xf numFmtId="49" fontId="2" fillId="0" borderId="4" xfId="2" applyNumberFormat="1" applyFont="1" applyFill="1" applyBorder="1" applyAlignment="1">
      <alignment horizontal="center"/>
    </xf>
    <xf numFmtId="4" fontId="1" fillId="0" borderId="0" xfId="2" applyNumberFormat="1"/>
    <xf numFmtId="4" fontId="2" fillId="0" borderId="0" xfId="2" applyNumberFormat="1" applyFont="1" applyAlignment="1">
      <alignment horizontal="left"/>
    </xf>
    <xf numFmtId="4" fontId="2" fillId="0" borderId="0" xfId="2" applyNumberFormat="1" applyFont="1" applyFill="1" applyAlignment="1">
      <alignment horizontal="left"/>
    </xf>
    <xf numFmtId="4" fontId="1" fillId="0" borderId="12" xfId="2" applyNumberFormat="1" applyBorder="1"/>
    <xf numFmtId="4" fontId="2" fillId="0" borderId="14" xfId="2" applyNumberFormat="1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/>
    </xf>
    <xf numFmtId="4" fontId="2" fillId="0" borderId="15" xfId="2" applyNumberFormat="1" applyFont="1" applyBorder="1" applyAlignment="1">
      <alignment horizontal="center"/>
    </xf>
    <xf numFmtId="4" fontId="2" fillId="0" borderId="15" xfId="2" applyNumberFormat="1" applyFont="1" applyFill="1" applyBorder="1"/>
    <xf numFmtId="4" fontId="3" fillId="0" borderId="15" xfId="2" applyNumberFormat="1" applyFont="1" applyFill="1" applyBorder="1"/>
    <xf numFmtId="4" fontId="1" fillId="0" borderId="15" xfId="2" applyNumberFormat="1" applyBorder="1"/>
    <xf numFmtId="4" fontId="2" fillId="0" borderId="15" xfId="2" applyNumberFormat="1" applyFont="1" applyBorder="1"/>
    <xf numFmtId="4" fontId="1" fillId="0" borderId="16" xfId="2" applyNumberFormat="1" applyBorder="1"/>
    <xf numFmtId="3" fontId="1" fillId="0" borderId="8" xfId="2" applyNumberFormat="1" applyBorder="1"/>
    <xf numFmtId="3" fontId="2" fillId="2" borderId="8" xfId="2" applyNumberFormat="1" applyFont="1" applyFill="1" applyBorder="1"/>
    <xf numFmtId="3" fontId="3" fillId="0" borderId="8" xfId="2" applyNumberFormat="1" applyFont="1" applyBorder="1"/>
    <xf numFmtId="3" fontId="1" fillId="0" borderId="8" xfId="2" applyNumberFormat="1" applyFill="1" applyBorder="1"/>
    <xf numFmtId="0" fontId="2" fillId="0" borderId="8" xfId="2" applyFont="1" applyBorder="1" applyAlignment="1">
      <alignment horizontal="center"/>
    </xf>
    <xf numFmtId="3" fontId="2" fillId="0" borderId="8" xfId="2" applyNumberFormat="1" applyFont="1" applyFill="1" applyBorder="1" applyAlignment="1">
      <alignment horizontal="right"/>
    </xf>
    <xf numFmtId="3" fontId="2" fillId="0" borderId="8" xfId="2" applyNumberFormat="1" applyFont="1" applyBorder="1"/>
    <xf numFmtId="3" fontId="3" fillId="0" borderId="8" xfId="2" applyNumberFormat="1" applyFont="1" applyFill="1" applyBorder="1"/>
    <xf numFmtId="3" fontId="2" fillId="0" borderId="4" xfId="2" applyNumberFormat="1" applyFont="1" applyBorder="1" applyAlignment="1">
      <alignment horizontal="center"/>
    </xf>
    <xf numFmtId="3" fontId="1" fillId="0" borderId="4" xfId="2" applyNumberFormat="1" applyFont="1" applyFill="1" applyBorder="1"/>
    <xf numFmtId="3" fontId="4" fillId="0" borderId="4" xfId="2" applyNumberFormat="1" applyFont="1" applyFill="1" applyBorder="1"/>
    <xf numFmtId="3" fontId="6" fillId="0" borderId="4" xfId="2" applyNumberFormat="1" applyFont="1" applyFill="1" applyBorder="1"/>
    <xf numFmtId="4" fontId="2" fillId="0" borderId="16" xfId="2" applyNumberFormat="1" applyFont="1" applyBorder="1"/>
    <xf numFmtId="3" fontId="2" fillId="0" borderId="6" xfId="2" applyNumberFormat="1" applyFont="1" applyBorder="1"/>
    <xf numFmtId="164" fontId="5" fillId="0" borderId="11" xfId="2" applyNumberFormat="1" applyFont="1" applyBorder="1" applyAlignment="1"/>
    <xf numFmtId="164" fontId="8" fillId="0" borderId="11" xfId="0" applyNumberFormat="1" applyFont="1" applyBorder="1" applyAlignment="1"/>
    <xf numFmtId="0" fontId="1" fillId="0" borderId="3" xfId="2" applyBorder="1" applyAlignment="1">
      <alignment vertical="center"/>
    </xf>
    <xf numFmtId="0" fontId="1" fillId="0" borderId="4" xfId="2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4" xfId="2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3" fontId="3" fillId="0" borderId="4" xfId="2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0" fillId="0" borderId="4" xfId="0" applyBorder="1" applyAlignment="1">
      <alignment vertical="center" wrapText="1"/>
    </xf>
    <xf numFmtId="0" fontId="3" fillId="0" borderId="3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Fill="1" applyBorder="1" applyAlignment="1">
      <alignment vertical="center" wrapText="1"/>
    </xf>
    <xf numFmtId="3" fontId="3" fillId="0" borderId="8" xfId="2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4" fontId="4" fillId="0" borderId="15" xfId="2" applyNumberFormat="1" applyFont="1" applyFill="1" applyBorder="1"/>
    <xf numFmtId="4" fontId="1" fillId="0" borderId="0" xfId="2" applyNumberFormat="1" applyFont="1"/>
    <xf numFmtId="3" fontId="1" fillId="0" borderId="0" xfId="2" applyNumberFormat="1" applyFill="1"/>
    <xf numFmtId="4" fontId="1" fillId="0" borderId="0" xfId="2" applyNumberFormat="1" applyFill="1"/>
    <xf numFmtId="0" fontId="4" fillId="0" borderId="2" xfId="2" applyFont="1" applyFill="1" applyBorder="1" applyAlignment="1">
      <alignment horizontal="center" vertical="center" wrapText="1"/>
    </xf>
    <xf numFmtId="0" fontId="6" fillId="0" borderId="4" xfId="2" applyFont="1" applyFill="1" applyBorder="1"/>
    <xf numFmtId="0" fontId="6" fillId="0" borderId="4" xfId="2" applyFont="1" applyFill="1" applyBorder="1" applyAlignment="1">
      <alignment wrapText="1"/>
    </xf>
    <xf numFmtId="0" fontId="6" fillId="0" borderId="4" xfId="2" applyFont="1" applyBorder="1"/>
    <xf numFmtId="3" fontId="6" fillId="0" borderId="4" xfId="3" applyNumberFormat="1" applyFill="1" applyBorder="1"/>
    <xf numFmtId="3" fontId="2" fillId="0" borderId="4" xfId="3" applyNumberFormat="1" applyFont="1" applyFill="1" applyBorder="1"/>
    <xf numFmtId="3" fontId="6" fillId="0" borderId="8" xfId="3" applyNumberFormat="1" applyFill="1" applyBorder="1"/>
    <xf numFmtId="3" fontId="3" fillId="0" borderId="4" xfId="3" applyNumberFormat="1" applyFont="1" applyFill="1" applyBorder="1"/>
    <xf numFmtId="3" fontId="6" fillId="0" borderId="4" xfId="3" applyNumberFormat="1" applyFont="1" applyFill="1" applyBorder="1"/>
    <xf numFmtId="0" fontId="1" fillId="2" borderId="4" xfId="2" applyFont="1" applyFill="1" applyBorder="1" applyAlignment="1">
      <alignment wrapText="1"/>
    </xf>
    <xf numFmtId="0" fontId="2" fillId="0" borderId="4" xfId="2" applyFont="1" applyFill="1" applyBorder="1"/>
    <xf numFmtId="3" fontId="2" fillId="0" borderId="8" xfId="3" applyNumberFormat="1" applyFont="1" applyFill="1" applyBorder="1"/>
    <xf numFmtId="3" fontId="2" fillId="3" borderId="4" xfId="3" applyNumberFormat="1" applyFont="1" applyFill="1" applyBorder="1"/>
    <xf numFmtId="3" fontId="6" fillId="3" borderId="4" xfId="3" applyNumberFormat="1" applyFill="1" applyBorder="1"/>
    <xf numFmtId="3" fontId="3" fillId="3" borderId="4" xfId="3" applyNumberFormat="1" applyFont="1" applyFill="1" applyBorder="1"/>
    <xf numFmtId="3" fontId="3" fillId="3" borderId="4" xfId="2" applyNumberFormat="1" applyFont="1" applyFill="1" applyBorder="1"/>
    <xf numFmtId="0" fontId="1" fillId="0" borderId="4" xfId="2" applyFont="1" applyFill="1" applyBorder="1" applyAlignment="1">
      <alignment wrapText="1"/>
    </xf>
    <xf numFmtId="0" fontId="2" fillId="0" borderId="0" xfId="2" applyFont="1" applyFill="1" applyAlignment="1">
      <alignment horizontal="left"/>
    </xf>
    <xf numFmtId="0" fontId="2" fillId="0" borderId="11" xfId="2" applyFont="1" applyBorder="1" applyAlignment="1">
      <alignment horizontal="right"/>
    </xf>
    <xf numFmtId="0" fontId="2" fillId="0" borderId="0" xfId="2" applyFont="1" applyAlignment="1">
      <alignment horizontal="left"/>
    </xf>
    <xf numFmtId="4" fontId="4" fillId="0" borderId="14" xfId="2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4" xfId="2" applyFont="1" applyBorder="1" applyAlignment="1">
      <alignment wrapText="1"/>
    </xf>
    <xf numFmtId="0" fontId="11" fillId="0" borderId="2" xfId="2" applyFont="1" applyFill="1" applyBorder="1" applyAlignment="1">
      <alignment horizontal="center" vertical="center" wrapText="1"/>
    </xf>
    <xf numFmtId="4" fontId="1" fillId="0" borderId="15" xfId="2" applyNumberFormat="1" applyFont="1" applyFill="1" applyBorder="1"/>
    <xf numFmtId="4" fontId="10" fillId="0" borderId="15" xfId="2" applyNumberFormat="1" applyFont="1" applyFill="1" applyBorder="1"/>
    <xf numFmtId="0" fontId="12" fillId="0" borderId="2" xfId="2" applyFont="1" applyFill="1" applyBorder="1" applyAlignment="1">
      <alignment horizontal="center" vertical="center" wrapText="1"/>
    </xf>
    <xf numFmtId="3" fontId="2" fillId="0" borderId="4" xfId="2" applyNumberFormat="1" applyFont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 applyAlignment="1">
      <alignment horizontal="right"/>
    </xf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2" fillId="0" borderId="4" xfId="2" applyNumberFormat="1" applyFont="1" applyBorder="1"/>
    <xf numFmtId="3" fontId="1" fillId="0" borderId="4" xfId="2" applyNumberFormat="1" applyFill="1" applyBorder="1"/>
    <xf numFmtId="3" fontId="3" fillId="0" borderId="4" xfId="2" applyNumberFormat="1" applyFont="1" applyFill="1" applyBorder="1"/>
    <xf numFmtId="3" fontId="1" fillId="0" borderId="8" xfId="2" applyNumberFormat="1" applyBorder="1"/>
    <xf numFmtId="3" fontId="2" fillId="2" borderId="8" xfId="2" applyNumberFormat="1" applyFont="1" applyFill="1" applyBorder="1"/>
    <xf numFmtId="3" fontId="3" fillId="0" borderId="8" xfId="2" applyNumberFormat="1" applyFont="1" applyBorder="1"/>
    <xf numFmtId="3" fontId="1" fillId="0" borderId="8" xfId="2" applyNumberFormat="1" applyFill="1" applyBorder="1"/>
    <xf numFmtId="3" fontId="2" fillId="0" borderId="8" xfId="2" applyNumberFormat="1" applyFont="1" applyFill="1" applyBorder="1" applyAlignment="1">
      <alignment horizontal="right"/>
    </xf>
    <xf numFmtId="3" fontId="2" fillId="0" borderId="8" xfId="2" applyNumberFormat="1" applyFont="1" applyBorder="1"/>
    <xf numFmtId="3" fontId="3" fillId="0" borderId="8" xfId="2" applyNumberFormat="1" applyFont="1" applyFill="1" applyBorder="1"/>
    <xf numFmtId="3" fontId="1" fillId="0" borderId="4" xfId="2" applyNumberFormat="1" applyFont="1" applyFill="1" applyBorder="1"/>
    <xf numFmtId="3" fontId="3" fillId="0" borderId="8" xfId="2" applyNumberFormat="1" applyFont="1" applyBorder="1" applyAlignment="1">
      <alignment vertical="center"/>
    </xf>
    <xf numFmtId="3" fontId="1" fillId="0" borderId="8" xfId="6" applyNumberFormat="1" applyFill="1" applyBorder="1"/>
    <xf numFmtId="3" fontId="2" fillId="0" borderId="8" xfId="6" applyNumberFormat="1" applyFont="1" applyFill="1" applyBorder="1"/>
    <xf numFmtId="3" fontId="2" fillId="0" borderId="4" xfId="2" applyNumberFormat="1" applyFont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2" fillId="0" borderId="4" xfId="2" applyNumberFormat="1" applyFont="1" applyBorder="1"/>
    <xf numFmtId="3" fontId="1" fillId="0" borderId="4" xfId="2" applyNumberForma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2" fillId="3" borderId="4" xfId="6" applyNumberFormat="1" applyFont="1" applyFill="1" applyBorder="1"/>
    <xf numFmtId="3" fontId="1" fillId="3" borderId="4" xfId="6" applyNumberFormat="1" applyFill="1" applyBorder="1"/>
    <xf numFmtId="3" fontId="2" fillId="0" borderId="4" xfId="2" applyNumberFormat="1" applyFont="1" applyBorder="1"/>
    <xf numFmtId="3" fontId="1" fillId="0" borderId="4" xfId="2" applyNumberForma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2" fillId="0" borderId="4" xfId="2" applyNumberFormat="1" applyFont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1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2" fillId="0" borderId="4" xfId="2" applyNumberFormat="1" applyFont="1" applyFill="1" applyBorder="1" applyAlignment="1">
      <alignment horizontal="right"/>
    </xf>
    <xf numFmtId="3" fontId="2" fillId="3" borderId="4" xfId="6" applyNumberFormat="1" applyFont="1" applyFill="1" applyBorder="1"/>
    <xf numFmtId="3" fontId="1" fillId="3" borderId="4" xfId="6" applyNumberFormat="1" applyFill="1" applyBorder="1"/>
    <xf numFmtId="3" fontId="3" fillId="3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0" fontId="1" fillId="0" borderId="4" xfId="2" applyBorder="1"/>
    <xf numFmtId="3" fontId="2" fillId="0" borderId="4" xfId="2" applyNumberFormat="1" applyFont="1" applyBorder="1" applyAlignment="1">
      <alignment horizontal="right"/>
    </xf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2" applyNumberFormat="1" applyFont="1" applyFill="1" applyBorder="1"/>
    <xf numFmtId="3" fontId="4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0" fontId="2" fillId="0" borderId="4" xfId="2" applyFont="1" applyFill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1" fillId="0" borderId="4" xfId="6" applyNumberFormat="1" applyFont="1" applyFill="1" applyBorder="1"/>
    <xf numFmtId="3" fontId="2" fillId="0" borderId="4" xfId="2" applyNumberFormat="1" applyFont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3" fillId="0" borderId="4" xfId="2" applyNumberFormat="1" applyFont="1" applyFill="1" applyBorder="1" applyAlignment="1">
      <alignment vertical="center"/>
    </xf>
    <xf numFmtId="3" fontId="2" fillId="3" borderId="4" xfId="6" applyNumberFormat="1" applyFont="1" applyFill="1" applyBorder="1"/>
    <xf numFmtId="3" fontId="1" fillId="3" borderId="4" xfId="6" applyNumberFormat="1" applyFill="1" applyBorder="1"/>
    <xf numFmtId="3" fontId="3" fillId="3" borderId="4" xfId="6" applyNumberFormat="1" applyFont="1" applyFill="1" applyBorder="1"/>
    <xf numFmtId="3" fontId="2" fillId="0" borderId="4" xfId="2" applyNumberFormat="1" applyFont="1" applyBorder="1"/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1" fillId="0" borderId="4" xfId="2" applyNumberFormat="1" applyFont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3" fillId="3" borderId="4" xfId="2" applyNumberFormat="1" applyFont="1" applyFill="1" applyBorder="1"/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 applyAlignment="1">
      <alignment horizontal="right"/>
    </xf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1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2" fillId="0" borderId="4" xfId="2" applyNumberFormat="1" applyFont="1" applyFill="1" applyBorder="1" applyAlignment="1">
      <alignment horizontal="right"/>
    </xf>
    <xf numFmtId="3" fontId="1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2" fillId="0" borderId="4" xfId="2" applyNumberFormat="1" applyFont="1" applyBorder="1" applyAlignment="1">
      <alignment horizontal="right"/>
    </xf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2" fillId="0" borderId="4" xfId="2" applyNumberFormat="1" applyFont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1" fillId="0" borderId="4" xfId="2" applyNumberFormat="1" applyBorder="1"/>
    <xf numFmtId="3" fontId="2" fillId="2" borderId="4" xfId="2" applyNumberFormat="1" applyFont="1" applyFill="1" applyBorder="1"/>
    <xf numFmtId="3" fontId="1" fillId="0" borderId="4" xfId="2" applyNumberForma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3" fontId="2" fillId="0" borderId="4" xfId="2" applyNumberFormat="1" applyFont="1" applyBorder="1"/>
    <xf numFmtId="3" fontId="3" fillId="0" borderId="4" xfId="2" applyNumberFormat="1" applyFont="1" applyBorder="1"/>
    <xf numFmtId="3" fontId="2" fillId="2" borderId="4" xfId="2" applyNumberFormat="1" applyFont="1" applyFill="1" applyBorder="1"/>
    <xf numFmtId="3" fontId="2" fillId="0" borderId="4" xfId="2" applyNumberFormat="1" applyFont="1" applyFill="1" applyBorder="1"/>
    <xf numFmtId="3" fontId="3" fillId="0" borderId="4" xfId="2" applyNumberFormat="1" applyFont="1" applyFill="1" applyBorder="1"/>
    <xf numFmtId="3" fontId="1" fillId="0" borderId="4" xfId="6" applyNumberFormat="1" applyFill="1" applyBorder="1"/>
    <xf numFmtId="3" fontId="2" fillId="0" borderId="4" xfId="6" applyNumberFormat="1" applyFont="1" applyFill="1" applyBorder="1"/>
    <xf numFmtId="3" fontId="3" fillId="0" borderId="4" xfId="6" applyNumberFormat="1" applyFont="1" applyFill="1" applyBorder="1"/>
    <xf numFmtId="0" fontId="2" fillId="0" borderId="0" xfId="2" applyFont="1" applyFill="1" applyAlignment="1">
      <alignment horizontal="left"/>
    </xf>
    <xf numFmtId="0" fontId="2" fillId="0" borderId="11" xfId="2" applyFont="1" applyBorder="1" applyAlignment="1">
      <alignment horizontal="right"/>
    </xf>
    <xf numFmtId="0" fontId="2" fillId="0" borderId="0" xfId="2" applyFont="1" applyAlignment="1">
      <alignment horizontal="left"/>
    </xf>
    <xf numFmtId="0" fontId="2" fillId="3" borderId="0" xfId="2" applyFont="1" applyFill="1" applyAlignment="1">
      <alignment horizontal="left"/>
    </xf>
  </cellXfs>
  <cellStyles count="8">
    <cellStyle name="Comma_izvrsenje300903-s planom 2" xfId="1"/>
    <cellStyle name="Normal_sablon1-230704" xfId="2"/>
    <cellStyle name="Normal_sablon1-230704 2" xfId="3"/>
    <cellStyle name="Normal_sablon1-230704 2 2" xfId="6"/>
    <cellStyle name="Obično" xfId="0" builtinId="0"/>
    <cellStyle name="Obično 2" xfId="5"/>
    <cellStyle name="Zarez 2" xfId="4"/>
    <cellStyle name="Zarez 2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M59"/>
  <sheetViews>
    <sheetView topLeftCell="G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s="65" customFormat="1" ht="15" customHeight="1">
      <c r="B2" s="447" t="s">
        <v>48</v>
      </c>
      <c r="C2" s="447"/>
      <c r="D2" s="447"/>
      <c r="E2" s="447"/>
      <c r="F2" s="447"/>
      <c r="G2" s="447"/>
      <c r="H2" s="141"/>
      <c r="I2" s="141"/>
      <c r="J2" s="122"/>
      <c r="K2" s="12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49</v>
      </c>
      <c r="C6" s="11" t="s">
        <v>3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99420</v>
      </c>
      <c r="H7" s="129">
        <f>SUM(H8:H11)</f>
        <v>99420</v>
      </c>
      <c r="I7" s="221">
        <v>56890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64830+1000+1950+13100</f>
        <v>80880</v>
      </c>
      <c r="H8" s="131">
        <f>64830+1000+1950+13100</f>
        <v>80880</v>
      </c>
      <c r="I8" s="222">
        <v>49065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10210+1000+7330</f>
        <v>18540</v>
      </c>
      <c r="H9" s="131">
        <f>10210+1000+7330</f>
        <v>18540</v>
      </c>
      <c r="I9" s="222">
        <v>7825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20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222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8850</v>
      </c>
      <c r="H12" s="129">
        <f>H13</f>
        <v>8850</v>
      </c>
      <c r="I12" s="221">
        <v>5215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6890+300+210+1450</f>
        <v>8850</v>
      </c>
      <c r="H13" s="131">
        <f>6890+300+210+1450</f>
        <v>8850</v>
      </c>
      <c r="I13" s="222">
        <v>5215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216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80100</v>
      </c>
      <c r="H15" s="35">
        <f>SUM(H16:H25)</f>
        <v>80100</v>
      </c>
      <c r="I15" s="217">
        <v>60644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50">
        <v>3500</v>
      </c>
      <c r="H16" s="50">
        <v>3500</v>
      </c>
      <c r="I16" s="218">
        <v>2989</v>
      </c>
      <c r="J16" s="50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50">
        <v>0</v>
      </c>
      <c r="H17" s="50">
        <v>0</v>
      </c>
      <c r="I17" s="218">
        <v>0</v>
      </c>
      <c r="J17" s="50"/>
      <c r="K17" s="84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50">
        <v>3000</v>
      </c>
      <c r="H18" s="50">
        <v>3000</v>
      </c>
      <c r="I18" s="218">
        <v>1774</v>
      </c>
      <c r="J18" s="50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50">
        <v>2200</v>
      </c>
      <c r="H19" s="50">
        <v>2200</v>
      </c>
      <c r="I19" s="218">
        <v>1412</v>
      </c>
      <c r="J19" s="50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50">
        <v>0</v>
      </c>
      <c r="H20" s="50">
        <v>0</v>
      </c>
      <c r="I20" s="218">
        <v>0</v>
      </c>
      <c r="J20" s="50"/>
      <c r="K20" s="84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50">
        <v>0</v>
      </c>
      <c r="H21" s="50">
        <v>0</v>
      </c>
      <c r="I21" s="218">
        <v>0</v>
      </c>
      <c r="J21" s="50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50">
        <v>1400</v>
      </c>
      <c r="H22" s="50">
        <v>1400</v>
      </c>
      <c r="I22" s="218">
        <v>222</v>
      </c>
      <c r="J22" s="50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50">
        <v>0</v>
      </c>
      <c r="H23" s="50">
        <v>0</v>
      </c>
      <c r="I23" s="218">
        <v>0</v>
      </c>
      <c r="J23" s="50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50">
        <v>70000</v>
      </c>
      <c r="H24" s="50">
        <v>70000</v>
      </c>
      <c r="I24" s="218">
        <v>54247</v>
      </c>
      <c r="J24" s="50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99">
        <v>0</v>
      </c>
      <c r="H25" s="99">
        <v>0</v>
      </c>
      <c r="I25" s="219">
        <v>0</v>
      </c>
      <c r="J25" s="9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39"/>
      <c r="F26" s="12"/>
      <c r="G26" s="33"/>
      <c r="H26" s="33"/>
      <c r="I26" s="216"/>
      <c r="J26" s="33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20">
        <f>SUM(G28:G29)</f>
        <v>1000</v>
      </c>
      <c r="H27" s="20">
        <f>SUM(H28:H29)</f>
        <v>1000</v>
      </c>
      <c r="I27" s="215">
        <v>984</v>
      </c>
      <c r="J27" s="20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33">
        <v>0</v>
      </c>
      <c r="H28" s="33">
        <v>0</v>
      </c>
      <c r="I28" s="216">
        <v>0</v>
      </c>
      <c r="J28" s="33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33">
        <v>1000</v>
      </c>
      <c r="H29" s="33">
        <v>1000</v>
      </c>
      <c r="I29" s="216">
        <v>984</v>
      </c>
      <c r="J29" s="33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3"/>
      <c r="H30" s="33"/>
      <c r="I30" s="216"/>
      <c r="J30" s="33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20">
        <v>4</v>
      </c>
      <c r="H31" s="20">
        <v>4</v>
      </c>
      <c r="I31" s="215">
        <v>3</v>
      </c>
      <c r="J31" s="20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189370</v>
      </c>
      <c r="H32" s="20">
        <f>H7+H12+H15+H27</f>
        <v>189370</v>
      </c>
      <c r="I32" s="20">
        <f t="shared" ref="I32" si="1">I7+I12+I15+I27</f>
        <v>123733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/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O59"/>
  <sheetViews>
    <sheetView topLeftCell="G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5" s="65" customFormat="1" ht="15" customHeight="1">
      <c r="B2" s="447" t="s">
        <v>102</v>
      </c>
      <c r="C2" s="447"/>
      <c r="D2" s="447"/>
      <c r="E2" s="447"/>
      <c r="F2" s="447"/>
      <c r="G2" s="447"/>
      <c r="H2" s="141"/>
      <c r="I2" s="141"/>
      <c r="J2" s="122"/>
      <c r="K2" s="123"/>
    </row>
    <row r="3" spans="2:15" s="1" customFormat="1" ht="16.5" thickBot="1">
      <c r="E3" s="2"/>
      <c r="F3" s="448"/>
      <c r="G3" s="448"/>
      <c r="H3" s="142"/>
      <c r="I3" s="142"/>
      <c r="J3" s="102"/>
      <c r="K3" s="103"/>
    </row>
    <row r="4" spans="2:15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5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5" s="2" customFormat="1" ht="17.100000000000001" customHeight="1">
      <c r="B6" s="10" t="s">
        <v>49</v>
      </c>
      <c r="C6" s="11" t="s">
        <v>50</v>
      </c>
      <c r="D6" s="11" t="s">
        <v>42</v>
      </c>
      <c r="E6" s="9"/>
      <c r="F6" s="9"/>
      <c r="G6" s="96"/>
      <c r="H6" s="96"/>
      <c r="I6" s="96"/>
      <c r="J6" s="96"/>
      <c r="K6" s="82"/>
    </row>
    <row r="7" spans="2:15" s="1" customFormat="1" ht="17.100000000000001" customHeight="1">
      <c r="B7" s="17"/>
      <c r="C7" s="12"/>
      <c r="D7" s="12"/>
      <c r="E7" s="9">
        <v>611000</v>
      </c>
      <c r="F7" s="12" t="s">
        <v>80</v>
      </c>
      <c r="G7" s="136">
        <f>SUM(G8:G11)</f>
        <v>1132260</v>
      </c>
      <c r="H7" s="136">
        <f>SUM(H8:H11)</f>
        <v>1132260</v>
      </c>
      <c r="I7" s="228">
        <v>844075</v>
      </c>
      <c r="J7" s="136">
        <f>SUM(J8:J11)</f>
        <v>0</v>
      </c>
      <c r="K7" s="83">
        <f>IF(H7=0,"",J7/H7*100)</f>
        <v>0</v>
      </c>
    </row>
    <row r="8" spans="2:15" ht="17.100000000000001" customHeight="1">
      <c r="B8" s="14"/>
      <c r="C8" s="15"/>
      <c r="D8" s="15"/>
      <c r="E8" s="16">
        <v>611100</v>
      </c>
      <c r="F8" s="26" t="s">
        <v>105</v>
      </c>
      <c r="G8" s="138">
        <f>912320+6000+11000+17500+330</f>
        <v>947150</v>
      </c>
      <c r="H8" s="138">
        <f>912320+6000+11000+17500+330</f>
        <v>947150</v>
      </c>
      <c r="I8" s="230">
        <v>709664</v>
      </c>
      <c r="J8" s="138"/>
      <c r="K8" s="84">
        <f>IF(H8=0,"",J8/H8*100)</f>
        <v>0</v>
      </c>
    </row>
    <row r="9" spans="2:15" ht="17.100000000000001" customHeight="1">
      <c r="B9" s="14"/>
      <c r="C9" s="15"/>
      <c r="D9" s="15"/>
      <c r="E9" s="16">
        <v>611200</v>
      </c>
      <c r="F9" s="15" t="s">
        <v>106</v>
      </c>
      <c r="G9" s="138">
        <f>170090+3000+6*1470+3200</f>
        <v>185110</v>
      </c>
      <c r="H9" s="138">
        <f>170090+3000+6*1470+3200</f>
        <v>185110</v>
      </c>
      <c r="I9" s="230">
        <v>134411</v>
      </c>
      <c r="J9" s="138"/>
      <c r="K9" s="84">
        <f t="shared" ref="K9:K34" si="0">IF(H9=0,"",J9/H9*100)</f>
        <v>0</v>
      </c>
    </row>
    <row r="10" spans="2:15" ht="17.100000000000001" customHeight="1">
      <c r="B10" s="14"/>
      <c r="C10" s="15"/>
      <c r="D10" s="15"/>
      <c r="E10" s="16">
        <v>611200</v>
      </c>
      <c r="F10" s="127" t="s">
        <v>138</v>
      </c>
      <c r="G10" s="137">
        <v>0</v>
      </c>
      <c r="H10" s="137">
        <v>0</v>
      </c>
      <c r="I10" s="229">
        <v>0</v>
      </c>
      <c r="J10" s="137"/>
      <c r="K10" s="84" t="str">
        <f t="shared" si="0"/>
        <v/>
      </c>
      <c r="M10" s="52"/>
    </row>
    <row r="11" spans="2:15" ht="17.100000000000001" customHeight="1">
      <c r="B11" s="14"/>
      <c r="C11" s="15"/>
      <c r="D11" s="15"/>
      <c r="E11" s="16"/>
      <c r="F11" s="26"/>
      <c r="G11" s="138"/>
      <c r="H11" s="138"/>
      <c r="I11" s="230"/>
      <c r="J11" s="138"/>
      <c r="K11" s="84" t="str">
        <f t="shared" si="0"/>
        <v/>
      </c>
    </row>
    <row r="12" spans="2:15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36">
        <f>G13</f>
        <v>100830</v>
      </c>
      <c r="H12" s="136">
        <f>H13</f>
        <v>100830</v>
      </c>
      <c r="I12" s="228">
        <v>76548</v>
      </c>
      <c r="J12" s="136">
        <f>J13</f>
        <v>0</v>
      </c>
      <c r="K12" s="120">
        <f t="shared" si="0"/>
        <v>0</v>
      </c>
    </row>
    <row r="13" spans="2:15" ht="17.100000000000001" customHeight="1">
      <c r="B13" s="14"/>
      <c r="C13" s="15"/>
      <c r="D13" s="15"/>
      <c r="E13" s="16">
        <v>612100</v>
      </c>
      <c r="F13" s="18" t="s">
        <v>5</v>
      </c>
      <c r="G13" s="138">
        <f>97000+700+1200+1880+50</f>
        <v>100830</v>
      </c>
      <c r="H13" s="138">
        <f>97000+700+1200+1880+50</f>
        <v>100830</v>
      </c>
      <c r="I13" s="230">
        <v>76548</v>
      </c>
      <c r="J13" s="138"/>
      <c r="K13" s="84">
        <f t="shared" si="0"/>
        <v>0</v>
      </c>
    </row>
    <row r="14" spans="2:15" ht="17.100000000000001" customHeight="1">
      <c r="B14" s="14"/>
      <c r="C14" s="15"/>
      <c r="D14" s="15"/>
      <c r="E14" s="16"/>
      <c r="F14" s="15"/>
      <c r="G14" s="33"/>
      <c r="H14" s="33"/>
      <c r="I14" s="223"/>
      <c r="J14" s="33"/>
      <c r="K14" s="84" t="str">
        <f t="shared" si="0"/>
        <v/>
      </c>
      <c r="O14" s="53"/>
    </row>
    <row r="15" spans="2:15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324500</v>
      </c>
      <c r="H15" s="35">
        <f>SUM(H16:H25)</f>
        <v>324500</v>
      </c>
      <c r="I15" s="224">
        <v>222916</v>
      </c>
      <c r="J15" s="35">
        <f>SUM(J16:J25)</f>
        <v>0</v>
      </c>
      <c r="K15" s="120">
        <f t="shared" si="0"/>
        <v>0</v>
      </c>
    </row>
    <row r="16" spans="2:15" ht="17.100000000000001" customHeight="1">
      <c r="B16" s="14"/>
      <c r="C16" s="15"/>
      <c r="D16" s="15"/>
      <c r="E16" s="16">
        <v>613100</v>
      </c>
      <c r="F16" s="15" t="s">
        <v>6</v>
      </c>
      <c r="G16" s="33">
        <v>6500</v>
      </c>
      <c r="H16" s="33">
        <v>6500</v>
      </c>
      <c r="I16" s="223">
        <v>4068</v>
      </c>
      <c r="J16" s="33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3">
        <v>17000</v>
      </c>
      <c r="H17" s="33">
        <v>17000</v>
      </c>
      <c r="I17" s="223">
        <v>11115</v>
      </c>
      <c r="J17" s="33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3">
        <v>120000</v>
      </c>
      <c r="H18" s="33">
        <v>120000</v>
      </c>
      <c r="I18" s="223">
        <v>80699</v>
      </c>
      <c r="J18" s="33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69">
        <v>35000</v>
      </c>
      <c r="H19" s="69">
        <v>35000</v>
      </c>
      <c r="I19" s="226">
        <v>24731</v>
      </c>
      <c r="J19" s="69"/>
      <c r="K19" s="84">
        <f t="shared" si="0"/>
        <v>0</v>
      </c>
      <c r="L19" s="49"/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33">
        <v>12000</v>
      </c>
      <c r="H20" s="33">
        <v>12000</v>
      </c>
      <c r="I20" s="223">
        <v>8698</v>
      </c>
      <c r="J20" s="33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226">
        <v>0</v>
      </c>
      <c r="J21" s="69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69">
        <v>12000</v>
      </c>
      <c r="H22" s="69">
        <v>12000</v>
      </c>
      <c r="I22" s="226">
        <v>7518</v>
      </c>
      <c r="J22" s="69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69">
        <v>4000</v>
      </c>
      <c r="H23" s="69">
        <v>4000</v>
      </c>
      <c r="I23" s="226">
        <v>1214</v>
      </c>
      <c r="J23" s="69"/>
      <c r="K23" s="84">
        <f t="shared" si="0"/>
        <v>0</v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69">
        <v>118000</v>
      </c>
      <c r="H24" s="69">
        <v>118000</v>
      </c>
      <c r="I24" s="226">
        <v>84873</v>
      </c>
      <c r="J24" s="69"/>
      <c r="K24" s="84">
        <f t="shared" si="0"/>
        <v>0</v>
      </c>
      <c r="L24" s="60"/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226">
        <v>0</v>
      </c>
      <c r="J25" s="69"/>
      <c r="K25" s="84" t="str">
        <f t="shared" si="0"/>
        <v/>
      </c>
    </row>
    <row r="26" spans="2:12" s="1" customFormat="1" ht="17.100000000000001" customHeight="1">
      <c r="B26" s="17"/>
      <c r="C26" s="12"/>
      <c r="D26" s="12"/>
      <c r="E26" s="39"/>
      <c r="F26" s="12"/>
      <c r="G26" s="69"/>
      <c r="H26" s="69"/>
      <c r="I26" s="226"/>
      <c r="J26" s="69"/>
      <c r="K26" s="84" t="str">
        <f t="shared" si="0"/>
        <v/>
      </c>
    </row>
    <row r="27" spans="2:12" ht="17.100000000000001" customHeight="1">
      <c r="B27" s="14"/>
      <c r="C27" s="15"/>
      <c r="D27" s="15"/>
      <c r="E27" s="16"/>
      <c r="F27" s="15"/>
      <c r="G27" s="61"/>
      <c r="H27" s="61"/>
      <c r="I27" s="225"/>
      <c r="J27" s="61"/>
      <c r="K27" s="84" t="str">
        <f t="shared" si="0"/>
        <v/>
      </c>
    </row>
    <row r="28" spans="2:12" s="1" customFormat="1" ht="17.100000000000001" customHeight="1">
      <c r="B28" s="17"/>
      <c r="C28" s="12"/>
      <c r="D28" s="12"/>
      <c r="E28" s="9">
        <v>821000</v>
      </c>
      <c r="F28" s="12" t="s">
        <v>12</v>
      </c>
      <c r="G28" s="61">
        <f>G29+G30</f>
        <v>16000</v>
      </c>
      <c r="H28" s="61">
        <f>H29+H30</f>
        <v>16000</v>
      </c>
      <c r="I28" s="225">
        <v>4548</v>
      </c>
      <c r="J28" s="61">
        <f>J29+J30</f>
        <v>0</v>
      </c>
      <c r="K28" s="120">
        <f t="shared" si="0"/>
        <v>0</v>
      </c>
    </row>
    <row r="29" spans="2:12" ht="17.100000000000001" customHeight="1">
      <c r="B29" s="14"/>
      <c r="C29" s="15"/>
      <c r="D29" s="15"/>
      <c r="E29" s="16">
        <v>821200</v>
      </c>
      <c r="F29" s="15" t="s">
        <v>13</v>
      </c>
      <c r="G29" s="69">
        <v>1000</v>
      </c>
      <c r="H29" s="69">
        <v>1000</v>
      </c>
      <c r="I29" s="226">
        <v>0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>
        <v>821300</v>
      </c>
      <c r="F30" s="15" t="s">
        <v>14</v>
      </c>
      <c r="G30" s="69">
        <v>15000</v>
      </c>
      <c r="H30" s="69">
        <v>15000</v>
      </c>
      <c r="I30" s="226">
        <v>4548</v>
      </c>
      <c r="J30" s="69"/>
      <c r="K30" s="84">
        <f t="shared" si="0"/>
        <v>0</v>
      </c>
    </row>
    <row r="31" spans="2:12" ht="17.100000000000001" customHeight="1">
      <c r="B31" s="14"/>
      <c r="C31" s="15"/>
      <c r="D31" s="15"/>
      <c r="E31" s="16"/>
      <c r="F31" s="15"/>
      <c r="G31" s="33"/>
      <c r="H31" s="33"/>
      <c r="I31" s="223"/>
      <c r="J31" s="33"/>
      <c r="K31" s="84" t="str">
        <f t="shared" si="0"/>
        <v/>
      </c>
    </row>
    <row r="32" spans="2:12" s="1" customFormat="1" ht="17.100000000000001" customHeight="1">
      <c r="B32" s="17"/>
      <c r="C32" s="12"/>
      <c r="D32" s="12"/>
      <c r="E32" s="9"/>
      <c r="F32" s="12" t="s">
        <v>15</v>
      </c>
      <c r="G32" s="73">
        <v>44</v>
      </c>
      <c r="H32" s="73">
        <v>44</v>
      </c>
      <c r="I32" s="227">
        <v>43</v>
      </c>
      <c r="J32" s="73"/>
      <c r="K32" s="84"/>
    </row>
    <row r="33" spans="2:11" s="1" customFormat="1" ht="17.100000000000001" customHeight="1">
      <c r="B33" s="17"/>
      <c r="C33" s="12"/>
      <c r="D33" s="12"/>
      <c r="E33" s="9"/>
      <c r="F33" s="12" t="s">
        <v>31</v>
      </c>
      <c r="G33" s="20">
        <f>G7+G12+G15+G28</f>
        <v>1573590</v>
      </c>
      <c r="H33" s="20">
        <f>H7+H12+H15+H28</f>
        <v>1573590</v>
      </c>
      <c r="I33" s="20">
        <f t="shared" ref="I33" si="1">I7+I12+I15+I28</f>
        <v>1148087</v>
      </c>
      <c r="J33" s="20">
        <f>J7+J12+J15+J28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16</v>
      </c>
      <c r="G34" s="20">
        <f>G33</f>
        <v>1573590</v>
      </c>
      <c r="H34" s="20">
        <f>H33</f>
        <v>1573590</v>
      </c>
      <c r="I34" s="20">
        <f t="shared" ref="I34" si="2">I33</f>
        <v>1148087</v>
      </c>
      <c r="J34" s="20">
        <f>J33</f>
        <v>0</v>
      </c>
      <c r="K34" s="120">
        <f t="shared" si="0"/>
        <v>0</v>
      </c>
    </row>
    <row r="35" spans="2:11" s="1" customFormat="1" ht="17.100000000000001" customHeight="1">
      <c r="B35" s="17"/>
      <c r="C35" s="12"/>
      <c r="D35" s="12"/>
      <c r="E35" s="9"/>
      <c r="F35" s="12" t="s">
        <v>17</v>
      </c>
      <c r="G35" s="32"/>
      <c r="H35" s="32"/>
      <c r="I35" s="32"/>
      <c r="J35" s="32"/>
      <c r="K35" s="85"/>
    </row>
    <row r="36" spans="2:11" ht="17.100000000000001" customHeight="1" thickBot="1">
      <c r="B36" s="21"/>
      <c r="C36" s="22"/>
      <c r="D36" s="22"/>
      <c r="E36" s="23"/>
      <c r="F36" s="22"/>
      <c r="G36" s="34"/>
      <c r="H36" s="34"/>
      <c r="I36" s="34"/>
      <c r="J36" s="34"/>
      <c r="K36" s="87"/>
    </row>
    <row r="37" spans="2:11" ht="17.100000000000001" customHeight="1">
      <c r="K37" s="121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B2:M59"/>
  <sheetViews>
    <sheetView topLeftCell="G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s="65" customFormat="1" ht="15" customHeight="1">
      <c r="B2" s="447" t="s">
        <v>120</v>
      </c>
      <c r="C2" s="447"/>
      <c r="D2" s="447"/>
      <c r="E2" s="447"/>
      <c r="F2" s="447"/>
      <c r="G2" s="447"/>
      <c r="H2" s="141"/>
      <c r="I2" s="141"/>
      <c r="J2" s="122"/>
      <c r="K2" s="12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49</v>
      </c>
      <c r="C6" s="11" t="s">
        <v>51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44960</v>
      </c>
      <c r="H7" s="129">
        <f>SUM(H8:H11)</f>
        <v>44960</v>
      </c>
      <c r="I7" s="236">
        <v>25267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27670+300+8200+830+250</f>
        <v>37250</v>
      </c>
      <c r="H8" s="131">
        <f>27670+300+8200+830+250</f>
        <v>37250</v>
      </c>
      <c r="I8" s="237">
        <v>21049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3640+100+1470+2500</f>
        <v>7710</v>
      </c>
      <c r="H9" s="131">
        <f>3640+100+1470+2500</f>
        <v>7710</v>
      </c>
      <c r="I9" s="237">
        <v>4218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35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237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4060</v>
      </c>
      <c r="H12" s="129">
        <f>H13</f>
        <v>4060</v>
      </c>
      <c r="I12" s="236">
        <v>2231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2940+100+900+90+30</f>
        <v>4060</v>
      </c>
      <c r="H13" s="131">
        <f>2940+100+900+90+30</f>
        <v>4060</v>
      </c>
      <c r="I13" s="237">
        <v>2231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232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4200</v>
      </c>
      <c r="H15" s="35">
        <f>SUM(H16:H25)</f>
        <v>4200</v>
      </c>
      <c r="I15" s="233">
        <v>1763</v>
      </c>
      <c r="J15" s="35">
        <f>SUM(J16:J25)</f>
        <v>0</v>
      </c>
      <c r="K15" s="84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500</v>
      </c>
      <c r="H16" s="33">
        <v>500</v>
      </c>
      <c r="I16" s="232">
        <v>0</v>
      </c>
      <c r="J16" s="33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3">
        <v>0</v>
      </c>
      <c r="H17" s="33">
        <v>0</v>
      </c>
      <c r="I17" s="232">
        <v>0</v>
      </c>
      <c r="J17" s="33"/>
      <c r="K17" s="84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3">
        <v>1000</v>
      </c>
      <c r="H18" s="33">
        <v>1000</v>
      </c>
      <c r="I18" s="232">
        <v>410</v>
      </c>
      <c r="J18" s="33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33">
        <v>1000</v>
      </c>
      <c r="H19" s="33">
        <v>1000</v>
      </c>
      <c r="I19" s="232">
        <v>516</v>
      </c>
      <c r="J19" s="33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33">
        <v>0</v>
      </c>
      <c r="H20" s="33">
        <v>0</v>
      </c>
      <c r="I20" s="232">
        <v>0</v>
      </c>
      <c r="J20" s="33"/>
      <c r="K20" s="84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232">
        <v>0</v>
      </c>
      <c r="J21" s="33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33">
        <v>0</v>
      </c>
      <c r="H22" s="33">
        <v>0</v>
      </c>
      <c r="I22" s="232">
        <v>0</v>
      </c>
      <c r="J22" s="33"/>
      <c r="K22" s="84" t="str">
        <f t="shared" si="0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33">
        <v>0</v>
      </c>
      <c r="H23" s="33">
        <v>0</v>
      </c>
      <c r="I23" s="232">
        <v>0</v>
      </c>
      <c r="J23" s="33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33">
        <v>1700</v>
      </c>
      <c r="H24" s="33">
        <v>1700</v>
      </c>
      <c r="I24" s="232">
        <v>837</v>
      </c>
      <c r="J24" s="33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33">
        <v>0</v>
      </c>
      <c r="H25" s="33">
        <v>0</v>
      </c>
      <c r="I25" s="232">
        <v>0</v>
      </c>
      <c r="J25" s="33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39"/>
      <c r="F26" s="12"/>
      <c r="G26" s="33"/>
      <c r="H26" s="33"/>
      <c r="I26" s="232"/>
      <c r="J26" s="33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20">
        <f>SUM(G28:G29)</f>
        <v>3000</v>
      </c>
      <c r="H27" s="20">
        <f>SUM(H28:H29)</f>
        <v>3000</v>
      </c>
      <c r="I27" s="231">
        <v>0</v>
      </c>
      <c r="J27" s="20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33">
        <v>0</v>
      </c>
      <c r="H28" s="33">
        <v>0</v>
      </c>
      <c r="I28" s="232">
        <v>0</v>
      </c>
      <c r="J28" s="33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33">
        <v>3000</v>
      </c>
      <c r="H29" s="33">
        <v>3000</v>
      </c>
      <c r="I29" s="232">
        <v>0</v>
      </c>
      <c r="J29" s="33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3"/>
      <c r="H30" s="33"/>
      <c r="I30" s="232"/>
      <c r="J30" s="33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61">
        <v>2</v>
      </c>
      <c r="H31" s="61">
        <v>2</v>
      </c>
      <c r="I31" s="234">
        <v>1</v>
      </c>
      <c r="J31" s="61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56220</v>
      </c>
      <c r="H32" s="20">
        <f>H7+H12+H15+H27</f>
        <v>56220</v>
      </c>
      <c r="I32" s="20">
        <f t="shared" ref="I32" si="1">I7+I12+I15+I27</f>
        <v>29261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56220</v>
      </c>
      <c r="H33" s="20">
        <f>H32</f>
        <v>56220</v>
      </c>
      <c r="I33" s="20">
        <f t="shared" ref="I33" si="2">I32</f>
        <v>29261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3"/>
  <dimension ref="B2:M59"/>
  <sheetViews>
    <sheetView topLeftCell="C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119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49</v>
      </c>
      <c r="C6" s="11" t="s">
        <v>51</v>
      </c>
      <c r="D6" s="11" t="s">
        <v>35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38280</v>
      </c>
      <c r="H7" s="129">
        <f>SUM(H8:H11)</f>
        <v>38280</v>
      </c>
      <c r="I7" s="244">
        <v>13688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12480+300+17800+380+540</f>
        <v>31500</v>
      </c>
      <c r="H8" s="131">
        <f>12480+300+17800+380+540</f>
        <v>31500</v>
      </c>
      <c r="I8" s="245">
        <v>10167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2710+100+1470+2500</f>
        <v>6780</v>
      </c>
      <c r="H9" s="131">
        <f>2710+100+1470+2500</f>
        <v>6780</v>
      </c>
      <c r="I9" s="245">
        <v>3521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26" t="s">
        <v>168</v>
      </c>
      <c r="G10" s="128">
        <v>0</v>
      </c>
      <c r="H10" s="128">
        <v>0</v>
      </c>
      <c r="I10" s="243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245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3500</v>
      </c>
      <c r="H12" s="129">
        <f>H13</f>
        <v>3500</v>
      </c>
      <c r="I12" s="244">
        <v>1244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1350+100+1950+40+60</f>
        <v>3500</v>
      </c>
      <c r="H13" s="131">
        <f>1350+100+1950+40+60</f>
        <v>3500</v>
      </c>
      <c r="I13" s="245">
        <v>1244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239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2450</v>
      </c>
      <c r="H15" s="35">
        <f>SUM(H16:H25)</f>
        <v>2450</v>
      </c>
      <c r="I15" s="240">
        <v>693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500</v>
      </c>
      <c r="H16" s="33">
        <v>500</v>
      </c>
      <c r="I16" s="239">
        <v>38</v>
      </c>
      <c r="J16" s="33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3">
        <v>0</v>
      </c>
      <c r="H17" s="33">
        <v>0</v>
      </c>
      <c r="I17" s="239">
        <v>0</v>
      </c>
      <c r="J17" s="33"/>
      <c r="K17" s="84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3">
        <v>950</v>
      </c>
      <c r="H18" s="33">
        <v>950</v>
      </c>
      <c r="I18" s="239">
        <v>394</v>
      </c>
      <c r="J18" s="33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33">
        <v>500</v>
      </c>
      <c r="H19" s="33">
        <v>500</v>
      </c>
      <c r="I19" s="239">
        <v>223</v>
      </c>
      <c r="J19" s="33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33">
        <v>0</v>
      </c>
      <c r="H20" s="33">
        <v>0</v>
      </c>
      <c r="I20" s="239">
        <v>0</v>
      </c>
      <c r="J20" s="33"/>
      <c r="K20" s="84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239">
        <v>0</v>
      </c>
      <c r="J21" s="33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33">
        <v>0</v>
      </c>
      <c r="H22" s="33">
        <v>0</v>
      </c>
      <c r="I22" s="239">
        <v>0</v>
      </c>
      <c r="J22" s="33"/>
      <c r="K22" s="84" t="str">
        <f t="shared" si="0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33">
        <v>0</v>
      </c>
      <c r="H23" s="33">
        <v>0</v>
      </c>
      <c r="I23" s="239">
        <v>0</v>
      </c>
      <c r="J23" s="33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69">
        <v>500</v>
      </c>
      <c r="H24" s="69">
        <v>500</v>
      </c>
      <c r="I24" s="242">
        <v>38</v>
      </c>
      <c r="J24" s="69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26" t="s">
        <v>169</v>
      </c>
      <c r="G25" s="33">
        <v>0</v>
      </c>
      <c r="H25" s="33">
        <v>0</v>
      </c>
      <c r="I25" s="239">
        <v>0</v>
      </c>
      <c r="J25" s="33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39"/>
      <c r="F26" s="12"/>
      <c r="G26" s="33"/>
      <c r="H26" s="33"/>
      <c r="I26" s="239"/>
      <c r="J26" s="33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20">
        <f>SUM(G28:G29)</f>
        <v>1000</v>
      </c>
      <c r="H27" s="20">
        <f>SUM(H28:H29)</f>
        <v>1000</v>
      </c>
      <c r="I27" s="238">
        <v>0</v>
      </c>
      <c r="J27" s="20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33">
        <v>0</v>
      </c>
      <c r="H28" s="33">
        <v>0</v>
      </c>
      <c r="I28" s="239">
        <v>0</v>
      </c>
      <c r="J28" s="33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33">
        <v>1000</v>
      </c>
      <c r="H29" s="33">
        <v>1000</v>
      </c>
      <c r="I29" s="239">
        <v>0</v>
      </c>
      <c r="J29" s="33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3"/>
      <c r="H30" s="33"/>
      <c r="I30" s="239"/>
      <c r="J30" s="33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61">
        <v>2</v>
      </c>
      <c r="H31" s="61">
        <v>2</v>
      </c>
      <c r="I31" s="241">
        <v>1</v>
      </c>
      <c r="J31" s="61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45230</v>
      </c>
      <c r="H32" s="20">
        <f>H7+H12+H15+H27</f>
        <v>45230</v>
      </c>
      <c r="I32" s="20">
        <f t="shared" ref="I32" si="1">I7+I12+I15+I27</f>
        <v>15625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45230</v>
      </c>
      <c r="H33" s="20">
        <f>H32</f>
        <v>45230</v>
      </c>
      <c r="I33" s="20">
        <f t="shared" ref="I33" si="2">I32</f>
        <v>15625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G33+'12'!G33+'11'!G34+'10'!G32</f>
        <v>1864410</v>
      </c>
      <c r="H34" s="20">
        <f>H33+'12'!H33+'11'!H34+'10'!H32</f>
        <v>1864410</v>
      </c>
      <c r="I34" s="20">
        <f>I33+'12'!I33+'11'!I34+'10'!I32</f>
        <v>1316706</v>
      </c>
      <c r="J34" s="20">
        <f>J33+'12'!J33+'11'!J34+'10'!J32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B2:M59"/>
  <sheetViews>
    <sheetView topLeftCell="G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103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49</v>
      </c>
      <c r="C6" s="11" t="s">
        <v>104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70480</v>
      </c>
      <c r="H7" s="129">
        <f>SUM(H8:H11)</f>
        <v>70480</v>
      </c>
      <c r="I7" s="251">
        <v>49293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51760+500+1560+7800</f>
        <v>61620</v>
      </c>
      <c r="H8" s="131">
        <f>51760+500+1560+7800</f>
        <v>61620</v>
      </c>
      <c r="I8" s="252">
        <v>44259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5420+200+3240</f>
        <v>8860</v>
      </c>
      <c r="H9" s="131">
        <f>5420+200+3240</f>
        <v>8860</v>
      </c>
      <c r="I9" s="252">
        <v>5034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50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252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6730</v>
      </c>
      <c r="H12" s="129">
        <f>H13</f>
        <v>6730</v>
      </c>
      <c r="I12" s="251">
        <v>4696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5500+200+170+860</f>
        <v>6730</v>
      </c>
      <c r="H13" s="131">
        <f>5500+200+170+860</f>
        <v>6730</v>
      </c>
      <c r="I13" s="252">
        <v>4696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247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5600</v>
      </c>
      <c r="H15" s="35">
        <f>SUM(H16:H25)</f>
        <v>5600</v>
      </c>
      <c r="I15" s="248">
        <v>2759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1900</v>
      </c>
      <c r="H16" s="33">
        <v>1900</v>
      </c>
      <c r="I16" s="247">
        <v>519</v>
      </c>
      <c r="J16" s="33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3">
        <v>0</v>
      </c>
      <c r="H17" s="33">
        <v>0</v>
      </c>
      <c r="I17" s="247">
        <v>0</v>
      </c>
      <c r="J17" s="33"/>
      <c r="K17" s="84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3">
        <v>1500</v>
      </c>
      <c r="H18" s="33">
        <v>1500</v>
      </c>
      <c r="I18" s="247">
        <v>999</v>
      </c>
      <c r="J18" s="33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33">
        <v>1000</v>
      </c>
      <c r="H19" s="33">
        <v>1000</v>
      </c>
      <c r="I19" s="247">
        <v>890</v>
      </c>
      <c r="J19" s="33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33">
        <v>0</v>
      </c>
      <c r="H20" s="33">
        <v>0</v>
      </c>
      <c r="I20" s="247">
        <v>0</v>
      </c>
      <c r="J20" s="33"/>
      <c r="K20" s="84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247">
        <v>0</v>
      </c>
      <c r="J21" s="33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33">
        <v>200</v>
      </c>
      <c r="H22" s="33">
        <v>200</v>
      </c>
      <c r="I22" s="247">
        <v>0</v>
      </c>
      <c r="J22" s="33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33">
        <v>0</v>
      </c>
      <c r="H23" s="33">
        <v>0</v>
      </c>
      <c r="I23" s="247">
        <v>0</v>
      </c>
      <c r="J23" s="33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69">
        <v>1000</v>
      </c>
      <c r="H24" s="69">
        <v>1000</v>
      </c>
      <c r="I24" s="249">
        <v>351</v>
      </c>
      <c r="J24" s="69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249">
        <v>0</v>
      </c>
      <c r="J25" s="6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39"/>
      <c r="F26" s="12"/>
      <c r="G26" s="33"/>
      <c r="H26" s="33"/>
      <c r="I26" s="247"/>
      <c r="J26" s="33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20">
        <f>G28+G29</f>
        <v>1000</v>
      </c>
      <c r="H27" s="20">
        <f>H28+H29</f>
        <v>1000</v>
      </c>
      <c r="I27" s="246">
        <v>0</v>
      </c>
      <c r="J27" s="20">
        <f>J28+J29</f>
        <v>0</v>
      </c>
      <c r="K27" s="84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33">
        <v>0</v>
      </c>
      <c r="H28" s="33">
        <v>0</v>
      </c>
      <c r="I28" s="247">
        <v>0</v>
      </c>
      <c r="J28" s="33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69">
        <v>1000</v>
      </c>
      <c r="H29" s="69">
        <v>1000</v>
      </c>
      <c r="I29" s="249">
        <v>0</v>
      </c>
      <c r="J29" s="69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3"/>
      <c r="H30" s="33"/>
      <c r="I30" s="247"/>
      <c r="J30" s="33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20">
        <v>3</v>
      </c>
      <c r="H31" s="20">
        <v>3</v>
      </c>
      <c r="I31" s="246">
        <v>3</v>
      </c>
      <c r="J31" s="20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83810</v>
      </c>
      <c r="H32" s="20">
        <f>H7+H12+H15+H27</f>
        <v>83810</v>
      </c>
      <c r="I32" s="20">
        <f t="shared" ref="I32" si="1">I7+I12+I15+I27</f>
        <v>56748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83810</v>
      </c>
      <c r="H33" s="20">
        <f>H32</f>
        <v>83810</v>
      </c>
      <c r="I33" s="20">
        <f t="shared" ref="I33" si="2">I32</f>
        <v>56748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G33+'13'!G33+'12'!G33+'11'!G34+'10'!G32</f>
        <v>1948220</v>
      </c>
      <c r="H34" s="20">
        <f>H33+'13'!H33+'12'!H33+'11'!H34+'10'!H32</f>
        <v>1948220</v>
      </c>
      <c r="I34" s="20">
        <f>I33+'13'!I33+'12'!I33+'11'!I34+'10'!I32</f>
        <v>1373454</v>
      </c>
      <c r="J34" s="20">
        <f>J33+'13'!J33+'12'!J33+'11'!J34+'10'!J32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M59"/>
  <sheetViews>
    <sheetView topLeftCell="G10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s="65" customFormat="1" ht="15" customHeight="1">
      <c r="B2" s="447" t="s">
        <v>94</v>
      </c>
      <c r="C2" s="447"/>
      <c r="D2" s="447"/>
      <c r="E2" s="447"/>
      <c r="F2" s="447"/>
      <c r="G2" s="447"/>
      <c r="H2" s="141"/>
      <c r="I2" s="141"/>
      <c r="J2" s="122"/>
      <c r="K2" s="12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52</v>
      </c>
      <c r="C6" s="11" t="s">
        <v>3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192100</v>
      </c>
      <c r="H7" s="129">
        <f>SUM(H8:H10)</f>
        <v>192100</v>
      </c>
      <c r="I7" s="259">
        <v>130315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143220+1000+11400+4300+350</f>
        <v>160270</v>
      </c>
      <c r="H8" s="131">
        <f>143220+1000+11400+4300+350</f>
        <v>160270</v>
      </c>
      <c r="I8" s="260">
        <v>109193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27060+800+840+1470+1660</f>
        <v>31830</v>
      </c>
      <c r="H9" s="131">
        <f>27060+800+840+1470+1660</f>
        <v>31830</v>
      </c>
      <c r="I9" s="260">
        <v>21122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58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259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17410</v>
      </c>
      <c r="H12" s="129">
        <f>H13</f>
        <v>17410</v>
      </c>
      <c r="I12" s="259">
        <v>11959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15260+400+1250+460+40</f>
        <v>17410</v>
      </c>
      <c r="H13" s="131">
        <f>15260+400+1250+460+40</f>
        <v>17410</v>
      </c>
      <c r="I13" s="260">
        <v>11959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253"/>
      <c r="J14" s="20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SUM(G16:G26)</f>
        <v>74600</v>
      </c>
      <c r="H15" s="35">
        <f>SUM(H16:H26)</f>
        <v>74600</v>
      </c>
      <c r="I15" s="255">
        <v>21312</v>
      </c>
      <c r="J15" s="35">
        <f>SUM(J16:J26)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5000</v>
      </c>
      <c r="H16" s="33">
        <v>5000</v>
      </c>
      <c r="I16" s="254">
        <v>4178</v>
      </c>
      <c r="J16" s="33"/>
      <c r="K16" s="84">
        <f t="shared" si="0"/>
        <v>0</v>
      </c>
    </row>
    <row r="17" spans="2:13" ht="17.100000000000001" customHeight="1">
      <c r="B17" s="14"/>
      <c r="C17" s="15"/>
      <c r="D17" s="15"/>
      <c r="E17" s="16">
        <v>613200</v>
      </c>
      <c r="F17" s="15" t="s">
        <v>7</v>
      </c>
      <c r="G17" s="33">
        <v>0</v>
      </c>
      <c r="H17" s="33">
        <v>0</v>
      </c>
      <c r="I17" s="254">
        <v>0</v>
      </c>
      <c r="J17" s="33"/>
      <c r="K17" s="84" t="str">
        <f t="shared" si="0"/>
        <v/>
      </c>
    </row>
    <row r="18" spans="2:13" ht="17.100000000000001" customHeight="1">
      <c r="B18" s="14"/>
      <c r="C18" s="15"/>
      <c r="D18" s="15"/>
      <c r="E18" s="16">
        <v>613300</v>
      </c>
      <c r="F18" s="26" t="s">
        <v>107</v>
      </c>
      <c r="G18" s="33">
        <v>3500</v>
      </c>
      <c r="H18" s="33">
        <v>3350</v>
      </c>
      <c r="I18" s="254">
        <v>2171</v>
      </c>
      <c r="J18" s="33"/>
      <c r="K18" s="84">
        <f t="shared" si="0"/>
        <v>0</v>
      </c>
    </row>
    <row r="19" spans="2:13" ht="17.100000000000001" customHeight="1">
      <c r="B19" s="14"/>
      <c r="C19" s="15"/>
      <c r="D19" s="15"/>
      <c r="E19" s="16">
        <v>613400</v>
      </c>
      <c r="F19" s="15" t="s">
        <v>82</v>
      </c>
      <c r="G19" s="33">
        <v>100</v>
      </c>
      <c r="H19" s="33">
        <v>100</v>
      </c>
      <c r="I19" s="254">
        <v>58</v>
      </c>
      <c r="J19" s="33"/>
      <c r="K19" s="84">
        <f t="shared" si="0"/>
        <v>0</v>
      </c>
    </row>
    <row r="20" spans="2:13" ht="17.100000000000001" customHeight="1">
      <c r="B20" s="14"/>
      <c r="C20" s="15"/>
      <c r="D20" s="15"/>
      <c r="E20" s="16">
        <v>613500</v>
      </c>
      <c r="F20" s="15" t="s">
        <v>8</v>
      </c>
      <c r="G20" s="33">
        <v>0</v>
      </c>
      <c r="H20" s="33">
        <v>0</v>
      </c>
      <c r="I20" s="254">
        <v>0</v>
      </c>
      <c r="J20" s="33"/>
      <c r="K20" s="84" t="str">
        <f t="shared" si="0"/>
        <v/>
      </c>
    </row>
    <row r="21" spans="2:13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254">
        <v>0</v>
      </c>
      <c r="J21" s="33"/>
      <c r="K21" s="84" t="str">
        <f t="shared" si="0"/>
        <v/>
      </c>
    </row>
    <row r="22" spans="2:13" ht="17.100000000000001" customHeight="1">
      <c r="B22" s="14"/>
      <c r="C22" s="15"/>
      <c r="D22" s="15"/>
      <c r="E22" s="16">
        <v>613700</v>
      </c>
      <c r="F22" s="15" t="s">
        <v>9</v>
      </c>
      <c r="G22" s="33">
        <v>1000</v>
      </c>
      <c r="H22" s="33">
        <v>1150</v>
      </c>
      <c r="I22" s="254">
        <v>1133</v>
      </c>
      <c r="J22" s="33"/>
      <c r="K22" s="84">
        <f t="shared" si="0"/>
        <v>0</v>
      </c>
    </row>
    <row r="23" spans="2:13" ht="17.100000000000001" customHeight="1">
      <c r="B23" s="14"/>
      <c r="C23" s="15"/>
      <c r="D23" s="15"/>
      <c r="E23" s="16">
        <v>613800</v>
      </c>
      <c r="F23" s="15" t="s">
        <v>83</v>
      </c>
      <c r="G23" s="33">
        <v>0</v>
      </c>
      <c r="H23" s="33">
        <v>0</v>
      </c>
      <c r="I23" s="254">
        <v>0</v>
      </c>
      <c r="J23" s="33"/>
      <c r="K23" s="84" t="str">
        <f t="shared" si="0"/>
        <v/>
      </c>
      <c r="M23" s="49"/>
    </row>
    <row r="24" spans="2:13" ht="17.100000000000001" customHeight="1">
      <c r="B24" s="14"/>
      <c r="C24" s="15"/>
      <c r="D24" s="15"/>
      <c r="E24" s="16">
        <v>613900</v>
      </c>
      <c r="F24" s="15" t="s">
        <v>84</v>
      </c>
      <c r="G24" s="69">
        <v>15000</v>
      </c>
      <c r="H24" s="69">
        <v>15000</v>
      </c>
      <c r="I24" s="257">
        <v>13772</v>
      </c>
      <c r="J24" s="69"/>
      <c r="K24" s="84">
        <f t="shared" si="0"/>
        <v>0</v>
      </c>
      <c r="M24" s="49"/>
    </row>
    <row r="25" spans="2:13" ht="17.100000000000001" customHeight="1">
      <c r="B25" s="14"/>
      <c r="C25" s="15"/>
      <c r="D25" s="15"/>
      <c r="E25" s="16">
        <v>613900</v>
      </c>
      <c r="F25" s="127" t="s">
        <v>139</v>
      </c>
      <c r="G25" s="33">
        <v>0</v>
      </c>
      <c r="H25" s="33">
        <v>0</v>
      </c>
      <c r="I25" s="254">
        <v>0</v>
      </c>
      <c r="J25" s="33"/>
      <c r="K25" s="84" t="str">
        <f t="shared" si="0"/>
        <v/>
      </c>
    </row>
    <row r="26" spans="2:13" ht="17.100000000000001" customHeight="1">
      <c r="B26" s="14"/>
      <c r="C26" s="15"/>
      <c r="D26" s="15"/>
      <c r="E26" s="16">
        <v>613900</v>
      </c>
      <c r="F26" s="26" t="s">
        <v>148</v>
      </c>
      <c r="G26" s="33">
        <v>50000</v>
      </c>
      <c r="H26" s="33">
        <v>50000</v>
      </c>
      <c r="I26" s="254">
        <v>0</v>
      </c>
      <c r="J26" s="33"/>
      <c r="K26" s="84">
        <f t="shared" si="0"/>
        <v>0</v>
      </c>
    </row>
    <row r="27" spans="2:13" ht="17.100000000000001" customHeight="1">
      <c r="B27" s="14"/>
      <c r="C27" s="15"/>
      <c r="D27" s="15"/>
      <c r="E27" s="16"/>
      <c r="F27" s="15"/>
      <c r="G27" s="20"/>
      <c r="H27" s="20"/>
      <c r="I27" s="253"/>
      <c r="J27" s="20"/>
      <c r="K27" s="84" t="str">
        <f t="shared" si="0"/>
        <v/>
      </c>
    </row>
    <row r="28" spans="2:13" s="1" customFormat="1" ht="17.100000000000001" customHeight="1">
      <c r="B28" s="17"/>
      <c r="C28" s="12"/>
      <c r="D28" s="12"/>
      <c r="E28" s="9">
        <v>614000</v>
      </c>
      <c r="F28" s="12" t="s">
        <v>109</v>
      </c>
      <c r="G28" s="20">
        <f>SUM(G29:G29)</f>
        <v>1300000</v>
      </c>
      <c r="H28" s="20">
        <f>SUM(H29:H29)</f>
        <v>1300000</v>
      </c>
      <c r="I28" s="253">
        <v>133070</v>
      </c>
      <c r="J28" s="20">
        <f>SUM(J29:J29)</f>
        <v>0</v>
      </c>
      <c r="K28" s="120">
        <f t="shared" si="0"/>
        <v>0</v>
      </c>
    </row>
    <row r="29" spans="2:13" s="1" customFormat="1" ht="17.100000000000001" customHeight="1">
      <c r="B29" s="17"/>
      <c r="C29" s="12"/>
      <c r="D29" s="47"/>
      <c r="E29" s="72">
        <v>614500</v>
      </c>
      <c r="F29" s="67" t="s">
        <v>175</v>
      </c>
      <c r="G29" s="69">
        <v>1300000</v>
      </c>
      <c r="H29" s="69">
        <v>1300000</v>
      </c>
      <c r="I29" s="257">
        <v>133070</v>
      </c>
      <c r="J29" s="69"/>
      <c r="K29" s="84">
        <f t="shared" si="0"/>
        <v>0</v>
      </c>
    </row>
    <row r="30" spans="2:13" ht="17.100000000000001" customHeight="1">
      <c r="B30" s="14"/>
      <c r="C30" s="15"/>
      <c r="D30" s="15"/>
      <c r="E30" s="16"/>
      <c r="F30" s="26"/>
      <c r="G30" s="69"/>
      <c r="H30" s="69"/>
      <c r="I30" s="257"/>
      <c r="J30" s="69"/>
      <c r="K30" s="84" t="str">
        <f t="shared" si="0"/>
        <v/>
      </c>
    </row>
    <row r="31" spans="2:13" ht="17.100000000000001" customHeight="1">
      <c r="B31" s="17"/>
      <c r="C31" s="12"/>
      <c r="D31" s="12"/>
      <c r="E31" s="9">
        <v>821000</v>
      </c>
      <c r="F31" s="12" t="s">
        <v>12</v>
      </c>
      <c r="G31" s="61">
        <f>SUM(G32:G33)</f>
        <v>1000</v>
      </c>
      <c r="H31" s="61">
        <f>SUM(H32:H33)</f>
        <v>1000</v>
      </c>
      <c r="I31" s="256">
        <v>410</v>
      </c>
      <c r="J31" s="61">
        <f>SUM(J32:J33)</f>
        <v>0</v>
      </c>
      <c r="K31" s="120">
        <f t="shared" si="0"/>
        <v>0</v>
      </c>
    </row>
    <row r="32" spans="2:13" ht="17.100000000000001" customHeight="1">
      <c r="B32" s="14"/>
      <c r="C32" s="15"/>
      <c r="D32" s="15"/>
      <c r="E32" s="16">
        <v>821200</v>
      </c>
      <c r="F32" s="15" t="s">
        <v>13</v>
      </c>
      <c r="G32" s="69">
        <v>0</v>
      </c>
      <c r="H32" s="69">
        <v>0</v>
      </c>
      <c r="I32" s="257">
        <v>0</v>
      </c>
      <c r="J32" s="69"/>
      <c r="K32" s="84" t="str">
        <f t="shared" si="0"/>
        <v/>
      </c>
    </row>
    <row r="33" spans="2:11" ht="17.100000000000001" customHeight="1">
      <c r="B33" s="14"/>
      <c r="C33" s="15"/>
      <c r="D33" s="15"/>
      <c r="E33" s="16">
        <v>821300</v>
      </c>
      <c r="F33" s="15" t="s">
        <v>14</v>
      </c>
      <c r="G33" s="69">
        <v>1000</v>
      </c>
      <c r="H33" s="69">
        <v>1000</v>
      </c>
      <c r="I33" s="257">
        <v>410</v>
      </c>
      <c r="J33" s="69"/>
      <c r="K33" s="84">
        <f>IF(H33=0,"",J33/H33*100)</f>
        <v>0</v>
      </c>
    </row>
    <row r="34" spans="2:11" ht="17.100000000000001" customHeight="1">
      <c r="B34" s="14"/>
      <c r="C34" s="15"/>
      <c r="D34" s="15"/>
      <c r="E34" s="16"/>
      <c r="F34" s="15"/>
      <c r="G34" s="33"/>
      <c r="H34" s="33"/>
      <c r="I34" s="254"/>
      <c r="J34" s="33"/>
      <c r="K34" s="84" t="str">
        <f t="shared" si="0"/>
        <v/>
      </c>
    </row>
    <row r="35" spans="2:11" ht="17.100000000000001" customHeight="1">
      <c r="B35" s="17"/>
      <c r="C35" s="12"/>
      <c r="D35" s="12"/>
      <c r="E35" s="9"/>
      <c r="F35" s="12" t="s">
        <v>15</v>
      </c>
      <c r="G35" s="61">
        <v>8</v>
      </c>
      <c r="H35" s="61">
        <v>8</v>
      </c>
      <c r="I35" s="256">
        <v>7</v>
      </c>
      <c r="J35" s="61"/>
      <c r="K35" s="84"/>
    </row>
    <row r="36" spans="2:11" ht="17.100000000000001" customHeight="1">
      <c r="B36" s="17"/>
      <c r="C36" s="12"/>
      <c r="D36" s="12"/>
      <c r="E36" s="9"/>
      <c r="F36" s="12" t="s">
        <v>31</v>
      </c>
      <c r="G36" s="20">
        <f>G7+G12+G15+G28+G31</f>
        <v>1585110</v>
      </c>
      <c r="H36" s="20">
        <f>H7+H12+H15+H28+H31</f>
        <v>1585110</v>
      </c>
      <c r="I36" s="20">
        <f t="shared" ref="I36" si="1">I7+I12+I15+I28+I31</f>
        <v>297066</v>
      </c>
      <c r="J36" s="20">
        <f>J7+J12+J15+J28+J31</f>
        <v>0</v>
      </c>
      <c r="K36" s="83">
        <f>IF(H36=0,"",J36/H36*100)</f>
        <v>0</v>
      </c>
    </row>
    <row r="37" spans="2:11" ht="17.100000000000001" customHeight="1">
      <c r="B37" s="17"/>
      <c r="C37" s="12"/>
      <c r="D37" s="12"/>
      <c r="E37" s="9"/>
      <c r="F37" s="12" t="s">
        <v>16</v>
      </c>
      <c r="G37" s="20">
        <f>G36</f>
        <v>1585110</v>
      </c>
      <c r="H37" s="20">
        <f>H36</f>
        <v>1585110</v>
      </c>
      <c r="I37" s="20">
        <f t="shared" ref="I37" si="2">I36</f>
        <v>297066</v>
      </c>
      <c r="J37" s="20">
        <f>J36</f>
        <v>0</v>
      </c>
      <c r="K37" s="83">
        <f t="shared" ref="K37:K38" si="3">IF(H37=0,"",J37/H37*100)</f>
        <v>0</v>
      </c>
    </row>
    <row r="38" spans="2:11" s="1" customFormat="1" ht="17.100000000000001" customHeight="1">
      <c r="B38" s="17"/>
      <c r="C38" s="12"/>
      <c r="D38" s="12"/>
      <c r="E38" s="9"/>
      <c r="F38" s="12" t="s">
        <v>17</v>
      </c>
      <c r="G38" s="20">
        <f>G37</f>
        <v>1585110</v>
      </c>
      <c r="H38" s="20">
        <f>H37</f>
        <v>1585110</v>
      </c>
      <c r="I38" s="20">
        <f t="shared" ref="I38" si="4">I37</f>
        <v>297066</v>
      </c>
      <c r="J38" s="20">
        <f>J37</f>
        <v>0</v>
      </c>
      <c r="K38" s="83">
        <f t="shared" si="3"/>
        <v>0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34"/>
      <c r="H39" s="34"/>
      <c r="I39" s="34"/>
      <c r="J39" s="34"/>
      <c r="K39" s="87"/>
    </row>
    <row r="40" spans="2:11" s="1" customFormat="1" ht="17.100000000000001" customHeight="1">
      <c r="B40" s="13"/>
      <c r="C40" s="13"/>
      <c r="D40" s="13"/>
      <c r="E40" s="24"/>
      <c r="F40" s="49"/>
      <c r="G40" s="53"/>
      <c r="H40" s="53"/>
      <c r="I40" s="53"/>
      <c r="J40" s="53"/>
      <c r="K40" s="76"/>
    </row>
    <row r="41" spans="2:11" s="1" customFormat="1" ht="17.100000000000001" customHeight="1">
      <c r="B41" s="49"/>
      <c r="C41" s="13"/>
      <c r="D41" s="13"/>
      <c r="E41" s="24"/>
      <c r="F41" s="13"/>
      <c r="G41" s="53"/>
      <c r="H41" s="53"/>
      <c r="I41" s="53"/>
      <c r="J41" s="53"/>
      <c r="K41" s="76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M59"/>
  <sheetViews>
    <sheetView topLeftCell="C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ht="15" customHeight="1">
      <c r="B2" s="447" t="s">
        <v>54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53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2" customFormat="1" ht="17.100000000000001" customHeight="1">
      <c r="B7" s="10"/>
      <c r="C7" s="11"/>
      <c r="D7" s="11"/>
      <c r="E7" s="9">
        <v>600000</v>
      </c>
      <c r="F7" s="27" t="s">
        <v>38</v>
      </c>
      <c r="G7" s="25">
        <f>G8</f>
        <v>15000</v>
      </c>
      <c r="H7" s="25">
        <f>H8</f>
        <v>15000</v>
      </c>
      <c r="I7" s="262">
        <v>8200</v>
      </c>
      <c r="J7" s="25">
        <f>J8</f>
        <v>0</v>
      </c>
      <c r="K7" s="83">
        <f>IF(H7=0,"",J7/H7*100)</f>
        <v>0</v>
      </c>
    </row>
    <row r="8" spans="2:13" s="2" customFormat="1" ht="17.100000000000001" customHeight="1">
      <c r="B8" s="10"/>
      <c r="C8" s="11"/>
      <c r="D8" s="11"/>
      <c r="E8" s="36">
        <v>600000</v>
      </c>
      <c r="F8" s="37" t="s">
        <v>27</v>
      </c>
      <c r="G8" s="50">
        <v>15000</v>
      </c>
      <c r="H8" s="50">
        <v>15000</v>
      </c>
      <c r="I8" s="265">
        <v>8200</v>
      </c>
      <c r="J8" s="50"/>
      <c r="K8" s="84">
        <f>IF(H8=0,"",J8/H8*100)</f>
        <v>0</v>
      </c>
    </row>
    <row r="9" spans="2:13" s="2" customFormat="1" ht="17.100000000000001" customHeight="1">
      <c r="B9" s="10"/>
      <c r="C9" s="11"/>
      <c r="D9" s="11"/>
      <c r="E9" s="9"/>
      <c r="F9" s="9"/>
      <c r="G9" s="50"/>
      <c r="H9" s="50"/>
      <c r="I9" s="265"/>
      <c r="J9" s="50"/>
      <c r="K9" s="84" t="str">
        <f t="shared" ref="K9:K32" si="0">IF(H9=0,"",J9/H9*100)</f>
        <v/>
      </c>
    </row>
    <row r="10" spans="2:13" s="1" customFormat="1" ht="17.100000000000001" customHeight="1">
      <c r="B10" s="17"/>
      <c r="C10" s="12"/>
      <c r="D10" s="12"/>
      <c r="E10" s="9">
        <v>611000</v>
      </c>
      <c r="F10" s="12" t="s">
        <v>80</v>
      </c>
      <c r="G10" s="129">
        <f>SUM(G11:G13)</f>
        <v>386910</v>
      </c>
      <c r="H10" s="129">
        <f>SUM(H11:H13)</f>
        <v>386910</v>
      </c>
      <c r="I10" s="271">
        <v>266921</v>
      </c>
      <c r="J10" s="129">
        <f>SUM(J11:J13)</f>
        <v>0</v>
      </c>
      <c r="K10" s="120">
        <f t="shared" si="0"/>
        <v>0</v>
      </c>
    </row>
    <row r="11" spans="2:13" ht="17.100000000000001" customHeight="1">
      <c r="B11" s="14"/>
      <c r="C11" s="15"/>
      <c r="D11" s="15"/>
      <c r="E11" s="16">
        <v>611100</v>
      </c>
      <c r="F11" s="26" t="s">
        <v>105</v>
      </c>
      <c r="G11" s="131">
        <f>306460+2000+9200</f>
        <v>317660</v>
      </c>
      <c r="H11" s="131">
        <f>306460+2000+9200</f>
        <v>317660</v>
      </c>
      <c r="I11" s="272">
        <v>216906</v>
      </c>
      <c r="J11" s="131"/>
      <c r="K11" s="84">
        <f t="shared" si="0"/>
        <v>0</v>
      </c>
    </row>
    <row r="12" spans="2:13" ht="17.100000000000001" customHeight="1">
      <c r="B12" s="14"/>
      <c r="C12" s="15"/>
      <c r="D12" s="15"/>
      <c r="E12" s="16">
        <v>611200</v>
      </c>
      <c r="F12" s="15" t="s">
        <v>106</v>
      </c>
      <c r="G12" s="128">
        <f>62550+2000+4700</f>
        <v>69250</v>
      </c>
      <c r="H12" s="128">
        <f>62550+2000+4700</f>
        <v>69250</v>
      </c>
      <c r="I12" s="270">
        <v>50015</v>
      </c>
      <c r="J12" s="128"/>
      <c r="K12" s="84">
        <f t="shared" si="0"/>
        <v>0</v>
      </c>
    </row>
    <row r="13" spans="2:13" ht="17.100000000000001" customHeight="1">
      <c r="B13" s="14"/>
      <c r="C13" s="15"/>
      <c r="D13" s="15"/>
      <c r="E13" s="16">
        <v>611200</v>
      </c>
      <c r="F13" s="127" t="s">
        <v>138</v>
      </c>
      <c r="G13" s="128">
        <v>0</v>
      </c>
      <c r="H13" s="128">
        <v>0</v>
      </c>
      <c r="I13" s="270">
        <v>0</v>
      </c>
      <c r="J13" s="128"/>
      <c r="K13" s="84" t="str">
        <f t="shared" si="0"/>
        <v/>
      </c>
      <c r="M13" s="52"/>
    </row>
    <row r="14" spans="2:13" ht="17.100000000000001" customHeight="1">
      <c r="B14" s="14"/>
      <c r="C14" s="15"/>
      <c r="D14" s="15"/>
      <c r="E14" s="16"/>
      <c r="F14" s="26"/>
      <c r="G14" s="128"/>
      <c r="H14" s="128"/>
      <c r="I14" s="270"/>
      <c r="J14" s="128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612000</v>
      </c>
      <c r="F15" s="12" t="s">
        <v>79</v>
      </c>
      <c r="G15" s="129">
        <f>G16+G17</f>
        <v>34240</v>
      </c>
      <c r="H15" s="129">
        <f>H16+H17</f>
        <v>34240</v>
      </c>
      <c r="I15" s="271">
        <v>23436</v>
      </c>
      <c r="J15" s="129">
        <f>J16+J17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612100</v>
      </c>
      <c r="F16" s="18" t="s">
        <v>5</v>
      </c>
      <c r="G16" s="128">
        <f>32660+600+980</f>
        <v>34240</v>
      </c>
      <c r="H16" s="128">
        <f>32660+600+980</f>
        <v>34240</v>
      </c>
      <c r="I16" s="270">
        <v>23436</v>
      </c>
      <c r="J16" s="128"/>
      <c r="K16" s="84">
        <f t="shared" si="0"/>
        <v>0</v>
      </c>
    </row>
    <row r="17" spans="2:13" ht="17.100000000000001" customHeight="1">
      <c r="B17" s="14"/>
      <c r="C17" s="15"/>
      <c r="D17" s="15"/>
      <c r="E17" s="16"/>
      <c r="F17" s="15"/>
      <c r="G17" s="32"/>
      <c r="H17" s="32"/>
      <c r="I17" s="263"/>
      <c r="J17" s="32"/>
      <c r="K17" s="84" t="str">
        <f t="shared" si="0"/>
        <v/>
      </c>
    </row>
    <row r="18" spans="2:13" s="1" customFormat="1" ht="17.100000000000001" customHeight="1">
      <c r="B18" s="17"/>
      <c r="C18" s="12"/>
      <c r="D18" s="12"/>
      <c r="E18" s="9">
        <v>613000</v>
      </c>
      <c r="F18" s="12" t="s">
        <v>81</v>
      </c>
      <c r="G18" s="35">
        <f>SUM(G19:G29)</f>
        <v>139000</v>
      </c>
      <c r="H18" s="35">
        <f>SUM(H19:H29)</f>
        <v>139000</v>
      </c>
      <c r="I18" s="264">
        <v>71316</v>
      </c>
      <c r="J18" s="35">
        <f>SUM(J19:J29)</f>
        <v>0</v>
      </c>
      <c r="K18" s="120">
        <f t="shared" si="0"/>
        <v>0</v>
      </c>
    </row>
    <row r="19" spans="2:13" ht="17.100000000000001" customHeight="1">
      <c r="B19" s="14"/>
      <c r="C19" s="15"/>
      <c r="D19" s="15"/>
      <c r="E19" s="16">
        <v>613100</v>
      </c>
      <c r="F19" s="15" t="s">
        <v>6</v>
      </c>
      <c r="G19" s="32">
        <v>5500</v>
      </c>
      <c r="H19" s="32">
        <v>5500</v>
      </c>
      <c r="I19" s="263">
        <v>2533</v>
      </c>
      <c r="J19" s="32"/>
      <c r="K19" s="84">
        <f t="shared" si="0"/>
        <v>0</v>
      </c>
    </row>
    <row r="20" spans="2:13" ht="17.100000000000001" customHeight="1">
      <c r="B20" s="14"/>
      <c r="C20" s="15"/>
      <c r="D20" s="15"/>
      <c r="E20" s="16">
        <v>613200</v>
      </c>
      <c r="F20" s="15" t="s">
        <v>7</v>
      </c>
      <c r="G20" s="32">
        <v>0</v>
      </c>
      <c r="H20" s="32">
        <v>0</v>
      </c>
      <c r="I20" s="263">
        <v>0</v>
      </c>
      <c r="J20" s="32"/>
      <c r="K20" s="84" t="str">
        <f t="shared" si="0"/>
        <v/>
      </c>
    </row>
    <row r="21" spans="2:13" ht="17.100000000000001" customHeight="1">
      <c r="B21" s="14"/>
      <c r="C21" s="15"/>
      <c r="D21" s="15"/>
      <c r="E21" s="16">
        <v>613300</v>
      </c>
      <c r="F21" s="26" t="s">
        <v>107</v>
      </c>
      <c r="G21" s="32">
        <v>7000</v>
      </c>
      <c r="H21" s="32">
        <v>7000</v>
      </c>
      <c r="I21" s="263">
        <v>5365</v>
      </c>
      <c r="J21" s="32"/>
      <c r="K21" s="84">
        <f t="shared" si="0"/>
        <v>0</v>
      </c>
    </row>
    <row r="22" spans="2:13" ht="17.100000000000001" customHeight="1">
      <c r="B22" s="14"/>
      <c r="C22" s="15"/>
      <c r="D22" s="15"/>
      <c r="E22" s="16">
        <v>613400</v>
      </c>
      <c r="F22" s="15" t="s">
        <v>82</v>
      </c>
      <c r="G22" s="32">
        <v>3000</v>
      </c>
      <c r="H22" s="32">
        <v>3000</v>
      </c>
      <c r="I22" s="263">
        <v>2469</v>
      </c>
      <c r="J22" s="32"/>
      <c r="K22" s="84">
        <f t="shared" si="0"/>
        <v>0</v>
      </c>
    </row>
    <row r="23" spans="2:13" ht="17.100000000000001" customHeight="1">
      <c r="B23" s="14"/>
      <c r="C23" s="15"/>
      <c r="D23" s="15"/>
      <c r="E23" s="16">
        <v>613500</v>
      </c>
      <c r="F23" s="15" t="s">
        <v>8</v>
      </c>
      <c r="G23" s="50">
        <v>0</v>
      </c>
      <c r="H23" s="50">
        <v>0</v>
      </c>
      <c r="I23" s="265">
        <v>0</v>
      </c>
      <c r="J23" s="50"/>
      <c r="K23" s="84" t="str">
        <f t="shared" si="0"/>
        <v/>
      </c>
    </row>
    <row r="24" spans="2:13" ht="17.100000000000001" customHeight="1">
      <c r="B24" s="14"/>
      <c r="C24" s="15"/>
      <c r="D24" s="15"/>
      <c r="E24" s="16">
        <v>613600</v>
      </c>
      <c r="F24" s="26" t="s">
        <v>108</v>
      </c>
      <c r="G24" s="50">
        <v>0</v>
      </c>
      <c r="H24" s="50">
        <v>0</v>
      </c>
      <c r="I24" s="265">
        <v>0</v>
      </c>
      <c r="J24" s="50"/>
      <c r="K24" s="84" t="str">
        <f t="shared" si="0"/>
        <v/>
      </c>
    </row>
    <row r="25" spans="2:13" ht="17.100000000000001" customHeight="1">
      <c r="B25" s="14"/>
      <c r="C25" s="15"/>
      <c r="D25" s="15"/>
      <c r="E25" s="16">
        <v>613700</v>
      </c>
      <c r="F25" s="15" t="s">
        <v>9</v>
      </c>
      <c r="G25" s="69">
        <v>1500</v>
      </c>
      <c r="H25" s="69">
        <v>1500</v>
      </c>
      <c r="I25" s="267">
        <v>1131</v>
      </c>
      <c r="J25" s="69"/>
      <c r="K25" s="84">
        <f t="shared" si="0"/>
        <v>0</v>
      </c>
    </row>
    <row r="26" spans="2:13" ht="17.100000000000001" customHeight="1">
      <c r="B26" s="14"/>
      <c r="C26" s="15"/>
      <c r="D26" s="15"/>
      <c r="E26" s="16">
        <v>613800</v>
      </c>
      <c r="F26" s="15" t="s">
        <v>83</v>
      </c>
      <c r="G26" s="50">
        <v>7200</v>
      </c>
      <c r="H26" s="50">
        <v>7200</v>
      </c>
      <c r="I26" s="265">
        <v>4083</v>
      </c>
      <c r="J26" s="50"/>
      <c r="K26" s="84">
        <f t="shared" si="0"/>
        <v>0</v>
      </c>
    </row>
    <row r="27" spans="2:13" ht="17.100000000000001" customHeight="1">
      <c r="B27" s="14"/>
      <c r="C27" s="15"/>
      <c r="D27" s="15"/>
      <c r="E27" s="16">
        <v>613900</v>
      </c>
      <c r="F27" s="15" t="s">
        <v>84</v>
      </c>
      <c r="G27" s="97">
        <v>34800</v>
      </c>
      <c r="H27" s="97">
        <v>34800</v>
      </c>
      <c r="I27" s="268">
        <v>13713</v>
      </c>
      <c r="J27" s="97"/>
      <c r="K27" s="84">
        <f t="shared" si="0"/>
        <v>0</v>
      </c>
    </row>
    <row r="28" spans="2:13" ht="17.100000000000001" customHeight="1">
      <c r="B28" s="14"/>
      <c r="C28" s="15"/>
      <c r="D28" s="15"/>
      <c r="E28" s="43">
        <v>613900</v>
      </c>
      <c r="F28" s="26" t="s">
        <v>140</v>
      </c>
      <c r="G28" s="50">
        <v>80000</v>
      </c>
      <c r="H28" s="50">
        <v>80000</v>
      </c>
      <c r="I28" s="265">
        <v>42022</v>
      </c>
      <c r="J28" s="50"/>
      <c r="K28" s="84">
        <f t="shared" si="0"/>
        <v>0</v>
      </c>
    </row>
    <row r="29" spans="2:13" ht="17.100000000000001" customHeight="1">
      <c r="B29" s="14"/>
      <c r="C29" s="15"/>
      <c r="D29" s="15"/>
      <c r="E29" s="16">
        <v>613900</v>
      </c>
      <c r="F29" s="127" t="s">
        <v>139</v>
      </c>
      <c r="G29" s="50">
        <v>0</v>
      </c>
      <c r="H29" s="50">
        <v>0</v>
      </c>
      <c r="I29" s="265">
        <v>0</v>
      </c>
      <c r="J29" s="50"/>
      <c r="K29" s="84" t="str">
        <f t="shared" si="0"/>
        <v/>
      </c>
    </row>
    <row r="30" spans="2:13" ht="17.100000000000001" customHeight="1">
      <c r="B30" s="14"/>
      <c r="C30" s="15"/>
      <c r="D30" s="15"/>
      <c r="E30" s="43"/>
      <c r="F30" s="15"/>
      <c r="G30" s="50"/>
      <c r="H30" s="50"/>
      <c r="I30" s="265"/>
      <c r="J30" s="50"/>
      <c r="K30" s="84" t="str">
        <f t="shared" si="0"/>
        <v/>
      </c>
    </row>
    <row r="31" spans="2:13" s="1" customFormat="1" ht="17.100000000000001" customHeight="1">
      <c r="B31" s="17"/>
      <c r="C31" s="12"/>
      <c r="D31" s="30"/>
      <c r="E31" s="9">
        <v>614000</v>
      </c>
      <c r="F31" s="12" t="s">
        <v>109</v>
      </c>
      <c r="G31" s="61">
        <f>SUM(G32:G34)</f>
        <v>461000</v>
      </c>
      <c r="H31" s="61">
        <f>SUM(H32:H34)</f>
        <v>546000</v>
      </c>
      <c r="I31" s="266">
        <v>529522</v>
      </c>
      <c r="J31" s="61">
        <f>SUM(J32:J34)</f>
        <v>0</v>
      </c>
      <c r="K31" s="120">
        <f t="shared" si="0"/>
        <v>0</v>
      </c>
    </row>
    <row r="32" spans="2:13" ht="17.100000000000001" customHeight="1">
      <c r="B32" s="14"/>
      <c r="C32" s="15"/>
      <c r="D32" s="29"/>
      <c r="E32" s="16">
        <v>614100</v>
      </c>
      <c r="F32" s="38" t="s">
        <v>131</v>
      </c>
      <c r="G32" s="50">
        <v>350000</v>
      </c>
      <c r="H32" s="50">
        <v>435000</v>
      </c>
      <c r="I32" s="265">
        <v>435000</v>
      </c>
      <c r="J32" s="50"/>
      <c r="K32" s="84">
        <f t="shared" si="0"/>
        <v>0</v>
      </c>
      <c r="L32" s="60"/>
      <c r="M32" s="49"/>
    </row>
    <row r="33" spans="2:12" ht="17.100000000000001" customHeight="1">
      <c r="B33" s="14"/>
      <c r="C33" s="15"/>
      <c r="D33" s="29"/>
      <c r="E33" s="41">
        <v>614800</v>
      </c>
      <c r="F33" s="38" t="s">
        <v>29</v>
      </c>
      <c r="G33" s="50">
        <v>51000</v>
      </c>
      <c r="H33" s="50">
        <v>51000</v>
      </c>
      <c r="I33" s="265">
        <v>51000</v>
      </c>
      <c r="J33" s="50"/>
      <c r="K33" s="84">
        <f>IF(H33=0,"",J33/H33*100)</f>
        <v>0</v>
      </c>
      <c r="L33" s="49"/>
    </row>
    <row r="34" spans="2:12" ht="27.75" customHeight="1">
      <c r="B34" s="14"/>
      <c r="C34" s="15"/>
      <c r="D34" s="29"/>
      <c r="E34" s="41">
        <v>614800</v>
      </c>
      <c r="F34" s="146" t="s">
        <v>152</v>
      </c>
      <c r="G34" s="50">
        <v>60000</v>
      </c>
      <c r="H34" s="50">
        <v>60000</v>
      </c>
      <c r="I34" s="265">
        <v>43522</v>
      </c>
      <c r="J34" s="50"/>
      <c r="K34" s="84">
        <f t="shared" ref="K34:K51" si="1">IF(H34=0,"",J34/H34*100)</f>
        <v>0</v>
      </c>
      <c r="L34" s="49"/>
    </row>
    <row r="35" spans="2:12" ht="17.100000000000001" customHeight="1">
      <c r="B35" s="14"/>
      <c r="C35" s="15"/>
      <c r="D35" s="29"/>
      <c r="E35" s="59"/>
      <c r="F35" s="38"/>
      <c r="G35" s="50"/>
      <c r="H35" s="50"/>
      <c r="I35" s="265"/>
      <c r="J35" s="50"/>
      <c r="K35" s="84" t="str">
        <f t="shared" si="1"/>
        <v/>
      </c>
    </row>
    <row r="36" spans="2:12" ht="17.100000000000001" customHeight="1">
      <c r="B36" s="14"/>
      <c r="C36" s="15"/>
      <c r="D36" s="15"/>
      <c r="E36" s="58">
        <v>616000</v>
      </c>
      <c r="F36" s="31" t="s">
        <v>112</v>
      </c>
      <c r="G36" s="98">
        <f>SUM(G37:G38)</f>
        <v>65500</v>
      </c>
      <c r="H36" s="98">
        <f>SUM(H37:H38)</f>
        <v>65500</v>
      </c>
      <c r="I36" s="269">
        <v>47192</v>
      </c>
      <c r="J36" s="98">
        <f>SUM(J37:J38)</f>
        <v>0</v>
      </c>
      <c r="K36" s="120">
        <f t="shared" si="1"/>
        <v>0</v>
      </c>
    </row>
    <row r="37" spans="2:12" ht="17.100000000000001" customHeight="1">
      <c r="B37" s="14"/>
      <c r="C37" s="15"/>
      <c r="D37" s="15"/>
      <c r="E37" s="48">
        <v>616300</v>
      </c>
      <c r="F37" s="44" t="s">
        <v>114</v>
      </c>
      <c r="G37" s="50">
        <v>24000</v>
      </c>
      <c r="H37" s="50">
        <v>24000</v>
      </c>
      <c r="I37" s="265">
        <v>21708</v>
      </c>
      <c r="J37" s="50"/>
      <c r="K37" s="84">
        <f t="shared" si="1"/>
        <v>0</v>
      </c>
    </row>
    <row r="38" spans="2:12" ht="17.100000000000001" customHeight="1">
      <c r="B38" s="14"/>
      <c r="C38" s="15"/>
      <c r="D38" s="15"/>
      <c r="E38" s="48">
        <v>616300</v>
      </c>
      <c r="F38" s="44" t="s">
        <v>117</v>
      </c>
      <c r="G38" s="50">
        <v>41500</v>
      </c>
      <c r="H38" s="50">
        <v>41500</v>
      </c>
      <c r="I38" s="265">
        <v>25484</v>
      </c>
      <c r="J38" s="50"/>
      <c r="K38" s="84">
        <f t="shared" si="1"/>
        <v>0</v>
      </c>
    </row>
    <row r="39" spans="2:12" ht="17.100000000000001" customHeight="1">
      <c r="B39" s="14"/>
      <c r="C39" s="15"/>
      <c r="D39" s="15"/>
      <c r="E39" s="16"/>
      <c r="F39" s="15"/>
      <c r="G39" s="61"/>
      <c r="H39" s="61"/>
      <c r="I39" s="266"/>
      <c r="J39" s="61"/>
      <c r="K39" s="84" t="str">
        <f t="shared" si="1"/>
        <v/>
      </c>
    </row>
    <row r="40" spans="2:12" ht="17.100000000000001" customHeight="1">
      <c r="B40" s="17"/>
      <c r="C40" s="12"/>
      <c r="D40" s="12"/>
      <c r="E40" s="9">
        <v>821000</v>
      </c>
      <c r="F40" s="12" t="s">
        <v>12</v>
      </c>
      <c r="G40" s="61">
        <f>SUM(G41:G42)</f>
        <v>3000</v>
      </c>
      <c r="H40" s="61">
        <f>SUM(H41:H42)</f>
        <v>3000</v>
      </c>
      <c r="I40" s="266">
        <v>576</v>
      </c>
      <c r="J40" s="61">
        <f>SUM(J41:J42)</f>
        <v>0</v>
      </c>
      <c r="K40" s="120">
        <f t="shared" si="1"/>
        <v>0</v>
      </c>
    </row>
    <row r="41" spans="2:12" ht="17.100000000000001" customHeight="1">
      <c r="B41" s="14"/>
      <c r="C41" s="15"/>
      <c r="D41" s="15"/>
      <c r="E41" s="16">
        <v>821200</v>
      </c>
      <c r="F41" s="15" t="s">
        <v>13</v>
      </c>
      <c r="G41" s="69">
        <v>0</v>
      </c>
      <c r="H41" s="69">
        <v>0</v>
      </c>
      <c r="I41" s="267">
        <v>0</v>
      </c>
      <c r="J41" s="69"/>
      <c r="K41" s="84" t="str">
        <f t="shared" si="1"/>
        <v/>
      </c>
    </row>
    <row r="42" spans="2:12" s="1" customFormat="1" ht="17.100000000000001" customHeight="1">
      <c r="B42" s="14"/>
      <c r="C42" s="15"/>
      <c r="D42" s="15"/>
      <c r="E42" s="16">
        <v>821300</v>
      </c>
      <c r="F42" s="15" t="s">
        <v>14</v>
      </c>
      <c r="G42" s="69">
        <v>3000</v>
      </c>
      <c r="H42" s="69">
        <v>3000</v>
      </c>
      <c r="I42" s="267">
        <v>576</v>
      </c>
      <c r="J42" s="69"/>
      <c r="K42" s="84">
        <f t="shared" si="1"/>
        <v>0</v>
      </c>
    </row>
    <row r="43" spans="2:12" ht="17.100000000000001" customHeight="1">
      <c r="B43" s="14"/>
      <c r="C43" s="15"/>
      <c r="D43" s="15"/>
      <c r="E43" s="16"/>
      <c r="F43" s="15"/>
      <c r="G43" s="50"/>
      <c r="H43" s="50"/>
      <c r="I43" s="265"/>
      <c r="J43" s="50"/>
      <c r="K43" s="84" t="str">
        <f t="shared" si="1"/>
        <v/>
      </c>
    </row>
    <row r="44" spans="2:12" ht="17.100000000000001" customHeight="1">
      <c r="B44" s="17"/>
      <c r="C44" s="12"/>
      <c r="D44" s="12"/>
      <c r="E44" s="9">
        <v>823000</v>
      </c>
      <c r="F44" s="12" t="s">
        <v>115</v>
      </c>
      <c r="G44" s="61">
        <f>SUM(G45:G46)</f>
        <v>525500</v>
      </c>
      <c r="H44" s="61">
        <f>SUM(H45:H46)</f>
        <v>525500</v>
      </c>
      <c r="I44" s="266">
        <v>516694</v>
      </c>
      <c r="J44" s="61">
        <f>SUM(J45:J46)</f>
        <v>0</v>
      </c>
      <c r="K44" s="120">
        <f t="shared" si="1"/>
        <v>0</v>
      </c>
    </row>
    <row r="45" spans="2:12" ht="17.100000000000001" customHeight="1">
      <c r="B45" s="14"/>
      <c r="C45" s="15"/>
      <c r="D45" s="15"/>
      <c r="E45" s="16">
        <v>823300</v>
      </c>
      <c r="F45" s="26" t="s">
        <v>158</v>
      </c>
      <c r="G45" s="69">
        <v>95000</v>
      </c>
      <c r="H45" s="69">
        <v>95000</v>
      </c>
      <c r="I45" s="267">
        <v>86411</v>
      </c>
      <c r="J45" s="69"/>
      <c r="K45" s="84">
        <f t="shared" si="1"/>
        <v>0</v>
      </c>
    </row>
    <row r="46" spans="2:12" ht="17.100000000000001" customHeight="1">
      <c r="B46" s="14"/>
      <c r="C46" s="15"/>
      <c r="D46" s="15"/>
      <c r="E46" s="16">
        <v>823300</v>
      </c>
      <c r="F46" s="26" t="s">
        <v>157</v>
      </c>
      <c r="G46" s="69">
        <v>430500</v>
      </c>
      <c r="H46" s="69">
        <v>430500</v>
      </c>
      <c r="I46" s="267">
        <v>430283</v>
      </c>
      <c r="J46" s="69"/>
      <c r="K46" s="84">
        <f t="shared" si="1"/>
        <v>0</v>
      </c>
    </row>
    <row r="47" spans="2:12" ht="17.100000000000001" customHeight="1">
      <c r="B47" s="14"/>
      <c r="C47" s="15"/>
      <c r="D47" s="15"/>
      <c r="E47" s="16"/>
      <c r="F47" s="15"/>
      <c r="G47" s="15"/>
      <c r="H47" s="15"/>
      <c r="I47" s="261"/>
      <c r="J47" s="15"/>
      <c r="K47" s="84" t="str">
        <f t="shared" si="1"/>
        <v/>
      </c>
    </row>
    <row r="48" spans="2:12" ht="17.100000000000001" customHeight="1">
      <c r="B48" s="17"/>
      <c r="C48" s="12"/>
      <c r="D48" s="12"/>
      <c r="E48" s="9"/>
      <c r="F48" s="12" t="s">
        <v>15</v>
      </c>
      <c r="G48" s="134">
        <v>15</v>
      </c>
      <c r="H48" s="134">
        <v>15</v>
      </c>
      <c r="I48" s="273">
        <v>15</v>
      </c>
      <c r="J48" s="134"/>
      <c r="K48" s="84"/>
    </row>
    <row r="49" spans="2:11" ht="17.100000000000001" customHeight="1">
      <c r="B49" s="17"/>
      <c r="C49" s="12"/>
      <c r="D49" s="12"/>
      <c r="E49" s="9"/>
      <c r="F49" s="12" t="s">
        <v>31</v>
      </c>
      <c r="G49" s="20">
        <f>G7+G10+G15+G18+G31+G36+G40+G44</f>
        <v>1630150</v>
      </c>
      <c r="H49" s="20">
        <f>H7+H10+H15+H18+H31+H36+H40+H44</f>
        <v>1715150</v>
      </c>
      <c r="I49" s="20">
        <f>I7+I10+I15+I18+I31+I36+I40+I44</f>
        <v>1463857</v>
      </c>
      <c r="J49" s="20">
        <f>J7+J10+J15+J18+J31+J36+J40+J44</f>
        <v>0</v>
      </c>
      <c r="K49" s="120">
        <f>IF(H49=0,"",J49/H49*100)</f>
        <v>0</v>
      </c>
    </row>
    <row r="50" spans="2:11" s="1" customFormat="1" ht="17.100000000000001" customHeight="1">
      <c r="B50" s="17"/>
      <c r="C50" s="12"/>
      <c r="D50" s="12"/>
      <c r="E50" s="9"/>
      <c r="F50" s="12" t="s">
        <v>16</v>
      </c>
      <c r="G50" s="20">
        <f>G49</f>
        <v>1630150</v>
      </c>
      <c r="H50" s="20">
        <f>H49</f>
        <v>1715150</v>
      </c>
      <c r="I50" s="20">
        <f t="shared" ref="I50" si="2">I49</f>
        <v>1463857</v>
      </c>
      <c r="J50" s="20">
        <f>J49</f>
        <v>0</v>
      </c>
      <c r="K50" s="120">
        <f t="shared" si="1"/>
        <v>0</v>
      </c>
    </row>
    <row r="51" spans="2:11" s="1" customFormat="1" ht="17.100000000000001" customHeight="1">
      <c r="B51" s="17"/>
      <c r="C51" s="12"/>
      <c r="D51" s="12"/>
      <c r="E51" s="9"/>
      <c r="F51" s="12" t="s">
        <v>17</v>
      </c>
      <c r="G51" s="20">
        <f>G50</f>
        <v>1630150</v>
      </c>
      <c r="H51" s="20">
        <f>H50</f>
        <v>1715150</v>
      </c>
      <c r="I51" s="20">
        <f t="shared" ref="I51" si="3">I50</f>
        <v>1463857</v>
      </c>
      <c r="J51" s="20">
        <f>J50</f>
        <v>0</v>
      </c>
      <c r="K51" s="120">
        <f t="shared" si="1"/>
        <v>0</v>
      </c>
    </row>
    <row r="52" spans="2:11" s="1" customFormat="1" ht="17.100000000000001" customHeight="1" thickBot="1">
      <c r="B52" s="21"/>
      <c r="C52" s="22"/>
      <c r="D52" s="22"/>
      <c r="E52" s="23"/>
      <c r="F52" s="22"/>
      <c r="G52" s="22"/>
      <c r="H52" s="22"/>
      <c r="I52" s="22"/>
      <c r="J52" s="22"/>
      <c r="K52" s="87"/>
    </row>
    <row r="53" spans="2:11" s="1" customFormat="1" ht="17.100000000000001" customHeight="1">
      <c r="B53" s="13"/>
      <c r="C53" s="13"/>
      <c r="D53" s="13"/>
      <c r="E53" s="24"/>
      <c r="F53" s="13"/>
      <c r="G53" s="13"/>
      <c r="H53" s="13"/>
      <c r="I53" s="13"/>
      <c r="J53" s="13"/>
      <c r="K53" s="76"/>
    </row>
    <row r="54" spans="2:11" ht="17.100000000000001" customHeight="1"/>
    <row r="55" spans="2:11" ht="17.100000000000001" customHeight="1"/>
    <row r="56" spans="2:11" ht="17.100000000000001" customHeight="1"/>
    <row r="57" spans="2:11" ht="17.100000000000001" customHeight="1"/>
    <row r="58" spans="2:11" ht="17.100000000000001" customHeight="1"/>
    <row r="59" spans="2:11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&amp;R23</oddFooter>
  </headerFooter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M59"/>
  <sheetViews>
    <sheetView topLeftCell="C1" zoomScaleNormal="100" zoomScaleSheetLayoutView="13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ht="15" customHeight="1">
      <c r="B2" s="449" t="s">
        <v>55</v>
      </c>
      <c r="C2" s="449"/>
      <c r="D2" s="449"/>
      <c r="E2" s="449"/>
      <c r="F2" s="449"/>
      <c r="G2" s="449"/>
      <c r="H2" s="449"/>
      <c r="I2" s="449"/>
      <c r="J2" s="449"/>
      <c r="K2" s="77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56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234390</v>
      </c>
      <c r="H7" s="129">
        <f>SUM(H8:H11)</f>
        <v>234390</v>
      </c>
      <c r="I7" s="280">
        <v>152024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175080+1200+15000+5260+450</f>
        <v>196990</v>
      </c>
      <c r="H8" s="128">
        <f>175080+1200+15000+5260+450</f>
        <v>196990</v>
      </c>
      <c r="I8" s="279">
        <v>129514</v>
      </c>
      <c r="J8" s="128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28">
        <f>34400+0+3000</f>
        <v>37400</v>
      </c>
      <c r="H9" s="128">
        <f>34400+0+3000</f>
        <v>37400</v>
      </c>
      <c r="I9" s="279">
        <v>22510</v>
      </c>
      <c r="J9" s="128"/>
      <c r="K9" s="84">
        <f t="shared" ref="K9:K38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79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28"/>
      <c r="H11" s="128"/>
      <c r="I11" s="279"/>
      <c r="J11" s="128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21380</v>
      </c>
      <c r="H12" s="129">
        <f>H13</f>
        <v>21380</v>
      </c>
      <c r="I12" s="280">
        <v>14767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28">
        <f>18620+500+1650+560+50</f>
        <v>21380</v>
      </c>
      <c r="H13" s="128">
        <f>18620+500+1650+560+50</f>
        <v>21380</v>
      </c>
      <c r="I13" s="279">
        <v>14767</v>
      </c>
      <c r="J13" s="12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2"/>
      <c r="H14" s="32"/>
      <c r="I14" s="274"/>
      <c r="J14" s="32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85110</v>
      </c>
      <c r="H15" s="35">
        <f>SUM(H16:H25)</f>
        <v>85110</v>
      </c>
      <c r="I15" s="275">
        <v>57899</v>
      </c>
      <c r="J15" s="35">
        <f>SUM(J16:J25)</f>
        <v>0</v>
      </c>
      <c r="K15" s="120">
        <f t="shared" si="0"/>
        <v>0</v>
      </c>
      <c r="M15" s="54"/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2">
        <v>3510</v>
      </c>
      <c r="H16" s="32">
        <v>3510</v>
      </c>
      <c r="I16" s="274">
        <v>3018</v>
      </c>
      <c r="J16" s="32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2">
        <v>0</v>
      </c>
      <c r="H17" s="32">
        <v>0</v>
      </c>
      <c r="I17" s="274">
        <v>0</v>
      </c>
      <c r="J17" s="32"/>
      <c r="K17" s="84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2">
        <v>15000</v>
      </c>
      <c r="H18" s="32">
        <v>15000</v>
      </c>
      <c r="I18" s="274">
        <v>11746</v>
      </c>
      <c r="J18" s="32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50">
        <v>600</v>
      </c>
      <c r="H19" s="50">
        <v>600</v>
      </c>
      <c r="I19" s="276">
        <v>27</v>
      </c>
      <c r="J19" s="50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50">
        <v>0</v>
      </c>
      <c r="H20" s="50">
        <v>0</v>
      </c>
      <c r="I20" s="276">
        <v>0</v>
      </c>
      <c r="J20" s="50"/>
      <c r="K20" s="84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50">
        <v>0</v>
      </c>
      <c r="H21" s="50">
        <v>0</v>
      </c>
      <c r="I21" s="276">
        <v>0</v>
      </c>
      <c r="J21" s="50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50">
        <v>1000</v>
      </c>
      <c r="H22" s="50">
        <v>1000</v>
      </c>
      <c r="I22" s="276">
        <v>43</v>
      </c>
      <c r="J22" s="50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50">
        <v>0</v>
      </c>
      <c r="H23" s="50">
        <v>0</v>
      </c>
      <c r="I23" s="276">
        <v>0</v>
      </c>
      <c r="J23" s="50"/>
      <c r="K23" s="84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69">
        <v>65000</v>
      </c>
      <c r="H24" s="69">
        <v>65000</v>
      </c>
      <c r="I24" s="278">
        <v>43065</v>
      </c>
      <c r="J24" s="69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50">
        <v>0</v>
      </c>
      <c r="H25" s="50">
        <v>0</v>
      </c>
      <c r="I25" s="276">
        <v>0</v>
      </c>
      <c r="J25" s="50"/>
      <c r="K25" s="84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61"/>
      <c r="H26" s="61"/>
      <c r="I26" s="277"/>
      <c r="J26" s="61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109</v>
      </c>
      <c r="G27" s="61">
        <f>SUM(G28:G29)</f>
        <v>4080000</v>
      </c>
      <c r="H27" s="61">
        <f>SUM(H28:H29)</f>
        <v>4080000</v>
      </c>
      <c r="I27" s="277">
        <v>2776502</v>
      </c>
      <c r="J27" s="61">
        <f>SUM(J28:J29)</f>
        <v>0</v>
      </c>
      <c r="K27" s="120">
        <f t="shared" si="0"/>
        <v>0</v>
      </c>
    </row>
    <row r="28" spans="2:12" ht="26.25" customHeight="1">
      <c r="B28" s="14"/>
      <c r="C28" s="15"/>
      <c r="D28" s="29"/>
      <c r="E28" s="16">
        <v>614100</v>
      </c>
      <c r="F28" s="147" t="s">
        <v>153</v>
      </c>
      <c r="G28" s="69">
        <v>650000</v>
      </c>
      <c r="H28" s="69">
        <v>650000</v>
      </c>
      <c r="I28" s="278">
        <v>486000</v>
      </c>
      <c r="J28" s="69"/>
      <c r="K28" s="84">
        <f t="shared" si="0"/>
        <v>0</v>
      </c>
    </row>
    <row r="29" spans="2:12" ht="17.100000000000001" customHeight="1">
      <c r="B29" s="14"/>
      <c r="C29" s="15"/>
      <c r="D29" s="15"/>
      <c r="E29" s="16">
        <v>614200</v>
      </c>
      <c r="F29" s="26" t="s">
        <v>26</v>
      </c>
      <c r="G29" s="69">
        <v>3430000</v>
      </c>
      <c r="H29" s="69">
        <v>3430000</v>
      </c>
      <c r="I29" s="278">
        <v>2290502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15"/>
      <c r="G30" s="50"/>
      <c r="H30" s="50"/>
      <c r="I30" s="276"/>
      <c r="J30" s="50"/>
      <c r="K30" s="84" t="str">
        <f t="shared" si="0"/>
        <v/>
      </c>
    </row>
    <row r="31" spans="2:12" ht="17.100000000000001" customHeight="1">
      <c r="B31" s="17"/>
      <c r="C31" s="12"/>
      <c r="D31" s="12"/>
      <c r="E31" s="9">
        <v>821000</v>
      </c>
      <c r="F31" s="12" t="s">
        <v>12</v>
      </c>
      <c r="G31" s="61">
        <f>G32+G33</f>
        <v>1500</v>
      </c>
      <c r="H31" s="61">
        <f>H32+H33</f>
        <v>1500</v>
      </c>
      <c r="I31" s="277">
        <v>666</v>
      </c>
      <c r="J31" s="61">
        <f>J32+J33</f>
        <v>0</v>
      </c>
      <c r="K31" s="120">
        <f t="shared" si="0"/>
        <v>0</v>
      </c>
    </row>
    <row r="32" spans="2:12" s="1" customFormat="1" ht="17.100000000000001" customHeight="1">
      <c r="B32" s="14"/>
      <c r="C32" s="15"/>
      <c r="D32" s="15"/>
      <c r="E32" s="16">
        <v>821200</v>
      </c>
      <c r="F32" s="15" t="s">
        <v>13</v>
      </c>
      <c r="G32" s="50">
        <v>0</v>
      </c>
      <c r="H32" s="50">
        <v>0</v>
      </c>
      <c r="I32" s="276">
        <v>0</v>
      </c>
      <c r="J32" s="50"/>
      <c r="K32" s="84" t="str">
        <f t="shared" si="0"/>
        <v/>
      </c>
      <c r="L32" s="1" t="s">
        <v>92</v>
      </c>
    </row>
    <row r="33" spans="2:11" ht="17.100000000000001" customHeight="1">
      <c r="B33" s="14"/>
      <c r="C33" s="15"/>
      <c r="D33" s="15"/>
      <c r="E33" s="16">
        <v>821300</v>
      </c>
      <c r="F33" s="15" t="s">
        <v>14</v>
      </c>
      <c r="G33" s="50">
        <v>1500</v>
      </c>
      <c r="H33" s="50">
        <v>1500</v>
      </c>
      <c r="I33" s="276">
        <v>666</v>
      </c>
      <c r="J33" s="50"/>
      <c r="K33" s="84">
        <f t="shared" si="0"/>
        <v>0</v>
      </c>
    </row>
    <row r="34" spans="2:11" ht="17.100000000000001" customHeight="1">
      <c r="B34" s="14"/>
      <c r="C34" s="15"/>
      <c r="D34" s="15"/>
      <c r="E34" s="16"/>
      <c r="F34" s="15"/>
      <c r="G34" s="50"/>
      <c r="H34" s="50"/>
      <c r="I34" s="276"/>
      <c r="J34" s="50"/>
      <c r="K34" s="84" t="str">
        <f t="shared" si="0"/>
        <v/>
      </c>
    </row>
    <row r="35" spans="2:11" ht="17.100000000000001" customHeight="1">
      <c r="B35" s="17"/>
      <c r="C35" s="12"/>
      <c r="D35" s="12"/>
      <c r="E35" s="9"/>
      <c r="F35" s="12" t="s">
        <v>15</v>
      </c>
      <c r="G35" s="61">
        <v>9</v>
      </c>
      <c r="H35" s="61">
        <v>9</v>
      </c>
      <c r="I35" s="277">
        <v>9</v>
      </c>
      <c r="J35" s="61"/>
      <c r="K35" s="84"/>
    </row>
    <row r="36" spans="2:11" s="1" customFormat="1" ht="17.100000000000001" customHeight="1">
      <c r="B36" s="17"/>
      <c r="C36" s="12"/>
      <c r="D36" s="12"/>
      <c r="E36" s="9"/>
      <c r="F36" s="12" t="s">
        <v>31</v>
      </c>
      <c r="G36" s="20">
        <f>G7+G12+G15+G27+G31</f>
        <v>4422380</v>
      </c>
      <c r="H36" s="20">
        <f>H7+H12+H15+H27+H31</f>
        <v>4422380</v>
      </c>
      <c r="I36" s="20">
        <f t="shared" ref="I36" si="1">I7+I12+I15+I27+I31</f>
        <v>3001858</v>
      </c>
      <c r="J36" s="20">
        <f>J7+J12+J15+J27+J31</f>
        <v>0</v>
      </c>
      <c r="K36" s="120">
        <f t="shared" si="0"/>
        <v>0</v>
      </c>
    </row>
    <row r="37" spans="2:11" s="1" customFormat="1" ht="17.100000000000001" customHeight="1">
      <c r="B37" s="17"/>
      <c r="C37" s="12"/>
      <c r="D37" s="12"/>
      <c r="E37" s="9"/>
      <c r="F37" s="12" t="s">
        <v>16</v>
      </c>
      <c r="G37" s="20">
        <f>G36</f>
        <v>4422380</v>
      </c>
      <c r="H37" s="20">
        <f>H36</f>
        <v>4422380</v>
      </c>
      <c r="I37" s="20">
        <f t="shared" ref="I37" si="2">I36</f>
        <v>3001858</v>
      </c>
      <c r="J37" s="20">
        <f>J36</f>
        <v>0</v>
      </c>
      <c r="K37" s="120">
        <f t="shared" si="0"/>
        <v>0</v>
      </c>
    </row>
    <row r="38" spans="2:11" s="1" customFormat="1" ht="17.100000000000001" customHeight="1">
      <c r="B38" s="17"/>
      <c r="C38" s="12"/>
      <c r="D38" s="12"/>
      <c r="E38" s="9"/>
      <c r="F38" s="12" t="s">
        <v>17</v>
      </c>
      <c r="G38" s="20">
        <f>G37</f>
        <v>4422380</v>
      </c>
      <c r="H38" s="20">
        <f>H37</f>
        <v>4422380</v>
      </c>
      <c r="I38" s="20">
        <f t="shared" ref="I38" si="3">I37</f>
        <v>3001858</v>
      </c>
      <c r="J38" s="20">
        <f>J37</f>
        <v>0</v>
      </c>
      <c r="K38" s="120">
        <f t="shared" si="0"/>
        <v>0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22"/>
      <c r="H39" s="22"/>
      <c r="I39" s="22"/>
      <c r="J39" s="22"/>
      <c r="K39" s="87"/>
    </row>
    <row r="40" spans="2:11" ht="17.100000000000001" customHeight="1"/>
    <row r="41" spans="2:11" ht="17.100000000000001" customHeight="1"/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>
      <c r="B45" s="49"/>
    </row>
    <row r="46" spans="2:11" ht="17.100000000000001" customHeight="1">
      <c r="B46" s="49"/>
    </row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M59"/>
  <sheetViews>
    <sheetView topLeftCell="C1" zoomScaleNormal="100" zoomScaleSheetLayoutView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95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57</v>
      </c>
      <c r="C6" s="11" t="s">
        <v>3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230270</v>
      </c>
      <c r="H7" s="129">
        <f>SUM(H8:H11)</f>
        <v>230270</v>
      </c>
      <c r="I7" s="286">
        <v>174083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185300+1500+5560</f>
        <v>192360</v>
      </c>
      <c r="H8" s="131">
        <f>185300+1500+5560</f>
        <v>192360</v>
      </c>
      <c r="I8" s="287">
        <v>143647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36410+1500</f>
        <v>37910</v>
      </c>
      <c r="H9" s="131">
        <f>36410+1500</f>
        <v>37910</v>
      </c>
      <c r="I9" s="287">
        <v>30436</v>
      </c>
      <c r="J9" s="131"/>
      <c r="K9" s="84">
        <f t="shared" ref="K9:K40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85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287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21070</v>
      </c>
      <c r="H12" s="129">
        <f>H13</f>
        <v>21070</v>
      </c>
      <c r="I12" s="286">
        <v>15283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19770+700+600</f>
        <v>21070</v>
      </c>
      <c r="H13" s="131">
        <f>19770+700+600</f>
        <v>21070</v>
      </c>
      <c r="I13" s="287">
        <v>15283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281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SUM(G16:G26)</f>
        <v>217800</v>
      </c>
      <c r="H15" s="35">
        <f>SUM(H16:H26)</f>
        <v>217800</v>
      </c>
      <c r="I15" s="282">
        <v>122716</v>
      </c>
      <c r="J15" s="35">
        <f>SUM(J16:J26)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1800</v>
      </c>
      <c r="H16" s="33">
        <v>1800</v>
      </c>
      <c r="I16" s="281">
        <v>781</v>
      </c>
      <c r="J16" s="33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3">
        <v>0</v>
      </c>
      <c r="H17" s="33">
        <v>0</v>
      </c>
      <c r="I17" s="281">
        <v>0</v>
      </c>
      <c r="J17" s="33"/>
      <c r="K17" s="84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3">
        <v>5000</v>
      </c>
      <c r="H18" s="33">
        <v>5000</v>
      </c>
      <c r="I18" s="281">
        <v>4410</v>
      </c>
      <c r="J18" s="33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3">
        <v>0</v>
      </c>
      <c r="H19" s="33">
        <v>0</v>
      </c>
      <c r="I19" s="281">
        <v>0</v>
      </c>
      <c r="J19" s="33"/>
      <c r="K19" s="84" t="str">
        <f t="shared" si="0"/>
        <v/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69">
        <v>0</v>
      </c>
      <c r="H20" s="69">
        <v>0</v>
      </c>
      <c r="I20" s="284">
        <v>0</v>
      </c>
      <c r="J20" s="69"/>
      <c r="K20" s="84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284">
        <v>0</v>
      </c>
      <c r="J21" s="69"/>
      <c r="K21" s="84" t="str">
        <f t="shared" si="0"/>
        <v/>
      </c>
    </row>
    <row r="22" spans="2:12" ht="17.100000000000001" customHeight="1">
      <c r="B22" s="14"/>
      <c r="C22" s="15"/>
      <c r="D22" s="15"/>
      <c r="E22" s="43">
        <v>613700</v>
      </c>
      <c r="F22" s="15" t="s">
        <v>9</v>
      </c>
      <c r="G22" s="69">
        <v>1000</v>
      </c>
      <c r="H22" s="69">
        <v>1000</v>
      </c>
      <c r="I22" s="284">
        <v>759</v>
      </c>
      <c r="J22" s="69"/>
      <c r="K22" s="84">
        <f t="shared" si="0"/>
        <v>0</v>
      </c>
    </row>
    <row r="23" spans="2:12" ht="17.100000000000001" customHeight="1">
      <c r="B23" s="14"/>
      <c r="C23" s="15"/>
      <c r="D23" s="29"/>
      <c r="E23" s="16">
        <v>613700</v>
      </c>
      <c r="F23" s="42" t="s">
        <v>10</v>
      </c>
      <c r="G23" s="69">
        <v>200000</v>
      </c>
      <c r="H23" s="69">
        <v>200000</v>
      </c>
      <c r="I23" s="284">
        <v>110435</v>
      </c>
      <c r="J23" s="69"/>
      <c r="K23" s="84">
        <f t="shared" si="0"/>
        <v>0</v>
      </c>
    </row>
    <row r="24" spans="2:12" ht="17.100000000000001" customHeight="1">
      <c r="B24" s="14"/>
      <c r="C24" s="15"/>
      <c r="D24" s="15"/>
      <c r="E24" s="40">
        <v>613800</v>
      </c>
      <c r="F24" s="15" t="s">
        <v>83</v>
      </c>
      <c r="G24" s="69">
        <v>0</v>
      </c>
      <c r="H24" s="69">
        <v>0</v>
      </c>
      <c r="I24" s="284">
        <v>0</v>
      </c>
      <c r="J24" s="69"/>
      <c r="K24" s="84" t="str">
        <f t="shared" si="0"/>
        <v/>
      </c>
    </row>
    <row r="25" spans="2:12" ht="17.100000000000001" customHeight="1">
      <c r="B25" s="14"/>
      <c r="C25" s="15"/>
      <c r="D25" s="15"/>
      <c r="E25" s="16">
        <v>613900</v>
      </c>
      <c r="F25" s="15" t="s">
        <v>84</v>
      </c>
      <c r="G25" s="69">
        <v>10000</v>
      </c>
      <c r="H25" s="69">
        <v>10000</v>
      </c>
      <c r="I25" s="284">
        <v>6331</v>
      </c>
      <c r="J25" s="69"/>
      <c r="K25" s="84">
        <f t="shared" si="0"/>
        <v>0</v>
      </c>
      <c r="L25" s="60"/>
    </row>
    <row r="26" spans="2:12" ht="17.100000000000001" customHeight="1">
      <c r="B26" s="14"/>
      <c r="C26" s="15"/>
      <c r="D26" s="15"/>
      <c r="E26" s="16">
        <v>613900</v>
      </c>
      <c r="F26" s="127" t="s">
        <v>139</v>
      </c>
      <c r="G26" s="69">
        <v>0</v>
      </c>
      <c r="H26" s="69">
        <v>0</v>
      </c>
      <c r="I26" s="284">
        <v>0</v>
      </c>
      <c r="J26" s="69"/>
      <c r="K26" s="84" t="str">
        <f t="shared" si="0"/>
        <v/>
      </c>
    </row>
    <row r="27" spans="2:12" ht="17.100000000000001" customHeight="1">
      <c r="B27" s="14"/>
      <c r="C27" s="15"/>
      <c r="D27" s="15"/>
      <c r="E27" s="16"/>
      <c r="F27" s="15"/>
      <c r="G27" s="69"/>
      <c r="H27" s="69"/>
      <c r="I27" s="284"/>
      <c r="J27" s="69"/>
      <c r="K27" s="84" t="str">
        <f t="shared" si="0"/>
        <v/>
      </c>
    </row>
    <row r="28" spans="2:12" s="1" customFormat="1" ht="17.100000000000001" customHeight="1">
      <c r="B28" s="17"/>
      <c r="C28" s="12"/>
      <c r="D28" s="12"/>
      <c r="E28" s="9">
        <v>614000</v>
      </c>
      <c r="F28" s="12" t="s">
        <v>109</v>
      </c>
      <c r="G28" s="61">
        <f>SUM(G29:G30)</f>
        <v>210000</v>
      </c>
      <c r="H28" s="61">
        <f>SUM(H29:H30)</f>
        <v>210000</v>
      </c>
      <c r="I28" s="283">
        <v>40000</v>
      </c>
      <c r="J28" s="61">
        <f>SUM(J29:J30)</f>
        <v>0</v>
      </c>
      <c r="K28" s="120">
        <f t="shared" si="0"/>
        <v>0</v>
      </c>
    </row>
    <row r="29" spans="2:12" ht="17.100000000000001" customHeight="1">
      <c r="B29" s="14"/>
      <c r="C29" s="15"/>
      <c r="D29" s="29"/>
      <c r="E29" s="40">
        <v>614100</v>
      </c>
      <c r="F29" s="46" t="s">
        <v>93</v>
      </c>
      <c r="G29" s="69">
        <v>180000</v>
      </c>
      <c r="H29" s="69">
        <v>180000</v>
      </c>
      <c r="I29" s="284">
        <v>40000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>
        <v>614100</v>
      </c>
      <c r="F30" s="26" t="s">
        <v>118</v>
      </c>
      <c r="G30" s="69">
        <v>30000</v>
      </c>
      <c r="H30" s="69">
        <v>30000</v>
      </c>
      <c r="I30" s="284">
        <v>0</v>
      </c>
      <c r="J30" s="69"/>
      <c r="K30" s="84">
        <f t="shared" si="0"/>
        <v>0</v>
      </c>
    </row>
    <row r="31" spans="2:12" ht="17.100000000000001" customHeight="1">
      <c r="B31" s="14"/>
      <c r="C31" s="15"/>
      <c r="D31" s="15"/>
      <c r="E31" s="16"/>
      <c r="F31" s="15"/>
      <c r="G31" s="69"/>
      <c r="H31" s="69"/>
      <c r="I31" s="284"/>
      <c r="J31" s="69"/>
      <c r="K31" s="84" t="str">
        <f t="shared" si="0"/>
        <v/>
      </c>
    </row>
    <row r="32" spans="2:12" s="1" customFormat="1" ht="17.100000000000001" customHeight="1">
      <c r="B32" s="17"/>
      <c r="C32" s="12"/>
      <c r="D32" s="12"/>
      <c r="E32" s="9">
        <v>821000</v>
      </c>
      <c r="F32" s="12" t="s">
        <v>12</v>
      </c>
      <c r="G32" s="61">
        <f>SUM(G33:G35)</f>
        <v>894000</v>
      </c>
      <c r="H32" s="61">
        <f>SUM(H33:H35)</f>
        <v>959000</v>
      </c>
      <c r="I32" s="283">
        <v>20926</v>
      </c>
      <c r="J32" s="61">
        <f>SUM(J33:J35)</f>
        <v>0</v>
      </c>
      <c r="K32" s="120">
        <f t="shared" si="0"/>
        <v>0</v>
      </c>
    </row>
    <row r="33" spans="2:13" ht="17.100000000000001" customHeight="1">
      <c r="B33" s="14"/>
      <c r="C33" s="15"/>
      <c r="D33" s="15"/>
      <c r="E33" s="16">
        <v>821200</v>
      </c>
      <c r="F33" s="15" t="s">
        <v>13</v>
      </c>
      <c r="G33" s="69">
        <v>0</v>
      </c>
      <c r="H33" s="69">
        <v>0</v>
      </c>
      <c r="I33" s="284">
        <v>0</v>
      </c>
      <c r="J33" s="69"/>
      <c r="K33" s="84" t="str">
        <f t="shared" si="0"/>
        <v/>
      </c>
    </row>
    <row r="34" spans="2:13" ht="17.100000000000001" customHeight="1">
      <c r="B34" s="14"/>
      <c r="C34" s="15"/>
      <c r="D34" s="15"/>
      <c r="E34" s="16">
        <v>821300</v>
      </c>
      <c r="F34" s="15" t="s">
        <v>14</v>
      </c>
      <c r="G34" s="69">
        <v>2000</v>
      </c>
      <c r="H34" s="69">
        <v>2000</v>
      </c>
      <c r="I34" s="284">
        <v>543</v>
      </c>
      <c r="J34" s="69"/>
      <c r="K34" s="84">
        <f t="shared" si="0"/>
        <v>0</v>
      </c>
    </row>
    <row r="35" spans="2:13" ht="17.100000000000001" customHeight="1">
      <c r="B35" s="14"/>
      <c r="C35" s="15"/>
      <c r="D35" s="15"/>
      <c r="E35" s="71">
        <v>821600</v>
      </c>
      <c r="F35" s="63" t="s">
        <v>25</v>
      </c>
      <c r="G35" s="69">
        <v>892000</v>
      </c>
      <c r="H35" s="69">
        <v>957000</v>
      </c>
      <c r="I35" s="284">
        <v>20383</v>
      </c>
      <c r="J35" s="69"/>
      <c r="K35" s="84">
        <f t="shared" si="0"/>
        <v>0</v>
      </c>
      <c r="M35" s="53"/>
    </row>
    <row r="36" spans="2:13" ht="17.100000000000001" customHeight="1">
      <c r="B36" s="14"/>
      <c r="C36" s="15"/>
      <c r="D36" s="15"/>
      <c r="E36" s="16"/>
      <c r="F36" s="15"/>
      <c r="G36" s="61"/>
      <c r="H36" s="61"/>
      <c r="I36" s="283"/>
      <c r="J36" s="61"/>
      <c r="K36" s="84" t="str">
        <f t="shared" si="0"/>
        <v/>
      </c>
    </row>
    <row r="37" spans="2:13" s="1" customFormat="1" ht="17.100000000000001" customHeight="1">
      <c r="B37" s="17"/>
      <c r="C37" s="12"/>
      <c r="D37" s="12"/>
      <c r="E37" s="9"/>
      <c r="F37" s="12" t="s">
        <v>15</v>
      </c>
      <c r="G37" s="61">
        <v>9</v>
      </c>
      <c r="H37" s="61">
        <v>9</v>
      </c>
      <c r="I37" s="283">
        <v>9</v>
      </c>
      <c r="J37" s="61"/>
      <c r="K37" s="84"/>
    </row>
    <row r="38" spans="2:13" s="1" customFormat="1" ht="17.100000000000001" customHeight="1">
      <c r="B38" s="17"/>
      <c r="C38" s="12"/>
      <c r="D38" s="12"/>
      <c r="E38" s="9"/>
      <c r="F38" s="12" t="s">
        <v>31</v>
      </c>
      <c r="G38" s="20">
        <f>G7+G12+G15+G28+G32</f>
        <v>1573140</v>
      </c>
      <c r="H38" s="20">
        <f>H7+H12+H15+H28+H32</f>
        <v>1638140</v>
      </c>
      <c r="I38" s="20">
        <f t="shared" ref="I38" si="1">I7+I12+I15+I28+I32</f>
        <v>373008</v>
      </c>
      <c r="J38" s="20">
        <f>J7+J12+J15+J28+J32</f>
        <v>0</v>
      </c>
      <c r="K38" s="120">
        <f t="shared" si="0"/>
        <v>0</v>
      </c>
    </row>
    <row r="39" spans="2:13" s="1" customFormat="1" ht="17.100000000000001" customHeight="1">
      <c r="B39" s="17"/>
      <c r="C39" s="12"/>
      <c r="D39" s="12"/>
      <c r="E39" s="9"/>
      <c r="F39" s="12" t="s">
        <v>16</v>
      </c>
      <c r="G39" s="20">
        <f>G38</f>
        <v>1573140</v>
      </c>
      <c r="H39" s="20">
        <f>H38</f>
        <v>1638140</v>
      </c>
      <c r="I39" s="20">
        <f t="shared" ref="I39" si="2">I38</f>
        <v>373008</v>
      </c>
      <c r="J39" s="20">
        <f>J38</f>
        <v>0</v>
      </c>
      <c r="K39" s="120">
        <f t="shared" si="0"/>
        <v>0</v>
      </c>
    </row>
    <row r="40" spans="2:13" s="1" customFormat="1" ht="17.100000000000001" customHeight="1">
      <c r="B40" s="17"/>
      <c r="C40" s="12"/>
      <c r="D40" s="12"/>
      <c r="E40" s="9"/>
      <c r="F40" s="12" t="s">
        <v>17</v>
      </c>
      <c r="G40" s="20">
        <f>G39</f>
        <v>1573140</v>
      </c>
      <c r="H40" s="20">
        <f>H39</f>
        <v>1638140</v>
      </c>
      <c r="I40" s="20">
        <f t="shared" ref="I40" si="3">I39</f>
        <v>373008</v>
      </c>
      <c r="J40" s="20">
        <f>J39</f>
        <v>0</v>
      </c>
      <c r="K40" s="120">
        <f t="shared" si="0"/>
        <v>0</v>
      </c>
    </row>
    <row r="41" spans="2:13" ht="17.100000000000001" customHeight="1" thickBot="1">
      <c r="B41" s="21"/>
      <c r="C41" s="22"/>
      <c r="D41" s="22"/>
      <c r="E41" s="23"/>
      <c r="F41" s="22"/>
      <c r="G41" s="34"/>
      <c r="H41" s="34"/>
      <c r="I41" s="34"/>
      <c r="J41" s="34"/>
      <c r="K41" s="87"/>
    </row>
    <row r="42" spans="2:13" ht="17.100000000000001" customHeight="1"/>
    <row r="43" spans="2:13" ht="17.100000000000001" customHeight="1">
      <c r="B43" s="49"/>
    </row>
    <row r="44" spans="2:13" ht="17.100000000000001" customHeight="1">
      <c r="B44" s="49"/>
    </row>
    <row r="45" spans="2:13" ht="17.100000000000001" customHeight="1">
      <c r="B45" s="49"/>
    </row>
    <row r="46" spans="2:13" ht="17.100000000000001" customHeight="1"/>
    <row r="47" spans="2:13" ht="17.100000000000001" customHeight="1"/>
    <row r="48" spans="2:13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M59"/>
  <sheetViews>
    <sheetView topLeftCell="C1" zoomScaleNormal="100" zoomScaleSheetLayoutView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ht="15" customHeight="1">
      <c r="B2" s="447" t="s">
        <v>58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59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563400</v>
      </c>
      <c r="H7" s="129">
        <f>SUM(H8:H11)</f>
        <v>563400</v>
      </c>
      <c r="I7" s="295">
        <v>397870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426130+2500+2*13700+12790+830</f>
        <v>469650</v>
      </c>
      <c r="H8" s="128">
        <f>426130+2500+2*13700+12790+830</f>
        <v>469650</v>
      </c>
      <c r="I8" s="294">
        <v>332448</v>
      </c>
      <c r="J8" s="128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2">
        <f>84170+2500+2*840+2*2700</f>
        <v>93750</v>
      </c>
      <c r="H9" s="132">
        <f>84170+2500+2*840+2*2700</f>
        <v>93750</v>
      </c>
      <c r="I9" s="296">
        <v>65422</v>
      </c>
      <c r="J9" s="132"/>
      <c r="K9" s="84">
        <f t="shared" ref="K9:K40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94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28"/>
      <c r="H11" s="128"/>
      <c r="I11" s="294"/>
      <c r="J11" s="128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50910</v>
      </c>
      <c r="H12" s="129">
        <f>H13</f>
        <v>50910</v>
      </c>
      <c r="I12" s="295">
        <v>35368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28">
        <f>45450+1000+2*1500+1370+90</f>
        <v>50910</v>
      </c>
      <c r="H13" s="128">
        <f>45450+1000+2*1500+1370+90</f>
        <v>50910</v>
      </c>
      <c r="I13" s="294">
        <v>35368</v>
      </c>
      <c r="J13" s="12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2"/>
      <c r="H14" s="32"/>
      <c r="I14" s="289"/>
      <c r="J14" s="32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73990</v>
      </c>
      <c r="H15" s="35">
        <f>SUM(H16:H25)</f>
        <v>73990</v>
      </c>
      <c r="I15" s="290">
        <v>58483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50">
        <v>10500</v>
      </c>
      <c r="H16" s="50">
        <v>10500</v>
      </c>
      <c r="I16" s="291">
        <v>7198</v>
      </c>
      <c r="J16" s="50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50">
        <v>0</v>
      </c>
      <c r="H17" s="50">
        <v>0</v>
      </c>
      <c r="I17" s="291">
        <v>0</v>
      </c>
      <c r="J17" s="50"/>
      <c r="K17" s="84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50">
        <v>6500</v>
      </c>
      <c r="H18" s="50">
        <v>6500</v>
      </c>
      <c r="I18" s="291">
        <v>4686</v>
      </c>
      <c r="J18" s="50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50">
        <v>2100</v>
      </c>
      <c r="H19" s="50">
        <v>2100</v>
      </c>
      <c r="I19" s="291">
        <v>477</v>
      </c>
      <c r="J19" s="50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50">
        <v>1890</v>
      </c>
      <c r="H20" s="50">
        <v>1510</v>
      </c>
      <c r="I20" s="291">
        <v>362</v>
      </c>
      <c r="J20" s="50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50">
        <v>5500</v>
      </c>
      <c r="H21" s="50">
        <v>5500</v>
      </c>
      <c r="I21" s="291">
        <v>2919</v>
      </c>
      <c r="J21" s="50"/>
      <c r="K21" s="84">
        <f t="shared" si="0"/>
        <v>0</v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50">
        <v>7500</v>
      </c>
      <c r="H22" s="50">
        <v>7500</v>
      </c>
      <c r="I22" s="291">
        <v>2776</v>
      </c>
      <c r="J22" s="50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50">
        <v>0</v>
      </c>
      <c r="H23" s="50">
        <v>380</v>
      </c>
      <c r="I23" s="291">
        <v>379</v>
      </c>
      <c r="J23" s="50"/>
      <c r="K23" s="84">
        <f t="shared" si="0"/>
        <v>0</v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50">
        <v>40000</v>
      </c>
      <c r="H24" s="50">
        <v>40000</v>
      </c>
      <c r="I24" s="291">
        <v>39686</v>
      </c>
      <c r="J24" s="50"/>
      <c r="K24" s="84">
        <f t="shared" si="0"/>
        <v>0</v>
      </c>
      <c r="L24" s="60"/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50">
        <v>0</v>
      </c>
      <c r="H25" s="50">
        <v>0</v>
      </c>
      <c r="I25" s="291">
        <v>0</v>
      </c>
      <c r="J25" s="50"/>
      <c r="K25" s="84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61"/>
      <c r="H26" s="61"/>
      <c r="I26" s="292"/>
      <c r="J26" s="61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109</v>
      </c>
      <c r="G27" s="61">
        <f t="shared" ref="G27:H27" si="1">SUM(G28:G31)</f>
        <v>2150000</v>
      </c>
      <c r="H27" s="61">
        <f t="shared" si="1"/>
        <v>2150000</v>
      </c>
      <c r="I27" s="292">
        <v>1298803</v>
      </c>
      <c r="J27" s="61">
        <f t="shared" ref="J27" si="2">SUM(J28:J31)</f>
        <v>0</v>
      </c>
      <c r="K27" s="120">
        <f t="shared" si="0"/>
        <v>0</v>
      </c>
    </row>
    <row r="28" spans="2:12" s="1" customFormat="1" ht="17.100000000000001" customHeight="1">
      <c r="B28" s="17"/>
      <c r="C28" s="12"/>
      <c r="D28" s="30"/>
      <c r="E28" s="36">
        <v>614100</v>
      </c>
      <c r="F28" s="18" t="s">
        <v>78</v>
      </c>
      <c r="G28" s="69">
        <v>150000</v>
      </c>
      <c r="H28" s="69">
        <v>150000</v>
      </c>
      <c r="I28" s="293">
        <v>3500</v>
      </c>
      <c r="J28" s="69"/>
      <c r="K28" s="84">
        <f t="shared" si="0"/>
        <v>0</v>
      </c>
    </row>
    <row r="29" spans="2:12" ht="17.100000000000001" customHeight="1">
      <c r="B29" s="14"/>
      <c r="C29" s="15"/>
      <c r="D29" s="15"/>
      <c r="E29" s="16">
        <v>614500</v>
      </c>
      <c r="F29" s="28" t="s">
        <v>132</v>
      </c>
      <c r="G29" s="69">
        <v>1100000</v>
      </c>
      <c r="H29" s="69">
        <v>1100000</v>
      </c>
      <c r="I29" s="293">
        <v>959868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>
        <v>614500</v>
      </c>
      <c r="F30" s="28" t="s">
        <v>133</v>
      </c>
      <c r="G30" s="69">
        <v>500000</v>
      </c>
      <c r="H30" s="69">
        <v>500000</v>
      </c>
      <c r="I30" s="293">
        <v>263722</v>
      </c>
      <c r="J30" s="69"/>
      <c r="K30" s="84">
        <f t="shared" si="0"/>
        <v>0</v>
      </c>
    </row>
    <row r="31" spans="2:12" ht="17.100000000000001" customHeight="1">
      <c r="B31" s="14"/>
      <c r="C31" s="15"/>
      <c r="D31" s="15"/>
      <c r="E31" s="36">
        <v>614500</v>
      </c>
      <c r="F31" s="28" t="s">
        <v>134</v>
      </c>
      <c r="G31" s="69">
        <v>400000</v>
      </c>
      <c r="H31" s="69">
        <v>400000</v>
      </c>
      <c r="I31" s="293">
        <v>71713</v>
      </c>
      <c r="J31" s="69"/>
      <c r="K31" s="84">
        <f t="shared" si="0"/>
        <v>0</v>
      </c>
    </row>
    <row r="32" spans="2:12" ht="17.100000000000001" customHeight="1">
      <c r="B32" s="14"/>
      <c r="C32" s="15"/>
      <c r="D32" s="15"/>
      <c r="E32" s="16"/>
      <c r="F32" s="26"/>
      <c r="G32" s="50"/>
      <c r="H32" s="50"/>
      <c r="I32" s="291"/>
      <c r="J32" s="50"/>
      <c r="K32" s="84" t="str">
        <f t="shared" si="0"/>
        <v/>
      </c>
    </row>
    <row r="33" spans="2:11" s="1" customFormat="1" ht="17.100000000000001" customHeight="1">
      <c r="B33" s="17"/>
      <c r="C33" s="12"/>
      <c r="D33" s="12"/>
      <c r="E33" s="9">
        <v>821000</v>
      </c>
      <c r="F33" s="12" t="s">
        <v>12</v>
      </c>
      <c r="G33" s="61">
        <f>SUM(G34:G36)</f>
        <v>13000</v>
      </c>
      <c r="H33" s="61">
        <f>SUM(H34:H36)</f>
        <v>13000</v>
      </c>
      <c r="I33" s="292">
        <v>5763</v>
      </c>
      <c r="J33" s="61">
        <f>SUM(J34:J36)</f>
        <v>0</v>
      </c>
      <c r="K33" s="120">
        <f t="shared" si="0"/>
        <v>0</v>
      </c>
    </row>
    <row r="34" spans="2:11" ht="17.100000000000001" customHeight="1">
      <c r="B34" s="14"/>
      <c r="C34" s="15"/>
      <c r="D34" s="15"/>
      <c r="E34" s="16">
        <v>821200</v>
      </c>
      <c r="F34" s="15" t="s">
        <v>13</v>
      </c>
      <c r="G34" s="50">
        <v>0</v>
      </c>
      <c r="H34" s="50">
        <v>0</v>
      </c>
      <c r="I34" s="291">
        <v>0</v>
      </c>
      <c r="J34" s="50"/>
      <c r="K34" s="84" t="str">
        <f t="shared" si="0"/>
        <v/>
      </c>
    </row>
    <row r="35" spans="2:11" ht="17.100000000000001" customHeight="1">
      <c r="B35" s="14"/>
      <c r="C35" s="15"/>
      <c r="D35" s="15"/>
      <c r="E35" s="16">
        <v>821300</v>
      </c>
      <c r="F35" s="15" t="s">
        <v>14</v>
      </c>
      <c r="G35" s="50">
        <v>13000</v>
      </c>
      <c r="H35" s="50">
        <v>13000</v>
      </c>
      <c r="I35" s="291">
        <v>5763</v>
      </c>
      <c r="J35" s="50"/>
      <c r="K35" s="84">
        <f t="shared" si="0"/>
        <v>0</v>
      </c>
    </row>
    <row r="36" spans="2:11" ht="17.100000000000001" customHeight="1">
      <c r="B36" s="14"/>
      <c r="C36" s="15"/>
      <c r="D36" s="15"/>
      <c r="E36" s="16"/>
      <c r="F36" s="26"/>
      <c r="G36" s="50"/>
      <c r="H36" s="50"/>
      <c r="I36" s="291"/>
      <c r="J36" s="50"/>
      <c r="K36" s="84" t="str">
        <f t="shared" si="0"/>
        <v/>
      </c>
    </row>
    <row r="37" spans="2:11" s="1" customFormat="1" ht="17.100000000000001" customHeight="1">
      <c r="B37" s="17"/>
      <c r="C37" s="12"/>
      <c r="D37" s="12"/>
      <c r="E37" s="9"/>
      <c r="F37" s="12" t="s">
        <v>15</v>
      </c>
      <c r="G37" s="20">
        <v>23</v>
      </c>
      <c r="H37" s="20">
        <v>23</v>
      </c>
      <c r="I37" s="288">
        <v>23</v>
      </c>
      <c r="J37" s="20"/>
      <c r="K37" s="84"/>
    </row>
    <row r="38" spans="2:11" s="1" customFormat="1" ht="17.100000000000001" customHeight="1">
      <c r="B38" s="17"/>
      <c r="C38" s="12"/>
      <c r="D38" s="12"/>
      <c r="E38" s="9"/>
      <c r="F38" s="12" t="s">
        <v>31</v>
      </c>
      <c r="G38" s="20">
        <f>G7+G12+G15+G27+G33</f>
        <v>2851300</v>
      </c>
      <c r="H38" s="20">
        <f>H7+H12+H15+H27+H33</f>
        <v>2851300</v>
      </c>
      <c r="I38" s="20">
        <f t="shared" ref="I38" si="3">I7+I12+I15+I27+I33</f>
        <v>1796287</v>
      </c>
      <c r="J38" s="20">
        <f>J7+J12+J15+J27+J33</f>
        <v>0</v>
      </c>
      <c r="K38" s="120">
        <f t="shared" si="0"/>
        <v>0</v>
      </c>
    </row>
    <row r="39" spans="2:11" s="1" customFormat="1" ht="17.100000000000001" customHeight="1">
      <c r="B39" s="17"/>
      <c r="C39" s="12"/>
      <c r="D39" s="12"/>
      <c r="E39" s="9"/>
      <c r="F39" s="12" t="s">
        <v>16</v>
      </c>
      <c r="G39" s="20">
        <f>G38</f>
        <v>2851300</v>
      </c>
      <c r="H39" s="20">
        <f>H38</f>
        <v>2851300</v>
      </c>
      <c r="I39" s="20">
        <f t="shared" ref="I39" si="4">I38</f>
        <v>1796287</v>
      </c>
      <c r="J39" s="20">
        <f>J38</f>
        <v>0</v>
      </c>
      <c r="K39" s="120">
        <f t="shared" si="0"/>
        <v>0</v>
      </c>
    </row>
    <row r="40" spans="2:11" s="1" customFormat="1" ht="17.100000000000001" customHeight="1">
      <c r="B40" s="17"/>
      <c r="C40" s="12"/>
      <c r="D40" s="12"/>
      <c r="E40" s="9"/>
      <c r="F40" s="12" t="s">
        <v>17</v>
      </c>
      <c r="G40" s="20">
        <f>G39</f>
        <v>2851300</v>
      </c>
      <c r="H40" s="20">
        <f>H39</f>
        <v>2851300</v>
      </c>
      <c r="I40" s="20">
        <f t="shared" ref="I40" si="5">I39</f>
        <v>1796287</v>
      </c>
      <c r="J40" s="20">
        <f>J39</f>
        <v>0</v>
      </c>
      <c r="K40" s="120">
        <f t="shared" si="0"/>
        <v>0</v>
      </c>
    </row>
    <row r="41" spans="2:11" ht="17.100000000000001" customHeight="1" thickBot="1">
      <c r="B41" s="21"/>
      <c r="C41" s="22"/>
      <c r="D41" s="22"/>
      <c r="E41" s="23"/>
      <c r="F41" s="22"/>
      <c r="G41" s="34"/>
      <c r="H41" s="34"/>
      <c r="I41" s="34"/>
      <c r="J41" s="34"/>
      <c r="K41" s="87"/>
    </row>
    <row r="42" spans="2:11" ht="17.100000000000001" customHeight="1"/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>
      <c r="B45" s="49"/>
    </row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N59"/>
  <sheetViews>
    <sheetView zoomScaleNormal="100" workbookViewId="0">
      <selection activeCell="P26" sqref="P26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447" t="s">
        <v>34</v>
      </c>
      <c r="C2" s="447"/>
      <c r="D2" s="447"/>
      <c r="E2" s="447"/>
      <c r="F2" s="447"/>
      <c r="G2" s="447"/>
      <c r="H2" s="447"/>
      <c r="I2" s="447"/>
      <c r="J2" s="447"/>
      <c r="K2" s="447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6" t="s">
        <v>151</v>
      </c>
      <c r="F4" s="7" t="s">
        <v>2</v>
      </c>
      <c r="G4" s="45" t="s">
        <v>150</v>
      </c>
      <c r="H4" s="148" t="s">
        <v>177</v>
      </c>
      <c r="I4" s="45" t="s">
        <v>176</v>
      </c>
      <c r="J4" s="45" t="s">
        <v>184</v>
      </c>
      <c r="K4" s="80" t="s">
        <v>166</v>
      </c>
    </row>
    <row r="5" spans="2:13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>
        <v>10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449460</v>
      </c>
      <c r="H7" s="129">
        <f>SUM(H8:H10)</f>
        <v>449460</v>
      </c>
      <c r="I7" s="158">
        <v>330443</v>
      </c>
      <c r="J7" s="129">
        <f>SUM(J8:J10)</f>
        <v>0</v>
      </c>
      <c r="K7" s="83">
        <f>IF(H7=0,"",J7/H7*100)</f>
        <v>0</v>
      </c>
      <c r="M7" s="52"/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357700+2000+10730</f>
        <v>370430</v>
      </c>
      <c r="H8" s="128">
        <f>357700+2000+10730</f>
        <v>370430</v>
      </c>
      <c r="I8" s="157">
        <v>272449</v>
      </c>
      <c r="J8" s="128"/>
      <c r="K8" s="84">
        <f>IF(H8=0,"",J8/H8*100)</f>
        <v>0</v>
      </c>
      <c r="L8" s="49"/>
      <c r="M8" s="52"/>
    </row>
    <row r="9" spans="2:13" ht="17.100000000000001" customHeight="1">
      <c r="B9" s="14"/>
      <c r="C9" s="15"/>
      <c r="D9" s="15"/>
      <c r="E9" s="16">
        <v>611200</v>
      </c>
      <c r="F9" s="26" t="s">
        <v>106</v>
      </c>
      <c r="G9" s="128">
        <f>77030+2000</f>
        <v>79030</v>
      </c>
      <c r="H9" s="128">
        <f>77030+2000</f>
        <v>79030</v>
      </c>
      <c r="I9" s="157">
        <v>57994</v>
      </c>
      <c r="J9" s="128"/>
      <c r="K9" s="84">
        <f t="shared" ref="K9:K34" si="0">IF(H9=0,"",J9/H9*100)</f>
        <v>0</v>
      </c>
      <c r="M9" s="52"/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157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27"/>
      <c r="G11" s="128"/>
      <c r="H11" s="128"/>
      <c r="I11" s="157"/>
      <c r="J11" s="128"/>
      <c r="K11" s="84" t="str">
        <f t="shared" si="0"/>
        <v/>
      </c>
      <c r="M11" s="52"/>
    </row>
    <row r="12" spans="2:13" ht="17.100000000000001" customHeight="1">
      <c r="B12" s="17"/>
      <c r="C12" s="12"/>
      <c r="D12" s="12"/>
      <c r="E12" s="9">
        <v>612000</v>
      </c>
      <c r="F12" s="12" t="s">
        <v>79</v>
      </c>
      <c r="G12" s="129">
        <f>G13+G14</f>
        <v>39650</v>
      </c>
      <c r="H12" s="129">
        <f>H13+H14</f>
        <v>39650</v>
      </c>
      <c r="I12" s="158">
        <v>28968</v>
      </c>
      <c r="J12" s="129">
        <f>J13+J14</f>
        <v>0</v>
      </c>
      <c r="K12" s="120">
        <f t="shared" si="0"/>
        <v>0</v>
      </c>
      <c r="M12" s="52"/>
    </row>
    <row r="13" spans="2:13" s="1" customFormat="1" ht="17.100000000000001" customHeight="1">
      <c r="B13" s="14"/>
      <c r="C13" s="15"/>
      <c r="D13" s="15"/>
      <c r="E13" s="16">
        <v>612100</v>
      </c>
      <c r="F13" s="18" t="s">
        <v>5</v>
      </c>
      <c r="G13" s="128">
        <f>38200+300+1150</f>
        <v>39650</v>
      </c>
      <c r="H13" s="128">
        <f>38200+300+1150</f>
        <v>39650</v>
      </c>
      <c r="I13" s="157">
        <v>28968</v>
      </c>
      <c r="J13" s="128"/>
      <c r="K13" s="84">
        <f t="shared" si="0"/>
        <v>0</v>
      </c>
      <c r="M13" s="52"/>
    </row>
    <row r="14" spans="2:13" ht="17.100000000000001" customHeight="1">
      <c r="B14" s="14"/>
      <c r="C14" s="15"/>
      <c r="D14" s="15"/>
      <c r="E14" s="16"/>
      <c r="F14" s="15"/>
      <c r="G14" s="32"/>
      <c r="H14" s="32"/>
      <c r="I14" s="153"/>
      <c r="J14" s="32"/>
      <c r="K14" s="84" t="str">
        <f t="shared" si="0"/>
        <v/>
      </c>
      <c r="M14" s="52"/>
    </row>
    <row r="15" spans="2:13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278400</v>
      </c>
      <c r="H15" s="35">
        <f>SUM(H16:H25)</f>
        <v>278400</v>
      </c>
      <c r="I15" s="154">
        <v>206784</v>
      </c>
      <c r="J15" s="35">
        <f>SUM(J16:J25)</f>
        <v>0</v>
      </c>
      <c r="K15" s="120">
        <f t="shared" si="0"/>
        <v>0</v>
      </c>
      <c r="M15" s="52"/>
    </row>
    <row r="16" spans="2:13" s="1" customFormat="1" ht="17.100000000000001" customHeight="1">
      <c r="B16" s="14"/>
      <c r="C16" s="15"/>
      <c r="D16" s="15"/>
      <c r="E16" s="16">
        <v>613100</v>
      </c>
      <c r="F16" s="15" t="s">
        <v>6</v>
      </c>
      <c r="G16" s="32">
        <v>6500</v>
      </c>
      <c r="H16" s="32">
        <v>6500</v>
      </c>
      <c r="I16" s="153">
        <v>4158</v>
      </c>
      <c r="J16" s="32"/>
      <c r="K16" s="84">
        <f t="shared" si="0"/>
        <v>0</v>
      </c>
      <c r="M16" s="52"/>
    </row>
    <row r="17" spans="2:14" ht="17.100000000000001" customHeight="1">
      <c r="B17" s="14"/>
      <c r="C17" s="15"/>
      <c r="D17" s="15"/>
      <c r="E17" s="16">
        <v>613200</v>
      </c>
      <c r="F17" s="15" t="s">
        <v>7</v>
      </c>
      <c r="G17" s="32">
        <v>13600</v>
      </c>
      <c r="H17" s="32">
        <v>13600</v>
      </c>
      <c r="I17" s="153">
        <v>3989</v>
      </c>
      <c r="J17" s="32"/>
      <c r="K17" s="84">
        <f t="shared" si="0"/>
        <v>0</v>
      </c>
      <c r="M17" s="52"/>
    </row>
    <row r="18" spans="2:14" ht="17.100000000000001" customHeight="1">
      <c r="B18" s="14"/>
      <c r="C18" s="15"/>
      <c r="D18" s="15"/>
      <c r="E18" s="16">
        <v>613300</v>
      </c>
      <c r="F18" s="26" t="s">
        <v>107</v>
      </c>
      <c r="G18" s="32">
        <v>7300</v>
      </c>
      <c r="H18" s="32">
        <v>7300</v>
      </c>
      <c r="I18" s="153">
        <v>6052</v>
      </c>
      <c r="J18" s="32"/>
      <c r="K18" s="84">
        <f t="shared" si="0"/>
        <v>0</v>
      </c>
      <c r="M18" s="52"/>
    </row>
    <row r="19" spans="2:14" ht="17.100000000000001" customHeight="1">
      <c r="B19" s="14"/>
      <c r="C19" s="15"/>
      <c r="D19" s="15"/>
      <c r="E19" s="16">
        <v>613400</v>
      </c>
      <c r="F19" s="26" t="s">
        <v>82</v>
      </c>
      <c r="G19" s="50">
        <v>5500</v>
      </c>
      <c r="H19" s="50">
        <v>5500</v>
      </c>
      <c r="I19" s="155">
        <v>2952</v>
      </c>
      <c r="J19" s="50"/>
      <c r="K19" s="84">
        <f t="shared" si="0"/>
        <v>0</v>
      </c>
      <c r="M19" s="52"/>
    </row>
    <row r="20" spans="2:14" ht="17.100000000000001" customHeight="1">
      <c r="B20" s="14"/>
      <c r="C20" s="15"/>
      <c r="D20" s="15"/>
      <c r="E20" s="16">
        <v>613500</v>
      </c>
      <c r="F20" s="15" t="s">
        <v>8</v>
      </c>
      <c r="G20" s="50">
        <v>10000</v>
      </c>
      <c r="H20" s="50">
        <v>12680</v>
      </c>
      <c r="I20" s="155">
        <v>9227</v>
      </c>
      <c r="J20" s="50"/>
      <c r="K20" s="84">
        <f t="shared" si="0"/>
        <v>0</v>
      </c>
      <c r="M20" s="52"/>
    </row>
    <row r="21" spans="2:14" ht="17.100000000000001" customHeight="1">
      <c r="B21" s="14"/>
      <c r="C21" s="15"/>
      <c r="D21" s="15"/>
      <c r="E21" s="16">
        <v>613600</v>
      </c>
      <c r="F21" s="26" t="s">
        <v>108</v>
      </c>
      <c r="G21" s="32">
        <v>0</v>
      </c>
      <c r="H21" s="32">
        <v>0</v>
      </c>
      <c r="I21" s="153">
        <v>0</v>
      </c>
      <c r="J21" s="32"/>
      <c r="K21" s="84" t="str">
        <f t="shared" si="0"/>
        <v/>
      </c>
      <c r="M21" s="52"/>
    </row>
    <row r="22" spans="2:14" ht="17.100000000000001" customHeight="1">
      <c r="B22" s="14"/>
      <c r="C22" s="15"/>
      <c r="D22" s="15"/>
      <c r="E22" s="16">
        <v>613700</v>
      </c>
      <c r="F22" s="15" t="s">
        <v>9</v>
      </c>
      <c r="G22" s="32">
        <v>8000</v>
      </c>
      <c r="H22" s="32">
        <v>6000</v>
      </c>
      <c r="I22" s="153">
        <v>3842</v>
      </c>
      <c r="J22" s="32"/>
      <c r="K22" s="84">
        <f t="shared" si="0"/>
        <v>0</v>
      </c>
      <c r="M22" s="52"/>
    </row>
    <row r="23" spans="2:14" ht="17.100000000000001" customHeight="1">
      <c r="B23" s="14"/>
      <c r="C23" s="15"/>
      <c r="D23" s="15"/>
      <c r="E23" s="16">
        <v>613800</v>
      </c>
      <c r="F23" s="26" t="s">
        <v>83</v>
      </c>
      <c r="G23" s="32">
        <v>2500</v>
      </c>
      <c r="H23" s="32">
        <v>2320</v>
      </c>
      <c r="I23" s="153">
        <v>2315</v>
      </c>
      <c r="J23" s="32"/>
      <c r="K23" s="84">
        <f t="shared" si="0"/>
        <v>0</v>
      </c>
      <c r="M23" s="52"/>
    </row>
    <row r="24" spans="2:14" ht="17.100000000000001" customHeight="1">
      <c r="B24" s="14"/>
      <c r="C24" s="15"/>
      <c r="D24" s="15"/>
      <c r="E24" s="16">
        <v>613900</v>
      </c>
      <c r="F24" s="26" t="s">
        <v>84</v>
      </c>
      <c r="G24" s="50">
        <v>225000</v>
      </c>
      <c r="H24" s="50">
        <v>224500</v>
      </c>
      <c r="I24" s="155">
        <v>174249</v>
      </c>
      <c r="J24" s="50"/>
      <c r="K24" s="84">
        <f t="shared" si="0"/>
        <v>0</v>
      </c>
      <c r="L24" s="60"/>
      <c r="M24" s="52"/>
    </row>
    <row r="25" spans="2:14" ht="17.100000000000001" customHeight="1">
      <c r="B25" s="14"/>
      <c r="C25" s="15"/>
      <c r="D25" s="15"/>
      <c r="E25" s="16">
        <v>613900</v>
      </c>
      <c r="F25" s="127" t="s">
        <v>139</v>
      </c>
      <c r="G25" s="32">
        <v>0</v>
      </c>
      <c r="H25" s="32">
        <v>0</v>
      </c>
      <c r="I25" s="153">
        <v>0</v>
      </c>
      <c r="J25" s="32"/>
      <c r="K25" s="84" t="str">
        <f t="shared" si="0"/>
        <v/>
      </c>
      <c r="M25" s="52"/>
      <c r="N25" s="49"/>
    </row>
    <row r="26" spans="2:14" ht="17.100000000000001" customHeight="1">
      <c r="B26" s="14"/>
      <c r="C26" s="15"/>
      <c r="D26" s="15"/>
      <c r="E26" s="16"/>
      <c r="F26" s="15"/>
      <c r="G26" s="32"/>
      <c r="H26" s="32"/>
      <c r="I26" s="153"/>
      <c r="J26" s="32"/>
      <c r="K26" s="84" t="str">
        <f t="shared" si="0"/>
        <v/>
      </c>
      <c r="M26" s="52"/>
    </row>
    <row r="27" spans="2:14" ht="17.100000000000001" customHeight="1">
      <c r="B27" s="17"/>
      <c r="C27" s="12"/>
      <c r="D27" s="12"/>
      <c r="E27" s="9">
        <v>821000</v>
      </c>
      <c r="F27" s="12" t="s">
        <v>12</v>
      </c>
      <c r="G27" s="20">
        <f>SUM(G28:G29)</f>
        <v>10000</v>
      </c>
      <c r="H27" s="20">
        <f>SUM(H28:H29)</f>
        <v>10000</v>
      </c>
      <c r="I27" s="152">
        <v>2490</v>
      </c>
      <c r="J27" s="20">
        <f>SUM(J28:J29)</f>
        <v>0</v>
      </c>
      <c r="K27" s="120">
        <f t="shared" si="0"/>
        <v>0</v>
      </c>
      <c r="M27" s="52"/>
    </row>
    <row r="28" spans="2:14" s="1" customFormat="1" ht="17.100000000000001" customHeight="1">
      <c r="B28" s="14"/>
      <c r="C28" s="15"/>
      <c r="D28" s="15"/>
      <c r="E28" s="16">
        <v>821200</v>
      </c>
      <c r="F28" s="15" t="s">
        <v>13</v>
      </c>
      <c r="G28" s="50">
        <v>5000</v>
      </c>
      <c r="H28" s="50">
        <v>5000</v>
      </c>
      <c r="I28" s="155">
        <v>0</v>
      </c>
      <c r="J28" s="50"/>
      <c r="K28" s="84">
        <f t="shared" si="0"/>
        <v>0</v>
      </c>
      <c r="M28" s="52"/>
    </row>
    <row r="29" spans="2:14" ht="17.100000000000001" customHeight="1">
      <c r="B29" s="14"/>
      <c r="C29" s="15"/>
      <c r="D29" s="15"/>
      <c r="E29" s="16">
        <v>821300</v>
      </c>
      <c r="F29" s="15" t="s">
        <v>14</v>
      </c>
      <c r="G29" s="50">
        <v>5000</v>
      </c>
      <c r="H29" s="50">
        <v>5000</v>
      </c>
      <c r="I29" s="155">
        <v>2490</v>
      </c>
      <c r="J29" s="50"/>
      <c r="K29" s="84">
        <f t="shared" si="0"/>
        <v>0</v>
      </c>
      <c r="L29" s="49"/>
      <c r="M29" s="52"/>
    </row>
    <row r="30" spans="2:14" ht="17.100000000000001" customHeight="1">
      <c r="B30" s="14"/>
      <c r="C30" s="15"/>
      <c r="D30" s="15"/>
      <c r="E30" s="16"/>
      <c r="F30" s="15"/>
      <c r="G30" s="32"/>
      <c r="H30" s="32"/>
      <c r="I30" s="153"/>
      <c r="J30" s="32"/>
      <c r="K30" s="84" t="str">
        <f t="shared" si="0"/>
        <v/>
      </c>
      <c r="M30" s="52"/>
    </row>
    <row r="31" spans="2:14" ht="17.100000000000001" customHeight="1">
      <c r="B31" s="17"/>
      <c r="C31" s="12"/>
      <c r="D31" s="12"/>
      <c r="E31" s="9"/>
      <c r="F31" s="12" t="s">
        <v>15</v>
      </c>
      <c r="G31" s="73">
        <v>17</v>
      </c>
      <c r="H31" s="73">
        <v>17</v>
      </c>
      <c r="I31" s="156">
        <v>17</v>
      </c>
      <c r="J31" s="73"/>
      <c r="K31" s="84"/>
      <c r="M31" s="52"/>
    </row>
    <row r="32" spans="2:14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777510</v>
      </c>
      <c r="H32" s="20">
        <f>H7+H12+H15+H27</f>
        <v>777510</v>
      </c>
      <c r="I32" s="20">
        <f>I7+I12+I15+I27</f>
        <v>568685</v>
      </c>
      <c r="J32" s="20">
        <f>J7+J12+J15+J27</f>
        <v>0</v>
      </c>
      <c r="K32" s="120">
        <f t="shared" si="0"/>
        <v>0</v>
      </c>
      <c r="M32" s="52"/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/>
      <c r="H34" s="20"/>
      <c r="I34" s="20"/>
      <c r="J34" s="20"/>
      <c r="K34" s="84" t="str">
        <f t="shared" si="0"/>
        <v/>
      </c>
    </row>
    <row r="35" spans="2:11" s="1" customFormat="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K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orientation="portrait" r:id="rId1"/>
  <headerFooter alignWithMargins="0">
    <oddFooter>&amp;R9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M61"/>
  <sheetViews>
    <sheetView zoomScaleNormal="100" zoomScaleSheetLayoutView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ht="15" customHeight="1">
      <c r="B2" s="447" t="s">
        <v>60</v>
      </c>
      <c r="C2" s="447"/>
      <c r="D2" s="447"/>
      <c r="E2" s="447"/>
      <c r="F2" s="447"/>
      <c r="G2" s="447"/>
      <c r="H2" s="141"/>
      <c r="I2" s="141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61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36">
        <f>SUM(G8:G11)</f>
        <v>276210</v>
      </c>
      <c r="H7" s="136">
        <f>SUM(H8:H11)</f>
        <v>276210</v>
      </c>
      <c r="I7" s="302">
        <v>201712</v>
      </c>
      <c r="J7" s="136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8">
        <f>229670+1400+6560</f>
        <v>237630</v>
      </c>
      <c r="H8" s="138">
        <f>229670+1400+6560</f>
        <v>237630</v>
      </c>
      <c r="I8" s="304">
        <v>174537</v>
      </c>
      <c r="J8" s="138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8">
        <f>36340+1400+840</f>
        <v>38580</v>
      </c>
      <c r="H9" s="138">
        <f>36340+1400+840</f>
        <v>38580</v>
      </c>
      <c r="I9" s="304">
        <v>27175</v>
      </c>
      <c r="J9" s="138"/>
      <c r="K9" s="84">
        <f t="shared" ref="K9:K52" si="0">IF(H9=0,"",J9/H9*100)</f>
        <v>0</v>
      </c>
      <c r="M9" s="53"/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37">
        <v>0</v>
      </c>
      <c r="H10" s="137">
        <v>0</v>
      </c>
      <c r="I10" s="303">
        <v>0</v>
      </c>
      <c r="J10" s="137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8"/>
      <c r="H11" s="138"/>
      <c r="I11" s="304"/>
      <c r="J11" s="138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36">
        <f>G13</f>
        <v>25030</v>
      </c>
      <c r="H12" s="136">
        <f>H13</f>
        <v>25030</v>
      </c>
      <c r="I12" s="302">
        <v>18527</v>
      </c>
      <c r="J12" s="136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8">
        <f>23620+700+710</f>
        <v>25030</v>
      </c>
      <c r="H13" s="138">
        <f>23620+700+710</f>
        <v>25030</v>
      </c>
      <c r="I13" s="304">
        <v>18527</v>
      </c>
      <c r="J13" s="13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69"/>
      <c r="H14" s="69"/>
      <c r="I14" s="300"/>
      <c r="J14" s="69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61">
        <f>SUM(G16:G27)</f>
        <v>91300</v>
      </c>
      <c r="H15" s="61">
        <f>SUM(H16:H27)</f>
        <v>101100</v>
      </c>
      <c r="I15" s="299">
        <v>85292</v>
      </c>
      <c r="J15" s="61">
        <f>SUM(J16:J27)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69">
        <v>4500</v>
      </c>
      <c r="H16" s="69">
        <v>4500</v>
      </c>
      <c r="I16" s="300">
        <v>2361</v>
      </c>
      <c r="J16" s="69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69">
        <v>0</v>
      </c>
      <c r="H17" s="69">
        <v>0</v>
      </c>
      <c r="I17" s="300">
        <v>0</v>
      </c>
      <c r="J17" s="69"/>
      <c r="K17" s="84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69">
        <v>4100</v>
      </c>
      <c r="H18" s="69">
        <v>4100</v>
      </c>
      <c r="I18" s="300">
        <v>2617</v>
      </c>
      <c r="J18" s="69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69">
        <v>7700</v>
      </c>
      <c r="H19" s="69">
        <v>17500</v>
      </c>
      <c r="I19" s="300">
        <v>16695</v>
      </c>
      <c r="J19" s="69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69">
        <v>0</v>
      </c>
      <c r="H20" s="69">
        <v>0</v>
      </c>
      <c r="I20" s="300">
        <v>0</v>
      </c>
      <c r="J20" s="69"/>
      <c r="K20" s="84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300">
        <v>0</v>
      </c>
      <c r="J21" s="69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69">
        <v>1000</v>
      </c>
      <c r="H22" s="69">
        <v>1000</v>
      </c>
      <c r="I22" s="300">
        <v>245</v>
      </c>
      <c r="J22" s="69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00">
        <v>0</v>
      </c>
      <c r="J23" s="69"/>
      <c r="K23" s="84" t="str">
        <f t="shared" si="0"/>
        <v/>
      </c>
    </row>
    <row r="24" spans="2:12" ht="17.100000000000001" customHeight="1">
      <c r="B24" s="14"/>
      <c r="C24" s="15"/>
      <c r="D24" s="15"/>
      <c r="E24" s="16">
        <v>613800</v>
      </c>
      <c r="F24" s="26" t="s">
        <v>101</v>
      </c>
      <c r="G24" s="69">
        <v>0</v>
      </c>
      <c r="H24" s="69">
        <v>0</v>
      </c>
      <c r="I24" s="300">
        <v>0</v>
      </c>
      <c r="J24" s="69"/>
      <c r="K24" s="84" t="str">
        <f t="shared" si="0"/>
        <v/>
      </c>
    </row>
    <row r="25" spans="2:12" ht="17.100000000000001" customHeight="1">
      <c r="B25" s="14"/>
      <c r="C25" s="15"/>
      <c r="D25" s="15"/>
      <c r="E25" s="16">
        <v>613900</v>
      </c>
      <c r="F25" s="26" t="s">
        <v>84</v>
      </c>
      <c r="G25" s="69">
        <v>19000</v>
      </c>
      <c r="H25" s="69">
        <v>19000</v>
      </c>
      <c r="I25" s="300">
        <v>14862</v>
      </c>
      <c r="J25" s="69"/>
      <c r="K25" s="84">
        <f t="shared" si="0"/>
        <v>0</v>
      </c>
    </row>
    <row r="26" spans="2:12" ht="17.100000000000001" customHeight="1">
      <c r="B26" s="14"/>
      <c r="C26" s="15"/>
      <c r="D26" s="15"/>
      <c r="E26" s="16">
        <v>613900</v>
      </c>
      <c r="F26" s="26" t="s">
        <v>97</v>
      </c>
      <c r="G26" s="69">
        <v>55000</v>
      </c>
      <c r="H26" s="69">
        <v>55000</v>
      </c>
      <c r="I26" s="300">
        <v>48512</v>
      </c>
      <c r="J26" s="69"/>
      <c r="K26" s="84">
        <f t="shared" si="0"/>
        <v>0</v>
      </c>
    </row>
    <row r="27" spans="2:12" ht="17.100000000000001" customHeight="1">
      <c r="B27" s="14"/>
      <c r="C27" s="15"/>
      <c r="D27" s="15"/>
      <c r="E27" s="16">
        <v>613900</v>
      </c>
      <c r="F27" s="127" t="s">
        <v>139</v>
      </c>
      <c r="G27" s="69">
        <v>0</v>
      </c>
      <c r="H27" s="69">
        <v>0</v>
      </c>
      <c r="I27" s="300">
        <v>0</v>
      </c>
      <c r="J27" s="69"/>
      <c r="K27" s="84" t="str">
        <f t="shared" si="0"/>
        <v/>
      </c>
    </row>
    <row r="28" spans="2:12" ht="17.100000000000001" customHeight="1">
      <c r="B28" s="14"/>
      <c r="C28" s="15"/>
      <c r="D28" s="15"/>
      <c r="E28" s="16"/>
      <c r="F28" s="15"/>
      <c r="G28" s="69"/>
      <c r="H28" s="69"/>
      <c r="I28" s="300"/>
      <c r="J28" s="69"/>
      <c r="K28" s="84" t="str">
        <f t="shared" si="0"/>
        <v/>
      </c>
    </row>
    <row r="29" spans="2:12" s="1" customFormat="1" ht="17.100000000000001" customHeight="1">
      <c r="B29" s="17"/>
      <c r="C29" s="12"/>
      <c r="D29" s="12"/>
      <c r="E29" s="9">
        <v>614000</v>
      </c>
      <c r="F29" s="12" t="s">
        <v>109</v>
      </c>
      <c r="G29" s="61">
        <f>SUM(G30:G36)</f>
        <v>1210000</v>
      </c>
      <c r="H29" s="61">
        <f>SUM(H30:H36)</f>
        <v>1210000</v>
      </c>
      <c r="I29" s="299">
        <v>919010</v>
      </c>
      <c r="J29" s="61">
        <f>SUM(J30:J36)</f>
        <v>0</v>
      </c>
      <c r="K29" s="120">
        <f t="shared" si="0"/>
        <v>0</v>
      </c>
    </row>
    <row r="30" spans="2:12" s="111" customFormat="1" ht="27.75" customHeight="1">
      <c r="B30" s="104"/>
      <c r="C30" s="105"/>
      <c r="D30" s="106"/>
      <c r="E30" s="107">
        <v>614100</v>
      </c>
      <c r="F30" s="108" t="s">
        <v>121</v>
      </c>
      <c r="G30" s="109">
        <v>160000</v>
      </c>
      <c r="H30" s="109">
        <v>160000</v>
      </c>
      <c r="I30" s="301">
        <v>111950</v>
      </c>
      <c r="J30" s="109"/>
      <c r="K30" s="84">
        <f t="shared" si="0"/>
        <v>0</v>
      </c>
      <c r="L30" s="110"/>
    </row>
    <row r="31" spans="2:12" ht="17.100000000000001" customHeight="1">
      <c r="B31" s="14"/>
      <c r="C31" s="15"/>
      <c r="D31" s="15"/>
      <c r="E31" s="70">
        <v>614100</v>
      </c>
      <c r="F31" s="67" t="s">
        <v>22</v>
      </c>
      <c r="G31" s="69">
        <v>350000</v>
      </c>
      <c r="H31" s="69">
        <v>350000</v>
      </c>
      <c r="I31" s="300">
        <v>264550</v>
      </c>
      <c r="J31" s="69"/>
      <c r="K31" s="84">
        <f t="shared" si="0"/>
        <v>0</v>
      </c>
    </row>
    <row r="32" spans="2:12" ht="17.100000000000001" customHeight="1">
      <c r="B32" s="14"/>
      <c r="C32" s="15"/>
      <c r="D32" s="15"/>
      <c r="E32" s="70">
        <v>614100</v>
      </c>
      <c r="F32" s="67" t="s">
        <v>135</v>
      </c>
      <c r="G32" s="69">
        <v>295000</v>
      </c>
      <c r="H32" s="69">
        <v>295000</v>
      </c>
      <c r="I32" s="300">
        <v>199110</v>
      </c>
      <c r="J32" s="69"/>
      <c r="K32" s="84">
        <f t="shared" si="0"/>
        <v>0</v>
      </c>
    </row>
    <row r="33" spans="2:12" ht="17.100000000000001" customHeight="1">
      <c r="B33" s="14"/>
      <c r="C33" s="15"/>
      <c r="D33" s="15"/>
      <c r="E33" s="16">
        <v>614200</v>
      </c>
      <c r="F33" s="28" t="s">
        <v>30</v>
      </c>
      <c r="G33" s="69">
        <v>150000</v>
      </c>
      <c r="H33" s="69">
        <v>150000</v>
      </c>
      <c r="I33" s="300">
        <v>116400</v>
      </c>
      <c r="J33" s="69"/>
      <c r="K33" s="84">
        <f t="shared" si="0"/>
        <v>0</v>
      </c>
    </row>
    <row r="34" spans="2:12" s="111" customFormat="1" ht="29.25" customHeight="1">
      <c r="B34" s="104"/>
      <c r="C34" s="105"/>
      <c r="D34" s="105"/>
      <c r="E34" s="107">
        <v>614200</v>
      </c>
      <c r="F34" s="112" t="s">
        <v>128</v>
      </c>
      <c r="G34" s="109">
        <v>15000</v>
      </c>
      <c r="H34" s="109">
        <v>15000</v>
      </c>
      <c r="I34" s="301">
        <v>10000</v>
      </c>
      <c r="J34" s="109"/>
      <c r="K34" s="84">
        <f t="shared" si="0"/>
        <v>0</v>
      </c>
    </row>
    <row r="35" spans="2:12" ht="17.100000000000001" customHeight="1">
      <c r="B35" s="14"/>
      <c r="C35" s="15"/>
      <c r="D35" s="15"/>
      <c r="E35" s="36">
        <v>614300</v>
      </c>
      <c r="F35" s="28" t="s">
        <v>23</v>
      </c>
      <c r="G35" s="69">
        <v>40000</v>
      </c>
      <c r="H35" s="69">
        <v>40000</v>
      </c>
      <c r="I35" s="300">
        <v>28500</v>
      </c>
      <c r="J35" s="69"/>
      <c r="K35" s="84">
        <f t="shared" si="0"/>
        <v>0</v>
      </c>
    </row>
    <row r="36" spans="2:12" ht="17.100000000000001" customHeight="1">
      <c r="B36" s="14"/>
      <c r="C36" s="15"/>
      <c r="D36" s="15"/>
      <c r="E36" s="36">
        <v>614300</v>
      </c>
      <c r="F36" s="28" t="s">
        <v>24</v>
      </c>
      <c r="G36" s="69">
        <v>200000</v>
      </c>
      <c r="H36" s="69">
        <v>200000</v>
      </c>
      <c r="I36" s="300">
        <v>188500</v>
      </c>
      <c r="J36" s="69"/>
      <c r="K36" s="84">
        <f t="shared" si="0"/>
        <v>0</v>
      </c>
      <c r="L36" s="60"/>
    </row>
    <row r="37" spans="2:12" ht="17.100000000000001" customHeight="1">
      <c r="B37" s="14"/>
      <c r="C37" s="15"/>
      <c r="D37" s="15"/>
      <c r="E37" s="36"/>
      <c r="F37" s="28"/>
      <c r="G37" s="69"/>
      <c r="H37" s="69"/>
      <c r="I37" s="300"/>
      <c r="J37" s="69"/>
      <c r="K37" s="84" t="str">
        <f t="shared" si="0"/>
        <v/>
      </c>
      <c r="L37" s="60"/>
    </row>
    <row r="38" spans="2:12" ht="17.100000000000001" customHeight="1">
      <c r="B38" s="14"/>
      <c r="C38" s="15"/>
      <c r="D38" s="15"/>
      <c r="E38" s="9">
        <v>615000</v>
      </c>
      <c r="F38" s="31" t="s">
        <v>11</v>
      </c>
      <c r="G38" s="61">
        <f>G39</f>
        <v>0</v>
      </c>
      <c r="H38" s="61">
        <f>H39</f>
        <v>0</v>
      </c>
      <c r="I38" s="299">
        <v>0</v>
      </c>
      <c r="J38" s="61">
        <f>J39</f>
        <v>0</v>
      </c>
      <c r="K38" s="84" t="str">
        <f t="shared" si="0"/>
        <v/>
      </c>
      <c r="L38" s="60"/>
    </row>
    <row r="39" spans="2:12" ht="17.100000000000001" customHeight="1">
      <c r="B39" s="14"/>
      <c r="C39" s="15"/>
      <c r="D39" s="15"/>
      <c r="E39" s="16">
        <v>615100</v>
      </c>
      <c r="F39" s="44" t="s">
        <v>11</v>
      </c>
      <c r="G39" s="69">
        <v>0</v>
      </c>
      <c r="H39" s="69">
        <v>0</v>
      </c>
      <c r="I39" s="300">
        <v>0</v>
      </c>
      <c r="J39" s="69"/>
      <c r="K39" s="84" t="str">
        <f t="shared" si="0"/>
        <v/>
      </c>
      <c r="L39" s="60"/>
    </row>
    <row r="40" spans="2:12" ht="17.100000000000001" customHeight="1">
      <c r="B40" s="14"/>
      <c r="C40" s="15"/>
      <c r="D40" s="15"/>
      <c r="E40" s="36"/>
      <c r="F40" s="28"/>
      <c r="G40" s="69"/>
      <c r="H40" s="69"/>
      <c r="I40" s="300"/>
      <c r="J40" s="69"/>
      <c r="K40" s="84" t="str">
        <f t="shared" si="0"/>
        <v/>
      </c>
    </row>
    <row r="41" spans="2:12" ht="17.100000000000001" customHeight="1">
      <c r="B41" s="14"/>
      <c r="C41" s="15"/>
      <c r="D41" s="15"/>
      <c r="E41" s="9">
        <v>616000</v>
      </c>
      <c r="F41" s="31" t="s">
        <v>110</v>
      </c>
      <c r="G41" s="61">
        <f>G42</f>
        <v>6500</v>
      </c>
      <c r="H41" s="61">
        <f>H42</f>
        <v>6500</v>
      </c>
      <c r="I41" s="299">
        <v>5438</v>
      </c>
      <c r="J41" s="61">
        <f>J42</f>
        <v>0</v>
      </c>
      <c r="K41" s="120">
        <f t="shared" si="0"/>
        <v>0</v>
      </c>
    </row>
    <row r="42" spans="2:12" ht="17.100000000000001" customHeight="1">
      <c r="B42" s="14"/>
      <c r="C42" s="15"/>
      <c r="D42" s="15"/>
      <c r="E42" s="16">
        <v>616300</v>
      </c>
      <c r="F42" s="44" t="s">
        <v>116</v>
      </c>
      <c r="G42" s="69">
        <v>6500</v>
      </c>
      <c r="H42" s="69">
        <v>6500</v>
      </c>
      <c r="I42" s="300">
        <v>5438</v>
      </c>
      <c r="J42" s="69"/>
      <c r="K42" s="84">
        <f t="shared" si="0"/>
        <v>0</v>
      </c>
    </row>
    <row r="43" spans="2:12" ht="17.100000000000001" customHeight="1">
      <c r="B43" s="14"/>
      <c r="C43" s="15"/>
      <c r="D43" s="15"/>
      <c r="E43" s="16"/>
      <c r="F43" s="15"/>
      <c r="G43" s="50"/>
      <c r="H43" s="50"/>
      <c r="I43" s="298"/>
      <c r="J43" s="50"/>
      <c r="K43" s="84" t="str">
        <f t="shared" si="0"/>
        <v/>
      </c>
    </row>
    <row r="44" spans="2:12" s="1" customFormat="1" ht="17.100000000000001" customHeight="1">
      <c r="B44" s="17"/>
      <c r="C44" s="12"/>
      <c r="D44" s="12"/>
      <c r="E44" s="9">
        <v>821000</v>
      </c>
      <c r="F44" s="12" t="s">
        <v>12</v>
      </c>
      <c r="G44" s="61">
        <f>SUM(G45:G46)</f>
        <v>1000</v>
      </c>
      <c r="H44" s="61">
        <f>SUM(H45:H46)</f>
        <v>1000</v>
      </c>
      <c r="I44" s="299">
        <v>989</v>
      </c>
      <c r="J44" s="61">
        <f>SUM(J45:J46)</f>
        <v>0</v>
      </c>
      <c r="K44" s="120">
        <f t="shared" si="0"/>
        <v>0</v>
      </c>
    </row>
    <row r="45" spans="2:12" ht="17.100000000000001" customHeight="1">
      <c r="B45" s="14"/>
      <c r="C45" s="15"/>
      <c r="D45" s="15"/>
      <c r="E45" s="16">
        <v>821200</v>
      </c>
      <c r="F45" s="15" t="s">
        <v>13</v>
      </c>
      <c r="G45" s="50">
        <v>0</v>
      </c>
      <c r="H45" s="50">
        <v>0</v>
      </c>
      <c r="I45" s="298">
        <v>0</v>
      </c>
      <c r="J45" s="50"/>
      <c r="K45" s="84" t="str">
        <f t="shared" si="0"/>
        <v/>
      </c>
    </row>
    <row r="46" spans="2:12" ht="17.100000000000001" customHeight="1">
      <c r="B46" s="14"/>
      <c r="C46" s="15"/>
      <c r="D46" s="15"/>
      <c r="E46" s="16">
        <v>821300</v>
      </c>
      <c r="F46" s="15" t="s">
        <v>14</v>
      </c>
      <c r="G46" s="69">
        <v>1000</v>
      </c>
      <c r="H46" s="69">
        <v>1000</v>
      </c>
      <c r="I46" s="300">
        <v>989</v>
      </c>
      <c r="J46" s="69"/>
      <c r="K46" s="84">
        <f t="shared" si="0"/>
        <v>0</v>
      </c>
    </row>
    <row r="47" spans="2:12" ht="17.100000000000001" customHeight="1">
      <c r="B47" s="14"/>
      <c r="C47" s="15"/>
      <c r="D47" s="15"/>
      <c r="E47" s="16"/>
      <c r="F47" s="15"/>
      <c r="G47" s="50"/>
      <c r="H47" s="50"/>
      <c r="I47" s="298"/>
      <c r="J47" s="50"/>
      <c r="K47" s="84" t="str">
        <f t="shared" si="0"/>
        <v/>
      </c>
    </row>
    <row r="48" spans="2:12" ht="17.100000000000001" customHeight="1">
      <c r="B48" s="14"/>
      <c r="C48" s="15"/>
      <c r="D48" s="15"/>
      <c r="E48" s="9">
        <v>823000</v>
      </c>
      <c r="F48" s="12" t="s">
        <v>111</v>
      </c>
      <c r="G48" s="61">
        <f>G49</f>
        <v>75000</v>
      </c>
      <c r="H48" s="61">
        <f>H49</f>
        <v>75000</v>
      </c>
      <c r="I48" s="299">
        <v>69152</v>
      </c>
      <c r="J48" s="61">
        <f>J49</f>
        <v>0</v>
      </c>
      <c r="K48" s="120">
        <f t="shared" si="0"/>
        <v>0</v>
      </c>
    </row>
    <row r="49" spans="2:11" ht="17.100000000000001" customHeight="1">
      <c r="B49" s="14"/>
      <c r="C49" s="15"/>
      <c r="D49" s="15"/>
      <c r="E49" s="16">
        <v>823300</v>
      </c>
      <c r="F49" s="26" t="s">
        <v>100</v>
      </c>
      <c r="G49" s="69">
        <v>75000</v>
      </c>
      <c r="H49" s="69">
        <v>75000</v>
      </c>
      <c r="I49" s="300">
        <v>69152</v>
      </c>
      <c r="J49" s="69"/>
      <c r="K49" s="84">
        <f t="shared" si="0"/>
        <v>0</v>
      </c>
    </row>
    <row r="50" spans="2:11" ht="17.100000000000001" customHeight="1">
      <c r="B50" s="14"/>
      <c r="C50" s="15"/>
      <c r="D50" s="15"/>
      <c r="E50" s="16"/>
      <c r="F50" s="26"/>
      <c r="G50" s="50"/>
      <c r="H50" s="50"/>
      <c r="I50" s="298"/>
      <c r="J50" s="50"/>
      <c r="K50" s="84" t="str">
        <f t="shared" si="0"/>
        <v/>
      </c>
    </row>
    <row r="51" spans="2:11" s="1" customFormat="1" ht="17.100000000000001" customHeight="1">
      <c r="B51" s="17"/>
      <c r="C51" s="12"/>
      <c r="D51" s="12"/>
      <c r="E51" s="9"/>
      <c r="F51" s="12" t="s">
        <v>15</v>
      </c>
      <c r="G51" s="20">
        <v>10</v>
      </c>
      <c r="H51" s="20">
        <v>10</v>
      </c>
      <c r="I51" s="297">
        <v>10</v>
      </c>
      <c r="J51" s="20"/>
      <c r="K51" s="84"/>
    </row>
    <row r="52" spans="2:11" s="1" customFormat="1" ht="17.100000000000001" customHeight="1">
      <c r="B52" s="17"/>
      <c r="C52" s="12"/>
      <c r="D52" s="12"/>
      <c r="E52" s="9"/>
      <c r="F52" s="12" t="s">
        <v>31</v>
      </c>
      <c r="G52" s="20">
        <f>G7+G12+G15+G29+G38+G41+G44+G48</f>
        <v>1685040</v>
      </c>
      <c r="H52" s="20">
        <f>H7+H12+H15+H29+H38+H41+H44+H48</f>
        <v>1694840</v>
      </c>
      <c r="I52" s="20">
        <f t="shared" ref="I52" si="1">I7+I12+I15+I29+I38+I41+I44+I48</f>
        <v>1300120</v>
      </c>
      <c r="J52" s="20">
        <f>J7+J12+J15+J29+J38+J41+J44+J48</f>
        <v>0</v>
      </c>
      <c r="K52" s="120">
        <f t="shared" si="0"/>
        <v>0</v>
      </c>
    </row>
    <row r="53" spans="2:11" s="1" customFormat="1" ht="17.100000000000001" customHeight="1">
      <c r="B53" s="17"/>
      <c r="C53" s="12"/>
      <c r="D53" s="12"/>
      <c r="E53" s="9"/>
      <c r="F53" s="12" t="s">
        <v>16</v>
      </c>
      <c r="G53" s="15"/>
      <c r="H53" s="15"/>
      <c r="I53" s="15"/>
      <c r="J53" s="15"/>
      <c r="K53" s="85"/>
    </row>
    <row r="54" spans="2:11" s="1" customFormat="1" ht="17.100000000000001" customHeight="1">
      <c r="B54" s="17"/>
      <c r="C54" s="12"/>
      <c r="D54" s="12"/>
      <c r="E54" s="9"/>
      <c r="F54" s="12" t="s">
        <v>17</v>
      </c>
      <c r="G54" s="15"/>
      <c r="H54" s="15"/>
      <c r="I54" s="15"/>
      <c r="J54" s="15"/>
      <c r="K54" s="85"/>
    </row>
    <row r="55" spans="2:11" ht="8.25" customHeight="1" thickBot="1">
      <c r="B55" s="21"/>
      <c r="C55" s="22"/>
      <c r="D55" s="22"/>
      <c r="E55" s="23"/>
      <c r="F55" s="22"/>
      <c r="G55" s="22"/>
      <c r="H55" s="22"/>
      <c r="I55" s="22"/>
      <c r="J55" s="22"/>
      <c r="K55" s="87"/>
    </row>
    <row r="56" spans="2:11" ht="17.100000000000001" customHeight="1"/>
    <row r="57" spans="2:11" ht="17.100000000000001" customHeight="1"/>
    <row r="58" spans="2:11" ht="17.100000000000001" customHeight="1">
      <c r="B58" s="49"/>
    </row>
    <row r="59" spans="2:11" ht="17.100000000000001" customHeight="1">
      <c r="B59" s="49"/>
    </row>
    <row r="60" spans="2:11">
      <c r="B60" s="49"/>
    </row>
    <row r="61" spans="2:11">
      <c r="B61" s="49"/>
    </row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B2:N59"/>
  <sheetViews>
    <sheetView topLeftCell="C7" zoomScaleNormal="100" zoomScaleSheetLayoutView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2" width="9.140625" style="13"/>
    <col min="13" max="13" width="10.140625" style="13" bestFit="1" customWidth="1"/>
    <col min="14" max="16384" width="9.140625" style="13"/>
  </cols>
  <sheetData>
    <row r="2" spans="2:14" ht="15" customHeight="1">
      <c r="B2" s="449" t="s">
        <v>85</v>
      </c>
      <c r="C2" s="449"/>
      <c r="D2" s="449"/>
      <c r="E2" s="449"/>
      <c r="F2" s="449"/>
      <c r="G2" s="449"/>
      <c r="H2" s="143"/>
      <c r="I2" s="143"/>
    </row>
    <row r="3" spans="2:14" s="1" customFormat="1" ht="16.5" thickBot="1">
      <c r="E3" s="2"/>
      <c r="F3" s="448"/>
      <c r="G3" s="448"/>
      <c r="H3" s="142"/>
      <c r="I3" s="142"/>
      <c r="J3" s="102"/>
      <c r="K3" s="103"/>
    </row>
    <row r="4" spans="2:14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4" s="2" customFormat="1" ht="17.100000000000001" customHeight="1">
      <c r="B6" s="10" t="s">
        <v>61</v>
      </c>
      <c r="C6" s="11" t="s">
        <v>50</v>
      </c>
      <c r="D6" s="11" t="s">
        <v>35</v>
      </c>
      <c r="E6" s="9"/>
      <c r="F6" s="9"/>
      <c r="G6" s="96"/>
      <c r="H6" s="96"/>
      <c r="I6" s="96"/>
      <c r="J6" s="96"/>
      <c r="K6" s="82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1104340</v>
      </c>
      <c r="H7" s="129">
        <f>SUM(H8:H11)</f>
        <v>1104340</v>
      </c>
      <c r="I7" s="312">
        <v>793500</v>
      </c>
      <c r="J7" s="129">
        <f>SUM(J8:J11)</f>
        <v>0</v>
      </c>
      <c r="K7" s="83">
        <f>IF(H7=0,"",J7/H7*100)</f>
        <v>0</v>
      </c>
      <c r="M7" s="54"/>
      <c r="N7" s="54"/>
    </row>
    <row r="8" spans="2:14" ht="17.100000000000001" customHeight="1">
      <c r="B8" s="14"/>
      <c r="C8" s="15"/>
      <c r="D8" s="15"/>
      <c r="E8" s="16">
        <v>611100</v>
      </c>
      <c r="F8" s="26" t="s">
        <v>105</v>
      </c>
      <c r="G8" s="131">
        <f>856320+2000+8230+25690</f>
        <v>892240</v>
      </c>
      <c r="H8" s="131">
        <f>856320+2000+8230+25690</f>
        <v>892240</v>
      </c>
      <c r="I8" s="313">
        <v>649480</v>
      </c>
      <c r="J8" s="131"/>
      <c r="K8" s="84">
        <f>IF(H8=0,"",J8/H8*100)</f>
        <v>0</v>
      </c>
    </row>
    <row r="9" spans="2:14" ht="17.100000000000001" customHeight="1">
      <c r="B9" s="14"/>
      <c r="C9" s="15"/>
      <c r="D9" s="15"/>
      <c r="E9" s="16">
        <v>611200</v>
      </c>
      <c r="F9" s="15" t="s">
        <v>106</v>
      </c>
      <c r="G9" s="131">
        <f>194450+1500+4*1470+3*840+7750</f>
        <v>212100</v>
      </c>
      <c r="H9" s="131">
        <f>194450+1500+4*1470+3*840+7750</f>
        <v>212100</v>
      </c>
      <c r="I9" s="313">
        <v>144020</v>
      </c>
      <c r="J9" s="131"/>
      <c r="K9" s="84">
        <f t="shared" ref="K9:K34" si="0">IF(H9=0,"",J9/H9*100)</f>
        <v>0</v>
      </c>
      <c r="M9" s="53"/>
    </row>
    <row r="10" spans="2:14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11">
        <v>0</v>
      </c>
      <c r="J10" s="128"/>
      <c r="K10" s="84" t="str">
        <f t="shared" si="0"/>
        <v/>
      </c>
      <c r="M10" s="52"/>
    </row>
    <row r="11" spans="2:14" ht="17.100000000000001" customHeight="1">
      <c r="B11" s="14"/>
      <c r="C11" s="15"/>
      <c r="D11" s="15"/>
      <c r="E11" s="16"/>
      <c r="F11" s="26"/>
      <c r="G11" s="131"/>
      <c r="H11" s="131"/>
      <c r="I11" s="313"/>
      <c r="J11" s="131"/>
      <c r="K11" s="84" t="str">
        <f t="shared" si="0"/>
        <v/>
      </c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98200</v>
      </c>
      <c r="H12" s="129">
        <f>H13</f>
        <v>98200</v>
      </c>
      <c r="I12" s="312">
        <v>71482</v>
      </c>
      <c r="J12" s="129">
        <f>J13</f>
        <v>0</v>
      </c>
      <c r="K12" s="120">
        <f t="shared" si="0"/>
        <v>0</v>
      </c>
    </row>
    <row r="13" spans="2:14" ht="17.100000000000001" customHeight="1">
      <c r="B13" s="14"/>
      <c r="C13" s="15"/>
      <c r="D13" s="15"/>
      <c r="E13" s="16">
        <v>612100</v>
      </c>
      <c r="F13" s="18" t="s">
        <v>5</v>
      </c>
      <c r="G13" s="131">
        <f>94850+500+2850</f>
        <v>98200</v>
      </c>
      <c r="H13" s="131">
        <f>94850+500+2850</f>
        <v>98200</v>
      </c>
      <c r="I13" s="313">
        <v>71482</v>
      </c>
      <c r="J13" s="131"/>
      <c r="K13" s="84">
        <f t="shared" si="0"/>
        <v>0</v>
      </c>
    </row>
    <row r="14" spans="2:14" ht="17.100000000000001" customHeight="1">
      <c r="B14" s="14"/>
      <c r="C14" s="15"/>
      <c r="D14" s="15"/>
      <c r="E14" s="16"/>
      <c r="F14" s="15"/>
      <c r="G14" s="33"/>
      <c r="H14" s="33"/>
      <c r="I14" s="307"/>
      <c r="J14" s="33"/>
      <c r="K14" s="84" t="str">
        <f t="shared" si="0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155500</v>
      </c>
      <c r="H15" s="35">
        <f>SUM(H16:H25)</f>
        <v>155500</v>
      </c>
      <c r="I15" s="308">
        <v>83150</v>
      </c>
      <c r="J15" s="35">
        <f>SUM(J16:J25)</f>
        <v>0</v>
      </c>
      <c r="K15" s="120">
        <f t="shared" si="0"/>
        <v>0</v>
      </c>
    </row>
    <row r="16" spans="2:14" ht="17.100000000000001" customHeight="1">
      <c r="B16" s="14"/>
      <c r="C16" s="15"/>
      <c r="D16" s="15"/>
      <c r="E16" s="16">
        <v>613100</v>
      </c>
      <c r="F16" s="15" t="s">
        <v>6</v>
      </c>
      <c r="G16" s="33">
        <v>6000</v>
      </c>
      <c r="H16" s="33">
        <v>6000</v>
      </c>
      <c r="I16" s="307">
        <v>1732</v>
      </c>
      <c r="J16" s="33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3">
        <v>60000</v>
      </c>
      <c r="H17" s="33">
        <v>60000</v>
      </c>
      <c r="I17" s="307">
        <v>22686</v>
      </c>
      <c r="J17" s="33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3">
        <v>8000</v>
      </c>
      <c r="H18" s="33">
        <v>8000</v>
      </c>
      <c r="I18" s="307">
        <v>6525</v>
      </c>
      <c r="J18" s="33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3">
        <v>22000</v>
      </c>
      <c r="H19" s="33">
        <v>22000</v>
      </c>
      <c r="I19" s="307">
        <v>15280</v>
      </c>
      <c r="J19" s="33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69">
        <v>2500</v>
      </c>
      <c r="H20" s="69">
        <v>2500</v>
      </c>
      <c r="I20" s="310">
        <v>1108</v>
      </c>
      <c r="J20" s="69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307">
        <v>0</v>
      </c>
      <c r="J21" s="33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33">
        <v>17000</v>
      </c>
      <c r="H22" s="33">
        <v>17000</v>
      </c>
      <c r="I22" s="307">
        <v>6360</v>
      </c>
      <c r="J22" s="33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33">
        <v>0</v>
      </c>
      <c r="H23" s="33">
        <v>0</v>
      </c>
      <c r="I23" s="307">
        <v>0</v>
      </c>
      <c r="J23" s="33"/>
      <c r="K23" s="84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69">
        <v>40000</v>
      </c>
      <c r="H24" s="69">
        <v>40000</v>
      </c>
      <c r="I24" s="310">
        <v>29459</v>
      </c>
      <c r="J24" s="69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62">
        <v>0</v>
      </c>
      <c r="H25" s="62">
        <v>0</v>
      </c>
      <c r="I25" s="309">
        <v>0</v>
      </c>
      <c r="J25" s="62"/>
      <c r="K25" s="84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33"/>
      <c r="H26" s="33"/>
      <c r="I26" s="307"/>
      <c r="J26" s="33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20">
        <f>SUM(G28:G30)</f>
        <v>30000</v>
      </c>
      <c r="H27" s="20">
        <f>SUM(H28:H30)</f>
        <v>36430</v>
      </c>
      <c r="I27" s="305">
        <v>24840</v>
      </c>
      <c r="J27" s="20">
        <f>SUM(J28:J30)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821200</v>
      </c>
      <c r="F28" s="15" t="s">
        <v>13</v>
      </c>
      <c r="G28" s="69">
        <v>25000</v>
      </c>
      <c r="H28" s="69">
        <v>25000</v>
      </c>
      <c r="I28" s="310">
        <v>17419</v>
      </c>
      <c r="J28" s="69"/>
      <c r="K28" s="84">
        <f t="shared" si="0"/>
        <v>0</v>
      </c>
      <c r="L28" s="49"/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69">
        <v>5000</v>
      </c>
      <c r="H29" s="69">
        <v>11430</v>
      </c>
      <c r="I29" s="310">
        <v>7421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26"/>
      <c r="G30" s="33"/>
      <c r="H30" s="33"/>
      <c r="I30" s="307"/>
      <c r="J30" s="33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25" t="s">
        <v>154</v>
      </c>
      <c r="H31" s="25" t="s">
        <v>154</v>
      </c>
      <c r="I31" s="306" t="s">
        <v>167</v>
      </c>
      <c r="J31" s="25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1388040</v>
      </c>
      <c r="H32" s="20">
        <f>H7+H12+H15+H27</f>
        <v>1394470</v>
      </c>
      <c r="I32" s="20">
        <f t="shared" ref="I32" si="1">I7+I12+I15+I27</f>
        <v>972972</v>
      </c>
      <c r="J32" s="20">
        <f>J7+J12+J15+J27</f>
        <v>0</v>
      </c>
      <c r="K32" s="120">
        <f t="shared" si="0"/>
        <v>0</v>
      </c>
    </row>
    <row r="33" spans="2:14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  <c r="N33" s="1" t="s">
        <v>92</v>
      </c>
    </row>
    <row r="34" spans="2:14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4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4" ht="17.100000000000001" customHeight="1"/>
    <row r="37" spans="2:14" ht="17.100000000000001" customHeight="1">
      <c r="B37" s="49"/>
    </row>
    <row r="38" spans="2:14" ht="17.100000000000001" customHeight="1">
      <c r="B38" s="49"/>
    </row>
    <row r="39" spans="2:14" ht="17.100000000000001" customHeight="1">
      <c r="B39" s="49"/>
    </row>
    <row r="40" spans="2:14" ht="17.100000000000001" customHeight="1">
      <c r="B40" s="49"/>
    </row>
    <row r="41" spans="2:14" ht="17.100000000000001" customHeight="1">
      <c r="B41" s="49"/>
    </row>
    <row r="42" spans="2:14" ht="17.100000000000001" customHeight="1">
      <c r="B42" s="49"/>
    </row>
    <row r="43" spans="2:14" ht="17.100000000000001" customHeight="1">
      <c r="B43" s="49"/>
    </row>
    <row r="44" spans="2:14" ht="17.100000000000001" customHeight="1">
      <c r="B44" s="49"/>
    </row>
    <row r="45" spans="2:14" ht="17.100000000000001" customHeight="1">
      <c r="B45" s="49"/>
    </row>
    <row r="46" spans="2:14" ht="17.100000000000001" customHeight="1">
      <c r="B46" s="49"/>
    </row>
    <row r="47" spans="2:14" ht="17.100000000000001" customHeight="1">
      <c r="B47" s="49"/>
    </row>
    <row r="48" spans="2:14" ht="17.100000000000001" customHeight="1">
      <c r="B48" s="49"/>
    </row>
    <row r="49" spans="2:2" ht="17.100000000000001" customHeight="1">
      <c r="B49" s="49"/>
    </row>
    <row r="50" spans="2:2" ht="17.100000000000001" customHeight="1">
      <c r="B50" s="49"/>
    </row>
    <row r="51" spans="2:2" ht="17.100000000000001" customHeight="1"/>
    <row r="52" spans="2:2" ht="17.100000000000001" customHeight="1"/>
    <row r="53" spans="2:2" ht="17.100000000000001" customHeight="1"/>
    <row r="54" spans="2:2" ht="17.100000000000001" customHeight="1"/>
    <row r="55" spans="2:2" ht="17.100000000000001" customHeight="1"/>
    <row r="56" spans="2:2" ht="17.100000000000001" customHeight="1"/>
    <row r="57" spans="2:2" ht="17.100000000000001" customHeight="1"/>
    <row r="58" spans="2:2" ht="17.100000000000001" customHeight="1"/>
    <row r="59" spans="2:2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2:M59"/>
  <sheetViews>
    <sheetView topLeftCell="C4" zoomScaleNormal="100" zoomScaleSheetLayoutView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ht="15" customHeight="1">
      <c r="B2" s="449" t="s">
        <v>126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74" t="s">
        <v>61</v>
      </c>
      <c r="C6" s="75" t="s">
        <v>50</v>
      </c>
      <c r="D6" s="75" t="s">
        <v>42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999600</v>
      </c>
      <c r="H7" s="129">
        <f>SUM(H8:H11)</f>
        <v>999600</v>
      </c>
      <c r="I7" s="321">
        <v>731646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743160+0+1200+2*8280+9120+22300+770</f>
        <v>793110</v>
      </c>
      <c r="H8" s="131">
        <f>743160+0+1200+2*8280+9120+22300+770</f>
        <v>793110</v>
      </c>
      <c r="I8" s="322">
        <v>593747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185030+3000+2*1470+3*840+3500+9500</f>
        <v>206490</v>
      </c>
      <c r="H9" s="131">
        <f>185030+3000+2*1470+3*840+3500+9500</f>
        <v>206490</v>
      </c>
      <c r="I9" s="322">
        <v>137899</v>
      </c>
      <c r="J9" s="131"/>
      <c r="K9" s="84">
        <f t="shared" ref="K9:K34" si="0">IF(H9=0,"",J9/H9*100)</f>
        <v>0</v>
      </c>
      <c r="M9" s="49"/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20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322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84970</v>
      </c>
      <c r="H12" s="129">
        <f>H13</f>
        <v>84970</v>
      </c>
      <c r="I12" s="321">
        <v>64596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79660+0+2*910+1010+2390+90</f>
        <v>84970</v>
      </c>
      <c r="H13" s="131">
        <f>79660+0+2*910+1010+2390+90</f>
        <v>84970</v>
      </c>
      <c r="I13" s="322">
        <v>64596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315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206700</v>
      </c>
      <c r="H15" s="35">
        <f>SUM(H16:H25)</f>
        <v>206700</v>
      </c>
      <c r="I15" s="316">
        <v>159275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69">
        <v>6000</v>
      </c>
      <c r="H16" s="69">
        <v>6000</v>
      </c>
      <c r="I16" s="318">
        <v>3837</v>
      </c>
      <c r="J16" s="69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3">
        <v>100000</v>
      </c>
      <c r="H17" s="33">
        <v>97000</v>
      </c>
      <c r="I17" s="315">
        <v>82884</v>
      </c>
      <c r="J17" s="33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69">
        <v>18000</v>
      </c>
      <c r="H18" s="69">
        <v>16900</v>
      </c>
      <c r="I18" s="318">
        <v>9761</v>
      </c>
      <c r="J18" s="69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69">
        <v>30000</v>
      </c>
      <c r="H19" s="69">
        <v>30000</v>
      </c>
      <c r="I19" s="318">
        <v>21152</v>
      </c>
      <c r="J19" s="69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69">
        <v>700</v>
      </c>
      <c r="H20" s="69">
        <v>700</v>
      </c>
      <c r="I20" s="318">
        <v>214</v>
      </c>
      <c r="J20" s="69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318">
        <v>0</v>
      </c>
      <c r="J21" s="69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69">
        <v>32000</v>
      </c>
      <c r="H22" s="69">
        <v>32000</v>
      </c>
      <c r="I22" s="318">
        <v>17510</v>
      </c>
      <c r="J22" s="69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18">
        <v>0</v>
      </c>
      <c r="J23" s="69"/>
      <c r="K23" s="84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69">
        <v>20000</v>
      </c>
      <c r="H24" s="69">
        <v>24100</v>
      </c>
      <c r="I24" s="318">
        <v>23917</v>
      </c>
      <c r="J24" s="69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99">
        <v>0</v>
      </c>
      <c r="H25" s="99">
        <v>0</v>
      </c>
      <c r="I25" s="319">
        <v>0</v>
      </c>
      <c r="J25" s="99"/>
      <c r="K25" s="84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69"/>
      <c r="H26" s="69"/>
      <c r="I26" s="318"/>
      <c r="J26" s="69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5000</v>
      </c>
      <c r="H27" s="61">
        <f>SUM(H28:H29)</f>
        <v>5000</v>
      </c>
      <c r="I27" s="317">
        <v>0</v>
      </c>
      <c r="J27" s="61">
        <f>SUM(J28:J29)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71">
        <v>821200</v>
      </c>
      <c r="F28" s="19" t="s">
        <v>13</v>
      </c>
      <c r="G28" s="69">
        <v>0</v>
      </c>
      <c r="H28" s="69">
        <v>0</v>
      </c>
      <c r="I28" s="318">
        <v>0</v>
      </c>
      <c r="J28" s="69"/>
      <c r="K28" s="84" t="str">
        <f t="shared" si="0"/>
        <v/>
      </c>
      <c r="L28" s="49"/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69">
        <v>5000</v>
      </c>
      <c r="H29" s="69">
        <v>5000</v>
      </c>
      <c r="I29" s="318">
        <v>0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15"/>
      <c r="G30" s="69"/>
      <c r="H30" s="69"/>
      <c r="I30" s="318"/>
      <c r="J30" s="69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25" t="s">
        <v>162</v>
      </c>
      <c r="H31" s="25" t="s">
        <v>162</v>
      </c>
      <c r="I31" s="314" t="s">
        <v>178</v>
      </c>
      <c r="J31" s="25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1296270</v>
      </c>
      <c r="H32" s="20">
        <f>H7+H12+H15+H27</f>
        <v>1296270</v>
      </c>
      <c r="I32" s="20">
        <f t="shared" ref="I32" si="1">I7+I12+I15+I27</f>
        <v>955517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B2:M59"/>
  <sheetViews>
    <sheetView topLeftCell="A4" zoomScaleNormal="100" zoomScaleSheetLayoutView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447" t="s">
        <v>127</v>
      </c>
      <c r="C2" s="447"/>
      <c r="D2" s="447"/>
      <c r="E2" s="447"/>
      <c r="F2" s="447"/>
      <c r="G2" s="447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74" t="s">
        <v>61</v>
      </c>
      <c r="C6" s="75" t="s">
        <v>50</v>
      </c>
      <c r="D6" s="75" t="s">
        <v>43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844620</v>
      </c>
      <c r="H7" s="129">
        <f>SUM(H8:H11)</f>
        <v>844620</v>
      </c>
      <c r="I7" s="330">
        <v>631724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658100+0+19750</f>
        <v>677850</v>
      </c>
      <c r="H8" s="131">
        <f>658100+0+19750</f>
        <v>677850</v>
      </c>
      <c r="I8" s="331">
        <v>521642</v>
      </c>
      <c r="J8" s="131"/>
      <c r="K8" s="84">
        <f>IF(H8=0,"",J8/H8*100)</f>
        <v>0</v>
      </c>
      <c r="L8" s="49"/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157980+1500+1470+3*840+3300</f>
        <v>166770</v>
      </c>
      <c r="H9" s="131">
        <f>157980+1500+1470+3*840+3300</f>
        <v>166770</v>
      </c>
      <c r="I9" s="331">
        <v>110082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29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331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72580</v>
      </c>
      <c r="H12" s="129">
        <f>H13</f>
        <v>72580</v>
      </c>
      <c r="I12" s="330">
        <v>56595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70460+0+2120</f>
        <v>72580</v>
      </c>
      <c r="H13" s="131">
        <f>70460+0+2120</f>
        <v>72580</v>
      </c>
      <c r="I13" s="331">
        <v>56595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324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SUM(G16:G26)</f>
        <v>141210</v>
      </c>
      <c r="H15" s="35">
        <f>SUM(H16:H26)</f>
        <v>141210</v>
      </c>
      <c r="I15" s="325">
        <v>102159</v>
      </c>
      <c r="J15" s="35">
        <f>SUM(J16:J26)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69">
        <v>4000</v>
      </c>
      <c r="H16" s="69">
        <v>4000</v>
      </c>
      <c r="I16" s="327">
        <v>3230</v>
      </c>
      <c r="J16" s="69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3">
        <v>50000</v>
      </c>
      <c r="H17" s="33">
        <v>50000</v>
      </c>
      <c r="I17" s="324">
        <v>33968</v>
      </c>
      <c r="J17" s="33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3">
        <v>7500</v>
      </c>
      <c r="H18" s="33">
        <v>7500</v>
      </c>
      <c r="I18" s="324">
        <v>4739</v>
      </c>
      <c r="J18" s="33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3">
        <v>17000</v>
      </c>
      <c r="H19" s="33">
        <v>17000</v>
      </c>
      <c r="I19" s="324">
        <v>13155</v>
      </c>
      <c r="J19" s="33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69">
        <v>3000</v>
      </c>
      <c r="H20" s="69">
        <v>3000</v>
      </c>
      <c r="I20" s="327">
        <v>2373</v>
      </c>
      <c r="J20" s="69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327">
        <v>0</v>
      </c>
      <c r="J21" s="69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69">
        <v>14000</v>
      </c>
      <c r="H22" s="69">
        <v>14000</v>
      </c>
      <c r="I22" s="327">
        <v>9802</v>
      </c>
      <c r="J22" s="69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27">
        <v>0</v>
      </c>
      <c r="J23" s="69"/>
      <c r="K23" s="84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139">
        <v>25000</v>
      </c>
      <c r="H24" s="139">
        <v>25000</v>
      </c>
      <c r="I24" s="332">
        <v>16782</v>
      </c>
      <c r="J24" s="139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99">
        <v>0</v>
      </c>
      <c r="H25" s="99">
        <v>0</v>
      </c>
      <c r="I25" s="328">
        <v>0</v>
      </c>
      <c r="J25" s="99"/>
      <c r="K25" s="84" t="str">
        <f t="shared" si="0"/>
        <v/>
      </c>
    </row>
    <row r="26" spans="2:12" ht="17.100000000000001" customHeight="1">
      <c r="B26" s="14"/>
      <c r="C26" s="15"/>
      <c r="D26" s="15"/>
      <c r="E26" s="16">
        <v>613900</v>
      </c>
      <c r="F26" s="63" t="s">
        <v>149</v>
      </c>
      <c r="G26" s="69">
        <v>20710</v>
      </c>
      <c r="H26" s="69">
        <v>20710</v>
      </c>
      <c r="I26" s="327">
        <v>18110</v>
      </c>
      <c r="J26" s="69"/>
      <c r="K26" s="84">
        <f t="shared" si="0"/>
        <v>0</v>
      </c>
    </row>
    <row r="27" spans="2:12" s="1" customFormat="1" ht="17.100000000000001" customHeight="1">
      <c r="B27" s="17"/>
      <c r="C27" s="12"/>
      <c r="D27" s="12"/>
      <c r="E27" s="9"/>
      <c r="F27" s="12"/>
      <c r="G27" s="69"/>
      <c r="H27" s="69"/>
      <c r="I27" s="327"/>
      <c r="J27" s="69"/>
      <c r="K27" s="84" t="str">
        <f t="shared" si="0"/>
        <v/>
      </c>
    </row>
    <row r="28" spans="2:12" s="1" customFormat="1" ht="17.100000000000001" customHeight="1">
      <c r="B28" s="17"/>
      <c r="C28" s="12"/>
      <c r="D28" s="12"/>
      <c r="E28" s="9">
        <v>821000</v>
      </c>
      <c r="F28" s="12" t="s">
        <v>12</v>
      </c>
      <c r="G28" s="61">
        <f>SUM(G29:G30)</f>
        <v>15200</v>
      </c>
      <c r="H28" s="61">
        <f>SUM(H29:H30)</f>
        <v>15200</v>
      </c>
      <c r="I28" s="326">
        <v>15194</v>
      </c>
      <c r="J28" s="61">
        <f>SUM(J29:J30)</f>
        <v>0</v>
      </c>
      <c r="K28" s="120">
        <f t="shared" si="0"/>
        <v>0</v>
      </c>
    </row>
    <row r="29" spans="2:12" ht="17.100000000000001" customHeight="1">
      <c r="B29" s="14"/>
      <c r="C29" s="15"/>
      <c r="D29" s="15"/>
      <c r="E29" s="71">
        <v>821200</v>
      </c>
      <c r="F29" s="19" t="s">
        <v>13</v>
      </c>
      <c r="G29" s="69">
        <v>0</v>
      </c>
      <c r="H29" s="69">
        <v>0</v>
      </c>
      <c r="I29" s="327">
        <v>0</v>
      </c>
      <c r="J29" s="69"/>
      <c r="K29" s="84" t="str">
        <f t="shared" si="0"/>
        <v/>
      </c>
      <c r="L29" s="49"/>
    </row>
    <row r="30" spans="2:12" ht="17.100000000000001" customHeight="1">
      <c r="B30" s="14"/>
      <c r="C30" s="15"/>
      <c r="D30" s="15"/>
      <c r="E30" s="16">
        <v>821300</v>
      </c>
      <c r="F30" s="15" t="s">
        <v>14</v>
      </c>
      <c r="G30" s="69">
        <f>5000+10200</f>
        <v>15200</v>
      </c>
      <c r="H30" s="69">
        <f>5000+10200</f>
        <v>15200</v>
      </c>
      <c r="I30" s="327">
        <v>15194</v>
      </c>
      <c r="J30" s="69"/>
      <c r="K30" s="84">
        <f t="shared" si="0"/>
        <v>0</v>
      </c>
    </row>
    <row r="31" spans="2:12" ht="17.100000000000001" customHeight="1">
      <c r="B31" s="14"/>
      <c r="C31" s="15"/>
      <c r="D31" s="15"/>
      <c r="E31" s="16"/>
      <c r="F31" s="15"/>
      <c r="G31" s="33"/>
      <c r="H31" s="33"/>
      <c r="I31" s="324"/>
      <c r="J31" s="33"/>
      <c r="K31" s="84" t="str">
        <f t="shared" si="0"/>
        <v/>
      </c>
    </row>
    <row r="32" spans="2:12" s="1" customFormat="1" ht="17.100000000000001" customHeight="1">
      <c r="B32" s="17"/>
      <c r="C32" s="12"/>
      <c r="D32" s="12"/>
      <c r="E32" s="9"/>
      <c r="F32" s="12" t="s">
        <v>15</v>
      </c>
      <c r="G32" s="25" t="s">
        <v>144</v>
      </c>
      <c r="H32" s="25" t="s">
        <v>144</v>
      </c>
      <c r="I32" s="323" t="s">
        <v>179</v>
      </c>
      <c r="J32" s="25"/>
      <c r="K32" s="84"/>
    </row>
    <row r="33" spans="2:11" s="1" customFormat="1" ht="17.100000000000001" customHeight="1">
      <c r="B33" s="17"/>
      <c r="C33" s="12"/>
      <c r="D33" s="12"/>
      <c r="E33" s="9"/>
      <c r="F33" s="12" t="s">
        <v>31</v>
      </c>
      <c r="G33" s="20">
        <f>G7+G12+G15+G28</f>
        <v>1073610</v>
      </c>
      <c r="H33" s="20">
        <f>H7+H12+H15+H28</f>
        <v>1073610</v>
      </c>
      <c r="I33" s="20">
        <f t="shared" ref="I33" si="1">I7+I12+I15+I28</f>
        <v>805672</v>
      </c>
      <c r="J33" s="20">
        <f>J7+J12+J15+J28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16</v>
      </c>
      <c r="G34" s="20">
        <f>G33+'22'!G32+'21'!G32</f>
        <v>3757920</v>
      </c>
      <c r="H34" s="20">
        <f>H33+'22'!H32+'21'!H32</f>
        <v>3764350</v>
      </c>
      <c r="I34" s="20">
        <f>I33+'22'!I32+'21'!I32</f>
        <v>2734161</v>
      </c>
      <c r="J34" s="20">
        <f>J33+'22'!J32+'21'!J32</f>
        <v>0</v>
      </c>
      <c r="K34" s="120">
        <f t="shared" si="0"/>
        <v>0</v>
      </c>
    </row>
    <row r="35" spans="2:11" s="1" customFormat="1" ht="17.100000000000001" customHeight="1">
      <c r="B35" s="17"/>
      <c r="C35" s="12"/>
      <c r="D35" s="12"/>
      <c r="E35" s="9"/>
      <c r="F35" s="12" t="s">
        <v>17</v>
      </c>
      <c r="G35" s="32"/>
      <c r="H35" s="32"/>
      <c r="I35" s="32"/>
      <c r="J35" s="32"/>
      <c r="K35" s="85"/>
    </row>
    <row r="36" spans="2:11" ht="17.100000000000001" customHeight="1" thickBot="1">
      <c r="B36" s="21"/>
      <c r="C36" s="22"/>
      <c r="D36" s="22"/>
      <c r="E36" s="23"/>
      <c r="F36" s="22"/>
      <c r="G36" s="34"/>
      <c r="H36" s="34"/>
      <c r="I36" s="34"/>
      <c r="J36" s="34"/>
      <c r="K36" s="87"/>
    </row>
    <row r="37" spans="2:11" ht="17.100000000000001" customHeight="1"/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M59"/>
  <sheetViews>
    <sheetView topLeftCell="C4" zoomScaleNormal="100" zoomScaleSheetLayoutView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7" t="s">
        <v>62</v>
      </c>
      <c r="C2" s="447"/>
      <c r="D2" s="447"/>
      <c r="E2" s="447"/>
      <c r="F2" s="447"/>
      <c r="G2" s="447"/>
      <c r="H2" s="141"/>
      <c r="I2" s="141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61</v>
      </c>
      <c r="C6" s="11" t="s">
        <v>63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1050680</v>
      </c>
      <c r="H7" s="129">
        <f>SUM(H8:H11)</f>
        <v>1050680</v>
      </c>
      <c r="I7" s="339">
        <v>744871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817970+3000+4000+16600+7000+24540+500</f>
        <v>873610</v>
      </c>
      <c r="H8" s="131">
        <f>817970+3000+4000+16600+7000+24540+500</f>
        <v>873610</v>
      </c>
      <c r="I8" s="340">
        <v>623029</v>
      </c>
      <c r="J8" s="131"/>
      <c r="K8" s="84">
        <f>IF(H8=0,"",J8/H8*100)</f>
        <v>0</v>
      </c>
      <c r="L8" s="60"/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162680+3500+3*840+1470+2500+3000+1400</f>
        <v>177070</v>
      </c>
      <c r="H9" s="131">
        <f>162680+3500+3*840+1470+2500+3000+1400</f>
        <v>177070</v>
      </c>
      <c r="I9" s="340">
        <v>121842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38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340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93510</v>
      </c>
      <c r="H12" s="129">
        <f>H13</f>
        <v>93510</v>
      </c>
      <c r="I12" s="339">
        <v>68456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87520+700+1830+770+2630+60</f>
        <v>93510</v>
      </c>
      <c r="H13" s="131">
        <f>87520+700+1830+770+2630+60</f>
        <v>93510</v>
      </c>
      <c r="I13" s="340">
        <v>68456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334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100500</v>
      </c>
      <c r="H15" s="35">
        <f>SUM(H16:H25)</f>
        <v>100500</v>
      </c>
      <c r="I15" s="335">
        <v>54039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69">
        <v>5000</v>
      </c>
      <c r="H16" s="69">
        <v>5000</v>
      </c>
      <c r="I16" s="337">
        <v>3553</v>
      </c>
      <c r="J16" s="69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69">
        <v>30000</v>
      </c>
      <c r="H17" s="69">
        <v>30000</v>
      </c>
      <c r="I17" s="337">
        <v>18040</v>
      </c>
      <c r="J17" s="69"/>
      <c r="K17" s="84">
        <f t="shared" si="0"/>
        <v>0</v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69">
        <v>6000</v>
      </c>
      <c r="H18" s="69">
        <v>6000</v>
      </c>
      <c r="I18" s="337">
        <v>2883</v>
      </c>
      <c r="J18" s="69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69">
        <v>12000</v>
      </c>
      <c r="H19" s="69">
        <v>12000</v>
      </c>
      <c r="I19" s="337">
        <v>9176</v>
      </c>
      <c r="J19" s="69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69">
        <v>500</v>
      </c>
      <c r="H20" s="69">
        <v>500</v>
      </c>
      <c r="I20" s="337">
        <v>96</v>
      </c>
      <c r="J20" s="69"/>
      <c r="K20" s="84">
        <f t="shared" si="0"/>
        <v>0</v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337">
        <v>0</v>
      </c>
      <c r="J21" s="69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69">
        <v>11000</v>
      </c>
      <c r="H22" s="69">
        <v>11000</v>
      </c>
      <c r="I22" s="337">
        <v>1064</v>
      </c>
      <c r="J22" s="69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37">
        <v>0</v>
      </c>
      <c r="J23" s="69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69">
        <v>36000</v>
      </c>
      <c r="H24" s="69">
        <v>36000</v>
      </c>
      <c r="I24" s="337">
        <v>19227</v>
      </c>
      <c r="J24" s="69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337">
        <v>0</v>
      </c>
      <c r="J25" s="6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69"/>
      <c r="H26" s="69"/>
      <c r="I26" s="337"/>
      <c r="J26" s="69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5000</v>
      </c>
      <c r="H27" s="61">
        <f>SUM(H28:H29)</f>
        <v>10140</v>
      </c>
      <c r="I27" s="336">
        <v>0</v>
      </c>
      <c r="J27" s="61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69">
        <v>0</v>
      </c>
      <c r="H28" s="69">
        <v>0</v>
      </c>
      <c r="I28" s="337">
        <v>0</v>
      </c>
      <c r="J28" s="69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69">
        <v>5000</v>
      </c>
      <c r="H29" s="69">
        <v>10140</v>
      </c>
      <c r="I29" s="337">
        <v>0</v>
      </c>
      <c r="J29" s="69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69"/>
      <c r="H30" s="69"/>
      <c r="I30" s="337"/>
      <c r="J30" s="69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25" t="s">
        <v>163</v>
      </c>
      <c r="H31" s="25" t="s">
        <v>163</v>
      </c>
      <c r="I31" s="333" t="s">
        <v>145</v>
      </c>
      <c r="J31" s="25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1249690</v>
      </c>
      <c r="H32" s="20">
        <f>H7+H12+H15+H27</f>
        <v>1254830</v>
      </c>
      <c r="I32" s="20">
        <f t="shared" ref="I32" si="1">I7+I12+I15+I27</f>
        <v>867366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/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B2:M59"/>
  <sheetViews>
    <sheetView topLeftCell="C4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ht="15" customHeight="1">
      <c r="B2" s="449" t="s">
        <v>86</v>
      </c>
      <c r="C2" s="449"/>
      <c r="D2" s="449"/>
      <c r="E2" s="449"/>
      <c r="F2" s="449"/>
      <c r="G2" s="449"/>
      <c r="H2" s="449"/>
      <c r="I2" s="449"/>
      <c r="J2" s="449"/>
      <c r="K2" s="77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61</v>
      </c>
      <c r="C6" s="11" t="s">
        <v>63</v>
      </c>
      <c r="D6" s="11" t="s">
        <v>35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2157050</v>
      </c>
      <c r="H7" s="129">
        <f>SUM(H8:H11)</f>
        <v>2157050</v>
      </c>
      <c r="I7" s="348">
        <v>1565777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1718040+0+660+7000+51550</f>
        <v>1777250</v>
      </c>
      <c r="H8" s="128">
        <f>1718040+0+660+7000+51550</f>
        <v>1777250</v>
      </c>
      <c r="I8" s="347">
        <v>1295427</v>
      </c>
      <c r="J8" s="128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28">
        <f>366560+4000+3*1470+840+2590+1400</f>
        <v>379800</v>
      </c>
      <c r="H9" s="128">
        <f>366560+4000+3*1470+840+2590+1400</f>
        <v>379800</v>
      </c>
      <c r="I9" s="347">
        <v>270350</v>
      </c>
      <c r="J9" s="128"/>
      <c r="K9" s="84">
        <f t="shared" ref="K9:K34" si="0">IF(H9=0,"",J9/H9*100)</f>
        <v>0</v>
      </c>
      <c r="M9" s="53"/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47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28"/>
      <c r="H11" s="128"/>
      <c r="I11" s="347"/>
      <c r="J11" s="128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190200</v>
      </c>
      <c r="H12" s="129">
        <f>H13</f>
        <v>190200</v>
      </c>
      <c r="I12" s="348">
        <v>141143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28">
        <f>183910+0+770+5520</f>
        <v>190200</v>
      </c>
      <c r="H13" s="128">
        <f>183910+0+770+5520</f>
        <v>190200</v>
      </c>
      <c r="I13" s="347">
        <v>141143</v>
      </c>
      <c r="J13" s="12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50"/>
      <c r="H14" s="50"/>
      <c r="I14" s="344"/>
      <c r="J14" s="50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222000</v>
      </c>
      <c r="H15" s="35">
        <f>SUM(H16:H25)</f>
        <v>222000</v>
      </c>
      <c r="I15" s="343">
        <v>117658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2">
        <v>12000</v>
      </c>
      <c r="H16" s="32">
        <v>12000</v>
      </c>
      <c r="I16" s="342">
        <v>7690</v>
      </c>
      <c r="J16" s="32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2">
        <v>77000</v>
      </c>
      <c r="H17" s="32">
        <v>77000</v>
      </c>
      <c r="I17" s="342">
        <v>30837</v>
      </c>
      <c r="J17" s="32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2">
        <v>11000</v>
      </c>
      <c r="H18" s="32">
        <v>11000</v>
      </c>
      <c r="I18" s="342">
        <v>5958</v>
      </c>
      <c r="J18" s="32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50">
        <v>22000</v>
      </c>
      <c r="H19" s="50">
        <v>22000</v>
      </c>
      <c r="I19" s="344">
        <v>12290</v>
      </c>
      <c r="J19" s="50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50">
        <v>1500</v>
      </c>
      <c r="H20" s="50">
        <v>1500</v>
      </c>
      <c r="I20" s="344">
        <v>1096</v>
      </c>
      <c r="J20" s="50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50">
        <v>0</v>
      </c>
      <c r="H21" s="50">
        <v>0</v>
      </c>
      <c r="I21" s="344">
        <v>0</v>
      </c>
      <c r="J21" s="50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50">
        <v>26500</v>
      </c>
      <c r="H22" s="50">
        <v>26500</v>
      </c>
      <c r="I22" s="344">
        <v>7137</v>
      </c>
      <c r="J22" s="50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50">
        <v>0</v>
      </c>
      <c r="H23" s="50">
        <v>0</v>
      </c>
      <c r="I23" s="344">
        <v>0</v>
      </c>
      <c r="J23" s="50"/>
      <c r="K23" s="84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50">
        <v>72000</v>
      </c>
      <c r="H24" s="50">
        <v>72000</v>
      </c>
      <c r="I24" s="344">
        <v>52650</v>
      </c>
      <c r="J24" s="50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99">
        <v>0</v>
      </c>
      <c r="H25" s="99">
        <v>0</v>
      </c>
      <c r="I25" s="346">
        <v>0</v>
      </c>
      <c r="J25" s="99"/>
      <c r="K25" s="84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50"/>
      <c r="H26" s="50"/>
      <c r="I26" s="344"/>
      <c r="J26" s="50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SUM(G28:G30)</f>
        <v>7000</v>
      </c>
      <c r="H27" s="61">
        <f>SUM(H28:H30)</f>
        <v>16000</v>
      </c>
      <c r="I27" s="345">
        <v>8101</v>
      </c>
      <c r="J27" s="61">
        <f>SUM(J28:J30)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821200</v>
      </c>
      <c r="F28" s="15" t="s">
        <v>13</v>
      </c>
      <c r="G28" s="50">
        <v>0</v>
      </c>
      <c r="H28" s="50">
        <v>0</v>
      </c>
      <c r="I28" s="344">
        <v>0</v>
      </c>
      <c r="J28" s="50"/>
      <c r="K28" s="84" t="str">
        <f t="shared" si="0"/>
        <v/>
      </c>
      <c r="L28" s="49"/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50">
        <v>7000</v>
      </c>
      <c r="H29" s="50">
        <v>16000</v>
      </c>
      <c r="I29" s="344">
        <v>8101</v>
      </c>
      <c r="J29" s="50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26"/>
      <c r="G30" s="50"/>
      <c r="H30" s="50"/>
      <c r="I30" s="344"/>
      <c r="J30" s="50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25" t="s">
        <v>159</v>
      </c>
      <c r="H31" s="25" t="s">
        <v>159</v>
      </c>
      <c r="I31" s="341" t="s">
        <v>180</v>
      </c>
      <c r="J31" s="25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2576250</v>
      </c>
      <c r="H32" s="20">
        <f>H7+H12+H15+H27</f>
        <v>2585250</v>
      </c>
      <c r="I32" s="20">
        <f t="shared" ref="I32" si="1">I7+I12+I15+I27</f>
        <v>1832679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87"/>
    </row>
    <row r="36" spans="2:11" ht="17.100000000000001" customHeight="1"/>
    <row r="37" spans="2:11" ht="17.100000000000001" customHeight="1"/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B2:M59"/>
  <sheetViews>
    <sheetView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87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61</v>
      </c>
      <c r="C6" s="11" t="s">
        <v>63</v>
      </c>
      <c r="D6" s="11" t="s">
        <v>42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611040</v>
      </c>
      <c r="H7" s="129">
        <f>SUM(H8:H11)</f>
        <v>611040</v>
      </c>
      <c r="I7" s="356">
        <v>433473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482230+0+7000+14470</f>
        <v>503700</v>
      </c>
      <c r="H8" s="131">
        <f>482230+0+7000+14470</f>
        <v>503700</v>
      </c>
      <c r="I8" s="357">
        <v>366940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100820+0+3*840+2600+1400</f>
        <v>107340</v>
      </c>
      <c r="H9" s="131">
        <f>100820+0+3*840+2600+1400</f>
        <v>107340</v>
      </c>
      <c r="I9" s="357">
        <v>66533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55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1"/>
      <c r="H11" s="131"/>
      <c r="I11" s="357"/>
      <c r="J11" s="131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53920</v>
      </c>
      <c r="H12" s="129">
        <f>H13</f>
        <v>53920</v>
      </c>
      <c r="I12" s="356">
        <v>41148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51600+0+770+1550</f>
        <v>53920</v>
      </c>
      <c r="H13" s="131">
        <f>51600+0+770+1550</f>
        <v>53920</v>
      </c>
      <c r="I13" s="357">
        <v>41148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350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54600</v>
      </c>
      <c r="H15" s="35">
        <f>SUM(H16:H25)</f>
        <v>54600</v>
      </c>
      <c r="I15" s="351">
        <v>45064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3500</v>
      </c>
      <c r="H16" s="33">
        <v>3500</v>
      </c>
      <c r="I16" s="350">
        <v>3107</v>
      </c>
      <c r="J16" s="33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3">
        <v>20500</v>
      </c>
      <c r="H17" s="33">
        <v>20500</v>
      </c>
      <c r="I17" s="350">
        <v>14450</v>
      </c>
      <c r="J17" s="33"/>
      <c r="K17" s="84">
        <f t="shared" si="0"/>
        <v>0</v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3">
        <v>3300</v>
      </c>
      <c r="H18" s="33">
        <v>3300</v>
      </c>
      <c r="I18" s="350">
        <v>2221</v>
      </c>
      <c r="J18" s="33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33">
        <v>9000</v>
      </c>
      <c r="H19" s="33">
        <v>9000</v>
      </c>
      <c r="I19" s="350">
        <v>7432</v>
      </c>
      <c r="J19" s="33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33">
        <v>300</v>
      </c>
      <c r="H20" s="33">
        <v>300</v>
      </c>
      <c r="I20" s="350">
        <v>262</v>
      </c>
      <c r="J20" s="33"/>
      <c r="K20" s="84">
        <f t="shared" si="0"/>
        <v>0</v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350">
        <v>0</v>
      </c>
      <c r="J21" s="33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69">
        <v>10500</v>
      </c>
      <c r="H22" s="69">
        <v>10500</v>
      </c>
      <c r="I22" s="353">
        <v>10265</v>
      </c>
      <c r="J22" s="69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53">
        <v>0</v>
      </c>
      <c r="J23" s="69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69">
        <v>7500</v>
      </c>
      <c r="H24" s="69">
        <v>7500</v>
      </c>
      <c r="I24" s="353">
        <v>7327</v>
      </c>
      <c r="J24" s="69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99">
        <v>0</v>
      </c>
      <c r="H25" s="99">
        <v>0</v>
      </c>
      <c r="I25" s="354">
        <v>0</v>
      </c>
      <c r="J25" s="9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69"/>
      <c r="H26" s="69"/>
      <c r="I26" s="353"/>
      <c r="J26" s="69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35000</v>
      </c>
      <c r="H27" s="61">
        <f>SUM(H28:H29)</f>
        <v>40000</v>
      </c>
      <c r="I27" s="352">
        <v>39876</v>
      </c>
      <c r="J27" s="61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69">
        <v>30000</v>
      </c>
      <c r="H28" s="69">
        <v>31240</v>
      </c>
      <c r="I28" s="353">
        <v>31230</v>
      </c>
      <c r="J28" s="69"/>
      <c r="K28" s="84">
        <f t="shared" si="0"/>
        <v>0</v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69">
        <v>5000</v>
      </c>
      <c r="H29" s="69">
        <v>8760</v>
      </c>
      <c r="I29" s="353">
        <v>8646</v>
      </c>
      <c r="J29" s="69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3"/>
      <c r="H30" s="33"/>
      <c r="I30" s="350"/>
      <c r="J30" s="33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25" t="s">
        <v>146</v>
      </c>
      <c r="H31" s="25" t="s">
        <v>146</v>
      </c>
      <c r="I31" s="349" t="s">
        <v>181</v>
      </c>
      <c r="J31" s="25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754560</v>
      </c>
      <c r="H32" s="20">
        <f>H7+H12+H15+H27</f>
        <v>759560</v>
      </c>
      <c r="I32" s="20">
        <f t="shared" ref="I32" si="1">I7+I12+I15+I27</f>
        <v>559561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>
      <c r="B45" s="49"/>
    </row>
    <row r="46" spans="2:11" ht="17.100000000000001" customHeight="1">
      <c r="B46" s="49"/>
    </row>
    <row r="47" spans="2:11" ht="17.100000000000001" customHeight="1">
      <c r="B47" s="49"/>
    </row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B2:M59"/>
  <sheetViews>
    <sheetView topLeftCell="C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88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61</v>
      </c>
      <c r="C6" s="11" t="s">
        <v>63</v>
      </c>
      <c r="D6" s="11" t="s">
        <v>43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805680</v>
      </c>
      <c r="H7" s="129">
        <f>SUM(H8:H10)</f>
        <v>805680</v>
      </c>
      <c r="I7" s="365">
        <v>543576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633490+2000+3290+7000+19010</f>
        <v>664790</v>
      </c>
      <c r="H8" s="131">
        <f>633490+2000+3290+7000+19010</f>
        <v>664790</v>
      </c>
      <c r="I8" s="366">
        <v>461417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132930+0+4*840+3200+1400</f>
        <v>140890</v>
      </c>
      <c r="H9" s="131">
        <f>132930+0+4*840+3200+1400</f>
        <v>140890</v>
      </c>
      <c r="I9" s="366">
        <v>82159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64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365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72470</v>
      </c>
      <c r="H12" s="129">
        <f>H13</f>
        <v>72470</v>
      </c>
      <c r="I12" s="365">
        <v>51364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69030+600+770+2070</f>
        <v>72470</v>
      </c>
      <c r="H13" s="131">
        <f>69030+600+770+2070</f>
        <v>72470</v>
      </c>
      <c r="I13" s="366">
        <v>51364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358"/>
      <c r="J14" s="20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63550</v>
      </c>
      <c r="H15" s="35">
        <f>SUM(H16:H25)</f>
        <v>63550</v>
      </c>
      <c r="I15" s="361">
        <v>39148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4500</v>
      </c>
      <c r="H16" s="33">
        <v>4500</v>
      </c>
      <c r="I16" s="360">
        <v>3373</v>
      </c>
      <c r="J16" s="33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3">
        <v>30000</v>
      </c>
      <c r="H17" s="33">
        <v>28000</v>
      </c>
      <c r="I17" s="360">
        <v>13800</v>
      </c>
      <c r="J17" s="33"/>
      <c r="K17" s="84">
        <f t="shared" si="0"/>
        <v>0</v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69">
        <v>3050</v>
      </c>
      <c r="H18" s="69">
        <v>3050</v>
      </c>
      <c r="I18" s="363">
        <v>1905</v>
      </c>
      <c r="J18" s="69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69">
        <v>9000</v>
      </c>
      <c r="H19" s="69">
        <v>8200</v>
      </c>
      <c r="I19" s="363">
        <v>6902</v>
      </c>
      <c r="J19" s="69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69">
        <v>0</v>
      </c>
      <c r="H20" s="69">
        <v>0</v>
      </c>
      <c r="I20" s="363">
        <v>0</v>
      </c>
      <c r="J20" s="69"/>
      <c r="K20" s="84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363">
        <v>0</v>
      </c>
      <c r="J21" s="69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69">
        <v>9000</v>
      </c>
      <c r="H22" s="69">
        <v>7600</v>
      </c>
      <c r="I22" s="363">
        <v>3222</v>
      </c>
      <c r="J22" s="69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63">
        <v>0</v>
      </c>
      <c r="J23" s="69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69">
        <v>8000</v>
      </c>
      <c r="H24" s="69">
        <v>12200</v>
      </c>
      <c r="I24" s="363">
        <v>9946</v>
      </c>
      <c r="J24" s="69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363">
        <v>0</v>
      </c>
      <c r="J25" s="6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69"/>
      <c r="H26" s="69"/>
      <c r="I26" s="363"/>
      <c r="J26" s="69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13500</v>
      </c>
      <c r="H27" s="61">
        <f>SUM(H28:H29)</f>
        <v>13500</v>
      </c>
      <c r="I27" s="362">
        <v>0</v>
      </c>
      <c r="J27" s="61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69">
        <v>13500</v>
      </c>
      <c r="H28" s="69">
        <v>13500</v>
      </c>
      <c r="I28" s="363">
        <v>0</v>
      </c>
      <c r="J28" s="69"/>
      <c r="K28" s="84">
        <f t="shared" si="0"/>
        <v>0</v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69">
        <v>0</v>
      </c>
      <c r="H29" s="69">
        <v>0</v>
      </c>
      <c r="I29" s="363">
        <v>0</v>
      </c>
      <c r="J29" s="69"/>
      <c r="K29" s="84" t="str">
        <f t="shared" si="0"/>
        <v/>
      </c>
    </row>
    <row r="30" spans="2:11" ht="17.100000000000001" customHeight="1">
      <c r="B30" s="14"/>
      <c r="C30" s="15"/>
      <c r="D30" s="15"/>
      <c r="E30" s="16"/>
      <c r="F30" s="15"/>
      <c r="G30" s="33"/>
      <c r="H30" s="33"/>
      <c r="I30" s="360"/>
      <c r="J30" s="33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25" t="s">
        <v>155</v>
      </c>
      <c r="H31" s="25" t="s">
        <v>155</v>
      </c>
      <c r="I31" s="359" t="s">
        <v>155</v>
      </c>
      <c r="J31" s="25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955200</v>
      </c>
      <c r="H32" s="20">
        <f>H7+H12+H15+H27</f>
        <v>955200</v>
      </c>
      <c r="I32" s="20">
        <f t="shared" ref="I32" si="1">I7+I12+I15+I27</f>
        <v>634088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/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B2:M59"/>
  <sheetViews>
    <sheetView topLeftCell="C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7" t="s">
        <v>89</v>
      </c>
      <c r="C2" s="447"/>
      <c r="D2" s="447"/>
      <c r="E2" s="447"/>
      <c r="F2" s="447"/>
      <c r="G2" s="447"/>
      <c r="H2" s="141"/>
      <c r="I2" s="141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61</v>
      </c>
      <c r="C6" s="11" t="s">
        <v>63</v>
      </c>
      <c r="D6" s="11" t="s">
        <v>64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864760</v>
      </c>
      <c r="H7" s="129">
        <f>SUM(H8:H10)</f>
        <v>864760</v>
      </c>
      <c r="I7" s="375">
        <v>622719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650610+2000+230+7000+16600+10600+19520+820</f>
        <v>707380</v>
      </c>
      <c r="H8" s="131">
        <f>650610+2000+230+7000+16600+10600+19520+820</f>
        <v>707380</v>
      </c>
      <c r="I8" s="376">
        <v>517726</v>
      </c>
      <c r="J8" s="131"/>
      <c r="K8" s="84">
        <f>IF(H8=0,"",J8/H8*100)</f>
        <v>0</v>
      </c>
      <c r="L8" s="49"/>
      <c r="M8" s="53"/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144490+1000+840+1470+2580+1400+3000+2600</f>
        <v>157380</v>
      </c>
      <c r="H9" s="131">
        <f>144490+1000+840+1470+2580+1400+3000+2600</f>
        <v>157380</v>
      </c>
      <c r="I9" s="376">
        <v>104993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74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375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76420</v>
      </c>
      <c r="H12" s="129">
        <f>H13</f>
        <v>76420</v>
      </c>
      <c r="I12" s="375">
        <v>55347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69760+700+770+1830+1170+2100+90</f>
        <v>76420</v>
      </c>
      <c r="H13" s="131">
        <f>69760+700+770+1830+1170+2100+90</f>
        <v>76420</v>
      </c>
      <c r="I13" s="376">
        <v>55347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367"/>
      <c r="J14" s="20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99600</v>
      </c>
      <c r="H15" s="35">
        <f>SUM(H16:H25)</f>
        <v>99600</v>
      </c>
      <c r="I15" s="369">
        <v>51783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4000</v>
      </c>
      <c r="H16" s="33">
        <v>4000</v>
      </c>
      <c r="I16" s="368">
        <v>2839</v>
      </c>
      <c r="J16" s="33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3">
        <v>55000</v>
      </c>
      <c r="H17" s="33">
        <v>50000</v>
      </c>
      <c r="I17" s="368">
        <v>14370</v>
      </c>
      <c r="J17" s="33"/>
      <c r="K17" s="84">
        <f t="shared" si="0"/>
        <v>0</v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3">
        <v>4500</v>
      </c>
      <c r="H18" s="33">
        <v>4500</v>
      </c>
      <c r="I18" s="368">
        <v>3154</v>
      </c>
      <c r="J18" s="33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33">
        <v>12000</v>
      </c>
      <c r="H19" s="33">
        <v>12000</v>
      </c>
      <c r="I19" s="368">
        <v>8615</v>
      </c>
      <c r="J19" s="33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69">
        <v>1000</v>
      </c>
      <c r="H20" s="69">
        <v>1000</v>
      </c>
      <c r="I20" s="371">
        <v>962</v>
      </c>
      <c r="J20" s="69"/>
      <c r="K20" s="84">
        <f t="shared" si="0"/>
        <v>0</v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371">
        <v>0</v>
      </c>
      <c r="J21" s="69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69">
        <v>12000</v>
      </c>
      <c r="H22" s="69">
        <v>12000</v>
      </c>
      <c r="I22" s="371">
        <v>7041</v>
      </c>
      <c r="J22" s="69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69">
        <v>2100</v>
      </c>
      <c r="H23" s="69">
        <v>2100</v>
      </c>
      <c r="I23" s="371">
        <v>1050</v>
      </c>
      <c r="J23" s="69"/>
      <c r="K23" s="84">
        <f t="shared" si="0"/>
        <v>0</v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69">
        <v>9000</v>
      </c>
      <c r="H24" s="69">
        <v>14000</v>
      </c>
      <c r="I24" s="371">
        <v>13752</v>
      </c>
      <c r="J24" s="69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99">
        <v>0</v>
      </c>
      <c r="H25" s="99">
        <v>0</v>
      </c>
      <c r="I25" s="373">
        <v>0</v>
      </c>
      <c r="J25" s="9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69"/>
      <c r="H26" s="69"/>
      <c r="I26" s="371"/>
      <c r="J26" s="69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30000</v>
      </c>
      <c r="H27" s="61">
        <f>SUM(H28:H29)</f>
        <v>30000</v>
      </c>
      <c r="I27" s="370">
        <v>24570</v>
      </c>
      <c r="J27" s="61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69">
        <v>25000</v>
      </c>
      <c r="H28" s="69">
        <v>25000</v>
      </c>
      <c r="I28" s="371">
        <v>24570</v>
      </c>
      <c r="J28" s="69"/>
      <c r="K28" s="84">
        <f t="shared" si="0"/>
        <v>0</v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69">
        <v>5000</v>
      </c>
      <c r="H29" s="69">
        <v>5000</v>
      </c>
      <c r="I29" s="371">
        <v>0</v>
      </c>
      <c r="J29" s="69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3"/>
      <c r="H30" s="33"/>
      <c r="I30" s="368"/>
      <c r="J30" s="33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73" t="s">
        <v>164</v>
      </c>
      <c r="H31" s="73" t="s">
        <v>164</v>
      </c>
      <c r="I31" s="372" t="s">
        <v>182</v>
      </c>
      <c r="J31" s="73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1070780</v>
      </c>
      <c r="H32" s="20">
        <f>H7+H12+H15+H27</f>
        <v>1070780</v>
      </c>
      <c r="I32" s="20">
        <f t="shared" ref="I32" si="1">I7+I12+I15+I27</f>
        <v>754419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B2:M59"/>
  <sheetViews>
    <sheetView topLeftCell="C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90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61</v>
      </c>
      <c r="C6" s="11" t="s">
        <v>63</v>
      </c>
      <c r="D6" s="11" t="s">
        <v>65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447110</v>
      </c>
      <c r="H7" s="129">
        <f>SUM(H8:H10)</f>
        <v>447110</v>
      </c>
      <c r="I7" s="384">
        <v>301366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340340+500+7000+10210</f>
        <v>358050</v>
      </c>
      <c r="H8" s="131">
        <f>340340+500+7000+10210</f>
        <v>358050</v>
      </c>
      <c r="I8" s="385">
        <v>248182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86820+0+840+1400</f>
        <v>89060</v>
      </c>
      <c r="H9" s="131">
        <f>86820+0+840+1400</f>
        <v>89060</v>
      </c>
      <c r="I9" s="385">
        <v>53184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83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384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38370</v>
      </c>
      <c r="H12" s="129">
        <f>H13</f>
        <v>38370</v>
      </c>
      <c r="I12" s="384">
        <v>28138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36400+100+770+1100</f>
        <v>38370</v>
      </c>
      <c r="H13" s="131">
        <f>36400+100+770+1100</f>
        <v>38370</v>
      </c>
      <c r="I13" s="385">
        <v>28138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377"/>
      <c r="J14" s="20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49400</v>
      </c>
      <c r="H15" s="35">
        <f>SUM(H16:H25)</f>
        <v>49400</v>
      </c>
      <c r="I15" s="380">
        <v>27777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4000</v>
      </c>
      <c r="H16" s="33">
        <v>4000</v>
      </c>
      <c r="I16" s="379">
        <v>3152</v>
      </c>
      <c r="J16" s="33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3">
        <v>18000</v>
      </c>
      <c r="H17" s="33">
        <v>18000</v>
      </c>
      <c r="I17" s="379">
        <v>4501</v>
      </c>
      <c r="J17" s="33"/>
      <c r="K17" s="84">
        <f t="shared" si="0"/>
        <v>0</v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3">
        <v>2800</v>
      </c>
      <c r="H18" s="33">
        <v>2800</v>
      </c>
      <c r="I18" s="379">
        <v>1714</v>
      </c>
      <c r="J18" s="33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33">
        <v>9000</v>
      </c>
      <c r="H19" s="33">
        <v>10500</v>
      </c>
      <c r="I19" s="379">
        <v>9279</v>
      </c>
      <c r="J19" s="33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33">
        <v>600</v>
      </c>
      <c r="H20" s="33">
        <v>600</v>
      </c>
      <c r="I20" s="379">
        <v>509</v>
      </c>
      <c r="J20" s="33"/>
      <c r="K20" s="84">
        <f t="shared" si="0"/>
        <v>0</v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379">
        <v>0</v>
      </c>
      <c r="J21" s="33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33">
        <v>8000</v>
      </c>
      <c r="H22" s="33">
        <v>6500</v>
      </c>
      <c r="I22" s="379">
        <v>3019</v>
      </c>
      <c r="J22" s="33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82">
        <v>0</v>
      </c>
      <c r="J23" s="69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69">
        <v>7000</v>
      </c>
      <c r="H24" s="69">
        <v>7000</v>
      </c>
      <c r="I24" s="382">
        <v>5603</v>
      </c>
      <c r="J24" s="69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382">
        <v>0</v>
      </c>
      <c r="J25" s="69"/>
      <c r="K25" s="84" t="str">
        <f t="shared" si="0"/>
        <v/>
      </c>
    </row>
    <row r="26" spans="2:11" ht="17.100000000000001" customHeight="1">
      <c r="B26" s="14"/>
      <c r="C26" s="15"/>
      <c r="D26" s="15"/>
      <c r="E26" s="16"/>
      <c r="F26" s="15"/>
      <c r="G26" s="61"/>
      <c r="H26" s="61"/>
      <c r="I26" s="381"/>
      <c r="J26" s="61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2500</v>
      </c>
      <c r="H27" s="61">
        <f>SUM(H28:H29)</f>
        <v>2500</v>
      </c>
      <c r="I27" s="381">
        <v>2500</v>
      </c>
      <c r="J27" s="61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69">
        <v>0</v>
      </c>
      <c r="H28" s="69">
        <v>0</v>
      </c>
      <c r="I28" s="382">
        <v>0</v>
      </c>
      <c r="J28" s="69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69">
        <v>2500</v>
      </c>
      <c r="H29" s="69">
        <v>2500</v>
      </c>
      <c r="I29" s="382">
        <v>2500</v>
      </c>
      <c r="J29" s="69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3"/>
      <c r="H30" s="33"/>
      <c r="I30" s="379"/>
      <c r="J30" s="33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25" t="s">
        <v>142</v>
      </c>
      <c r="H31" s="25" t="s">
        <v>142</v>
      </c>
      <c r="I31" s="378" t="s">
        <v>183</v>
      </c>
      <c r="J31" s="25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537380</v>
      </c>
      <c r="H32" s="20">
        <f>H7+H12+H15+H27</f>
        <v>537380</v>
      </c>
      <c r="I32" s="20">
        <f t="shared" ref="I32" si="1">I7+I12+I15+I27</f>
        <v>359781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/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O62"/>
  <sheetViews>
    <sheetView topLeftCell="A4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ht="15" customHeight="1">
      <c r="B2" s="447" t="s">
        <v>36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5.95" customHeight="1">
      <c r="B6" s="10" t="s">
        <v>37</v>
      </c>
      <c r="C6" s="11" t="s">
        <v>3</v>
      </c>
      <c r="D6" s="11" t="s">
        <v>4</v>
      </c>
      <c r="E6" s="9"/>
      <c r="F6" s="9"/>
      <c r="G6" s="92"/>
      <c r="H6" s="92"/>
      <c r="I6" s="92"/>
      <c r="J6" s="92"/>
      <c r="K6" s="82"/>
    </row>
    <row r="7" spans="2:13" s="2" customFormat="1" ht="15.95" customHeight="1">
      <c r="B7" s="10"/>
      <c r="C7" s="11"/>
      <c r="D7" s="11"/>
      <c r="E7" s="9">
        <v>600000</v>
      </c>
      <c r="F7" s="27" t="s">
        <v>38</v>
      </c>
      <c r="G7" s="93">
        <f>G8+G9+G10</f>
        <v>645000</v>
      </c>
      <c r="H7" s="93">
        <f>H8+H9+H10</f>
        <v>645000</v>
      </c>
      <c r="I7" s="166">
        <v>467902</v>
      </c>
      <c r="J7" s="93">
        <f>J8+J9+J10</f>
        <v>0</v>
      </c>
      <c r="K7" s="120">
        <f>IF(H7=0,"",J7/H7*100)</f>
        <v>0</v>
      </c>
    </row>
    <row r="8" spans="2:13" s="2" customFormat="1" ht="15.95" customHeight="1">
      <c r="B8" s="10"/>
      <c r="C8" s="11"/>
      <c r="D8" s="11"/>
      <c r="E8" s="36">
        <v>600000</v>
      </c>
      <c r="F8" s="37" t="s">
        <v>19</v>
      </c>
      <c r="G8" s="91">
        <v>600000</v>
      </c>
      <c r="H8" s="91">
        <v>600000</v>
      </c>
      <c r="I8" s="165">
        <v>429502</v>
      </c>
      <c r="J8" s="91"/>
      <c r="K8" s="84">
        <f>IF(H8=0,"",J8/H8*100)</f>
        <v>0</v>
      </c>
    </row>
    <row r="9" spans="2:13" s="2" customFormat="1" ht="15.95" customHeight="1">
      <c r="B9" s="10"/>
      <c r="C9" s="11"/>
      <c r="D9" s="11"/>
      <c r="E9" s="36">
        <v>600000</v>
      </c>
      <c r="F9" s="37" t="s">
        <v>20</v>
      </c>
      <c r="G9" s="91">
        <v>30000</v>
      </c>
      <c r="H9" s="91">
        <v>30000</v>
      </c>
      <c r="I9" s="165">
        <v>25250</v>
      </c>
      <c r="J9" s="91"/>
      <c r="K9" s="84">
        <f t="shared" ref="K9:K32" si="0">IF(H9=0,"",J9/H9*100)</f>
        <v>0</v>
      </c>
    </row>
    <row r="10" spans="2:13" s="2" customFormat="1" ht="15.95" customHeight="1">
      <c r="B10" s="10"/>
      <c r="C10" s="11"/>
      <c r="D10" s="11"/>
      <c r="E10" s="36">
        <v>600000</v>
      </c>
      <c r="F10" s="37" t="s">
        <v>39</v>
      </c>
      <c r="G10" s="91">
        <v>15000</v>
      </c>
      <c r="H10" s="91">
        <v>15000</v>
      </c>
      <c r="I10" s="165">
        <v>13150</v>
      </c>
      <c r="J10" s="91"/>
      <c r="K10" s="84">
        <f t="shared" si="0"/>
        <v>0</v>
      </c>
    </row>
    <row r="11" spans="2:13" s="2" customFormat="1" ht="15.95" customHeight="1">
      <c r="B11" s="10"/>
      <c r="C11" s="11"/>
      <c r="D11" s="11"/>
      <c r="E11" s="9"/>
      <c r="F11" s="9"/>
      <c r="G11" s="94"/>
      <c r="H11" s="94"/>
      <c r="I11" s="167"/>
      <c r="J11" s="94"/>
      <c r="K11" s="84" t="str">
        <f t="shared" si="0"/>
        <v/>
      </c>
    </row>
    <row r="12" spans="2:13" s="1" customFormat="1" ht="15.95" customHeight="1">
      <c r="B12" s="17"/>
      <c r="C12" s="12"/>
      <c r="D12" s="12"/>
      <c r="E12" s="9">
        <v>611000</v>
      </c>
      <c r="F12" s="12" t="s">
        <v>80</v>
      </c>
      <c r="G12" s="135">
        <f>SUM(G13:G16)</f>
        <v>355500</v>
      </c>
      <c r="H12" s="135">
        <f>SUM(H13:H16)</f>
        <v>355500</v>
      </c>
      <c r="I12" s="172">
        <v>180649</v>
      </c>
      <c r="J12" s="135">
        <f>SUM(J13:J16)</f>
        <v>0</v>
      </c>
      <c r="K12" s="120">
        <f t="shared" si="0"/>
        <v>0</v>
      </c>
    </row>
    <row r="13" spans="2:13" ht="15.95" customHeight="1">
      <c r="B13" s="14"/>
      <c r="C13" s="15"/>
      <c r="D13" s="15"/>
      <c r="E13" s="16">
        <v>611100</v>
      </c>
      <c r="F13" s="26" t="s">
        <v>105</v>
      </c>
      <c r="G13" s="130">
        <f>107280+1000+16500+3220</f>
        <v>128000</v>
      </c>
      <c r="H13" s="130">
        <f>107280+1000+16500+3220</f>
        <v>128000</v>
      </c>
      <c r="I13" s="171">
        <v>91444</v>
      </c>
      <c r="J13" s="130"/>
      <c r="K13" s="84">
        <f t="shared" si="0"/>
        <v>0</v>
      </c>
    </row>
    <row r="14" spans="2:13" ht="15.95" customHeight="1">
      <c r="B14" s="14"/>
      <c r="C14" s="15"/>
      <c r="D14" s="15"/>
      <c r="E14" s="16">
        <v>611200</v>
      </c>
      <c r="F14" s="15" t="s">
        <v>106</v>
      </c>
      <c r="G14" s="130">
        <f>20950+1000+3650</f>
        <v>25600</v>
      </c>
      <c r="H14" s="130">
        <f>20950+1000+3650</f>
        <v>25600</v>
      </c>
      <c r="I14" s="171">
        <v>17910</v>
      </c>
      <c r="J14" s="130"/>
      <c r="K14" s="84">
        <f t="shared" si="0"/>
        <v>0</v>
      </c>
    </row>
    <row r="15" spans="2:13" ht="15.95" customHeight="1">
      <c r="B15" s="14"/>
      <c r="C15" s="15"/>
      <c r="D15" s="15"/>
      <c r="E15" s="16">
        <v>611200</v>
      </c>
      <c r="F15" s="26" t="s">
        <v>160</v>
      </c>
      <c r="G15" s="130">
        <f>40400+161500</f>
        <v>201900</v>
      </c>
      <c r="H15" s="130">
        <f>40400+161500</f>
        <v>201900</v>
      </c>
      <c r="I15" s="171">
        <v>71295</v>
      </c>
      <c r="J15" s="130"/>
      <c r="K15" s="84">
        <f t="shared" si="0"/>
        <v>0</v>
      </c>
      <c r="M15" s="52"/>
    </row>
    <row r="16" spans="2:13" ht="15.95" customHeight="1">
      <c r="B16" s="14"/>
      <c r="C16" s="15"/>
      <c r="D16" s="15"/>
      <c r="E16" s="16"/>
      <c r="F16" s="26"/>
      <c r="G16" s="135"/>
      <c r="H16" s="135"/>
      <c r="I16" s="172"/>
      <c r="J16" s="135"/>
      <c r="K16" s="84" t="str">
        <f t="shared" si="0"/>
        <v/>
      </c>
    </row>
    <row r="17" spans="2:12" s="1" customFormat="1" ht="15.95" customHeight="1">
      <c r="B17" s="17"/>
      <c r="C17" s="12"/>
      <c r="D17" s="12"/>
      <c r="E17" s="9">
        <v>612000</v>
      </c>
      <c r="F17" s="12" t="s">
        <v>79</v>
      </c>
      <c r="G17" s="135">
        <f>G18+G19</f>
        <v>13760</v>
      </c>
      <c r="H17" s="135">
        <f>H18+H19</f>
        <v>13760</v>
      </c>
      <c r="I17" s="172">
        <v>9716</v>
      </c>
      <c r="J17" s="135">
        <f>J18+J19</f>
        <v>0</v>
      </c>
      <c r="K17" s="120">
        <f t="shared" si="0"/>
        <v>0</v>
      </c>
    </row>
    <row r="18" spans="2:12" ht="15.95" customHeight="1">
      <c r="B18" s="14"/>
      <c r="C18" s="15"/>
      <c r="D18" s="15"/>
      <c r="E18" s="16">
        <v>612100</v>
      </c>
      <c r="F18" s="18" t="s">
        <v>5</v>
      </c>
      <c r="G18" s="130">
        <f>11410+200+1800+350</f>
        <v>13760</v>
      </c>
      <c r="H18" s="130">
        <f>11410+200+1800+350</f>
        <v>13760</v>
      </c>
      <c r="I18" s="171">
        <v>9716</v>
      </c>
      <c r="J18" s="130"/>
      <c r="K18" s="84">
        <f t="shared" si="0"/>
        <v>0</v>
      </c>
    </row>
    <row r="19" spans="2:12" ht="15.95" customHeight="1">
      <c r="B19" s="14"/>
      <c r="C19" s="15"/>
      <c r="D19" s="15"/>
      <c r="E19" s="16"/>
      <c r="F19" s="15"/>
      <c r="G19" s="88"/>
      <c r="H19" s="88"/>
      <c r="I19" s="162"/>
      <c r="J19" s="88"/>
      <c r="K19" s="84" t="str">
        <f t="shared" si="0"/>
        <v/>
      </c>
    </row>
    <row r="20" spans="2:12" s="1" customFormat="1" ht="15.95" customHeight="1">
      <c r="B20" s="17"/>
      <c r="C20" s="12"/>
      <c r="D20" s="12"/>
      <c r="E20" s="9">
        <v>613000</v>
      </c>
      <c r="F20" s="12" t="s">
        <v>81</v>
      </c>
      <c r="G20" s="89">
        <f>SUM(G21:G31)</f>
        <v>433260</v>
      </c>
      <c r="H20" s="89">
        <f>SUM(H21:H31)</f>
        <v>437510</v>
      </c>
      <c r="I20" s="163">
        <v>278534</v>
      </c>
      <c r="J20" s="89">
        <f>SUM(J21:J31)</f>
        <v>0</v>
      </c>
      <c r="K20" s="120">
        <f t="shared" si="0"/>
        <v>0</v>
      </c>
    </row>
    <row r="21" spans="2:12" ht="15.95" customHeight="1">
      <c r="B21" s="14"/>
      <c r="C21" s="15"/>
      <c r="D21" s="15"/>
      <c r="E21" s="16">
        <v>613100</v>
      </c>
      <c r="F21" s="15" t="s">
        <v>6</v>
      </c>
      <c r="G21" s="88">
        <v>14000</v>
      </c>
      <c r="H21" s="88">
        <v>14000</v>
      </c>
      <c r="I21" s="162">
        <v>11581</v>
      </c>
      <c r="J21" s="88"/>
      <c r="K21" s="84">
        <f t="shared" si="0"/>
        <v>0</v>
      </c>
    </row>
    <row r="22" spans="2:12" ht="15.95" customHeight="1">
      <c r="B22" s="14"/>
      <c r="C22" s="15"/>
      <c r="D22" s="15"/>
      <c r="E22" s="16">
        <v>613200</v>
      </c>
      <c r="F22" s="15" t="s">
        <v>7</v>
      </c>
      <c r="G22" s="88">
        <v>0</v>
      </c>
      <c r="H22" s="88">
        <v>0</v>
      </c>
      <c r="I22" s="162">
        <v>0</v>
      </c>
      <c r="J22" s="88"/>
      <c r="K22" s="84" t="str">
        <f t="shared" si="0"/>
        <v/>
      </c>
    </row>
    <row r="23" spans="2:12" ht="15.95" customHeight="1">
      <c r="B23" s="14"/>
      <c r="C23" s="15"/>
      <c r="D23" s="15"/>
      <c r="E23" s="16">
        <v>613300</v>
      </c>
      <c r="F23" s="26" t="s">
        <v>107</v>
      </c>
      <c r="G23" s="88">
        <v>5500</v>
      </c>
      <c r="H23" s="88">
        <v>5500</v>
      </c>
      <c r="I23" s="162">
        <v>3732</v>
      </c>
      <c r="J23" s="88"/>
      <c r="K23" s="84">
        <f t="shared" si="0"/>
        <v>0</v>
      </c>
    </row>
    <row r="24" spans="2:12" ht="15.95" customHeight="1">
      <c r="B24" s="14"/>
      <c r="C24" s="15"/>
      <c r="D24" s="15"/>
      <c r="E24" s="16">
        <v>613400</v>
      </c>
      <c r="F24" s="15" t="s">
        <v>82</v>
      </c>
      <c r="G24" s="88">
        <v>1500</v>
      </c>
      <c r="H24" s="88">
        <v>1500</v>
      </c>
      <c r="I24" s="162">
        <v>0</v>
      </c>
      <c r="J24" s="88"/>
      <c r="K24" s="84">
        <f t="shared" si="0"/>
        <v>0</v>
      </c>
    </row>
    <row r="25" spans="2:12" ht="15.95" customHeight="1">
      <c r="B25" s="14"/>
      <c r="C25" s="15"/>
      <c r="D25" s="15"/>
      <c r="E25" s="16">
        <v>613500</v>
      </c>
      <c r="F25" s="15" t="s">
        <v>8</v>
      </c>
      <c r="G25" s="90">
        <v>1500</v>
      </c>
      <c r="H25" s="90">
        <v>1500</v>
      </c>
      <c r="I25" s="164">
        <v>1208</v>
      </c>
      <c r="J25" s="90"/>
      <c r="K25" s="84">
        <f t="shared" si="0"/>
        <v>0</v>
      </c>
    </row>
    <row r="26" spans="2:12" ht="15.95" customHeight="1">
      <c r="B26" s="14"/>
      <c r="C26" s="15"/>
      <c r="D26" s="15"/>
      <c r="E26" s="16">
        <v>613600</v>
      </c>
      <c r="F26" s="26" t="s">
        <v>108</v>
      </c>
      <c r="G26" s="88">
        <v>0</v>
      </c>
      <c r="H26" s="88">
        <v>0</v>
      </c>
      <c r="I26" s="162">
        <v>0</v>
      </c>
      <c r="J26" s="88"/>
      <c r="K26" s="84" t="str">
        <f t="shared" si="0"/>
        <v/>
      </c>
    </row>
    <row r="27" spans="2:12" ht="15.95" customHeight="1">
      <c r="B27" s="14"/>
      <c r="C27" s="15"/>
      <c r="D27" s="15"/>
      <c r="E27" s="16">
        <v>613700</v>
      </c>
      <c r="F27" s="15" t="s">
        <v>9</v>
      </c>
      <c r="G27" s="88">
        <v>7000</v>
      </c>
      <c r="H27" s="88">
        <v>7000</v>
      </c>
      <c r="I27" s="162">
        <v>192</v>
      </c>
      <c r="J27" s="88"/>
      <c r="K27" s="84">
        <f t="shared" si="0"/>
        <v>0</v>
      </c>
    </row>
    <row r="28" spans="2:12" ht="15.95" customHeight="1">
      <c r="B28" s="14"/>
      <c r="C28" s="15"/>
      <c r="D28" s="15"/>
      <c r="E28" s="16">
        <v>613800</v>
      </c>
      <c r="F28" s="15" t="s">
        <v>83</v>
      </c>
      <c r="G28" s="91">
        <v>3460</v>
      </c>
      <c r="H28" s="91">
        <v>3460</v>
      </c>
      <c r="I28" s="165">
        <v>420</v>
      </c>
      <c r="J28" s="91"/>
      <c r="K28" s="84">
        <f t="shared" si="0"/>
        <v>0</v>
      </c>
    </row>
    <row r="29" spans="2:12" ht="15.95" customHeight="1">
      <c r="B29" s="14"/>
      <c r="C29" s="15"/>
      <c r="D29" s="15"/>
      <c r="E29" s="71">
        <v>613900</v>
      </c>
      <c r="F29" s="19" t="s">
        <v>84</v>
      </c>
      <c r="G29" s="91">
        <v>162100</v>
      </c>
      <c r="H29" s="91">
        <v>166350</v>
      </c>
      <c r="I29" s="165">
        <v>154566</v>
      </c>
      <c r="J29" s="91"/>
      <c r="K29" s="84">
        <f t="shared" si="0"/>
        <v>0</v>
      </c>
      <c r="L29" s="49"/>
    </row>
    <row r="30" spans="2:12" ht="15.95" customHeight="1">
      <c r="B30" s="14"/>
      <c r="C30" s="15"/>
      <c r="D30" s="15"/>
      <c r="E30" s="16">
        <v>613900</v>
      </c>
      <c r="F30" s="26" t="s">
        <v>113</v>
      </c>
      <c r="G30" s="91">
        <v>29500</v>
      </c>
      <c r="H30" s="91">
        <v>29500</v>
      </c>
      <c r="I30" s="165">
        <v>27140</v>
      </c>
      <c r="J30" s="91"/>
      <c r="K30" s="84">
        <f t="shared" si="0"/>
        <v>0</v>
      </c>
    </row>
    <row r="31" spans="2:12" ht="15.95" customHeight="1">
      <c r="B31" s="14"/>
      <c r="C31" s="15"/>
      <c r="D31" s="15"/>
      <c r="E31" s="16">
        <v>613900</v>
      </c>
      <c r="F31" s="26" t="s">
        <v>161</v>
      </c>
      <c r="G31" s="91">
        <f>43700+165000</f>
        <v>208700</v>
      </c>
      <c r="H31" s="91">
        <f>43700+165000</f>
        <v>208700</v>
      </c>
      <c r="I31" s="165">
        <v>79695</v>
      </c>
      <c r="J31" s="91"/>
      <c r="K31" s="84">
        <f t="shared" si="0"/>
        <v>0</v>
      </c>
    </row>
    <row r="32" spans="2:12" ht="15.95" customHeight="1">
      <c r="B32" s="14"/>
      <c r="C32" s="15"/>
      <c r="D32" s="15"/>
      <c r="E32" s="16"/>
      <c r="F32" s="15"/>
      <c r="G32" s="88"/>
      <c r="H32" s="88"/>
      <c r="I32" s="162"/>
      <c r="J32" s="88"/>
      <c r="K32" s="84" t="str">
        <f t="shared" si="0"/>
        <v/>
      </c>
    </row>
    <row r="33" spans="2:15" s="1" customFormat="1" ht="15.95" customHeight="1">
      <c r="B33" s="17"/>
      <c r="C33" s="12"/>
      <c r="D33" s="12"/>
      <c r="E33" s="9">
        <v>614000</v>
      </c>
      <c r="F33" s="12" t="s">
        <v>109</v>
      </c>
      <c r="G33" s="94">
        <f>SUM(G34:G44)</f>
        <v>855000</v>
      </c>
      <c r="H33" s="94">
        <f>SUM(H34:H44)</f>
        <v>920000</v>
      </c>
      <c r="I33" s="167">
        <v>647839</v>
      </c>
      <c r="J33" s="94">
        <f>SUM(J34:J44)</f>
        <v>0</v>
      </c>
      <c r="K33" s="120">
        <f>IF(H33=0,"",J33/H33*100)</f>
        <v>0</v>
      </c>
    </row>
    <row r="34" spans="2:15" s="56" customFormat="1" ht="15.95" customHeight="1">
      <c r="B34" s="57"/>
      <c r="C34" s="18"/>
      <c r="D34" s="18"/>
      <c r="E34" s="36">
        <v>614100</v>
      </c>
      <c r="F34" s="18" t="s">
        <v>129</v>
      </c>
      <c r="G34" s="90">
        <v>100000</v>
      </c>
      <c r="H34" s="90">
        <v>100000</v>
      </c>
      <c r="I34" s="164">
        <v>0</v>
      </c>
      <c r="J34" s="90"/>
      <c r="K34" s="84">
        <f t="shared" ref="K34:K55" si="1">IF(H34=0,"",J34/H34*100)</f>
        <v>0</v>
      </c>
    </row>
    <row r="35" spans="2:15" s="56" customFormat="1" ht="15.95" customHeight="1">
      <c r="B35" s="57"/>
      <c r="C35" s="18"/>
      <c r="D35" s="18"/>
      <c r="E35" s="36">
        <v>614100</v>
      </c>
      <c r="F35" s="68" t="s">
        <v>130</v>
      </c>
      <c r="G35" s="90">
        <v>200000</v>
      </c>
      <c r="H35" s="90">
        <v>200000</v>
      </c>
      <c r="I35" s="164">
        <v>150000</v>
      </c>
      <c r="J35" s="90"/>
      <c r="K35" s="84">
        <f t="shared" si="1"/>
        <v>0</v>
      </c>
    </row>
    <row r="36" spans="2:15" s="118" customFormat="1" ht="15" customHeight="1">
      <c r="B36" s="113"/>
      <c r="C36" s="114"/>
      <c r="D36" s="114"/>
      <c r="E36" s="115">
        <v>614200</v>
      </c>
      <c r="F36" s="116" t="s">
        <v>173</v>
      </c>
      <c r="G36" s="117">
        <v>150000</v>
      </c>
      <c r="H36" s="117">
        <v>215000</v>
      </c>
      <c r="I36" s="170">
        <v>204500</v>
      </c>
      <c r="J36" s="117"/>
      <c r="K36" s="84">
        <f t="shared" si="1"/>
        <v>0</v>
      </c>
      <c r="O36" s="119"/>
    </row>
    <row r="37" spans="2:15" ht="25.5" customHeight="1">
      <c r="B37" s="14"/>
      <c r="C37" s="15"/>
      <c r="D37" s="15"/>
      <c r="E37" s="16">
        <v>614300</v>
      </c>
      <c r="F37" s="133" t="s">
        <v>141</v>
      </c>
      <c r="G37" s="95">
        <v>70000</v>
      </c>
      <c r="H37" s="95">
        <v>70000</v>
      </c>
      <c r="I37" s="168">
        <v>70000</v>
      </c>
      <c r="J37" s="95"/>
      <c r="K37" s="149">
        <f t="shared" si="1"/>
        <v>0</v>
      </c>
    </row>
    <row r="38" spans="2:15" ht="15.95" customHeight="1">
      <c r="B38" s="14"/>
      <c r="C38" s="15"/>
      <c r="D38" s="15"/>
      <c r="E38" s="16">
        <v>614300</v>
      </c>
      <c r="F38" s="63" t="s">
        <v>122</v>
      </c>
      <c r="G38" s="95">
        <v>35000</v>
      </c>
      <c r="H38" s="95">
        <v>35000</v>
      </c>
      <c r="I38" s="168">
        <v>23336</v>
      </c>
      <c r="J38" s="95"/>
      <c r="K38" s="84">
        <f t="shared" si="1"/>
        <v>0</v>
      </c>
    </row>
    <row r="39" spans="2:15" ht="15.95" customHeight="1">
      <c r="B39" s="14"/>
      <c r="C39" s="15"/>
      <c r="D39" s="15"/>
      <c r="E39" s="16">
        <v>614300</v>
      </c>
      <c r="F39" s="63" t="s">
        <v>125</v>
      </c>
      <c r="G39" s="95">
        <v>40000</v>
      </c>
      <c r="H39" s="95">
        <v>40000</v>
      </c>
      <c r="I39" s="168">
        <v>26668</v>
      </c>
      <c r="J39" s="95"/>
      <c r="K39" s="84">
        <f t="shared" si="1"/>
        <v>0</v>
      </c>
    </row>
    <row r="40" spans="2:15" ht="26.25" customHeight="1">
      <c r="B40" s="14"/>
      <c r="C40" s="15"/>
      <c r="D40" s="15"/>
      <c r="E40" s="16">
        <v>614300</v>
      </c>
      <c r="F40" s="140" t="s">
        <v>174</v>
      </c>
      <c r="G40" s="95">
        <v>40000</v>
      </c>
      <c r="H40" s="95">
        <v>40000</v>
      </c>
      <c r="I40" s="168">
        <v>26668</v>
      </c>
      <c r="J40" s="95"/>
      <c r="K40" s="84">
        <f t="shared" si="1"/>
        <v>0</v>
      </c>
    </row>
    <row r="41" spans="2:15" ht="27" customHeight="1">
      <c r="B41" s="14"/>
      <c r="C41" s="15"/>
      <c r="D41" s="15"/>
      <c r="E41" s="16">
        <v>614300</v>
      </c>
      <c r="F41" s="126" t="s">
        <v>136</v>
      </c>
      <c r="G41" s="95">
        <v>15000</v>
      </c>
      <c r="H41" s="95">
        <v>15000</v>
      </c>
      <c r="I41" s="168">
        <v>10000</v>
      </c>
      <c r="J41" s="95"/>
      <c r="K41" s="84">
        <f t="shared" si="1"/>
        <v>0</v>
      </c>
    </row>
    <row r="42" spans="2:15" ht="15.95" customHeight="1">
      <c r="B42" s="14"/>
      <c r="C42" s="15"/>
      <c r="D42" s="15"/>
      <c r="E42" s="16">
        <v>614300</v>
      </c>
      <c r="F42" s="63" t="s">
        <v>124</v>
      </c>
      <c r="G42" s="95">
        <v>30000</v>
      </c>
      <c r="H42" s="95">
        <v>30000</v>
      </c>
      <c r="I42" s="168">
        <v>20000</v>
      </c>
      <c r="J42" s="95"/>
      <c r="K42" s="84">
        <f t="shared" si="1"/>
        <v>0</v>
      </c>
    </row>
    <row r="43" spans="2:15" ht="15.95" customHeight="1">
      <c r="B43" s="14"/>
      <c r="C43" s="15"/>
      <c r="D43" s="15"/>
      <c r="E43" s="16">
        <v>614300</v>
      </c>
      <c r="F43" s="63" t="s">
        <v>172</v>
      </c>
      <c r="G43" s="95">
        <v>15000</v>
      </c>
      <c r="H43" s="95">
        <v>15000</v>
      </c>
      <c r="I43" s="168">
        <v>10000</v>
      </c>
      <c r="J43" s="95"/>
      <c r="K43" s="84">
        <f t="shared" ref="K43" si="2">IF(H43=0,"",J43/H43*100)</f>
        <v>0</v>
      </c>
    </row>
    <row r="44" spans="2:15" ht="15.95" customHeight="1">
      <c r="B44" s="14"/>
      <c r="C44" s="15"/>
      <c r="D44" s="15"/>
      <c r="E44" s="16">
        <v>614300</v>
      </c>
      <c r="F44" s="125" t="s">
        <v>18</v>
      </c>
      <c r="G44" s="95">
        <v>160000</v>
      </c>
      <c r="H44" s="95">
        <v>160000</v>
      </c>
      <c r="I44" s="168">
        <v>106667</v>
      </c>
      <c r="J44" s="95"/>
      <c r="K44" s="84">
        <f t="shared" si="1"/>
        <v>0</v>
      </c>
    </row>
    <row r="45" spans="2:15" ht="15.95" customHeight="1">
      <c r="B45" s="14"/>
      <c r="C45" s="15"/>
      <c r="D45" s="15"/>
      <c r="E45" s="16"/>
      <c r="F45" s="63"/>
      <c r="G45" s="95"/>
      <c r="H45" s="95"/>
      <c r="I45" s="168"/>
      <c r="J45" s="95"/>
      <c r="K45" s="84" t="str">
        <f t="shared" si="1"/>
        <v/>
      </c>
    </row>
    <row r="46" spans="2:15" ht="15.95" customHeight="1">
      <c r="B46" s="14"/>
      <c r="C46" s="15"/>
      <c r="D46" s="15"/>
      <c r="E46" s="9">
        <v>615000</v>
      </c>
      <c r="F46" s="12" t="s">
        <v>11</v>
      </c>
      <c r="G46" s="94">
        <f>G47</f>
        <v>700000</v>
      </c>
      <c r="H46" s="94">
        <f>H47</f>
        <v>700000</v>
      </c>
      <c r="I46" s="167">
        <v>0</v>
      </c>
      <c r="J46" s="94">
        <f>J47</f>
        <v>0</v>
      </c>
      <c r="K46" s="120">
        <f t="shared" si="1"/>
        <v>0</v>
      </c>
    </row>
    <row r="47" spans="2:15" ht="15.95" customHeight="1">
      <c r="B47" s="14"/>
      <c r="C47" s="15"/>
      <c r="D47" s="15"/>
      <c r="E47" s="36">
        <v>615100</v>
      </c>
      <c r="F47" s="18" t="s">
        <v>11</v>
      </c>
      <c r="G47" s="90">
        <v>700000</v>
      </c>
      <c r="H47" s="90">
        <v>700000</v>
      </c>
      <c r="I47" s="164">
        <v>0</v>
      </c>
      <c r="J47" s="90"/>
      <c r="K47" s="84">
        <f t="shared" si="1"/>
        <v>0</v>
      </c>
    </row>
    <row r="48" spans="2:15" ht="15.95" customHeight="1">
      <c r="B48" s="14"/>
      <c r="C48" s="15"/>
      <c r="D48" s="15"/>
      <c r="E48" s="16"/>
      <c r="F48" s="19"/>
      <c r="G48" s="91"/>
      <c r="H48" s="91"/>
      <c r="I48" s="165"/>
      <c r="J48" s="91"/>
      <c r="K48" s="84" t="str">
        <f t="shared" si="1"/>
        <v/>
      </c>
    </row>
    <row r="49" spans="2:11" ht="15.95" customHeight="1">
      <c r="B49" s="17"/>
      <c r="C49" s="12"/>
      <c r="D49" s="12"/>
      <c r="E49" s="9">
        <v>821000</v>
      </c>
      <c r="F49" s="12" t="s">
        <v>12</v>
      </c>
      <c r="G49" s="20">
        <f>SUM(G50:G52)</f>
        <v>210000</v>
      </c>
      <c r="H49" s="20">
        <f>SUM(H50:H52)</f>
        <v>145000</v>
      </c>
      <c r="I49" s="159">
        <v>4215</v>
      </c>
      <c r="J49" s="20">
        <f>SUM(J50:J52)</f>
        <v>0</v>
      </c>
      <c r="K49" s="120">
        <f t="shared" si="1"/>
        <v>0</v>
      </c>
    </row>
    <row r="50" spans="2:11" ht="15.95" customHeight="1">
      <c r="B50" s="14"/>
      <c r="C50" s="15"/>
      <c r="D50" s="15"/>
      <c r="E50" s="16">
        <v>821200</v>
      </c>
      <c r="F50" s="15" t="s">
        <v>13</v>
      </c>
      <c r="G50" s="50">
        <v>0</v>
      </c>
      <c r="H50" s="50">
        <v>0</v>
      </c>
      <c r="I50" s="160">
        <v>0</v>
      </c>
      <c r="J50" s="50"/>
      <c r="K50" s="84" t="str">
        <f t="shared" si="1"/>
        <v/>
      </c>
    </row>
    <row r="51" spans="2:11" ht="15.95" customHeight="1">
      <c r="B51" s="14"/>
      <c r="C51" s="15"/>
      <c r="D51" s="15"/>
      <c r="E51" s="16">
        <v>821300</v>
      </c>
      <c r="F51" s="15" t="s">
        <v>14</v>
      </c>
      <c r="G51" s="69">
        <v>10000</v>
      </c>
      <c r="H51" s="69">
        <v>10000</v>
      </c>
      <c r="I51" s="161">
        <v>4215</v>
      </c>
      <c r="J51" s="69"/>
      <c r="K51" s="84">
        <f t="shared" si="1"/>
        <v>0</v>
      </c>
    </row>
    <row r="52" spans="2:11" ht="15.95" customHeight="1">
      <c r="B52" s="14"/>
      <c r="C52" s="15"/>
      <c r="D52" s="15"/>
      <c r="E52" s="16">
        <v>821500</v>
      </c>
      <c r="F52" s="15" t="s">
        <v>137</v>
      </c>
      <c r="G52" s="99">
        <v>200000</v>
      </c>
      <c r="H52" s="99">
        <v>135000</v>
      </c>
      <c r="I52" s="169">
        <v>0</v>
      </c>
      <c r="J52" s="99"/>
      <c r="K52" s="84">
        <f t="shared" si="1"/>
        <v>0</v>
      </c>
    </row>
    <row r="53" spans="2:11" s="1" customFormat="1" ht="9" customHeight="1">
      <c r="B53" s="14"/>
      <c r="C53" s="15"/>
      <c r="D53" s="15"/>
      <c r="E53" s="16"/>
      <c r="F53" s="15"/>
      <c r="G53" s="20"/>
      <c r="H53" s="20"/>
      <c r="I53" s="159"/>
      <c r="J53" s="20"/>
      <c r="K53" s="84" t="str">
        <f t="shared" si="1"/>
        <v/>
      </c>
    </row>
    <row r="54" spans="2:11" ht="15.95" customHeight="1">
      <c r="B54" s="17"/>
      <c r="C54" s="12"/>
      <c r="D54" s="12"/>
      <c r="E54" s="9"/>
      <c r="F54" s="12" t="s">
        <v>15</v>
      </c>
      <c r="G54" s="20">
        <v>6</v>
      </c>
      <c r="H54" s="20">
        <v>6</v>
      </c>
      <c r="I54" s="159">
        <v>6</v>
      </c>
      <c r="J54" s="20"/>
      <c r="K54" s="84"/>
    </row>
    <row r="55" spans="2:11" ht="15.95" customHeight="1">
      <c r="B55" s="17"/>
      <c r="C55" s="12"/>
      <c r="D55" s="12"/>
      <c r="E55" s="9"/>
      <c r="F55" s="12" t="s">
        <v>31</v>
      </c>
      <c r="G55" s="20">
        <f>G7+G12+G17+G20+G33+G46+G49</f>
        <v>3212520</v>
      </c>
      <c r="H55" s="20">
        <f>H7+H12+H17+H20+H33+H46+H49</f>
        <v>3216770</v>
      </c>
      <c r="I55" s="20">
        <f>I7+I12+I17+I20+I33+I46+I49</f>
        <v>1588855</v>
      </c>
      <c r="J55" s="20">
        <f>J7+J12+J17+J20+J33+J46+J49</f>
        <v>0</v>
      </c>
      <c r="K55" s="120">
        <f t="shared" si="1"/>
        <v>0</v>
      </c>
    </row>
    <row r="56" spans="2:11" ht="15.95" customHeight="1">
      <c r="B56" s="17"/>
      <c r="C56" s="12"/>
      <c r="D56" s="12"/>
      <c r="E56" s="9"/>
      <c r="F56" s="12" t="s">
        <v>16</v>
      </c>
      <c r="G56" s="15"/>
      <c r="H56" s="15"/>
      <c r="I56" s="15"/>
      <c r="J56" s="15"/>
      <c r="K56" s="85"/>
    </row>
    <row r="57" spans="2:11" ht="15.95" customHeight="1">
      <c r="B57" s="17"/>
      <c r="C57" s="12"/>
      <c r="D57" s="12"/>
      <c r="E57" s="9"/>
      <c r="F57" s="12" t="s">
        <v>17</v>
      </c>
      <c r="G57" s="15"/>
      <c r="H57" s="15"/>
      <c r="I57" s="15"/>
      <c r="J57" s="15"/>
      <c r="K57" s="85"/>
    </row>
    <row r="58" spans="2:11" s="1" customFormat="1" ht="9.75" customHeight="1" thickBot="1">
      <c r="B58" s="21"/>
      <c r="C58" s="22"/>
      <c r="D58" s="22"/>
      <c r="E58" s="23"/>
      <c r="F58" s="22"/>
      <c r="G58" s="22"/>
      <c r="H58" s="22"/>
      <c r="I58" s="22"/>
      <c r="J58" s="22"/>
      <c r="K58" s="87"/>
    </row>
    <row r="59" spans="2:11" s="1" customFormat="1" ht="15.95" customHeight="1">
      <c r="B59" s="13"/>
      <c r="C59" s="13"/>
      <c r="D59" s="13"/>
      <c r="E59" s="24"/>
      <c r="F59" s="13"/>
      <c r="G59" s="13"/>
      <c r="H59" s="13"/>
      <c r="I59" s="13"/>
      <c r="J59" s="13"/>
      <c r="K59" s="76"/>
    </row>
    <row r="60" spans="2:11" s="1" customFormat="1" ht="15.95" customHeight="1">
      <c r="B60" s="13"/>
      <c r="C60" s="13"/>
      <c r="D60" s="13"/>
      <c r="E60" s="24"/>
      <c r="F60" s="13"/>
      <c r="G60" s="13"/>
      <c r="H60" s="13"/>
      <c r="I60" s="13"/>
      <c r="J60" s="13"/>
      <c r="K60" s="76"/>
    </row>
    <row r="61" spans="2:11" s="1" customFormat="1" ht="12.95" customHeight="1">
      <c r="B61" s="13"/>
      <c r="C61" s="13"/>
      <c r="D61" s="13"/>
      <c r="E61" s="24"/>
      <c r="F61" s="13"/>
      <c r="G61" s="13"/>
      <c r="H61" s="13"/>
      <c r="I61" s="13"/>
      <c r="J61" s="13"/>
      <c r="K61" s="76"/>
    </row>
    <row r="62" spans="2:11" ht="12.95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B2:M59"/>
  <sheetViews>
    <sheetView topLeftCell="C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91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61</v>
      </c>
      <c r="C6" s="11" t="s">
        <v>63</v>
      </c>
      <c r="D6" s="11" t="s">
        <v>66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559040</v>
      </c>
      <c r="H7" s="129">
        <f>SUM(H8:H10)</f>
        <v>559040</v>
      </c>
      <c r="I7" s="393">
        <v>393361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437050+5000+3000+13120</f>
        <v>458170</v>
      </c>
      <c r="H8" s="131">
        <f>437050+5000+3000+13120</f>
        <v>458170</v>
      </c>
      <c r="I8" s="394">
        <v>323033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96610+0+2*840+2580</f>
        <v>100870</v>
      </c>
      <c r="H9" s="131">
        <f>96610+0+2*840+2580</f>
        <v>100870</v>
      </c>
      <c r="I9" s="394">
        <v>70328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92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393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49360</v>
      </c>
      <c r="H12" s="129">
        <f>H13</f>
        <v>49360</v>
      </c>
      <c r="I12" s="393">
        <v>35561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46750+1200+1410</f>
        <v>49360</v>
      </c>
      <c r="H13" s="131">
        <f>46750+1200+1410</f>
        <v>49360</v>
      </c>
      <c r="I13" s="394">
        <v>35561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386"/>
      <c r="J14" s="20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64400</v>
      </c>
      <c r="H15" s="35">
        <f>SUM(H16:H25)</f>
        <v>64400</v>
      </c>
      <c r="I15" s="389">
        <v>47132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3500</v>
      </c>
      <c r="H16" s="33">
        <v>5300</v>
      </c>
      <c r="I16" s="388">
        <v>4401</v>
      </c>
      <c r="J16" s="33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3">
        <v>30500</v>
      </c>
      <c r="H17" s="33">
        <v>30000</v>
      </c>
      <c r="I17" s="388">
        <v>21491</v>
      </c>
      <c r="J17" s="33"/>
      <c r="K17" s="84">
        <f t="shared" si="0"/>
        <v>0</v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3">
        <v>3400</v>
      </c>
      <c r="H18" s="33">
        <v>2700</v>
      </c>
      <c r="I18" s="388">
        <v>1765</v>
      </c>
      <c r="J18" s="33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69">
        <v>9000</v>
      </c>
      <c r="H19" s="69">
        <v>8600</v>
      </c>
      <c r="I19" s="391">
        <v>6187</v>
      </c>
      <c r="J19" s="69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69">
        <v>1000</v>
      </c>
      <c r="H20" s="69">
        <v>1000</v>
      </c>
      <c r="I20" s="391">
        <v>958</v>
      </c>
      <c r="J20" s="69"/>
      <c r="K20" s="84">
        <f t="shared" si="0"/>
        <v>0</v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391">
        <v>0</v>
      </c>
      <c r="J21" s="69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69">
        <v>9000</v>
      </c>
      <c r="H22" s="69">
        <v>8800</v>
      </c>
      <c r="I22" s="391">
        <v>6543</v>
      </c>
      <c r="J22" s="69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91">
        <v>0</v>
      </c>
      <c r="J23" s="69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69">
        <v>8000</v>
      </c>
      <c r="H24" s="69">
        <v>8000</v>
      </c>
      <c r="I24" s="391">
        <v>5787</v>
      </c>
      <c r="J24" s="69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391">
        <v>0</v>
      </c>
      <c r="J25" s="6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69"/>
      <c r="H26" s="69"/>
      <c r="I26" s="391"/>
      <c r="J26" s="69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SUM(G28:G30)</f>
        <v>3000</v>
      </c>
      <c r="H27" s="61">
        <f>SUM(H28:H30)</f>
        <v>22992</v>
      </c>
      <c r="I27" s="390">
        <v>10029</v>
      </c>
      <c r="J27" s="61">
        <f>SUM(J28:J30)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69">
        <v>0</v>
      </c>
      <c r="H28" s="69">
        <v>18642</v>
      </c>
      <c r="I28" s="391">
        <v>5687</v>
      </c>
      <c r="J28" s="69"/>
      <c r="K28" s="84">
        <f t="shared" si="0"/>
        <v>0</v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69">
        <v>3000</v>
      </c>
      <c r="H29" s="69">
        <v>4350</v>
      </c>
      <c r="I29" s="391">
        <v>4342</v>
      </c>
      <c r="J29" s="69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26"/>
      <c r="G30" s="69"/>
      <c r="H30" s="69"/>
      <c r="I30" s="391"/>
      <c r="J30" s="69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25" t="s">
        <v>147</v>
      </c>
      <c r="H31" s="25" t="s">
        <v>147</v>
      </c>
      <c r="I31" s="387" t="s">
        <v>156</v>
      </c>
      <c r="J31" s="25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675800</v>
      </c>
      <c r="H32" s="20">
        <f>H7+H12+H15+H27</f>
        <v>695792</v>
      </c>
      <c r="I32" s="20">
        <f t="shared" ref="I32" si="1">I7+I12+I15+I27</f>
        <v>486083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G32+'29'!G32+'28'!G32+'27'!G32+'26'!G32+'25'!G32+'24'!G32</f>
        <v>7819660</v>
      </c>
      <c r="H33" s="20">
        <f>H32+'29'!H32+'28'!H32+'27'!H32+'26'!H32+'25'!H32+'24'!H32</f>
        <v>7858792</v>
      </c>
      <c r="I33" s="20">
        <f>I32+'29'!I32+'28'!I32+'27'!I32+'26'!I32+'25'!I32+'24'!I32</f>
        <v>5493977</v>
      </c>
      <c r="J33" s="20">
        <f>J32+'29'!J32+'28'!J32+'27'!J32+'26'!J32+'25'!J32+'24'!J32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G33+'23'!G34+'20'!G52</f>
        <v>13262620</v>
      </c>
      <c r="H34" s="20">
        <f>H33+'23'!H34+'20'!H52</f>
        <v>13317982</v>
      </c>
      <c r="I34" s="20">
        <f>I33+'23'!I34+'20'!I52</f>
        <v>9528258</v>
      </c>
      <c r="J34" s="20">
        <f>J33+'23'!J34+'20'!J52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B2:M59"/>
  <sheetViews>
    <sheetView topLeftCell="C4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7" t="s">
        <v>96</v>
      </c>
      <c r="C2" s="447"/>
      <c r="D2" s="447"/>
      <c r="E2" s="447"/>
      <c r="F2" s="447"/>
      <c r="G2" s="447"/>
      <c r="H2" s="141"/>
      <c r="I2" s="141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67</v>
      </c>
      <c r="C6" s="11" t="s">
        <v>3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246970</v>
      </c>
      <c r="H7" s="129">
        <f>SUM(H8:H10)</f>
        <v>246970</v>
      </c>
      <c r="I7" s="399">
        <v>170147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176010+1000+16500+5280+500</f>
        <v>199290</v>
      </c>
      <c r="H8" s="131">
        <f>176010+1000+16500+5280+500</f>
        <v>199290</v>
      </c>
      <c r="I8" s="400">
        <v>135345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42580+1000+4100</f>
        <v>47680</v>
      </c>
      <c r="H9" s="131">
        <f>42580+1000+4100</f>
        <v>47680</v>
      </c>
      <c r="I9" s="400">
        <v>34802</v>
      </c>
      <c r="J9" s="131"/>
      <c r="K9" s="84">
        <f t="shared" ref="K9:K37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398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399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21470</v>
      </c>
      <c r="H12" s="129">
        <f>H13</f>
        <v>21470</v>
      </c>
      <c r="I12" s="399">
        <v>14444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18840+200+1800+570+60</f>
        <v>21470</v>
      </c>
      <c r="H13" s="131">
        <f>18840+200+1800+570+60</f>
        <v>21470</v>
      </c>
      <c r="I13" s="400">
        <v>14444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61"/>
      <c r="H14" s="61"/>
      <c r="I14" s="396"/>
      <c r="J14" s="61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61">
        <f>SUM(G16:G25)</f>
        <v>39800</v>
      </c>
      <c r="H15" s="61">
        <f>SUM(H16:H25)</f>
        <v>39800</v>
      </c>
      <c r="I15" s="396">
        <v>28081</v>
      </c>
      <c r="J15" s="61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69">
        <v>3500</v>
      </c>
      <c r="H16" s="69">
        <v>5000</v>
      </c>
      <c r="I16" s="397">
        <v>3434</v>
      </c>
      <c r="J16" s="69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69">
        <v>0</v>
      </c>
      <c r="H17" s="69">
        <v>0</v>
      </c>
      <c r="I17" s="397">
        <v>0</v>
      </c>
      <c r="J17" s="69"/>
      <c r="K17" s="84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69">
        <v>3300</v>
      </c>
      <c r="H18" s="69">
        <v>3300</v>
      </c>
      <c r="I18" s="397">
        <v>2520</v>
      </c>
      <c r="J18" s="69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69">
        <v>2500</v>
      </c>
      <c r="H19" s="69">
        <v>2500</v>
      </c>
      <c r="I19" s="397">
        <v>310</v>
      </c>
      <c r="J19" s="69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69">
        <v>0</v>
      </c>
      <c r="H20" s="69">
        <v>0</v>
      </c>
      <c r="I20" s="397">
        <v>0</v>
      </c>
      <c r="J20" s="69"/>
      <c r="K20" s="84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397">
        <v>0</v>
      </c>
      <c r="J21" s="69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69">
        <v>6500</v>
      </c>
      <c r="H22" s="69">
        <v>2500</v>
      </c>
      <c r="I22" s="397">
        <v>800</v>
      </c>
      <c r="J22" s="69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69">
        <v>0</v>
      </c>
      <c r="H23" s="69">
        <v>0</v>
      </c>
      <c r="I23" s="397">
        <v>0</v>
      </c>
      <c r="J23" s="69"/>
      <c r="K23" s="84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69">
        <v>24000</v>
      </c>
      <c r="H24" s="69">
        <v>26500</v>
      </c>
      <c r="I24" s="397">
        <v>21017</v>
      </c>
      <c r="J24" s="69"/>
      <c r="K24" s="84">
        <f t="shared" si="0"/>
        <v>0</v>
      </c>
      <c r="L24" s="60"/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397">
        <v>0</v>
      </c>
      <c r="J25" s="69"/>
      <c r="K25" s="84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61"/>
      <c r="H26" s="61"/>
      <c r="I26" s="396"/>
      <c r="J26" s="61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109</v>
      </c>
      <c r="G27" s="61">
        <f t="shared" ref="G27:J27" si="1">G28</f>
        <v>1100000</v>
      </c>
      <c r="H27" s="61">
        <f t="shared" si="1"/>
        <v>1100000</v>
      </c>
      <c r="I27" s="396">
        <v>715166</v>
      </c>
      <c r="J27" s="61">
        <f t="shared" si="1"/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614200</v>
      </c>
      <c r="F28" s="28" t="s">
        <v>32</v>
      </c>
      <c r="G28" s="69">
        <v>1100000</v>
      </c>
      <c r="H28" s="69">
        <v>1100000</v>
      </c>
      <c r="I28" s="397">
        <v>715166</v>
      </c>
      <c r="J28" s="69"/>
      <c r="K28" s="84">
        <f t="shared" si="0"/>
        <v>0</v>
      </c>
    </row>
    <row r="29" spans="2:12" ht="17.100000000000001" customHeight="1">
      <c r="B29" s="14"/>
      <c r="C29" s="15"/>
      <c r="D29" s="15"/>
      <c r="E29" s="16"/>
      <c r="F29" s="15"/>
      <c r="G29" s="69"/>
      <c r="H29" s="69"/>
      <c r="I29" s="397"/>
      <c r="J29" s="69"/>
      <c r="K29" s="84" t="str">
        <f t="shared" si="0"/>
        <v/>
      </c>
    </row>
    <row r="30" spans="2:12" s="1" customFormat="1" ht="17.100000000000001" customHeight="1">
      <c r="B30" s="17"/>
      <c r="C30" s="12"/>
      <c r="D30" s="12"/>
      <c r="E30" s="9">
        <v>821000</v>
      </c>
      <c r="F30" s="12" t="s">
        <v>12</v>
      </c>
      <c r="G30" s="61">
        <f>SUM(G31:G32)</f>
        <v>1000</v>
      </c>
      <c r="H30" s="61">
        <f>SUM(H31:H32)</f>
        <v>1000</v>
      </c>
      <c r="I30" s="396">
        <v>716</v>
      </c>
      <c r="J30" s="61">
        <f>SUM(J31:J32)</f>
        <v>0</v>
      </c>
      <c r="K30" s="84">
        <f t="shared" si="0"/>
        <v>0</v>
      </c>
    </row>
    <row r="31" spans="2:12" ht="17.100000000000001" customHeight="1">
      <c r="B31" s="14"/>
      <c r="C31" s="15"/>
      <c r="D31" s="15"/>
      <c r="E31" s="16">
        <v>821200</v>
      </c>
      <c r="F31" s="15" t="s">
        <v>13</v>
      </c>
      <c r="G31" s="69">
        <v>0</v>
      </c>
      <c r="H31" s="69">
        <v>0</v>
      </c>
      <c r="I31" s="397">
        <v>0</v>
      </c>
      <c r="J31" s="69"/>
      <c r="K31" s="84" t="str">
        <f t="shared" si="0"/>
        <v/>
      </c>
    </row>
    <row r="32" spans="2:12" ht="17.100000000000001" customHeight="1">
      <c r="B32" s="14"/>
      <c r="C32" s="15"/>
      <c r="D32" s="15"/>
      <c r="E32" s="16">
        <v>821300</v>
      </c>
      <c r="F32" s="15" t="s">
        <v>14</v>
      </c>
      <c r="G32" s="69">
        <v>1000</v>
      </c>
      <c r="H32" s="69">
        <v>1000</v>
      </c>
      <c r="I32" s="397">
        <v>716</v>
      </c>
      <c r="J32" s="69"/>
      <c r="K32" s="84">
        <f t="shared" si="0"/>
        <v>0</v>
      </c>
    </row>
    <row r="33" spans="2:11" ht="17.100000000000001" customHeight="1">
      <c r="B33" s="14"/>
      <c r="C33" s="15"/>
      <c r="D33" s="15"/>
      <c r="E33" s="16"/>
      <c r="F33" s="15"/>
      <c r="G33" s="69"/>
      <c r="H33" s="69"/>
      <c r="I33" s="397"/>
      <c r="J33" s="69"/>
      <c r="K33" s="84" t="str">
        <f t="shared" si="0"/>
        <v/>
      </c>
    </row>
    <row r="34" spans="2:11" s="1" customFormat="1" ht="17.100000000000001" customHeight="1">
      <c r="B34" s="17"/>
      <c r="C34" s="12"/>
      <c r="D34" s="12"/>
      <c r="E34" s="9"/>
      <c r="F34" s="12" t="s">
        <v>15</v>
      </c>
      <c r="G34" s="20">
        <v>11</v>
      </c>
      <c r="H34" s="20">
        <v>11</v>
      </c>
      <c r="I34" s="395">
        <v>10</v>
      </c>
      <c r="J34" s="20"/>
      <c r="K34" s="84"/>
    </row>
    <row r="35" spans="2:11" s="1" customFormat="1" ht="17.100000000000001" customHeight="1">
      <c r="B35" s="17"/>
      <c r="C35" s="12"/>
      <c r="D35" s="12"/>
      <c r="E35" s="9"/>
      <c r="F35" s="12" t="s">
        <v>31</v>
      </c>
      <c r="G35" s="20">
        <f>G7+G12+G15+G27+G30</f>
        <v>1409240</v>
      </c>
      <c r="H35" s="20">
        <f>H7+H12+H15+H27+H30</f>
        <v>1409240</v>
      </c>
      <c r="I35" s="20">
        <f t="shared" ref="I35" si="2">I7+I12+I15+I27+I30</f>
        <v>928554</v>
      </c>
      <c r="J35" s="20">
        <f>J7+J12+J15+J27+J30</f>
        <v>0</v>
      </c>
      <c r="K35" s="120">
        <f t="shared" si="0"/>
        <v>0</v>
      </c>
    </row>
    <row r="36" spans="2:11" s="1" customFormat="1" ht="17.100000000000001" customHeight="1">
      <c r="B36" s="17"/>
      <c r="C36" s="12"/>
      <c r="D36" s="12"/>
      <c r="E36" s="9"/>
      <c r="F36" s="12" t="s">
        <v>16</v>
      </c>
      <c r="G36" s="20">
        <f>G35</f>
        <v>1409240</v>
      </c>
      <c r="H36" s="20">
        <f>H35</f>
        <v>1409240</v>
      </c>
      <c r="I36" s="20">
        <f t="shared" ref="I36" si="3">I35</f>
        <v>928554</v>
      </c>
      <c r="J36" s="20">
        <f>J35</f>
        <v>0</v>
      </c>
      <c r="K36" s="120">
        <f t="shared" si="0"/>
        <v>0</v>
      </c>
    </row>
    <row r="37" spans="2:11" s="1" customFormat="1" ht="17.100000000000001" customHeight="1">
      <c r="B37" s="17"/>
      <c r="C37" s="12"/>
      <c r="D37" s="12"/>
      <c r="E37" s="9"/>
      <c r="F37" s="12" t="s">
        <v>17</v>
      </c>
      <c r="G37" s="20">
        <f>G36</f>
        <v>1409240</v>
      </c>
      <c r="H37" s="20">
        <f>H36</f>
        <v>1409240</v>
      </c>
      <c r="I37" s="20">
        <f t="shared" ref="I37" si="4">I36</f>
        <v>928554</v>
      </c>
      <c r="J37" s="20">
        <f>J36</f>
        <v>0</v>
      </c>
      <c r="K37" s="120">
        <f t="shared" si="0"/>
        <v>0</v>
      </c>
    </row>
    <row r="38" spans="2:11" ht="17.100000000000001" customHeight="1" thickBot="1">
      <c r="B38" s="21"/>
      <c r="C38" s="22"/>
      <c r="D38" s="22"/>
      <c r="E38" s="23"/>
      <c r="F38" s="22"/>
      <c r="G38" s="34"/>
      <c r="H38" s="34"/>
      <c r="I38" s="34"/>
      <c r="J38" s="34"/>
      <c r="K38" s="87"/>
    </row>
    <row r="39" spans="2:11" ht="17.100000000000001" customHeight="1">
      <c r="G39" s="55"/>
      <c r="H39" s="55"/>
      <c r="I39" s="55"/>
      <c r="J39" s="55"/>
    </row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B2:M59"/>
  <sheetViews>
    <sheetView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s="65" customFormat="1" ht="15" customHeight="1">
      <c r="B2" s="450" t="s">
        <v>69</v>
      </c>
      <c r="C2" s="450"/>
      <c r="D2" s="450"/>
      <c r="E2" s="450"/>
      <c r="F2" s="450"/>
      <c r="G2" s="450"/>
      <c r="H2" s="450"/>
      <c r="I2" s="450"/>
      <c r="J2" s="450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68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101960</v>
      </c>
      <c r="H7" s="129">
        <f>SUM(H8:H10)</f>
        <v>101960</v>
      </c>
      <c r="I7" s="406">
        <v>75080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75500+500+3900+2390</f>
        <v>82290</v>
      </c>
      <c r="H8" s="128">
        <f>75500+500+3900+2390</f>
        <v>82290</v>
      </c>
      <c r="I8" s="405">
        <v>61309</v>
      </c>
      <c r="J8" s="128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28">
        <f>17700+500+1470</f>
        <v>19670</v>
      </c>
      <c r="H9" s="128">
        <f>17700+500+1470</f>
        <v>19670</v>
      </c>
      <c r="I9" s="405">
        <v>13771</v>
      </c>
      <c r="J9" s="128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405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8"/>
      <c r="H11" s="128"/>
      <c r="I11" s="405"/>
      <c r="J11" s="128"/>
      <c r="K11" s="84" t="str">
        <f t="shared" si="0"/>
        <v/>
      </c>
    </row>
    <row r="12" spans="2:13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8800</v>
      </c>
      <c r="H12" s="129">
        <f>H13</f>
        <v>8800</v>
      </c>
      <c r="I12" s="406">
        <v>6671</v>
      </c>
      <c r="J12" s="129">
        <f>J13</f>
        <v>0</v>
      </c>
      <c r="K12" s="120">
        <f t="shared" si="0"/>
        <v>0</v>
      </c>
    </row>
    <row r="13" spans="2:13" s="1" customFormat="1" ht="17.100000000000001" customHeight="1">
      <c r="B13" s="14"/>
      <c r="C13" s="15"/>
      <c r="D13" s="15"/>
      <c r="E13" s="16">
        <v>612100</v>
      </c>
      <c r="F13" s="18" t="s">
        <v>5</v>
      </c>
      <c r="G13" s="128">
        <f>8040+100+400+260</f>
        <v>8800</v>
      </c>
      <c r="H13" s="128">
        <f>8040+100+400+260</f>
        <v>8800</v>
      </c>
      <c r="I13" s="405">
        <v>6671</v>
      </c>
      <c r="J13" s="12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2"/>
      <c r="H14" s="32"/>
      <c r="I14" s="401"/>
      <c r="J14" s="32"/>
      <c r="K14" s="84" t="str">
        <f t="shared" si="0"/>
        <v/>
      </c>
    </row>
    <row r="15" spans="2:13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18800</v>
      </c>
      <c r="H15" s="35">
        <f>SUM(H16:H25)</f>
        <v>18800</v>
      </c>
      <c r="I15" s="402">
        <v>6312</v>
      </c>
      <c r="J15" s="35">
        <f>SUM(J16:J25)</f>
        <v>0</v>
      </c>
      <c r="K15" s="120">
        <f t="shared" si="0"/>
        <v>0</v>
      </c>
    </row>
    <row r="16" spans="2:13" s="1" customFormat="1" ht="17.100000000000001" customHeight="1">
      <c r="B16" s="14"/>
      <c r="C16" s="15"/>
      <c r="D16" s="15"/>
      <c r="E16" s="16">
        <v>613100</v>
      </c>
      <c r="F16" s="15" t="s">
        <v>6</v>
      </c>
      <c r="G16" s="50">
        <v>400</v>
      </c>
      <c r="H16" s="50">
        <v>400</v>
      </c>
      <c r="I16" s="403">
        <v>0</v>
      </c>
      <c r="J16" s="50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50">
        <v>5500</v>
      </c>
      <c r="H17" s="50">
        <v>5500</v>
      </c>
      <c r="I17" s="403">
        <v>822</v>
      </c>
      <c r="J17" s="50"/>
      <c r="K17" s="84">
        <f t="shared" si="0"/>
        <v>0</v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50">
        <v>3600</v>
      </c>
      <c r="H18" s="50">
        <v>3600</v>
      </c>
      <c r="I18" s="403">
        <v>2009</v>
      </c>
      <c r="J18" s="50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50">
        <v>1500</v>
      </c>
      <c r="H19" s="50">
        <v>1500</v>
      </c>
      <c r="I19" s="403">
        <v>539</v>
      </c>
      <c r="J19" s="50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50">
        <v>0</v>
      </c>
      <c r="H20" s="50">
        <v>0</v>
      </c>
      <c r="I20" s="403">
        <v>0</v>
      </c>
      <c r="J20" s="50"/>
      <c r="K20" s="84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50">
        <v>0</v>
      </c>
      <c r="H21" s="50">
        <v>0</v>
      </c>
      <c r="I21" s="403">
        <v>0</v>
      </c>
      <c r="J21" s="50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50">
        <v>500</v>
      </c>
      <c r="H22" s="50">
        <v>500</v>
      </c>
      <c r="I22" s="403">
        <v>236</v>
      </c>
      <c r="J22" s="50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50">
        <v>0</v>
      </c>
      <c r="H23" s="50">
        <v>0</v>
      </c>
      <c r="I23" s="403">
        <v>0</v>
      </c>
      <c r="J23" s="50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50">
        <v>7300</v>
      </c>
      <c r="H24" s="50">
        <v>7300</v>
      </c>
      <c r="I24" s="403">
        <v>2706</v>
      </c>
      <c r="J24" s="50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50">
        <v>0</v>
      </c>
      <c r="H25" s="50">
        <v>0</v>
      </c>
      <c r="I25" s="403">
        <v>0</v>
      </c>
      <c r="J25" s="50"/>
      <c r="K25" s="84" t="str">
        <f t="shared" si="0"/>
        <v/>
      </c>
    </row>
    <row r="26" spans="2:11" ht="17.100000000000001" customHeight="1">
      <c r="B26" s="17"/>
      <c r="C26" s="12"/>
      <c r="D26" s="12"/>
      <c r="E26" s="9"/>
      <c r="F26" s="12"/>
      <c r="G26" s="61"/>
      <c r="H26" s="61"/>
      <c r="I26" s="404"/>
      <c r="J26" s="61"/>
      <c r="K26" s="84" t="str">
        <f t="shared" si="0"/>
        <v/>
      </c>
    </row>
    <row r="27" spans="2:1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0</v>
      </c>
      <c r="H27" s="61">
        <f>SUM(H28:H29)</f>
        <v>0</v>
      </c>
      <c r="I27" s="404">
        <v>0</v>
      </c>
      <c r="J27" s="61">
        <f>SUM(J28:J29)</f>
        <v>0</v>
      </c>
      <c r="K27" s="120" t="str">
        <f t="shared" si="0"/>
        <v/>
      </c>
    </row>
    <row r="28" spans="2:11" s="1" customFormat="1" ht="17.100000000000001" customHeight="1">
      <c r="B28" s="14"/>
      <c r="C28" s="15"/>
      <c r="D28" s="15"/>
      <c r="E28" s="16">
        <v>821200</v>
      </c>
      <c r="F28" s="15" t="s">
        <v>13</v>
      </c>
      <c r="G28" s="50">
        <v>0</v>
      </c>
      <c r="H28" s="50">
        <v>0</v>
      </c>
      <c r="I28" s="403">
        <v>0</v>
      </c>
      <c r="J28" s="50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50">
        <v>0</v>
      </c>
      <c r="H29" s="50">
        <v>0</v>
      </c>
      <c r="I29" s="403">
        <v>0</v>
      </c>
      <c r="J29" s="50"/>
      <c r="K29" s="84" t="str">
        <f t="shared" si="0"/>
        <v/>
      </c>
    </row>
    <row r="30" spans="2:11" ht="17.100000000000001" customHeight="1">
      <c r="B30" s="14"/>
      <c r="C30" s="15"/>
      <c r="D30" s="15"/>
      <c r="E30" s="16"/>
      <c r="F30" s="15"/>
      <c r="G30" s="50"/>
      <c r="H30" s="50"/>
      <c r="I30" s="403"/>
      <c r="J30" s="50"/>
      <c r="K30" s="84" t="str">
        <f t="shared" si="0"/>
        <v/>
      </c>
    </row>
    <row r="31" spans="2:11" ht="17.100000000000001" customHeight="1">
      <c r="B31" s="17"/>
      <c r="C31" s="12"/>
      <c r="D31" s="12"/>
      <c r="E31" s="9"/>
      <c r="F31" s="12" t="s">
        <v>15</v>
      </c>
      <c r="G31" s="61">
        <v>4</v>
      </c>
      <c r="H31" s="61">
        <v>4</v>
      </c>
      <c r="I31" s="404">
        <v>4</v>
      </c>
      <c r="J31" s="61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129560</v>
      </c>
      <c r="H32" s="20">
        <f>H7+H12+H15+H27</f>
        <v>129560</v>
      </c>
      <c r="I32" s="20">
        <f t="shared" ref="I32" si="1">I7+I12+I15+I27</f>
        <v>88063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129560</v>
      </c>
      <c r="H33" s="20">
        <f>H32</f>
        <v>129560</v>
      </c>
      <c r="I33" s="20">
        <f t="shared" ref="I33" si="2">I32</f>
        <v>88063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</f>
        <v>129560</v>
      </c>
      <c r="H34" s="20">
        <f>H33</f>
        <v>129560</v>
      </c>
      <c r="I34" s="20">
        <f t="shared" ref="I34" si="3">I33</f>
        <v>88063</v>
      </c>
      <c r="J34" s="20">
        <f>J33</f>
        <v>0</v>
      </c>
      <c r="K34" s="120">
        <f t="shared" si="0"/>
        <v>0</v>
      </c>
    </row>
    <row r="35" spans="2:11" s="1" customFormat="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B2:M60"/>
  <sheetViews>
    <sheetView topLeftCell="G10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s="65" customFormat="1" ht="15" customHeight="1">
      <c r="B2" s="447" t="s">
        <v>70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71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221790</v>
      </c>
      <c r="H7" s="129">
        <f>SUM(H8:H11)</f>
        <v>221790</v>
      </c>
      <c r="I7" s="414">
        <v>168060</v>
      </c>
      <c r="J7" s="129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161970+1000+10900+4860+330</f>
        <v>179060</v>
      </c>
      <c r="H8" s="128">
        <f>161970+1000+10900+4860+330</f>
        <v>179060</v>
      </c>
      <c r="I8" s="413">
        <v>135998</v>
      </c>
      <c r="J8" s="128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28">
        <f>38130+1000+3600</f>
        <v>42730</v>
      </c>
      <c r="H9" s="128">
        <f>38130+1000+3600</f>
        <v>42730</v>
      </c>
      <c r="I9" s="413">
        <v>32062</v>
      </c>
      <c r="J9" s="128"/>
      <c r="K9" s="84">
        <f t="shared" ref="K9:K38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413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28"/>
      <c r="H11" s="128"/>
      <c r="I11" s="413"/>
      <c r="J11" s="128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19350</v>
      </c>
      <c r="H12" s="129">
        <f>H13</f>
        <v>19350</v>
      </c>
      <c r="I12" s="414">
        <v>14537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28">
        <f>17380+200+1200+530+40</f>
        <v>19350</v>
      </c>
      <c r="H13" s="128">
        <f>17380+200+1200+530+40</f>
        <v>19350</v>
      </c>
      <c r="I13" s="413">
        <v>14537</v>
      </c>
      <c r="J13" s="12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5"/>
      <c r="H14" s="35"/>
      <c r="I14" s="409"/>
      <c r="J14" s="35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54100</v>
      </c>
      <c r="H15" s="35">
        <f>SUM(H16:H25)</f>
        <v>54100</v>
      </c>
      <c r="I15" s="409">
        <v>29471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2">
        <v>1500</v>
      </c>
      <c r="H16" s="32">
        <v>1500</v>
      </c>
      <c r="I16" s="408">
        <v>1047</v>
      </c>
      <c r="J16" s="32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2">
        <v>8500</v>
      </c>
      <c r="H17" s="32">
        <v>8500</v>
      </c>
      <c r="I17" s="408">
        <v>6102</v>
      </c>
      <c r="J17" s="32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50">
        <v>3500</v>
      </c>
      <c r="H18" s="50">
        <v>3500</v>
      </c>
      <c r="I18" s="410">
        <v>3334</v>
      </c>
      <c r="J18" s="50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50">
        <v>1200</v>
      </c>
      <c r="H19" s="50">
        <v>1200</v>
      </c>
      <c r="I19" s="410">
        <v>504</v>
      </c>
      <c r="J19" s="50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50">
        <v>1000</v>
      </c>
      <c r="H20" s="50">
        <v>1000</v>
      </c>
      <c r="I20" s="410">
        <v>591</v>
      </c>
      <c r="J20" s="50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50">
        <v>0</v>
      </c>
      <c r="H21" s="50">
        <v>0</v>
      </c>
      <c r="I21" s="410">
        <v>0</v>
      </c>
      <c r="J21" s="50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50">
        <v>3000</v>
      </c>
      <c r="H22" s="50">
        <v>3000</v>
      </c>
      <c r="I22" s="410">
        <v>1916</v>
      </c>
      <c r="J22" s="50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50">
        <v>400</v>
      </c>
      <c r="H23" s="50">
        <v>400</v>
      </c>
      <c r="I23" s="410">
        <v>0</v>
      </c>
      <c r="J23" s="50"/>
      <c r="K23" s="84">
        <f t="shared" si="0"/>
        <v>0</v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50">
        <v>35000</v>
      </c>
      <c r="H24" s="50">
        <v>35000</v>
      </c>
      <c r="I24" s="410">
        <v>15977</v>
      </c>
      <c r="J24" s="50"/>
      <c r="K24" s="84">
        <f t="shared" si="0"/>
        <v>0</v>
      </c>
      <c r="L24" s="49"/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50">
        <v>0</v>
      </c>
      <c r="H25" s="50">
        <v>0</v>
      </c>
      <c r="I25" s="410">
        <v>0</v>
      </c>
      <c r="J25" s="50"/>
      <c r="K25" s="84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61"/>
      <c r="H26" s="61"/>
      <c r="I26" s="411"/>
      <c r="J26" s="61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614000</v>
      </c>
      <c r="F27" s="12" t="s">
        <v>109</v>
      </c>
      <c r="G27" s="61">
        <f t="shared" ref="G27:H27" si="1">G28+G29</f>
        <v>180000</v>
      </c>
      <c r="H27" s="61">
        <f t="shared" si="1"/>
        <v>30000</v>
      </c>
      <c r="I27" s="411">
        <v>3861</v>
      </c>
      <c r="J27" s="61">
        <f t="shared" ref="J27" si="2">J28+J29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614200</v>
      </c>
      <c r="F28" s="26" t="s">
        <v>33</v>
      </c>
      <c r="G28" s="50">
        <v>30000</v>
      </c>
      <c r="H28" s="50">
        <v>30000</v>
      </c>
      <c r="I28" s="410">
        <v>3861</v>
      </c>
      <c r="J28" s="50"/>
      <c r="K28" s="84">
        <f t="shared" si="0"/>
        <v>0</v>
      </c>
    </row>
    <row r="29" spans="2:12" ht="27.75" customHeight="1">
      <c r="B29" s="14"/>
      <c r="C29" s="15"/>
      <c r="D29" s="15"/>
      <c r="E29" s="16">
        <v>614300</v>
      </c>
      <c r="F29" s="147" t="s">
        <v>165</v>
      </c>
      <c r="G29" s="50">
        <v>150000</v>
      </c>
      <c r="H29" s="50">
        <v>0</v>
      </c>
      <c r="I29" s="410">
        <v>0</v>
      </c>
      <c r="J29" s="50"/>
      <c r="K29" s="84" t="str">
        <f t="shared" si="0"/>
        <v/>
      </c>
    </row>
    <row r="30" spans="2:12" ht="17.100000000000001" customHeight="1">
      <c r="B30" s="14"/>
      <c r="C30" s="15"/>
      <c r="D30" s="15"/>
      <c r="E30" s="9"/>
      <c r="F30" s="12"/>
      <c r="G30" s="50"/>
      <c r="H30" s="50"/>
      <c r="I30" s="410"/>
      <c r="J30" s="50"/>
      <c r="K30" s="84" t="str">
        <f t="shared" si="0"/>
        <v/>
      </c>
    </row>
    <row r="31" spans="2:12" ht="17.100000000000001" customHeight="1">
      <c r="B31" s="17"/>
      <c r="C31" s="12"/>
      <c r="D31" s="12"/>
      <c r="E31" s="9">
        <v>821000</v>
      </c>
      <c r="F31" s="12" t="s">
        <v>12</v>
      </c>
      <c r="G31" s="61">
        <f>SUM(G32:G34)</f>
        <v>2000</v>
      </c>
      <c r="H31" s="61">
        <f>SUM(H32:H34)</f>
        <v>2000</v>
      </c>
      <c r="I31" s="411">
        <v>0</v>
      </c>
      <c r="J31" s="61">
        <f>SUM(J32:J34)</f>
        <v>0</v>
      </c>
      <c r="K31" s="120">
        <f t="shared" si="0"/>
        <v>0</v>
      </c>
    </row>
    <row r="32" spans="2:12" ht="17.100000000000001" customHeight="1">
      <c r="B32" s="14"/>
      <c r="C32" s="15"/>
      <c r="D32" s="15"/>
      <c r="E32" s="16">
        <v>821200</v>
      </c>
      <c r="F32" s="15" t="s">
        <v>13</v>
      </c>
      <c r="G32" s="69">
        <v>0</v>
      </c>
      <c r="H32" s="69">
        <v>0</v>
      </c>
      <c r="I32" s="412">
        <v>0</v>
      </c>
      <c r="J32" s="69"/>
      <c r="K32" s="84" t="str">
        <f t="shared" si="0"/>
        <v/>
      </c>
    </row>
    <row r="33" spans="2:11" s="1" customFormat="1" ht="17.100000000000001" customHeight="1">
      <c r="B33" s="14"/>
      <c r="C33" s="15"/>
      <c r="D33" s="15"/>
      <c r="E33" s="16">
        <v>821300</v>
      </c>
      <c r="F33" s="15" t="s">
        <v>14</v>
      </c>
      <c r="G33" s="50">
        <v>2000</v>
      </c>
      <c r="H33" s="50">
        <v>2000</v>
      </c>
      <c r="I33" s="410">
        <v>0</v>
      </c>
      <c r="J33" s="50"/>
      <c r="K33" s="84">
        <f t="shared" si="0"/>
        <v>0</v>
      </c>
    </row>
    <row r="34" spans="2:11" ht="17.100000000000001" customHeight="1">
      <c r="B34" s="14"/>
      <c r="C34" s="15"/>
      <c r="D34" s="15"/>
      <c r="E34" s="16"/>
      <c r="F34" s="26"/>
      <c r="G34" s="50"/>
      <c r="H34" s="50"/>
      <c r="I34" s="410"/>
      <c r="J34" s="50"/>
      <c r="K34" s="84" t="str">
        <f t="shared" si="0"/>
        <v/>
      </c>
    </row>
    <row r="35" spans="2:11" ht="17.100000000000001" customHeight="1">
      <c r="B35" s="17"/>
      <c r="C35" s="12"/>
      <c r="D35" s="12"/>
      <c r="E35" s="9"/>
      <c r="F35" s="12" t="s">
        <v>15</v>
      </c>
      <c r="G35" s="20">
        <v>12</v>
      </c>
      <c r="H35" s="20">
        <v>12</v>
      </c>
      <c r="I35" s="407">
        <v>12</v>
      </c>
      <c r="J35" s="20"/>
      <c r="K35" s="84"/>
    </row>
    <row r="36" spans="2:11" ht="17.100000000000001" customHeight="1">
      <c r="B36" s="17"/>
      <c r="C36" s="12"/>
      <c r="D36" s="12"/>
      <c r="E36" s="9"/>
      <c r="F36" s="12" t="s">
        <v>31</v>
      </c>
      <c r="G36" s="20">
        <f>G7+G12+G15+G27+G31</f>
        <v>477240</v>
      </c>
      <c r="H36" s="20">
        <f>H7+H12+H15+H27+H31</f>
        <v>327240</v>
      </c>
      <c r="I36" s="20">
        <f t="shared" ref="I36" si="3">I7+I12+I15+I27+I31</f>
        <v>215929</v>
      </c>
      <c r="J36" s="20">
        <f>J7+J12+J15+J27+J31</f>
        <v>0</v>
      </c>
      <c r="K36" s="120">
        <f t="shared" si="0"/>
        <v>0</v>
      </c>
    </row>
    <row r="37" spans="2:11" s="1" customFormat="1" ht="17.100000000000001" customHeight="1">
      <c r="B37" s="17"/>
      <c r="C37" s="12"/>
      <c r="D37" s="12"/>
      <c r="E37" s="9"/>
      <c r="F37" s="12" t="s">
        <v>16</v>
      </c>
      <c r="G37" s="20">
        <f>G36</f>
        <v>477240</v>
      </c>
      <c r="H37" s="20">
        <f>H36</f>
        <v>327240</v>
      </c>
      <c r="I37" s="20">
        <f t="shared" ref="I37" si="4">I36</f>
        <v>215929</v>
      </c>
      <c r="J37" s="20">
        <f>J36</f>
        <v>0</v>
      </c>
      <c r="K37" s="120">
        <f t="shared" si="0"/>
        <v>0</v>
      </c>
    </row>
    <row r="38" spans="2:11" s="1" customFormat="1" ht="17.100000000000001" customHeight="1">
      <c r="B38" s="17"/>
      <c r="C38" s="12"/>
      <c r="D38" s="12"/>
      <c r="E38" s="9"/>
      <c r="F38" s="12" t="s">
        <v>17</v>
      </c>
      <c r="G38" s="20">
        <f>G37</f>
        <v>477240</v>
      </c>
      <c r="H38" s="20">
        <f>H37</f>
        <v>327240</v>
      </c>
      <c r="I38" s="20">
        <f t="shared" ref="I38" si="5">I37</f>
        <v>215929</v>
      </c>
      <c r="J38" s="20">
        <f>J37</f>
        <v>0</v>
      </c>
      <c r="K38" s="120">
        <f t="shared" si="0"/>
        <v>0</v>
      </c>
    </row>
    <row r="39" spans="2:11" s="1" customFormat="1" ht="17.100000000000001" customHeight="1" thickBot="1">
      <c r="B39" s="21"/>
      <c r="C39" s="22"/>
      <c r="D39" s="22"/>
      <c r="E39" s="23"/>
      <c r="F39" s="22"/>
      <c r="G39" s="101"/>
      <c r="H39" s="101"/>
      <c r="I39" s="101"/>
      <c r="J39" s="101"/>
      <c r="K39" s="100"/>
    </row>
    <row r="40" spans="2:11" s="1" customFormat="1" ht="17.100000000000001" customHeight="1">
      <c r="B40" s="13"/>
      <c r="C40" s="13"/>
      <c r="D40" s="13"/>
      <c r="E40" s="24"/>
      <c r="F40" s="13"/>
      <c r="G40" s="51"/>
      <c r="H40" s="51"/>
      <c r="I40" s="51"/>
      <c r="J40" s="51"/>
      <c r="K40" s="7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>
      <c r="B43" s="49"/>
    </row>
    <row r="44" spans="2:11" ht="17.100000000000001" customHeight="1">
      <c r="B44" s="49"/>
    </row>
    <row r="45" spans="2:11" ht="17.100000000000001" customHeight="1">
      <c r="B45" s="49"/>
    </row>
    <row r="46" spans="2:11" ht="17.100000000000001" customHeight="1">
      <c r="B46" s="49"/>
    </row>
    <row r="47" spans="2:11" ht="17.100000000000001" customHeight="1">
      <c r="B47" s="49"/>
    </row>
    <row r="48" spans="2:11" ht="17.100000000000001" customHeight="1">
      <c r="B48" s="49"/>
    </row>
    <row r="49" spans="2:2" ht="17.100000000000001" customHeight="1">
      <c r="B49" s="49"/>
    </row>
    <row r="50" spans="2:2" ht="17.100000000000001" customHeight="1">
      <c r="B50" s="49"/>
    </row>
    <row r="51" spans="2:2" ht="17.100000000000001" customHeight="1"/>
    <row r="52" spans="2:2" ht="17.100000000000001" customHeight="1"/>
    <row r="53" spans="2:2" ht="17.100000000000001" customHeight="1"/>
    <row r="54" spans="2:2" ht="17.100000000000001" customHeight="1"/>
    <row r="55" spans="2:2" ht="17.100000000000001" customHeight="1"/>
    <row r="56" spans="2:2" ht="17.100000000000001" customHeight="1"/>
    <row r="57" spans="2:2" ht="17.100000000000001" customHeight="1"/>
    <row r="58" spans="2:2" ht="17.100000000000001" customHeight="1"/>
    <row r="59" spans="2:2" ht="17.100000000000001" customHeight="1"/>
    <row r="60" spans="2:2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B2:M59"/>
  <sheetViews>
    <sheetView topLeftCell="G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s="65" customFormat="1" ht="15" customHeight="1">
      <c r="B2" s="447" t="s">
        <v>72</v>
      </c>
      <c r="C2" s="447"/>
      <c r="D2" s="447"/>
      <c r="E2" s="447"/>
      <c r="F2" s="447"/>
      <c r="G2" s="447"/>
      <c r="H2" s="141"/>
      <c r="I2" s="141"/>
      <c r="J2" s="122"/>
      <c r="K2" s="12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73</v>
      </c>
      <c r="C6" s="11" t="s">
        <v>3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506240</v>
      </c>
      <c r="H7" s="129">
        <f>SUM(H8:H10)</f>
        <v>506240</v>
      </c>
      <c r="I7" s="421">
        <v>376813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421870+2500+7200</f>
        <v>431570</v>
      </c>
      <c r="H8" s="131">
        <f>421870+2500+7200</f>
        <v>431570</v>
      </c>
      <c r="I8" s="422">
        <v>321133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69230+2500+2*1470</f>
        <v>74670</v>
      </c>
      <c r="H9" s="131">
        <f>69230+2500+2*1470</f>
        <v>74670</v>
      </c>
      <c r="I9" s="422">
        <v>55680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420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421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46050</v>
      </c>
      <c r="H12" s="129">
        <f>H13</f>
        <v>46050</v>
      </c>
      <c r="I12" s="421">
        <v>34547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44670+600+780</f>
        <v>46050</v>
      </c>
      <c r="H13" s="131">
        <f>44670+600+780</f>
        <v>46050</v>
      </c>
      <c r="I13" s="422">
        <v>34547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415"/>
      <c r="J14" s="20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122000</v>
      </c>
      <c r="H15" s="35">
        <f>SUM(H16:H25)</f>
        <v>122000</v>
      </c>
      <c r="I15" s="417">
        <v>66673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4000</v>
      </c>
      <c r="H16" s="33">
        <v>4000</v>
      </c>
      <c r="I16" s="416">
        <v>2874</v>
      </c>
      <c r="J16" s="33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3">
        <v>31000</v>
      </c>
      <c r="H17" s="33">
        <v>31000</v>
      </c>
      <c r="I17" s="416">
        <v>10261</v>
      </c>
      <c r="J17" s="33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3">
        <v>17000</v>
      </c>
      <c r="H18" s="33">
        <v>17000</v>
      </c>
      <c r="I18" s="416">
        <v>8724</v>
      </c>
      <c r="J18" s="33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3">
        <v>7000</v>
      </c>
      <c r="H19" s="33">
        <v>7000</v>
      </c>
      <c r="I19" s="416">
        <v>4188</v>
      </c>
      <c r="J19" s="33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69">
        <v>5000</v>
      </c>
      <c r="H20" s="69">
        <v>5000</v>
      </c>
      <c r="I20" s="419">
        <v>2786</v>
      </c>
      <c r="J20" s="69"/>
      <c r="K20" s="84">
        <f t="shared" si="0"/>
        <v>0</v>
      </c>
      <c r="L20" s="49"/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416">
        <v>0</v>
      </c>
      <c r="J21" s="33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69">
        <v>7000</v>
      </c>
      <c r="H22" s="69">
        <v>7000</v>
      </c>
      <c r="I22" s="419">
        <v>5276</v>
      </c>
      <c r="J22" s="69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69">
        <v>1000</v>
      </c>
      <c r="H23" s="69">
        <v>1000</v>
      </c>
      <c r="I23" s="419">
        <v>0</v>
      </c>
      <c r="J23" s="69"/>
      <c r="K23" s="84">
        <f t="shared" si="0"/>
        <v>0</v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69">
        <v>50000</v>
      </c>
      <c r="H24" s="69">
        <v>50000</v>
      </c>
      <c r="I24" s="419">
        <v>32564</v>
      </c>
      <c r="J24" s="69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419">
        <v>0</v>
      </c>
      <c r="J25" s="69"/>
      <c r="K25" s="84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69"/>
      <c r="H26" s="69"/>
      <c r="I26" s="419"/>
      <c r="J26" s="69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35000</v>
      </c>
      <c r="H27" s="61">
        <f>SUM(H28:H29)</f>
        <v>35000</v>
      </c>
      <c r="I27" s="418">
        <v>1580</v>
      </c>
      <c r="J27" s="61">
        <f>SUM(J28:J29)</f>
        <v>0</v>
      </c>
      <c r="K27" s="150">
        <f t="shared" si="0"/>
        <v>0</v>
      </c>
    </row>
    <row r="28" spans="2:12" ht="17.100000000000001" customHeight="1">
      <c r="B28" s="14"/>
      <c r="C28" s="15"/>
      <c r="D28" s="15"/>
      <c r="E28" s="16">
        <v>821200</v>
      </c>
      <c r="F28" s="15" t="s">
        <v>13</v>
      </c>
      <c r="G28" s="69">
        <v>30000</v>
      </c>
      <c r="H28" s="69">
        <v>30000</v>
      </c>
      <c r="I28" s="419">
        <v>0</v>
      </c>
      <c r="J28" s="69"/>
      <c r="K28" s="84">
        <f t="shared" si="0"/>
        <v>0</v>
      </c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69">
        <v>5000</v>
      </c>
      <c r="H29" s="69">
        <v>5000</v>
      </c>
      <c r="I29" s="419">
        <v>1580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15"/>
      <c r="G30" s="33"/>
      <c r="H30" s="33"/>
      <c r="I30" s="416"/>
      <c r="J30" s="33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20">
        <v>16</v>
      </c>
      <c r="H31" s="20">
        <v>16</v>
      </c>
      <c r="I31" s="415">
        <v>16</v>
      </c>
      <c r="J31" s="20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709290</v>
      </c>
      <c r="H32" s="20">
        <f>H7+H12+H15+H27</f>
        <v>709290</v>
      </c>
      <c r="I32" s="20">
        <f t="shared" ref="I32" si="1">I7+I12+I15+I27</f>
        <v>479613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709290</v>
      </c>
      <c r="H33" s="20">
        <f>H32</f>
        <v>709290</v>
      </c>
      <c r="I33" s="20">
        <f t="shared" ref="I33" si="2">I32</f>
        <v>479613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</f>
        <v>709290</v>
      </c>
      <c r="H34" s="20">
        <f>H33</f>
        <v>709290</v>
      </c>
      <c r="I34" s="20">
        <f t="shared" ref="I34" si="3">I33</f>
        <v>479613</v>
      </c>
      <c r="J34" s="20">
        <f>J33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/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B2:M59"/>
  <sheetViews>
    <sheetView topLeftCell="G4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s="65" customFormat="1" ht="15" customHeight="1">
      <c r="B2" s="447" t="s">
        <v>123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74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67890</v>
      </c>
      <c r="H7" s="129">
        <f>SUM(H8:H10)</f>
        <v>67890</v>
      </c>
      <c r="I7" s="430">
        <v>49507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56140+500+1690</f>
        <v>58330</v>
      </c>
      <c r="H8" s="128">
        <f>56140+500+1690</f>
        <v>58330</v>
      </c>
      <c r="I8" s="429">
        <v>42767</v>
      </c>
      <c r="J8" s="128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28">
        <f>9060+500</f>
        <v>9560</v>
      </c>
      <c r="H9" s="128">
        <f>9060+500</f>
        <v>9560</v>
      </c>
      <c r="I9" s="429">
        <v>6740</v>
      </c>
      <c r="J9" s="128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26" t="s">
        <v>168</v>
      </c>
      <c r="G10" s="128">
        <v>0</v>
      </c>
      <c r="H10" s="128">
        <v>0</v>
      </c>
      <c r="I10" s="429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430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6270</v>
      </c>
      <c r="H12" s="129">
        <f>H13</f>
        <v>6270</v>
      </c>
      <c r="I12" s="430">
        <v>4552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28">
        <f>5990+100+180</f>
        <v>6270</v>
      </c>
      <c r="H13" s="128">
        <f>5990+100+180</f>
        <v>6270</v>
      </c>
      <c r="I13" s="429">
        <v>4552</v>
      </c>
      <c r="J13" s="12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5"/>
      <c r="H14" s="35"/>
      <c r="I14" s="425"/>
      <c r="J14" s="35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8200</v>
      </c>
      <c r="H15" s="35">
        <f>SUM(H16:H25)</f>
        <v>8200</v>
      </c>
      <c r="I15" s="425">
        <v>3629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2">
        <v>1000</v>
      </c>
      <c r="H16" s="32">
        <v>1000</v>
      </c>
      <c r="I16" s="424">
        <v>0</v>
      </c>
      <c r="J16" s="32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2">
        <v>0</v>
      </c>
      <c r="H17" s="32">
        <v>0</v>
      </c>
      <c r="I17" s="424">
        <v>0</v>
      </c>
      <c r="J17" s="32"/>
      <c r="K17" s="84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50">
        <v>4000</v>
      </c>
      <c r="H18" s="50">
        <v>4000</v>
      </c>
      <c r="I18" s="426">
        <v>2333</v>
      </c>
      <c r="J18" s="50"/>
      <c r="K18" s="84">
        <f t="shared" si="0"/>
        <v>0</v>
      </c>
      <c r="L18" s="49"/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2">
        <v>1200</v>
      </c>
      <c r="H19" s="32">
        <v>1200</v>
      </c>
      <c r="I19" s="424">
        <v>643</v>
      </c>
      <c r="J19" s="32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32">
        <v>0</v>
      </c>
      <c r="H20" s="32">
        <v>0</v>
      </c>
      <c r="I20" s="424">
        <v>0</v>
      </c>
      <c r="J20" s="32"/>
      <c r="K20" s="84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32">
        <v>0</v>
      </c>
      <c r="H21" s="32">
        <v>0</v>
      </c>
      <c r="I21" s="424">
        <v>0</v>
      </c>
      <c r="J21" s="32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50">
        <v>500</v>
      </c>
      <c r="H22" s="50">
        <v>500</v>
      </c>
      <c r="I22" s="426">
        <v>207</v>
      </c>
      <c r="J22" s="50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50">
        <v>0</v>
      </c>
      <c r="H23" s="50">
        <v>0</v>
      </c>
      <c r="I23" s="426">
        <v>0</v>
      </c>
      <c r="J23" s="50"/>
      <c r="K23" s="84" t="str">
        <f t="shared" si="0"/>
        <v/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50">
        <v>1500</v>
      </c>
      <c r="H24" s="50">
        <v>1500</v>
      </c>
      <c r="I24" s="426">
        <v>446</v>
      </c>
      <c r="J24" s="50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26" t="s">
        <v>169</v>
      </c>
      <c r="G25" s="69">
        <v>0</v>
      </c>
      <c r="H25" s="69">
        <v>0</v>
      </c>
      <c r="I25" s="428">
        <v>0</v>
      </c>
      <c r="J25" s="69"/>
      <c r="K25" s="84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61"/>
      <c r="H26" s="61"/>
      <c r="I26" s="427"/>
      <c r="J26" s="61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G28+G29</f>
        <v>500</v>
      </c>
      <c r="H27" s="61">
        <f>H28+H29</f>
        <v>500</v>
      </c>
      <c r="I27" s="427">
        <v>0</v>
      </c>
      <c r="J27" s="61">
        <f>J28+J29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821200</v>
      </c>
      <c r="F28" s="15" t="s">
        <v>13</v>
      </c>
      <c r="G28" s="50">
        <v>0</v>
      </c>
      <c r="H28" s="50">
        <v>0</v>
      </c>
      <c r="I28" s="426">
        <v>0</v>
      </c>
      <c r="J28" s="50"/>
      <c r="K28" s="84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50">
        <v>500</v>
      </c>
      <c r="H29" s="50">
        <v>500</v>
      </c>
      <c r="I29" s="426">
        <v>0</v>
      </c>
      <c r="J29" s="50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423"/>
      <c r="J30" s="20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20">
        <v>3</v>
      </c>
      <c r="H31" s="20">
        <v>3</v>
      </c>
      <c r="I31" s="423">
        <v>3</v>
      </c>
      <c r="J31" s="20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82860</v>
      </c>
      <c r="H32" s="20">
        <f>H7+H12+H15+H27</f>
        <v>82860</v>
      </c>
      <c r="I32" s="20">
        <f t="shared" ref="I32" si="1">I7+I12+I15+I27</f>
        <v>57688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82860</v>
      </c>
      <c r="H33" s="20">
        <f>H32</f>
        <v>82860</v>
      </c>
      <c r="I33" s="20">
        <f t="shared" ref="I33" si="2">I32</f>
        <v>57688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</f>
        <v>82860</v>
      </c>
      <c r="H34" s="20">
        <f>H33</f>
        <v>82860</v>
      </c>
      <c r="I34" s="20">
        <f t="shared" ref="I34" si="3">I33</f>
        <v>57688</v>
      </c>
      <c r="J34" s="20">
        <f>J33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B2:M59"/>
  <sheetViews>
    <sheetView topLeftCell="G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76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75</v>
      </c>
      <c r="C6" s="11" t="s">
        <v>3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460210</v>
      </c>
      <c r="H7" s="129">
        <f>SUM(H8:H10)</f>
        <v>460210</v>
      </c>
      <c r="I7" s="437">
        <v>336445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390480+2500+5820</f>
        <v>398800</v>
      </c>
      <c r="H8" s="131">
        <f>390480+2500+5820</f>
        <v>398800</v>
      </c>
      <c r="I8" s="438">
        <v>294329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58910+2500</f>
        <v>61410</v>
      </c>
      <c r="H9" s="131">
        <f>58910+2500</f>
        <v>61410</v>
      </c>
      <c r="I9" s="438">
        <v>42116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26" t="s">
        <v>170</v>
      </c>
      <c r="G10" s="128">
        <v>0</v>
      </c>
      <c r="H10" s="128">
        <v>0</v>
      </c>
      <c r="I10" s="436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437"/>
      <c r="J11" s="129"/>
      <c r="K11" s="84" t="str">
        <f t="shared" si="0"/>
        <v/>
      </c>
      <c r="M11" s="49"/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42830</v>
      </c>
      <c r="H12" s="129">
        <f>H13</f>
        <v>42830</v>
      </c>
      <c r="I12" s="437">
        <v>31592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41500+700+630</f>
        <v>42830</v>
      </c>
      <c r="H13" s="131">
        <f>41500+700+630</f>
        <v>42830</v>
      </c>
      <c r="I13" s="438">
        <v>31592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20"/>
      <c r="H14" s="20"/>
      <c r="I14" s="431"/>
      <c r="J14" s="20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87000</v>
      </c>
      <c r="H15" s="35">
        <f>SUM(H16:H25)</f>
        <v>87000</v>
      </c>
      <c r="I15" s="433">
        <v>63913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3000</v>
      </c>
      <c r="H16" s="33">
        <v>3000</v>
      </c>
      <c r="I16" s="432">
        <v>1384</v>
      </c>
      <c r="J16" s="33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3">
        <v>4500</v>
      </c>
      <c r="H17" s="33">
        <v>4500</v>
      </c>
      <c r="I17" s="432">
        <v>3015</v>
      </c>
      <c r="J17" s="33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69">
        <v>14000</v>
      </c>
      <c r="H18" s="69">
        <v>14000</v>
      </c>
      <c r="I18" s="435">
        <v>7911</v>
      </c>
      <c r="J18" s="69"/>
      <c r="K18" s="84">
        <f t="shared" si="0"/>
        <v>0</v>
      </c>
      <c r="L18" s="49"/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3">
        <v>9000</v>
      </c>
      <c r="H19" s="33">
        <v>9000</v>
      </c>
      <c r="I19" s="432">
        <v>6934</v>
      </c>
      <c r="J19" s="33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69">
        <v>2500</v>
      </c>
      <c r="H20" s="69">
        <v>2500</v>
      </c>
      <c r="I20" s="435">
        <v>1251</v>
      </c>
      <c r="J20" s="69"/>
      <c r="K20" s="84">
        <f t="shared" si="0"/>
        <v>0</v>
      </c>
      <c r="L20" s="49"/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33">
        <v>0</v>
      </c>
      <c r="H21" s="33">
        <v>0</v>
      </c>
      <c r="I21" s="432">
        <v>0</v>
      </c>
      <c r="J21" s="33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69">
        <v>3000</v>
      </c>
      <c r="H22" s="69">
        <v>3000</v>
      </c>
      <c r="I22" s="435">
        <v>2172</v>
      </c>
      <c r="J22" s="69"/>
      <c r="K22" s="84">
        <f t="shared" si="0"/>
        <v>0</v>
      </c>
      <c r="L22" s="49"/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69">
        <v>1000</v>
      </c>
      <c r="H23" s="69">
        <v>1000</v>
      </c>
      <c r="I23" s="435">
        <v>293</v>
      </c>
      <c r="J23" s="69"/>
      <c r="K23" s="84">
        <f t="shared" si="0"/>
        <v>0</v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69">
        <v>50000</v>
      </c>
      <c r="H24" s="69">
        <v>50000</v>
      </c>
      <c r="I24" s="435">
        <v>40953</v>
      </c>
      <c r="J24" s="69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26" t="s">
        <v>171</v>
      </c>
      <c r="G25" s="69">
        <v>0</v>
      </c>
      <c r="H25" s="69">
        <v>0</v>
      </c>
      <c r="I25" s="435">
        <v>0</v>
      </c>
      <c r="J25" s="69"/>
      <c r="K25" s="84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69"/>
      <c r="H26" s="69"/>
      <c r="I26" s="435"/>
      <c r="J26" s="69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G28+G29</f>
        <v>3000</v>
      </c>
      <c r="H27" s="61">
        <f>H28+H29</f>
        <v>3000</v>
      </c>
      <c r="I27" s="434">
        <v>0</v>
      </c>
      <c r="J27" s="61">
        <f>J28+J29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821200</v>
      </c>
      <c r="F28" s="15" t="s">
        <v>13</v>
      </c>
      <c r="G28" s="69">
        <v>0</v>
      </c>
      <c r="H28" s="69">
        <v>0</v>
      </c>
      <c r="I28" s="435">
        <v>0</v>
      </c>
      <c r="J28" s="69"/>
      <c r="K28" s="84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69">
        <v>3000</v>
      </c>
      <c r="H29" s="69">
        <v>3000</v>
      </c>
      <c r="I29" s="435">
        <v>0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15"/>
      <c r="G30" s="33"/>
      <c r="H30" s="33"/>
      <c r="I30" s="432"/>
      <c r="J30" s="33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61">
        <v>13</v>
      </c>
      <c r="H31" s="61">
        <v>13</v>
      </c>
      <c r="I31" s="434">
        <v>13</v>
      </c>
      <c r="J31" s="61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593040</v>
      </c>
      <c r="H32" s="20">
        <f>H7+H12+H15+H27</f>
        <v>593040</v>
      </c>
      <c r="I32" s="20">
        <f t="shared" ref="I32" si="1">I7+I12+I15+I27</f>
        <v>431950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593040</v>
      </c>
      <c r="H33" s="20">
        <f>H32</f>
        <v>593040</v>
      </c>
      <c r="I33" s="20">
        <f t="shared" ref="I33" si="2">I32</f>
        <v>431950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</f>
        <v>593040</v>
      </c>
      <c r="H34" s="20">
        <f>H33</f>
        <v>593040</v>
      </c>
      <c r="I34" s="20">
        <f t="shared" ref="I34" si="3">I33</f>
        <v>431950</v>
      </c>
      <c r="J34" s="20">
        <f>J33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/>
  <dimension ref="B2:M59"/>
  <sheetViews>
    <sheetView tabSelected="1" topLeftCell="C1" zoomScaleNormal="100" workbookViewId="0">
      <selection activeCell="O13" sqref="O13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53" customWidth="1"/>
    <col min="9" max="9" width="11.28515625" style="53" customWidth="1"/>
    <col min="10" max="10" width="12.5703125" style="53" customWidth="1"/>
    <col min="11" max="11" width="7.7109375" style="76" customWidth="1"/>
    <col min="12" max="16384" width="9.140625" style="13"/>
  </cols>
  <sheetData>
    <row r="2" spans="2:13" ht="15" customHeight="1">
      <c r="B2" s="449" t="s">
        <v>99</v>
      </c>
      <c r="C2" s="449"/>
      <c r="D2" s="449"/>
      <c r="E2" s="449"/>
      <c r="F2" s="449"/>
      <c r="G2" s="449"/>
      <c r="H2" s="143"/>
      <c r="I2" s="143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98</v>
      </c>
      <c r="C6" s="11" t="s">
        <v>3</v>
      </c>
      <c r="D6" s="11" t="s">
        <v>4</v>
      </c>
      <c r="E6" s="9"/>
      <c r="F6" s="9"/>
      <c r="G6" s="96"/>
      <c r="H6" s="96"/>
      <c r="I6" s="96"/>
      <c r="J6" s="96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SUM(G8:G10)</f>
        <v>376990</v>
      </c>
      <c r="H7" s="129">
        <f>SUM(H8:H10)</f>
        <v>376990</v>
      </c>
      <c r="I7" s="445">
        <v>252160</v>
      </c>
      <c r="J7" s="129">
        <f>SUM(J8:J10)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1">
        <f>262650+1500+21000+2*13400+7880+1440</f>
        <v>321270</v>
      </c>
      <c r="H8" s="131">
        <f>262650+1500+21000+2*13400+7880+1440</f>
        <v>321270</v>
      </c>
      <c r="I8" s="446">
        <v>215596</v>
      </c>
      <c r="J8" s="131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1">
        <f>45750+1500+1470+3000+2*2000</f>
        <v>55720</v>
      </c>
      <c r="H9" s="131">
        <f>45750+1500+1470+3000+2*2000</f>
        <v>55720</v>
      </c>
      <c r="I9" s="446">
        <v>36564</v>
      </c>
      <c r="J9" s="131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444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15"/>
      <c r="G11" s="129"/>
      <c r="H11" s="129"/>
      <c r="I11" s="445"/>
      <c r="J11" s="129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35290</v>
      </c>
      <c r="H12" s="129">
        <f>H13</f>
        <v>35290</v>
      </c>
      <c r="I12" s="445">
        <v>23036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1">
        <f>28710+300+2310+2*1470+870+160</f>
        <v>35290</v>
      </c>
      <c r="H13" s="131">
        <f>28710+300+2310+2*1470+870+160</f>
        <v>35290</v>
      </c>
      <c r="I13" s="446">
        <v>23036</v>
      </c>
      <c r="J13" s="131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3"/>
      <c r="H14" s="33"/>
      <c r="I14" s="440"/>
      <c r="J14" s="33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29700</v>
      </c>
      <c r="H15" s="35">
        <f>SUM(H16:H25)</f>
        <v>29700</v>
      </c>
      <c r="I15" s="441">
        <v>16605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3">
        <v>2500</v>
      </c>
      <c r="H16" s="33">
        <v>2500</v>
      </c>
      <c r="I16" s="440">
        <v>845</v>
      </c>
      <c r="J16" s="33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3">
        <v>7000</v>
      </c>
      <c r="H17" s="33">
        <v>7000</v>
      </c>
      <c r="I17" s="440">
        <v>3233</v>
      </c>
      <c r="J17" s="33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3">
        <v>5500</v>
      </c>
      <c r="H18" s="33">
        <v>5500</v>
      </c>
      <c r="I18" s="440">
        <v>4778</v>
      </c>
      <c r="J18" s="33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3">
        <v>1500</v>
      </c>
      <c r="H19" s="33">
        <v>1500</v>
      </c>
      <c r="I19" s="440">
        <v>393</v>
      </c>
      <c r="J19" s="33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33">
        <v>5500</v>
      </c>
      <c r="H20" s="33">
        <v>5500</v>
      </c>
      <c r="I20" s="440">
        <v>3290</v>
      </c>
      <c r="J20" s="33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69">
        <v>0</v>
      </c>
      <c r="H21" s="69">
        <v>0</v>
      </c>
      <c r="I21" s="443">
        <v>0</v>
      </c>
      <c r="J21" s="69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69">
        <v>4000</v>
      </c>
      <c r="H22" s="69">
        <v>4000</v>
      </c>
      <c r="I22" s="443">
        <v>1549</v>
      </c>
      <c r="J22" s="69"/>
      <c r="K22" s="84">
        <f t="shared" si="0"/>
        <v>0</v>
      </c>
      <c r="L22" s="49"/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69">
        <v>1200</v>
      </c>
      <c r="H23" s="69">
        <v>1200</v>
      </c>
      <c r="I23" s="443">
        <v>888</v>
      </c>
      <c r="J23" s="69"/>
      <c r="K23" s="84">
        <f t="shared" si="0"/>
        <v>0</v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69">
        <v>2500</v>
      </c>
      <c r="H24" s="69">
        <v>2500</v>
      </c>
      <c r="I24" s="443">
        <v>1629</v>
      </c>
      <c r="J24" s="69"/>
      <c r="K24" s="84">
        <f t="shared" si="0"/>
        <v>0</v>
      </c>
      <c r="L24" s="49"/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443">
        <v>0</v>
      </c>
      <c r="J25" s="69"/>
      <c r="K25" s="84" t="str">
        <f t="shared" si="0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69"/>
      <c r="H26" s="69"/>
      <c r="I26" s="443"/>
      <c r="J26" s="69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2000</v>
      </c>
      <c r="H27" s="61">
        <f>SUM(H28:H29)</f>
        <v>2000</v>
      </c>
      <c r="I27" s="442">
        <v>734</v>
      </c>
      <c r="J27" s="61">
        <f>SUM(J28:J29)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821200</v>
      </c>
      <c r="F28" s="15" t="s">
        <v>13</v>
      </c>
      <c r="G28" s="69">
        <v>0</v>
      </c>
      <c r="H28" s="69">
        <v>0</v>
      </c>
      <c r="I28" s="443">
        <v>0</v>
      </c>
      <c r="J28" s="69"/>
      <c r="K28" s="84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69">
        <v>2000</v>
      </c>
      <c r="H29" s="69">
        <v>2000</v>
      </c>
      <c r="I29" s="443">
        <v>734</v>
      </c>
      <c r="J29" s="69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15"/>
      <c r="G30" s="69"/>
      <c r="H30" s="69"/>
      <c r="I30" s="443"/>
      <c r="J30" s="69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20">
        <v>14</v>
      </c>
      <c r="H31" s="20">
        <v>14</v>
      </c>
      <c r="I31" s="439">
        <v>13</v>
      </c>
      <c r="J31" s="20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443980</v>
      </c>
      <c r="H32" s="20">
        <f>H7+H12+H15+H27</f>
        <v>443980</v>
      </c>
      <c r="I32" s="20">
        <f t="shared" ref="I32" si="1">I7+I12+I15+I27</f>
        <v>292535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443980</v>
      </c>
      <c r="H33" s="20">
        <f>H32</f>
        <v>443980</v>
      </c>
      <c r="I33" s="20">
        <f t="shared" ref="I33" si="2">I32</f>
        <v>292535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</f>
        <v>443980</v>
      </c>
      <c r="H34" s="20">
        <f>H33</f>
        <v>443980</v>
      </c>
      <c r="I34" s="20">
        <f t="shared" ref="I34" si="3">I33</f>
        <v>292535</v>
      </c>
      <c r="J34" s="20">
        <f>J33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34"/>
      <c r="H35" s="34"/>
      <c r="I35" s="34"/>
      <c r="J35" s="34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G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N59"/>
  <sheetViews>
    <sheetView topLeftCell="G7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4" s="65" customFormat="1" ht="15" customHeight="1">
      <c r="B2" s="447" t="s">
        <v>40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4" s="1" customFormat="1" ht="16.5" thickBot="1">
      <c r="E3" s="2"/>
      <c r="F3" s="448"/>
      <c r="G3" s="448"/>
      <c r="H3" s="142"/>
      <c r="I3" s="142"/>
      <c r="J3" s="102"/>
      <c r="K3" s="103"/>
    </row>
    <row r="4" spans="2:14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4" s="2" customFormat="1" ht="17.100000000000001" customHeight="1">
      <c r="B6" s="10" t="s">
        <v>37</v>
      </c>
      <c r="C6" s="11" t="s">
        <v>3</v>
      </c>
      <c r="D6" s="11" t="s">
        <v>35</v>
      </c>
      <c r="E6" s="9"/>
      <c r="F6" s="9"/>
      <c r="G6" s="9"/>
      <c r="H6" s="9"/>
      <c r="I6" s="9"/>
      <c r="J6" s="9"/>
      <c r="K6" s="82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55690</v>
      </c>
      <c r="H7" s="129">
        <f>SUM(H8:H11)</f>
        <v>55690</v>
      </c>
      <c r="I7" s="179">
        <v>15474</v>
      </c>
      <c r="J7" s="129">
        <f>SUM(J8:J11)</f>
        <v>0</v>
      </c>
      <c r="K7" s="120">
        <f>IF(H7=0,"",J7/H7*100)</f>
        <v>0</v>
      </c>
    </row>
    <row r="8" spans="2:14" ht="17.100000000000001" customHeight="1">
      <c r="B8" s="14"/>
      <c r="C8" s="15"/>
      <c r="D8" s="15"/>
      <c r="E8" s="16">
        <v>611100</v>
      </c>
      <c r="F8" s="26" t="s">
        <v>105</v>
      </c>
      <c r="G8" s="128">
        <f>16760+300+18940+9100+510+840</f>
        <v>46450</v>
      </c>
      <c r="H8" s="128">
        <f>16760+300+18940+9100+510+840</f>
        <v>46450</v>
      </c>
      <c r="I8" s="178">
        <v>12734</v>
      </c>
      <c r="J8" s="128"/>
      <c r="K8" s="84">
        <f>IF(H8=0,"",J8/H8*100)</f>
        <v>0</v>
      </c>
    </row>
    <row r="9" spans="2:14" ht="17.100000000000001" customHeight="1">
      <c r="B9" s="14"/>
      <c r="C9" s="15"/>
      <c r="D9" s="15"/>
      <c r="E9" s="16">
        <v>611200</v>
      </c>
      <c r="F9" s="15" t="s">
        <v>106</v>
      </c>
      <c r="G9" s="128">
        <f>3640+200+2*2700</f>
        <v>9240</v>
      </c>
      <c r="H9" s="128">
        <f>3640+200+2*2700</f>
        <v>9240</v>
      </c>
      <c r="I9" s="178">
        <v>2740</v>
      </c>
      <c r="J9" s="128"/>
      <c r="K9" s="84">
        <f t="shared" ref="K9:K32" si="0">IF(H9=0,"",J9/H9*100)</f>
        <v>0</v>
      </c>
    </row>
    <row r="10" spans="2:14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178">
        <v>0</v>
      </c>
      <c r="J10" s="128"/>
      <c r="K10" s="84" t="str">
        <f t="shared" si="0"/>
        <v/>
      </c>
      <c r="M10" s="52"/>
    </row>
    <row r="11" spans="2:14" ht="17.100000000000001" customHeight="1">
      <c r="B11" s="14"/>
      <c r="C11" s="15"/>
      <c r="D11" s="15"/>
      <c r="E11" s="16"/>
      <c r="F11" s="26"/>
      <c r="G11" s="128"/>
      <c r="H11" s="128"/>
      <c r="I11" s="178"/>
      <c r="J11" s="128"/>
      <c r="K11" s="84" t="str">
        <f t="shared" si="0"/>
        <v/>
      </c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6350</v>
      </c>
      <c r="H12" s="129">
        <f>H13</f>
        <v>6350</v>
      </c>
      <c r="I12" s="179">
        <v>1358</v>
      </c>
      <c r="J12" s="129">
        <f>J13</f>
        <v>0</v>
      </c>
      <c r="K12" s="120">
        <f t="shared" si="0"/>
        <v>0</v>
      </c>
      <c r="N12" s="56"/>
    </row>
    <row r="13" spans="2:14" ht="17.100000000000001" customHeight="1">
      <c r="B13" s="14"/>
      <c r="C13" s="15"/>
      <c r="D13" s="15"/>
      <c r="E13" s="16">
        <v>612100</v>
      </c>
      <c r="F13" s="18" t="s">
        <v>5</v>
      </c>
      <c r="G13" s="128">
        <f>3020+100+2080+1000+60+90</f>
        <v>6350</v>
      </c>
      <c r="H13" s="128">
        <f>3020+100+2080+1000+60+90</f>
        <v>6350</v>
      </c>
      <c r="I13" s="178">
        <v>1358</v>
      </c>
      <c r="J13" s="128"/>
      <c r="K13" s="84">
        <f t="shared" si="0"/>
        <v>0</v>
      </c>
      <c r="N13" s="49"/>
    </row>
    <row r="14" spans="2:14" ht="17.100000000000001" customHeight="1">
      <c r="B14" s="14"/>
      <c r="C14" s="15"/>
      <c r="D14" s="15"/>
      <c r="E14" s="16"/>
      <c r="F14" s="15"/>
      <c r="G14" s="32"/>
      <c r="H14" s="32"/>
      <c r="I14" s="174"/>
      <c r="J14" s="32"/>
      <c r="K14" s="84" t="str">
        <f t="shared" si="0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4000</v>
      </c>
      <c r="H15" s="35">
        <f>SUM(H16:H25)</f>
        <v>4750</v>
      </c>
      <c r="I15" s="175">
        <v>3237</v>
      </c>
      <c r="J15" s="35">
        <f>SUM(J16:J25)</f>
        <v>0</v>
      </c>
      <c r="K15" s="120">
        <f t="shared" si="0"/>
        <v>0</v>
      </c>
    </row>
    <row r="16" spans="2:14" ht="17.100000000000001" customHeight="1">
      <c r="B16" s="14"/>
      <c r="C16" s="15"/>
      <c r="D16" s="15"/>
      <c r="E16" s="16">
        <v>613100</v>
      </c>
      <c r="F16" s="15" t="s">
        <v>6</v>
      </c>
      <c r="G16" s="32">
        <v>500</v>
      </c>
      <c r="H16" s="32">
        <v>500</v>
      </c>
      <c r="I16" s="174">
        <v>278</v>
      </c>
      <c r="J16" s="32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2">
        <v>0</v>
      </c>
      <c r="H17" s="32">
        <v>0</v>
      </c>
      <c r="I17" s="174">
        <v>0</v>
      </c>
      <c r="J17" s="32"/>
      <c r="K17" s="84" t="str">
        <f t="shared" si="0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2">
        <v>1100</v>
      </c>
      <c r="H18" s="32">
        <v>1100</v>
      </c>
      <c r="I18" s="174">
        <v>610</v>
      </c>
      <c r="J18" s="32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2">
        <v>0</v>
      </c>
      <c r="H19" s="32">
        <v>0</v>
      </c>
      <c r="I19" s="174">
        <v>0</v>
      </c>
      <c r="J19" s="32"/>
      <c r="K19" s="84" t="str">
        <f t="shared" si="0"/>
        <v/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32">
        <v>0</v>
      </c>
      <c r="H20" s="32">
        <v>0</v>
      </c>
      <c r="I20" s="174">
        <v>0</v>
      </c>
      <c r="J20" s="32"/>
      <c r="K20" s="84" t="str">
        <f t="shared" si="0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32">
        <v>0</v>
      </c>
      <c r="H21" s="32">
        <v>0</v>
      </c>
      <c r="I21" s="174">
        <v>0</v>
      </c>
      <c r="J21" s="32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32">
        <v>400</v>
      </c>
      <c r="H22" s="32">
        <v>400</v>
      </c>
      <c r="I22" s="174">
        <v>0</v>
      </c>
      <c r="J22" s="32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32">
        <v>0</v>
      </c>
      <c r="H23" s="32">
        <v>0</v>
      </c>
      <c r="I23" s="174">
        <v>0</v>
      </c>
      <c r="J23" s="32"/>
      <c r="K23" s="84" t="str">
        <f t="shared" si="0"/>
        <v/>
      </c>
      <c r="L23" s="49"/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50">
        <v>2000</v>
      </c>
      <c r="H24" s="50">
        <v>2750</v>
      </c>
      <c r="I24" s="176">
        <v>2349</v>
      </c>
      <c r="J24" s="50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32">
        <v>0</v>
      </c>
      <c r="H25" s="32">
        <v>0</v>
      </c>
      <c r="I25" s="174">
        <v>0</v>
      </c>
      <c r="J25" s="32"/>
      <c r="K25" s="84" t="str">
        <f t="shared" si="0"/>
        <v/>
      </c>
    </row>
    <row r="26" spans="2:12" ht="17.100000000000001" customHeight="1">
      <c r="B26" s="14"/>
      <c r="C26" s="15"/>
      <c r="D26" s="15"/>
      <c r="E26" s="16"/>
      <c r="F26" s="15"/>
      <c r="G26" s="20"/>
      <c r="H26" s="20"/>
      <c r="I26" s="173"/>
      <c r="J26" s="20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39">
        <v>614000</v>
      </c>
      <c r="F27" s="12" t="s">
        <v>109</v>
      </c>
      <c r="G27" s="20">
        <f>G28</f>
        <v>20000</v>
      </c>
      <c r="H27" s="20">
        <f>H28</f>
        <v>20000</v>
      </c>
      <c r="I27" s="173">
        <v>0</v>
      </c>
      <c r="J27" s="20">
        <f>J28</f>
        <v>0</v>
      </c>
      <c r="K27" s="120">
        <f t="shared" si="0"/>
        <v>0</v>
      </c>
    </row>
    <row r="28" spans="2:12" ht="17.100000000000001" customHeight="1">
      <c r="B28" s="14"/>
      <c r="C28" s="15"/>
      <c r="D28" s="29"/>
      <c r="E28" s="41">
        <v>614200</v>
      </c>
      <c r="F28" s="38" t="s">
        <v>21</v>
      </c>
      <c r="G28" s="50">
        <v>20000</v>
      </c>
      <c r="H28" s="50">
        <v>20000</v>
      </c>
      <c r="I28" s="176">
        <v>0</v>
      </c>
      <c r="J28" s="50"/>
      <c r="K28" s="84">
        <f t="shared" si="0"/>
        <v>0</v>
      </c>
    </row>
    <row r="29" spans="2:12" ht="17.100000000000001" customHeight="1">
      <c r="B29" s="14"/>
      <c r="C29" s="15"/>
      <c r="D29" s="15"/>
      <c r="E29" s="40"/>
      <c r="F29" s="15"/>
      <c r="G29" s="32"/>
      <c r="H29" s="32"/>
      <c r="I29" s="174"/>
      <c r="J29" s="32"/>
      <c r="K29" s="84" t="str">
        <f t="shared" si="0"/>
        <v/>
      </c>
    </row>
    <row r="30" spans="2:12" s="1" customFormat="1" ht="17.100000000000001" customHeight="1">
      <c r="B30" s="17"/>
      <c r="C30" s="12"/>
      <c r="D30" s="12"/>
      <c r="E30" s="9">
        <v>821000</v>
      </c>
      <c r="F30" s="12" t="s">
        <v>12</v>
      </c>
      <c r="G30" s="20">
        <f>SUM(G31:G32)</f>
        <v>1000</v>
      </c>
      <c r="H30" s="20">
        <f>SUM(H31:H32)</f>
        <v>1000</v>
      </c>
      <c r="I30" s="173">
        <v>0</v>
      </c>
      <c r="J30" s="20">
        <f>SUM(J31:J32)</f>
        <v>0</v>
      </c>
      <c r="K30" s="120">
        <f t="shared" si="0"/>
        <v>0</v>
      </c>
    </row>
    <row r="31" spans="2:12" ht="17.100000000000001" customHeight="1">
      <c r="B31" s="14"/>
      <c r="C31" s="15"/>
      <c r="D31" s="15"/>
      <c r="E31" s="16">
        <v>821200</v>
      </c>
      <c r="F31" s="15" t="s">
        <v>13</v>
      </c>
      <c r="G31" s="50">
        <v>0</v>
      </c>
      <c r="H31" s="50">
        <v>0</v>
      </c>
      <c r="I31" s="176">
        <v>0</v>
      </c>
      <c r="J31" s="50"/>
      <c r="K31" s="84" t="str">
        <f t="shared" si="0"/>
        <v/>
      </c>
    </row>
    <row r="32" spans="2:12" ht="17.100000000000001" customHeight="1">
      <c r="B32" s="14"/>
      <c r="C32" s="15"/>
      <c r="D32" s="15"/>
      <c r="E32" s="16">
        <v>821300</v>
      </c>
      <c r="F32" s="15" t="s">
        <v>14</v>
      </c>
      <c r="G32" s="32">
        <v>1000</v>
      </c>
      <c r="H32" s="32">
        <v>1000</v>
      </c>
      <c r="I32" s="174">
        <v>0</v>
      </c>
      <c r="J32" s="32"/>
      <c r="K32" s="84">
        <f t="shared" si="0"/>
        <v>0</v>
      </c>
    </row>
    <row r="33" spans="2:11" ht="17.100000000000001" customHeight="1">
      <c r="B33" s="14"/>
      <c r="C33" s="15"/>
      <c r="D33" s="15"/>
      <c r="E33" s="16"/>
      <c r="F33" s="15"/>
      <c r="G33" s="32"/>
      <c r="H33" s="32"/>
      <c r="I33" s="174"/>
      <c r="J33" s="32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15</v>
      </c>
      <c r="G34" s="61">
        <v>3</v>
      </c>
      <c r="H34" s="61">
        <v>3</v>
      </c>
      <c r="I34" s="177">
        <v>1</v>
      </c>
      <c r="J34" s="61"/>
      <c r="K34" s="84"/>
    </row>
    <row r="35" spans="2:11" s="1" customFormat="1" ht="17.100000000000001" customHeight="1">
      <c r="B35" s="17"/>
      <c r="C35" s="12"/>
      <c r="D35" s="12"/>
      <c r="E35" s="9"/>
      <c r="F35" s="12" t="s">
        <v>31</v>
      </c>
      <c r="G35" s="20">
        <f>G30+G27+G15+G12+G7</f>
        <v>87040</v>
      </c>
      <c r="H35" s="20">
        <f>H30+H27+H15+H12+H7</f>
        <v>87790</v>
      </c>
      <c r="I35" s="20">
        <f t="shared" ref="I35" si="1">I30+I27+I15+I12+I7</f>
        <v>20069</v>
      </c>
      <c r="J35" s="20">
        <f>J30+J27+J15+J12+J7</f>
        <v>0</v>
      </c>
      <c r="K35" s="120">
        <f>IF(H35=0,"",J35/H35*100)</f>
        <v>0</v>
      </c>
    </row>
    <row r="36" spans="2:11" s="1" customFormat="1" ht="17.100000000000001" customHeight="1">
      <c r="B36" s="17"/>
      <c r="C36" s="12"/>
      <c r="D36" s="12"/>
      <c r="E36" s="9"/>
      <c r="F36" s="12" t="s">
        <v>16</v>
      </c>
      <c r="G36" s="20"/>
      <c r="H36" s="20"/>
      <c r="I36" s="20"/>
      <c r="J36" s="20"/>
      <c r="K36" s="86"/>
    </row>
    <row r="37" spans="2:11" s="1" customFormat="1" ht="17.100000000000001" customHeight="1">
      <c r="B37" s="17"/>
      <c r="C37" s="12"/>
      <c r="D37" s="12"/>
      <c r="E37" s="9"/>
      <c r="F37" s="12" t="s">
        <v>17</v>
      </c>
      <c r="G37" s="32"/>
      <c r="H37" s="32"/>
      <c r="I37" s="32"/>
      <c r="J37" s="32"/>
      <c r="K37" s="85"/>
    </row>
    <row r="38" spans="2:11" ht="17.100000000000001" customHeight="1" thickBot="1">
      <c r="B38" s="21"/>
      <c r="C38" s="22"/>
      <c r="D38" s="22"/>
      <c r="E38" s="23"/>
      <c r="F38" s="22"/>
      <c r="G38" s="22"/>
      <c r="H38" s="22"/>
      <c r="I38" s="22"/>
      <c r="J38" s="22"/>
      <c r="K38" s="87"/>
    </row>
    <row r="39" spans="2:11" ht="17.100000000000001" customHeight="1"/>
    <row r="40" spans="2:11" ht="17.100000000000001" customHeight="1">
      <c r="B40" s="49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M59"/>
  <sheetViews>
    <sheetView topLeftCell="G7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s="65" customFormat="1" ht="15" customHeight="1">
      <c r="B2" s="447" t="s">
        <v>41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37</v>
      </c>
      <c r="C6" s="11" t="s">
        <v>3</v>
      </c>
      <c r="D6" s="11" t="s">
        <v>42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47610</v>
      </c>
      <c r="H7" s="129">
        <f>SUM(H8:H11)</f>
        <v>47610</v>
      </c>
      <c r="I7" s="186">
        <v>23848</v>
      </c>
      <c r="J7" s="129">
        <f>SUM(J8:J11)</f>
        <v>0</v>
      </c>
      <c r="K7" s="120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28640+500+12300+860</f>
        <v>42300</v>
      </c>
      <c r="H8" s="128">
        <f>28640+500+12300+860</f>
        <v>42300</v>
      </c>
      <c r="I8" s="185">
        <v>21878</v>
      </c>
      <c r="J8" s="128"/>
      <c r="K8" s="84">
        <f>IF(H8=0,"",J8/H8*100)</f>
        <v>0</v>
      </c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28">
        <f>2710+100+2500</f>
        <v>5310</v>
      </c>
      <c r="H9" s="128">
        <f>2710+100+2500</f>
        <v>5310</v>
      </c>
      <c r="I9" s="185">
        <v>1970</v>
      </c>
      <c r="J9" s="128"/>
      <c r="K9" s="84">
        <f t="shared" ref="K9:K34" si="0">IF(H9=0,"",J9/H9*100)</f>
        <v>0</v>
      </c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185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28"/>
      <c r="H11" s="128"/>
      <c r="I11" s="185"/>
      <c r="J11" s="128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4660</v>
      </c>
      <c r="H12" s="129">
        <f>H13</f>
        <v>4660</v>
      </c>
      <c r="I12" s="186">
        <v>2317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28">
        <f>3020+200+1350+90</f>
        <v>4660</v>
      </c>
      <c r="H13" s="128">
        <f>3020+200+1350+90</f>
        <v>4660</v>
      </c>
      <c r="I13" s="185">
        <v>2317</v>
      </c>
      <c r="J13" s="12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2"/>
      <c r="H14" s="32"/>
      <c r="I14" s="181"/>
      <c r="J14" s="32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8300</v>
      </c>
      <c r="H15" s="35">
        <f>SUM(H16:H25)</f>
        <v>8300</v>
      </c>
      <c r="I15" s="183">
        <v>96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32">
        <v>300</v>
      </c>
      <c r="H16" s="32">
        <v>300</v>
      </c>
      <c r="I16" s="181">
        <v>25</v>
      </c>
      <c r="J16" s="32"/>
      <c r="K16" s="84">
        <f t="shared" si="0"/>
        <v>0</v>
      </c>
    </row>
    <row r="17" spans="2:13" ht="17.100000000000001" customHeight="1">
      <c r="B17" s="14"/>
      <c r="C17" s="15"/>
      <c r="D17" s="15"/>
      <c r="E17" s="16">
        <v>613200</v>
      </c>
      <c r="F17" s="15" t="s">
        <v>7</v>
      </c>
      <c r="G17" s="32">
        <v>0</v>
      </c>
      <c r="H17" s="32">
        <v>0</v>
      </c>
      <c r="I17" s="181">
        <v>0</v>
      </c>
      <c r="J17" s="32"/>
      <c r="K17" s="84" t="str">
        <f t="shared" si="0"/>
        <v/>
      </c>
    </row>
    <row r="18" spans="2:13" ht="17.100000000000001" customHeight="1">
      <c r="B18" s="14"/>
      <c r="C18" s="15"/>
      <c r="D18" s="15"/>
      <c r="E18" s="16">
        <v>613300</v>
      </c>
      <c r="F18" s="26" t="s">
        <v>107</v>
      </c>
      <c r="G18" s="32">
        <v>0</v>
      </c>
      <c r="H18" s="32">
        <v>0</v>
      </c>
      <c r="I18" s="181">
        <v>0</v>
      </c>
      <c r="J18" s="32"/>
      <c r="K18" s="84" t="str">
        <f t="shared" si="0"/>
        <v/>
      </c>
    </row>
    <row r="19" spans="2:13" ht="17.100000000000001" customHeight="1">
      <c r="B19" s="14"/>
      <c r="C19" s="15"/>
      <c r="D19" s="15"/>
      <c r="E19" s="16">
        <v>613400</v>
      </c>
      <c r="F19" s="15" t="s">
        <v>82</v>
      </c>
      <c r="G19" s="32">
        <v>0</v>
      </c>
      <c r="H19" s="32">
        <v>0</v>
      </c>
      <c r="I19" s="181">
        <v>0</v>
      </c>
      <c r="J19" s="32"/>
      <c r="K19" s="84" t="str">
        <f t="shared" si="0"/>
        <v/>
      </c>
    </row>
    <row r="20" spans="2:13" ht="17.100000000000001" customHeight="1">
      <c r="B20" s="14"/>
      <c r="C20" s="15"/>
      <c r="D20" s="15"/>
      <c r="E20" s="16">
        <v>613500</v>
      </c>
      <c r="F20" s="15" t="s">
        <v>8</v>
      </c>
      <c r="G20" s="32">
        <v>0</v>
      </c>
      <c r="H20" s="32">
        <v>0</v>
      </c>
      <c r="I20" s="181">
        <v>0</v>
      </c>
      <c r="J20" s="32"/>
      <c r="K20" s="84" t="str">
        <f t="shared" si="0"/>
        <v/>
      </c>
    </row>
    <row r="21" spans="2:13" ht="17.100000000000001" customHeight="1">
      <c r="B21" s="14"/>
      <c r="C21" s="15"/>
      <c r="D21" s="15"/>
      <c r="E21" s="16">
        <v>613600</v>
      </c>
      <c r="F21" s="26" t="s">
        <v>108</v>
      </c>
      <c r="G21" s="32">
        <v>0</v>
      </c>
      <c r="H21" s="32">
        <v>0</v>
      </c>
      <c r="I21" s="181">
        <v>0</v>
      </c>
      <c r="J21" s="32"/>
      <c r="K21" s="84" t="str">
        <f t="shared" si="0"/>
        <v/>
      </c>
    </row>
    <row r="22" spans="2:13" ht="17.100000000000001" customHeight="1">
      <c r="B22" s="14"/>
      <c r="C22" s="15"/>
      <c r="D22" s="15"/>
      <c r="E22" s="16">
        <v>613700</v>
      </c>
      <c r="F22" s="15" t="s">
        <v>9</v>
      </c>
      <c r="G22" s="32">
        <v>0</v>
      </c>
      <c r="H22" s="32">
        <v>0</v>
      </c>
      <c r="I22" s="181">
        <v>0</v>
      </c>
      <c r="J22" s="32"/>
      <c r="K22" s="84" t="str">
        <f t="shared" si="0"/>
        <v/>
      </c>
    </row>
    <row r="23" spans="2:13" ht="17.100000000000001" customHeight="1">
      <c r="B23" s="14"/>
      <c r="C23" s="15"/>
      <c r="D23" s="15"/>
      <c r="E23" s="16">
        <v>613800</v>
      </c>
      <c r="F23" s="15" t="s">
        <v>83</v>
      </c>
      <c r="G23" s="32">
        <v>0</v>
      </c>
      <c r="H23" s="32">
        <v>0</v>
      </c>
      <c r="I23" s="181">
        <v>0</v>
      </c>
      <c r="J23" s="32"/>
      <c r="K23" s="84" t="str">
        <f t="shared" si="0"/>
        <v/>
      </c>
      <c r="M23" s="49"/>
    </row>
    <row r="24" spans="2:13" ht="17.100000000000001" customHeight="1">
      <c r="B24" s="14"/>
      <c r="C24" s="15"/>
      <c r="D24" s="15"/>
      <c r="E24" s="16">
        <v>613900</v>
      </c>
      <c r="F24" s="15" t="s">
        <v>84</v>
      </c>
      <c r="G24" s="32">
        <v>8000</v>
      </c>
      <c r="H24" s="32">
        <v>8000</v>
      </c>
      <c r="I24" s="181">
        <v>71</v>
      </c>
      <c r="J24" s="32"/>
      <c r="K24" s="84">
        <f t="shared" si="0"/>
        <v>0</v>
      </c>
    </row>
    <row r="25" spans="2:13" ht="17.100000000000001" customHeight="1">
      <c r="B25" s="14"/>
      <c r="C25" s="15"/>
      <c r="D25" s="15"/>
      <c r="E25" s="16">
        <v>613900</v>
      </c>
      <c r="F25" s="127" t="s">
        <v>139</v>
      </c>
      <c r="G25" s="33">
        <v>0</v>
      </c>
      <c r="H25" s="33">
        <v>0</v>
      </c>
      <c r="I25" s="182">
        <v>0</v>
      </c>
      <c r="J25" s="33"/>
      <c r="K25" s="84" t="str">
        <f t="shared" si="0"/>
        <v/>
      </c>
    </row>
    <row r="26" spans="2:13" s="1" customFormat="1" ht="17.100000000000001" customHeight="1">
      <c r="B26" s="17"/>
      <c r="C26" s="12"/>
      <c r="D26" s="12"/>
      <c r="E26" s="39"/>
      <c r="F26" s="12"/>
      <c r="G26" s="32"/>
      <c r="H26" s="32"/>
      <c r="I26" s="181"/>
      <c r="J26" s="32"/>
      <c r="K26" s="84" t="str">
        <f t="shared" si="0"/>
        <v/>
      </c>
    </row>
    <row r="27" spans="2:13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20">
        <f t="shared" ref="G27:H27" si="1">SUM(G28:G29)</f>
        <v>1500</v>
      </c>
      <c r="H27" s="20">
        <f t="shared" si="1"/>
        <v>1500</v>
      </c>
      <c r="I27" s="180">
        <v>0</v>
      </c>
      <c r="J27" s="20">
        <f t="shared" ref="J27" si="2">SUM(J28:J29)</f>
        <v>0</v>
      </c>
      <c r="K27" s="84">
        <f t="shared" si="0"/>
        <v>0</v>
      </c>
    </row>
    <row r="28" spans="2:13" ht="17.100000000000001" customHeight="1">
      <c r="B28" s="14"/>
      <c r="C28" s="15"/>
      <c r="D28" s="15"/>
      <c r="E28" s="16">
        <v>821200</v>
      </c>
      <c r="F28" s="15" t="s">
        <v>13</v>
      </c>
      <c r="G28" s="50">
        <v>0</v>
      </c>
      <c r="H28" s="50">
        <v>0</v>
      </c>
      <c r="I28" s="184">
        <v>0</v>
      </c>
      <c r="J28" s="50"/>
      <c r="K28" s="84" t="str">
        <f t="shared" si="0"/>
        <v/>
      </c>
    </row>
    <row r="29" spans="2:13" ht="17.100000000000001" customHeight="1">
      <c r="B29" s="14"/>
      <c r="C29" s="15"/>
      <c r="D29" s="15"/>
      <c r="E29" s="16">
        <v>821300</v>
      </c>
      <c r="F29" s="15" t="s">
        <v>14</v>
      </c>
      <c r="G29" s="32">
        <v>1500</v>
      </c>
      <c r="H29" s="32">
        <v>1500</v>
      </c>
      <c r="I29" s="181">
        <v>0</v>
      </c>
      <c r="J29" s="32"/>
      <c r="K29" s="84">
        <f t="shared" si="0"/>
        <v>0</v>
      </c>
    </row>
    <row r="30" spans="2:13" ht="17.100000000000001" customHeight="1">
      <c r="B30" s="14"/>
      <c r="C30" s="15"/>
      <c r="D30" s="15"/>
      <c r="E30" s="16"/>
      <c r="F30" s="15"/>
      <c r="G30" s="20"/>
      <c r="H30" s="20"/>
      <c r="I30" s="180"/>
      <c r="J30" s="20"/>
      <c r="K30" s="84" t="str">
        <f t="shared" si="0"/>
        <v/>
      </c>
    </row>
    <row r="31" spans="2:13" s="1" customFormat="1" ht="17.100000000000001" customHeight="1">
      <c r="B31" s="17"/>
      <c r="C31" s="12"/>
      <c r="D31" s="12"/>
      <c r="E31" s="9"/>
      <c r="F31" s="12" t="s">
        <v>15</v>
      </c>
      <c r="G31" s="20">
        <v>2</v>
      </c>
      <c r="H31" s="20">
        <v>2</v>
      </c>
      <c r="I31" s="180">
        <v>1</v>
      </c>
      <c r="J31" s="20"/>
      <c r="K31" s="84"/>
    </row>
    <row r="32" spans="2:13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62070</v>
      </c>
      <c r="H32" s="20">
        <f>H7+H12+H15+H27</f>
        <v>62070</v>
      </c>
      <c r="I32" s="20">
        <f t="shared" ref="I32" si="3">I7+I12+I15+I27</f>
        <v>26261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32"/>
      <c r="H34" s="32"/>
      <c r="I34" s="32"/>
      <c r="J34" s="32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/>
    <row r="39" spans="2:11" ht="17.100000000000001" customHeight="1"/>
    <row r="40" spans="2:11" ht="17.100000000000001" customHeight="1"/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B2:M59"/>
  <sheetViews>
    <sheetView topLeftCell="G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s="65" customFormat="1" ht="15" customHeight="1">
      <c r="B2" s="447" t="s">
        <v>77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37</v>
      </c>
      <c r="C6" s="11" t="s">
        <v>3</v>
      </c>
      <c r="D6" s="11" t="s">
        <v>43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75970</v>
      </c>
      <c r="H7" s="129">
        <f>SUM(H8:H11)</f>
        <v>75970</v>
      </c>
      <c r="I7" s="193">
        <v>55200</v>
      </c>
      <c r="J7" s="129">
        <f>SUM(J8:J11)</f>
        <v>0</v>
      </c>
      <c r="K7" s="120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61870+1000+1860</f>
        <v>64730</v>
      </c>
      <c r="H8" s="128">
        <f>61870+1000+1860</f>
        <v>64730</v>
      </c>
      <c r="I8" s="192">
        <v>47092</v>
      </c>
      <c r="J8" s="128"/>
      <c r="K8" s="84">
        <f>IF(H8=0,"",J8/H8*100)</f>
        <v>0</v>
      </c>
      <c r="L8" s="53"/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28">
        <f>10440+800</f>
        <v>11240</v>
      </c>
      <c r="H9" s="128">
        <f>10440+800</f>
        <v>11240</v>
      </c>
      <c r="I9" s="192">
        <v>8108</v>
      </c>
      <c r="J9" s="128"/>
      <c r="K9" s="84">
        <f t="shared" ref="K9:K34" si="0">IF(H9=0,"",J9/H9*100)</f>
        <v>0</v>
      </c>
      <c r="L9" s="55"/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192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28"/>
      <c r="H11" s="128"/>
      <c r="I11" s="192"/>
      <c r="J11" s="128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7000</v>
      </c>
      <c r="H12" s="129">
        <f>H13</f>
        <v>7000</v>
      </c>
      <c r="I12" s="193">
        <v>5010</v>
      </c>
      <c r="J12" s="129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28">
        <f>6600+200+200</f>
        <v>7000</v>
      </c>
      <c r="H13" s="128">
        <f>6600+200+200</f>
        <v>7000</v>
      </c>
      <c r="I13" s="192">
        <v>5010</v>
      </c>
      <c r="J13" s="128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2"/>
      <c r="H14" s="32"/>
      <c r="I14" s="187"/>
      <c r="J14" s="32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5900</v>
      </c>
      <c r="H15" s="35">
        <f>SUM(H16:H25)</f>
        <v>5900</v>
      </c>
      <c r="I15" s="188">
        <v>2541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50">
        <v>1000</v>
      </c>
      <c r="H16" s="50">
        <v>750</v>
      </c>
      <c r="I16" s="189">
        <v>703</v>
      </c>
      <c r="J16" s="50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2">
        <v>0</v>
      </c>
      <c r="H17" s="32">
        <v>0</v>
      </c>
      <c r="I17" s="187">
        <v>0</v>
      </c>
      <c r="J17" s="32"/>
      <c r="K17" s="84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2">
        <v>2500</v>
      </c>
      <c r="H18" s="32">
        <v>2500</v>
      </c>
      <c r="I18" s="187">
        <v>1285</v>
      </c>
      <c r="J18" s="32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50">
        <v>500</v>
      </c>
      <c r="H19" s="50">
        <v>100</v>
      </c>
      <c r="I19" s="189">
        <v>0</v>
      </c>
      <c r="J19" s="50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32">
        <v>0</v>
      </c>
      <c r="H20" s="32">
        <v>0</v>
      </c>
      <c r="I20" s="187">
        <v>0</v>
      </c>
      <c r="J20" s="32"/>
      <c r="K20" s="84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32">
        <v>0</v>
      </c>
      <c r="H21" s="32">
        <v>0</v>
      </c>
      <c r="I21" s="187">
        <v>0</v>
      </c>
      <c r="J21" s="32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32">
        <v>400</v>
      </c>
      <c r="H22" s="32">
        <v>0</v>
      </c>
      <c r="I22" s="187">
        <v>0</v>
      </c>
      <c r="J22" s="32"/>
      <c r="K22" s="84" t="str">
        <f t="shared" si="0"/>
        <v/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32">
        <v>0</v>
      </c>
      <c r="H23" s="32">
        <v>0</v>
      </c>
      <c r="I23" s="187">
        <v>0</v>
      </c>
      <c r="J23" s="32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50">
        <v>1500</v>
      </c>
      <c r="H24" s="50">
        <v>2550</v>
      </c>
      <c r="I24" s="189">
        <v>553</v>
      </c>
      <c r="J24" s="50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191">
        <v>0</v>
      </c>
      <c r="J25" s="6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39"/>
      <c r="F26" s="12"/>
      <c r="G26" s="50"/>
      <c r="H26" s="50"/>
      <c r="I26" s="189"/>
      <c r="J26" s="50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1500</v>
      </c>
      <c r="H27" s="61">
        <f>SUM(H28:H29)</f>
        <v>1500</v>
      </c>
      <c r="I27" s="190">
        <v>0</v>
      </c>
      <c r="J27" s="61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50">
        <v>0</v>
      </c>
      <c r="H28" s="50">
        <v>0</v>
      </c>
      <c r="I28" s="189">
        <v>0</v>
      </c>
      <c r="J28" s="50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50">
        <v>1500</v>
      </c>
      <c r="H29" s="50">
        <v>1500</v>
      </c>
      <c r="I29" s="189">
        <v>0</v>
      </c>
      <c r="J29" s="50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2"/>
      <c r="H30" s="32"/>
      <c r="I30" s="187"/>
      <c r="J30" s="32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61">
        <v>3</v>
      </c>
      <c r="H31" s="61">
        <v>3</v>
      </c>
      <c r="I31" s="190">
        <v>3</v>
      </c>
      <c r="J31" s="61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90370</v>
      </c>
      <c r="H32" s="20">
        <f>H7+H12+H15+H27</f>
        <v>90370</v>
      </c>
      <c r="I32" s="20">
        <f t="shared" ref="I32" si="1">I7+I12+I15+I27</f>
        <v>62751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/>
      <c r="H33" s="20"/>
      <c r="I33" s="20"/>
      <c r="J33" s="20"/>
      <c r="K33" s="84" t="str">
        <f>IF(H33=0,"",J33/H33*100)</f>
        <v/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/>
      <c r="H34" s="20"/>
      <c r="I34" s="20"/>
      <c r="J34" s="20"/>
      <c r="K34" s="84" t="str">
        <f t="shared" si="0"/>
        <v/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/>
  <dimension ref="B2:M59"/>
  <sheetViews>
    <sheetView topLeftCell="G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3" ht="15" customHeight="1">
      <c r="B2" s="447" t="s">
        <v>143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37</v>
      </c>
      <c r="C6" s="11" t="s">
        <v>3</v>
      </c>
      <c r="D6" s="11" t="s">
        <v>64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36">
        <f>SUM(G8:G11)</f>
        <v>158190</v>
      </c>
      <c r="H7" s="136">
        <f>SUM(H8:H11)</f>
        <v>158190</v>
      </c>
      <c r="I7" s="199">
        <v>99543</v>
      </c>
      <c r="J7" s="136">
        <f>SUM(J8:J11)</f>
        <v>0</v>
      </c>
      <c r="K7" s="83">
        <f>IF(H7=0,"",J7/H7*100)</f>
        <v>0</v>
      </c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37">
        <f>77200+1000+3*15000+2300+1350</f>
        <v>126850</v>
      </c>
      <c r="H8" s="137">
        <f>77200+1000+3*15000+2300+1350</f>
        <v>126850</v>
      </c>
      <c r="I8" s="200">
        <v>79375</v>
      </c>
      <c r="J8" s="137"/>
      <c r="K8" s="84">
        <f>IF(H8=0,"",J8/H8*100)</f>
        <v>0</v>
      </c>
      <c r="L8" s="53"/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37">
        <f>16940+600+3*4600</f>
        <v>31340</v>
      </c>
      <c r="H9" s="137">
        <f>16940+600+3*4600</f>
        <v>31340</v>
      </c>
      <c r="I9" s="200">
        <v>20168</v>
      </c>
      <c r="J9" s="137"/>
      <c r="K9" s="84">
        <f t="shared" ref="K9:K34" si="0">IF(H9=0,"",J9/H9*100)</f>
        <v>0</v>
      </c>
      <c r="L9" s="55"/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37">
        <v>0</v>
      </c>
      <c r="H10" s="137">
        <v>0</v>
      </c>
      <c r="I10" s="200">
        <v>0</v>
      </c>
      <c r="J10" s="137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37"/>
      <c r="H11" s="137"/>
      <c r="I11" s="200"/>
      <c r="J11" s="137"/>
      <c r="K11" s="84" t="str">
        <f t="shared" si="0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36">
        <f>G13</f>
        <v>14010</v>
      </c>
      <c r="H12" s="136">
        <f>H13</f>
        <v>14010</v>
      </c>
      <c r="I12" s="199">
        <v>8450</v>
      </c>
      <c r="J12" s="136">
        <f>J13</f>
        <v>0</v>
      </c>
      <c r="K12" s="120">
        <f t="shared" si="0"/>
        <v>0</v>
      </c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37">
        <f>8260+400+3*1650+250+150</f>
        <v>14010</v>
      </c>
      <c r="H13" s="137">
        <f>8260+400+3*1650+250+150</f>
        <v>14010</v>
      </c>
      <c r="I13" s="200">
        <v>8450</v>
      </c>
      <c r="J13" s="137"/>
      <c r="K13" s="84">
        <f t="shared" si="0"/>
        <v>0</v>
      </c>
    </row>
    <row r="14" spans="2:13" ht="17.100000000000001" customHeight="1">
      <c r="B14" s="14"/>
      <c r="C14" s="15"/>
      <c r="D14" s="15"/>
      <c r="E14" s="16"/>
      <c r="F14" s="15"/>
      <c r="G14" s="32"/>
      <c r="H14" s="32"/>
      <c r="I14" s="194"/>
      <c r="J14" s="32"/>
      <c r="K14" s="84" t="str">
        <f t="shared" si="0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10400</v>
      </c>
      <c r="H15" s="35">
        <f>SUM(H16:H25)</f>
        <v>10400</v>
      </c>
      <c r="I15" s="195">
        <v>7559</v>
      </c>
      <c r="J15" s="35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50">
        <v>5000</v>
      </c>
      <c r="H16" s="50">
        <v>5000</v>
      </c>
      <c r="I16" s="196">
        <v>4049</v>
      </c>
      <c r="J16" s="50"/>
      <c r="K16" s="84">
        <f t="shared" si="0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7</v>
      </c>
      <c r="G17" s="32">
        <v>0</v>
      </c>
      <c r="H17" s="32">
        <v>0</v>
      </c>
      <c r="I17" s="194">
        <v>0</v>
      </c>
      <c r="J17" s="32"/>
      <c r="K17" s="84" t="str">
        <f t="shared" si="0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107</v>
      </c>
      <c r="G18" s="32">
        <v>1200</v>
      </c>
      <c r="H18" s="32">
        <v>1200</v>
      </c>
      <c r="I18" s="194">
        <v>496</v>
      </c>
      <c r="J18" s="32"/>
      <c r="K18" s="84">
        <f t="shared" si="0"/>
        <v>0</v>
      </c>
    </row>
    <row r="19" spans="2:11" ht="17.100000000000001" customHeight="1">
      <c r="B19" s="14"/>
      <c r="C19" s="15"/>
      <c r="D19" s="15"/>
      <c r="E19" s="16">
        <v>613400</v>
      </c>
      <c r="F19" s="15" t="s">
        <v>82</v>
      </c>
      <c r="G19" s="50">
        <v>1000</v>
      </c>
      <c r="H19" s="50">
        <v>1000</v>
      </c>
      <c r="I19" s="196">
        <v>701</v>
      </c>
      <c r="J19" s="50"/>
      <c r="K19" s="84">
        <f t="shared" si="0"/>
        <v>0</v>
      </c>
    </row>
    <row r="20" spans="2:11" ht="17.100000000000001" customHeight="1">
      <c r="B20" s="14"/>
      <c r="C20" s="15"/>
      <c r="D20" s="15"/>
      <c r="E20" s="16">
        <v>613500</v>
      </c>
      <c r="F20" s="15" t="s">
        <v>8</v>
      </c>
      <c r="G20" s="32">
        <v>0</v>
      </c>
      <c r="H20" s="32">
        <v>0</v>
      </c>
      <c r="I20" s="194">
        <v>0</v>
      </c>
      <c r="J20" s="32"/>
      <c r="K20" s="84" t="str">
        <f t="shared" si="0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108</v>
      </c>
      <c r="G21" s="32">
        <v>0</v>
      </c>
      <c r="H21" s="32">
        <v>0</v>
      </c>
      <c r="I21" s="194">
        <v>0</v>
      </c>
      <c r="J21" s="32"/>
      <c r="K21" s="84" t="str">
        <f t="shared" si="0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9</v>
      </c>
      <c r="G22" s="32">
        <v>700</v>
      </c>
      <c r="H22" s="32">
        <v>700</v>
      </c>
      <c r="I22" s="194">
        <v>680</v>
      </c>
      <c r="J22" s="32"/>
      <c r="K22" s="84">
        <f t="shared" si="0"/>
        <v>0</v>
      </c>
    </row>
    <row r="23" spans="2:11" ht="17.100000000000001" customHeight="1">
      <c r="B23" s="14"/>
      <c r="C23" s="15"/>
      <c r="D23" s="15"/>
      <c r="E23" s="16">
        <v>613800</v>
      </c>
      <c r="F23" s="15" t="s">
        <v>83</v>
      </c>
      <c r="G23" s="32">
        <v>0</v>
      </c>
      <c r="H23" s="32">
        <v>0</v>
      </c>
      <c r="I23" s="194">
        <v>0</v>
      </c>
      <c r="J23" s="32"/>
      <c r="K23" s="84" t="str">
        <f t="shared" si="0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84</v>
      </c>
      <c r="G24" s="50">
        <v>2500</v>
      </c>
      <c r="H24" s="50">
        <v>2500</v>
      </c>
      <c r="I24" s="196">
        <v>1633</v>
      </c>
      <c r="J24" s="50"/>
      <c r="K24" s="84">
        <f t="shared" si="0"/>
        <v>0</v>
      </c>
    </row>
    <row r="25" spans="2:11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198">
        <v>0</v>
      </c>
      <c r="J25" s="69"/>
      <c r="K25" s="84" t="str">
        <f t="shared" si="0"/>
        <v/>
      </c>
    </row>
    <row r="26" spans="2:11" s="1" customFormat="1" ht="17.100000000000001" customHeight="1">
      <c r="B26" s="17"/>
      <c r="C26" s="12"/>
      <c r="D26" s="12"/>
      <c r="E26" s="39"/>
      <c r="F26" s="12"/>
      <c r="G26" s="50"/>
      <c r="H26" s="50"/>
      <c r="I26" s="196"/>
      <c r="J26" s="50"/>
      <c r="K26" s="84" t="str">
        <f t="shared" si="0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7000</v>
      </c>
      <c r="H27" s="61">
        <f>SUM(H28:H29)</f>
        <v>7000</v>
      </c>
      <c r="I27" s="197">
        <v>4838</v>
      </c>
      <c r="J27" s="61">
        <f>SUM(J28:J29)</f>
        <v>0</v>
      </c>
      <c r="K27" s="120">
        <f t="shared" si="0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13</v>
      </c>
      <c r="G28" s="50">
        <v>0</v>
      </c>
      <c r="H28" s="50">
        <v>0</v>
      </c>
      <c r="I28" s="196">
        <v>0</v>
      </c>
      <c r="J28" s="50"/>
      <c r="K28" s="84" t="str">
        <f t="shared" si="0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14</v>
      </c>
      <c r="G29" s="50">
        <v>7000</v>
      </c>
      <c r="H29" s="50">
        <v>7000</v>
      </c>
      <c r="I29" s="196">
        <v>4838</v>
      </c>
      <c r="J29" s="50"/>
      <c r="K29" s="84">
        <f t="shared" si="0"/>
        <v>0</v>
      </c>
    </row>
    <row r="30" spans="2:11" ht="17.100000000000001" customHeight="1">
      <c r="B30" s="14"/>
      <c r="C30" s="15"/>
      <c r="D30" s="15"/>
      <c r="E30" s="16"/>
      <c r="F30" s="15"/>
      <c r="G30" s="32"/>
      <c r="H30" s="32"/>
      <c r="I30" s="194"/>
      <c r="J30" s="32"/>
      <c r="K30" s="84" t="str">
        <f t="shared" si="0"/>
        <v/>
      </c>
    </row>
    <row r="31" spans="2:11" s="1" customFormat="1" ht="17.100000000000001" customHeight="1">
      <c r="B31" s="17"/>
      <c r="C31" s="12"/>
      <c r="D31" s="12"/>
      <c r="E31" s="9"/>
      <c r="F31" s="12" t="s">
        <v>15</v>
      </c>
      <c r="G31" s="61">
        <v>7</v>
      </c>
      <c r="H31" s="61">
        <v>7</v>
      </c>
      <c r="I31" s="197">
        <v>7</v>
      </c>
      <c r="J31" s="61"/>
      <c r="K31" s="84"/>
    </row>
    <row r="32" spans="2:11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189600</v>
      </c>
      <c r="H32" s="20">
        <f>H7+H12+H15+H27</f>
        <v>189600</v>
      </c>
      <c r="I32" s="20">
        <f t="shared" ref="I32" si="1">I7+I12+I15+I27</f>
        <v>120390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G32+'6'!G32+'5'!G32+'4'!G35+'3'!G55</f>
        <v>3641600</v>
      </c>
      <c r="H33" s="20">
        <f>H32+'6'!H32+'5'!H32+'4'!H35+'3'!H55</f>
        <v>3646600</v>
      </c>
      <c r="I33" s="20">
        <f>I32+'6'!I32+'5'!I32+'4'!I35+'3'!I55</f>
        <v>1818326</v>
      </c>
      <c r="J33" s="20">
        <f>J32+'6'!J32+'5'!J32+'4'!J35+'3'!J55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</f>
        <v>3641600</v>
      </c>
      <c r="H34" s="20">
        <f>H33</f>
        <v>3646600</v>
      </c>
      <c r="I34" s="20">
        <f t="shared" ref="I34" si="2">I33</f>
        <v>1818326</v>
      </c>
      <c r="J34" s="20">
        <f>J33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N59"/>
  <sheetViews>
    <sheetView topLeftCell="G7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6384" width="9.140625" style="13"/>
  </cols>
  <sheetData>
    <row r="2" spans="2:14" s="65" customFormat="1" ht="15" customHeight="1">
      <c r="B2" s="447" t="s">
        <v>44</v>
      </c>
      <c r="C2" s="447"/>
      <c r="D2" s="447"/>
      <c r="E2" s="447"/>
      <c r="F2" s="447"/>
      <c r="G2" s="447"/>
      <c r="H2" s="447"/>
      <c r="I2" s="447"/>
      <c r="J2" s="447"/>
      <c r="K2" s="78"/>
    </row>
    <row r="3" spans="2:14" s="1" customFormat="1" ht="16.5" thickBot="1">
      <c r="E3" s="2"/>
      <c r="F3" s="448"/>
      <c r="G3" s="448"/>
      <c r="H3" s="142"/>
      <c r="I3" s="142"/>
      <c r="J3" s="102"/>
      <c r="K3" s="103"/>
    </row>
    <row r="4" spans="2:14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4" s="2" customFormat="1" ht="17.100000000000001" customHeight="1">
      <c r="B6" s="10" t="s">
        <v>45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267560</v>
      </c>
      <c r="H7" s="129">
        <f>SUM(H8:H11)</f>
        <v>267560</v>
      </c>
      <c r="I7" s="208">
        <v>193018</v>
      </c>
      <c r="J7" s="129">
        <f>SUM(J8:J11)</f>
        <v>0</v>
      </c>
      <c r="K7" s="83">
        <f>IF(H7=0,"",J7/H7*100)</f>
        <v>0</v>
      </c>
    </row>
    <row r="8" spans="2:14" ht="17.100000000000001" customHeight="1">
      <c r="B8" s="14"/>
      <c r="C8" s="15"/>
      <c r="D8" s="15"/>
      <c r="E8" s="16">
        <v>611100</v>
      </c>
      <c r="F8" s="26" t="s">
        <v>105</v>
      </c>
      <c r="G8" s="128">
        <f>190940+2000+11000+5800</f>
        <v>209740</v>
      </c>
      <c r="H8" s="128">
        <f>190940+2000+11000+5800</f>
        <v>209740</v>
      </c>
      <c r="I8" s="207">
        <v>152052</v>
      </c>
      <c r="J8" s="128"/>
      <c r="K8" s="84">
        <f>IF(H8=0,"",J8/H8*100)</f>
        <v>0</v>
      </c>
      <c r="L8" s="49"/>
    </row>
    <row r="9" spans="2:14" ht="17.100000000000001" customHeight="1">
      <c r="B9" s="14"/>
      <c r="C9" s="15"/>
      <c r="D9" s="15"/>
      <c r="E9" s="16">
        <v>611200</v>
      </c>
      <c r="F9" s="15" t="s">
        <v>106</v>
      </c>
      <c r="G9" s="128">
        <f>54280+0+840+2700</f>
        <v>57820</v>
      </c>
      <c r="H9" s="128">
        <f>54280+0+840+2700</f>
        <v>57820</v>
      </c>
      <c r="I9" s="207">
        <v>40966</v>
      </c>
      <c r="J9" s="128"/>
      <c r="K9" s="84">
        <f t="shared" ref="K9:K34" si="0">IF(H9=0,"",J9/H9*100)</f>
        <v>0</v>
      </c>
    </row>
    <row r="10" spans="2:14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07">
        <v>0</v>
      </c>
      <c r="J10" s="128"/>
      <c r="K10" s="84" t="str">
        <f t="shared" si="0"/>
        <v/>
      </c>
      <c r="M10" s="52"/>
    </row>
    <row r="11" spans="2:14" ht="17.100000000000001" customHeight="1">
      <c r="B11" s="14"/>
      <c r="C11" s="15"/>
      <c r="D11" s="15"/>
      <c r="E11" s="16"/>
      <c r="F11" s="26"/>
      <c r="G11" s="128"/>
      <c r="H11" s="128"/>
      <c r="I11" s="207"/>
      <c r="J11" s="128"/>
      <c r="K11" s="84" t="str">
        <f t="shared" si="0"/>
        <v/>
      </c>
      <c r="M11" s="49"/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22720</v>
      </c>
      <c r="H12" s="129">
        <f>H13</f>
        <v>22720</v>
      </c>
      <c r="I12" s="208">
        <v>16359</v>
      </c>
      <c r="J12" s="129">
        <f>J13</f>
        <v>0</v>
      </c>
      <c r="K12" s="120">
        <f t="shared" si="0"/>
        <v>0</v>
      </c>
      <c r="M12" s="56"/>
      <c r="N12" s="56"/>
    </row>
    <row r="13" spans="2:14" ht="17.100000000000001" customHeight="1">
      <c r="B13" s="14"/>
      <c r="C13" s="15"/>
      <c r="D13" s="15"/>
      <c r="E13" s="16">
        <v>612100</v>
      </c>
      <c r="F13" s="18" t="s">
        <v>5</v>
      </c>
      <c r="G13" s="128">
        <f>20470+400+1200+650</f>
        <v>22720</v>
      </c>
      <c r="H13" s="128">
        <f>20470+400+1200+650</f>
        <v>22720</v>
      </c>
      <c r="I13" s="207">
        <v>16359</v>
      </c>
      <c r="J13" s="128"/>
      <c r="K13" s="84">
        <f t="shared" si="0"/>
        <v>0</v>
      </c>
    </row>
    <row r="14" spans="2:14" ht="17.100000000000001" customHeight="1">
      <c r="B14" s="14"/>
      <c r="C14" s="15"/>
      <c r="D14" s="15"/>
      <c r="E14" s="16"/>
      <c r="F14" s="15"/>
      <c r="G14" s="50"/>
      <c r="H14" s="50"/>
      <c r="I14" s="205"/>
      <c r="J14" s="50"/>
      <c r="K14" s="84" t="str">
        <f t="shared" si="0"/>
        <v/>
      </c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35">
        <f>SUM(G16:G25)</f>
        <v>403500</v>
      </c>
      <c r="H15" s="35">
        <f>SUM(H16:H25)</f>
        <v>403500</v>
      </c>
      <c r="I15" s="204">
        <v>284798</v>
      </c>
      <c r="J15" s="35">
        <f>SUM(J16:J25)</f>
        <v>0</v>
      </c>
      <c r="K15" s="120">
        <f t="shared" si="0"/>
        <v>0</v>
      </c>
    </row>
    <row r="16" spans="2:14" ht="17.100000000000001" customHeight="1">
      <c r="B16" s="14"/>
      <c r="C16" s="15"/>
      <c r="D16" s="15"/>
      <c r="E16" s="16">
        <v>613100</v>
      </c>
      <c r="F16" s="15" t="s">
        <v>6</v>
      </c>
      <c r="G16" s="50">
        <v>7000</v>
      </c>
      <c r="H16" s="50">
        <v>14000</v>
      </c>
      <c r="I16" s="205">
        <v>6964</v>
      </c>
      <c r="J16" s="50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32">
        <v>104000</v>
      </c>
      <c r="H17" s="32">
        <v>84000</v>
      </c>
      <c r="I17" s="202">
        <v>45905</v>
      </c>
      <c r="J17" s="32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32">
        <v>44000</v>
      </c>
      <c r="H18" s="32">
        <v>44000</v>
      </c>
      <c r="I18" s="202">
        <v>26042</v>
      </c>
      <c r="J18" s="32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32">
        <v>84000</v>
      </c>
      <c r="H19" s="32">
        <v>84000</v>
      </c>
      <c r="I19" s="202">
        <v>67516</v>
      </c>
      <c r="J19" s="32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32">
        <v>54000</v>
      </c>
      <c r="H20" s="32">
        <v>67000</v>
      </c>
      <c r="I20" s="202">
        <v>49673</v>
      </c>
      <c r="J20" s="32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32">
        <v>0</v>
      </c>
      <c r="H21" s="32">
        <v>0</v>
      </c>
      <c r="I21" s="202">
        <v>0</v>
      </c>
      <c r="J21" s="32"/>
      <c r="K21" s="84" t="str">
        <f t="shared" si="0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32">
        <v>42000</v>
      </c>
      <c r="H22" s="32">
        <v>42000</v>
      </c>
      <c r="I22" s="202">
        <v>32840</v>
      </c>
      <c r="J22" s="32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32">
        <v>10500</v>
      </c>
      <c r="H23" s="32">
        <v>10500</v>
      </c>
      <c r="I23" s="202">
        <v>2461</v>
      </c>
      <c r="J23" s="32"/>
      <c r="K23" s="84">
        <f t="shared" si="0"/>
        <v>0</v>
      </c>
      <c r="L23" s="49"/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50">
        <v>58000</v>
      </c>
      <c r="H24" s="50">
        <v>58000</v>
      </c>
      <c r="I24" s="205">
        <v>53397</v>
      </c>
      <c r="J24" s="50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33">
        <v>0</v>
      </c>
      <c r="H25" s="33">
        <v>0</v>
      </c>
      <c r="I25" s="203">
        <v>0</v>
      </c>
      <c r="J25" s="33"/>
      <c r="K25" s="84" t="str">
        <f t="shared" si="0"/>
        <v/>
      </c>
    </row>
    <row r="26" spans="2:12" s="1" customFormat="1" ht="17.100000000000001" customHeight="1">
      <c r="B26" s="17"/>
      <c r="C26" s="12"/>
      <c r="D26" s="12"/>
      <c r="E26" s="39"/>
      <c r="F26" s="12"/>
      <c r="G26" s="32"/>
      <c r="H26" s="32"/>
      <c r="I26" s="202"/>
      <c r="J26" s="32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20">
        <f>SUM(G28:G29)</f>
        <v>20000</v>
      </c>
      <c r="H27" s="20">
        <f>SUM(H28:H29)</f>
        <v>20000</v>
      </c>
      <c r="I27" s="201">
        <v>9435</v>
      </c>
      <c r="J27" s="20">
        <f>SUM(J28:J29)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821200</v>
      </c>
      <c r="F28" s="15" t="s">
        <v>13</v>
      </c>
      <c r="G28" s="50">
        <v>0</v>
      </c>
      <c r="H28" s="50">
        <v>0</v>
      </c>
      <c r="I28" s="205">
        <v>0</v>
      </c>
      <c r="J28" s="50"/>
      <c r="K28" s="84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50">
        <v>20000</v>
      </c>
      <c r="H29" s="50">
        <v>20000</v>
      </c>
      <c r="I29" s="205">
        <v>9435</v>
      </c>
      <c r="J29" s="50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201"/>
      <c r="J30" s="20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61">
        <v>16</v>
      </c>
      <c r="H31" s="61">
        <v>16</v>
      </c>
      <c r="I31" s="206">
        <v>16</v>
      </c>
      <c r="J31" s="61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713780</v>
      </c>
      <c r="H32" s="20">
        <f>H7+H12+H15+H27</f>
        <v>713780</v>
      </c>
      <c r="I32" s="20">
        <f t="shared" ref="I32" si="1">I7+I12+I15+I27</f>
        <v>503610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713780</v>
      </c>
      <c r="H33" s="20">
        <f>H32</f>
        <v>713780</v>
      </c>
      <c r="I33" s="20">
        <f t="shared" ref="I33" si="2">I32</f>
        <v>503610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</f>
        <v>713780</v>
      </c>
      <c r="H34" s="20">
        <f>H33</f>
        <v>713780</v>
      </c>
      <c r="I34" s="20">
        <f t="shared" ref="I34" si="3">I33</f>
        <v>503610</v>
      </c>
      <c r="J34" s="20">
        <f>J33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/>
    <row r="42" spans="2:11" ht="17.100000000000001" customHeight="1"/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M59"/>
  <sheetViews>
    <sheetView topLeftCell="C1" zoomScaleNormal="100" workbookViewId="0">
      <selection activeCell="M9" sqref="M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8" width="11.7109375" style="13" customWidth="1"/>
    <col min="9" max="9" width="11.28515625" style="13" customWidth="1"/>
    <col min="10" max="10" width="12.5703125" style="13" customWidth="1"/>
    <col min="11" max="11" width="7.7109375" style="76" customWidth="1"/>
    <col min="12" max="12" width="9.140625" style="13"/>
    <col min="13" max="13" width="9.5703125" style="13" bestFit="1" customWidth="1"/>
    <col min="14" max="16384" width="9.140625" style="13"/>
  </cols>
  <sheetData>
    <row r="2" spans="2:13" ht="15" customHeight="1">
      <c r="B2" s="449" t="s">
        <v>46</v>
      </c>
      <c r="C2" s="449"/>
      <c r="D2" s="449"/>
      <c r="E2" s="449"/>
      <c r="F2" s="449"/>
      <c r="G2" s="449"/>
      <c r="H2" s="449"/>
      <c r="I2" s="449"/>
      <c r="J2" s="449"/>
      <c r="K2" s="77"/>
    </row>
    <row r="3" spans="2:13" s="1" customFormat="1" ht="16.5" thickBot="1">
      <c r="E3" s="2"/>
      <c r="F3" s="448"/>
      <c r="G3" s="448"/>
      <c r="H3" s="142"/>
      <c r="I3" s="142"/>
      <c r="J3" s="102"/>
      <c r="K3" s="103"/>
    </row>
    <row r="4" spans="2:13" s="1" customFormat="1" ht="76.5" customHeight="1">
      <c r="B4" s="3" t="s">
        <v>0</v>
      </c>
      <c r="C4" s="4" t="s">
        <v>1</v>
      </c>
      <c r="D4" s="5" t="s">
        <v>28</v>
      </c>
      <c r="E4" s="145" t="s">
        <v>151</v>
      </c>
      <c r="F4" s="7" t="s">
        <v>2</v>
      </c>
      <c r="G4" s="124" t="s">
        <v>150</v>
      </c>
      <c r="H4" s="151" t="s">
        <v>177</v>
      </c>
      <c r="I4" s="124" t="s">
        <v>176</v>
      </c>
      <c r="J4" s="45" t="s">
        <v>184</v>
      </c>
      <c r="K4" s="144" t="s">
        <v>166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81">
        <v>10</v>
      </c>
    </row>
    <row r="6" spans="2:13" s="2" customFormat="1" ht="17.100000000000001" customHeight="1">
      <c r="B6" s="10" t="s">
        <v>47</v>
      </c>
      <c r="C6" s="11" t="s">
        <v>3</v>
      </c>
      <c r="D6" s="11" t="s">
        <v>4</v>
      </c>
      <c r="E6" s="9"/>
      <c r="F6" s="9"/>
      <c r="G6" s="9"/>
      <c r="H6" s="9"/>
      <c r="I6" s="9"/>
      <c r="J6" s="9"/>
      <c r="K6" s="82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80</v>
      </c>
      <c r="G7" s="129">
        <f>SUM(G8:G11)</f>
        <v>4713610</v>
      </c>
      <c r="H7" s="129">
        <f>SUM(H8:H11)</f>
        <v>4713610</v>
      </c>
      <c r="I7" s="214">
        <v>3477157</v>
      </c>
      <c r="J7" s="129">
        <f>SUM(J8:J11)</f>
        <v>0</v>
      </c>
      <c r="K7" s="83">
        <f>IF(H7=0,"",J7/H7*100)</f>
        <v>0</v>
      </c>
      <c r="M7" s="54"/>
    </row>
    <row r="8" spans="2:13" ht="17.100000000000001" customHeight="1">
      <c r="B8" s="14"/>
      <c r="C8" s="15"/>
      <c r="D8" s="15"/>
      <c r="E8" s="16">
        <v>611100</v>
      </c>
      <c r="F8" s="26" t="s">
        <v>105</v>
      </c>
      <c r="G8" s="128">
        <f>3702900+9000+9970+7*4430+4*10900+111100+2250</f>
        <v>3909830</v>
      </c>
      <c r="H8" s="128">
        <f>3702900+9000+9970+7*4430+4*10900+111100+2250</f>
        <v>3909830</v>
      </c>
      <c r="I8" s="213">
        <v>2889201</v>
      </c>
      <c r="J8" s="128"/>
      <c r="K8" s="84">
        <f>IF(H8=0,"",J8/H8*100)</f>
        <v>0</v>
      </c>
      <c r="L8" s="64"/>
    </row>
    <row r="9" spans="2:13" ht="17.100000000000001" customHeight="1">
      <c r="B9" s="14"/>
      <c r="C9" s="15"/>
      <c r="D9" s="15"/>
      <c r="E9" s="16">
        <v>611200</v>
      </c>
      <c r="F9" s="15" t="s">
        <v>106</v>
      </c>
      <c r="G9" s="128">
        <f>762360+7*840+2*1470+8630+7*1710+4*3000</f>
        <v>803780</v>
      </c>
      <c r="H9" s="128">
        <f>762360+7*840+2*1470+8630+7*1710+4*3000</f>
        <v>803780</v>
      </c>
      <c r="I9" s="213">
        <v>587956</v>
      </c>
      <c r="J9" s="128"/>
      <c r="K9" s="84">
        <f t="shared" ref="K9:K34" si="0">IF(H9=0,"",J9/H9*100)</f>
        <v>0</v>
      </c>
      <c r="L9" s="65"/>
    </row>
    <row r="10" spans="2:13" ht="17.100000000000001" customHeight="1">
      <c r="B10" s="14"/>
      <c r="C10" s="15"/>
      <c r="D10" s="15"/>
      <c r="E10" s="16">
        <v>611200</v>
      </c>
      <c r="F10" s="127" t="s">
        <v>138</v>
      </c>
      <c r="G10" s="128">
        <v>0</v>
      </c>
      <c r="H10" s="128">
        <v>0</v>
      </c>
      <c r="I10" s="213">
        <v>0</v>
      </c>
      <c r="J10" s="128"/>
      <c r="K10" s="84" t="str">
        <f t="shared" si="0"/>
        <v/>
      </c>
      <c r="M10" s="52"/>
    </row>
    <row r="11" spans="2:13" ht="17.100000000000001" customHeight="1">
      <c r="B11" s="14"/>
      <c r="C11" s="15"/>
      <c r="D11" s="15"/>
      <c r="E11" s="16"/>
      <c r="F11" s="26"/>
      <c r="G11" s="128"/>
      <c r="H11" s="128"/>
      <c r="I11" s="213"/>
      <c r="J11" s="128"/>
      <c r="K11" s="84" t="str">
        <f t="shared" si="0"/>
        <v/>
      </c>
      <c r="L11" s="65"/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79</v>
      </c>
      <c r="G12" s="129">
        <f>G13</f>
        <v>604740</v>
      </c>
      <c r="H12" s="129">
        <f>H13</f>
        <v>604740</v>
      </c>
      <c r="I12" s="214">
        <v>451187</v>
      </c>
      <c r="J12" s="129">
        <f>J13</f>
        <v>0</v>
      </c>
      <c r="K12" s="120">
        <f t="shared" si="0"/>
        <v>0</v>
      </c>
      <c r="L12" s="66"/>
    </row>
    <row r="13" spans="2:13" ht="17.100000000000001" customHeight="1">
      <c r="B13" s="14"/>
      <c r="C13" s="15"/>
      <c r="D13" s="15"/>
      <c r="E13" s="16">
        <v>612100</v>
      </c>
      <c r="F13" s="18" t="s">
        <v>5</v>
      </c>
      <c r="G13" s="128">
        <f>574340+3500+7*650+4*1200+17250+300</f>
        <v>604740</v>
      </c>
      <c r="H13" s="128">
        <f>574340+3500+7*650+4*1200+17250+300</f>
        <v>604740</v>
      </c>
      <c r="I13" s="213">
        <v>451187</v>
      </c>
      <c r="J13" s="128"/>
      <c r="K13" s="84">
        <f t="shared" si="0"/>
        <v>0</v>
      </c>
      <c r="L13" s="64"/>
    </row>
    <row r="14" spans="2:13" ht="17.100000000000001" customHeight="1">
      <c r="B14" s="14"/>
      <c r="C14" s="15"/>
      <c r="D14" s="15"/>
      <c r="E14" s="16"/>
      <c r="F14" s="26"/>
      <c r="G14" s="50"/>
      <c r="H14" s="50"/>
      <c r="I14" s="210"/>
      <c r="J14" s="50"/>
      <c r="K14" s="84" t="str">
        <f t="shared" si="0"/>
        <v/>
      </c>
      <c r="L14" s="65"/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81</v>
      </c>
      <c r="G15" s="61">
        <f>SUM(G16:G25)</f>
        <v>772500</v>
      </c>
      <c r="H15" s="61">
        <f>SUM(H16:H25)</f>
        <v>772500</v>
      </c>
      <c r="I15" s="211">
        <v>484820</v>
      </c>
      <c r="J15" s="61">
        <f>SUM(J16:J25)</f>
        <v>0</v>
      </c>
      <c r="K15" s="120">
        <f t="shared" si="0"/>
        <v>0</v>
      </c>
    </row>
    <row r="16" spans="2:13" ht="17.100000000000001" customHeight="1">
      <c r="B16" s="14"/>
      <c r="C16" s="15"/>
      <c r="D16" s="15"/>
      <c r="E16" s="16">
        <v>613100</v>
      </c>
      <c r="F16" s="15" t="s">
        <v>6</v>
      </c>
      <c r="G16" s="50">
        <v>14500</v>
      </c>
      <c r="H16" s="50">
        <v>14500</v>
      </c>
      <c r="I16" s="210">
        <v>6533</v>
      </c>
      <c r="J16" s="50"/>
      <c r="K16" s="84">
        <f t="shared" si="0"/>
        <v>0</v>
      </c>
    </row>
    <row r="17" spans="2:12" ht="17.100000000000001" customHeight="1">
      <c r="B17" s="14"/>
      <c r="C17" s="15"/>
      <c r="D17" s="15"/>
      <c r="E17" s="16">
        <v>613200</v>
      </c>
      <c r="F17" s="15" t="s">
        <v>7</v>
      </c>
      <c r="G17" s="50">
        <v>90000</v>
      </c>
      <c r="H17" s="50">
        <v>90000</v>
      </c>
      <c r="I17" s="210">
        <v>51771</v>
      </c>
      <c r="J17" s="50"/>
      <c r="K17" s="84">
        <f t="shared" si="0"/>
        <v>0</v>
      </c>
    </row>
    <row r="18" spans="2:12" ht="17.100000000000001" customHeight="1">
      <c r="B18" s="14"/>
      <c r="C18" s="15"/>
      <c r="D18" s="15"/>
      <c r="E18" s="16">
        <v>613300</v>
      </c>
      <c r="F18" s="26" t="s">
        <v>107</v>
      </c>
      <c r="G18" s="50">
        <v>92000</v>
      </c>
      <c r="H18" s="50">
        <v>92000</v>
      </c>
      <c r="I18" s="210">
        <v>57263</v>
      </c>
      <c r="J18" s="50"/>
      <c r="K18" s="84">
        <f t="shared" si="0"/>
        <v>0</v>
      </c>
    </row>
    <row r="19" spans="2:12" ht="17.100000000000001" customHeight="1">
      <c r="B19" s="14"/>
      <c r="C19" s="15"/>
      <c r="D19" s="15"/>
      <c r="E19" s="16">
        <v>613400</v>
      </c>
      <c r="F19" s="15" t="s">
        <v>82</v>
      </c>
      <c r="G19" s="50">
        <v>200000</v>
      </c>
      <c r="H19" s="50">
        <v>200000</v>
      </c>
      <c r="I19" s="210">
        <v>138773</v>
      </c>
      <c r="J19" s="50"/>
      <c r="K19" s="84">
        <f t="shared" si="0"/>
        <v>0</v>
      </c>
    </row>
    <row r="20" spans="2:12" ht="17.100000000000001" customHeight="1">
      <c r="B20" s="14"/>
      <c r="C20" s="15"/>
      <c r="D20" s="15"/>
      <c r="E20" s="16">
        <v>613500</v>
      </c>
      <c r="F20" s="15" t="s">
        <v>8</v>
      </c>
      <c r="G20" s="50">
        <v>100000</v>
      </c>
      <c r="H20" s="50">
        <v>100000</v>
      </c>
      <c r="I20" s="210">
        <v>78785</v>
      </c>
      <c r="J20" s="50"/>
      <c r="K20" s="84">
        <f t="shared" si="0"/>
        <v>0</v>
      </c>
    </row>
    <row r="21" spans="2:12" ht="17.100000000000001" customHeight="1">
      <c r="B21" s="14"/>
      <c r="C21" s="15"/>
      <c r="D21" s="15"/>
      <c r="E21" s="16">
        <v>613600</v>
      </c>
      <c r="F21" s="26" t="s">
        <v>108</v>
      </c>
      <c r="G21" s="50">
        <v>33000</v>
      </c>
      <c r="H21" s="50">
        <v>33000</v>
      </c>
      <c r="I21" s="210">
        <v>24750</v>
      </c>
      <c r="J21" s="50"/>
      <c r="K21" s="84">
        <f t="shared" si="0"/>
        <v>0</v>
      </c>
    </row>
    <row r="22" spans="2:12" ht="17.100000000000001" customHeight="1">
      <c r="B22" s="14"/>
      <c r="C22" s="15"/>
      <c r="D22" s="15"/>
      <c r="E22" s="16">
        <v>613700</v>
      </c>
      <c r="F22" s="15" t="s">
        <v>9</v>
      </c>
      <c r="G22" s="50">
        <v>75000</v>
      </c>
      <c r="H22" s="50">
        <v>75000</v>
      </c>
      <c r="I22" s="210">
        <v>53148</v>
      </c>
      <c r="J22" s="50"/>
      <c r="K22" s="84">
        <f t="shared" si="0"/>
        <v>0</v>
      </c>
    </row>
    <row r="23" spans="2:12" ht="17.100000000000001" customHeight="1">
      <c r="B23" s="14"/>
      <c r="C23" s="15"/>
      <c r="D23" s="15"/>
      <c r="E23" s="16">
        <v>613800</v>
      </c>
      <c r="F23" s="15" t="s">
        <v>83</v>
      </c>
      <c r="G23" s="50">
        <v>18000</v>
      </c>
      <c r="H23" s="50">
        <v>18000</v>
      </c>
      <c r="I23" s="210">
        <v>11429</v>
      </c>
      <c r="J23" s="50"/>
      <c r="K23" s="84">
        <f t="shared" si="0"/>
        <v>0</v>
      </c>
    </row>
    <row r="24" spans="2:12" ht="17.100000000000001" customHeight="1">
      <c r="B24" s="14"/>
      <c r="C24" s="15"/>
      <c r="D24" s="15"/>
      <c r="E24" s="16">
        <v>613900</v>
      </c>
      <c r="F24" s="15" t="s">
        <v>84</v>
      </c>
      <c r="G24" s="50">
        <v>150000</v>
      </c>
      <c r="H24" s="50">
        <v>150000</v>
      </c>
      <c r="I24" s="210">
        <v>62368</v>
      </c>
      <c r="J24" s="50"/>
      <c r="K24" s="84">
        <f t="shared" si="0"/>
        <v>0</v>
      </c>
    </row>
    <row r="25" spans="2:12" ht="17.100000000000001" customHeight="1">
      <c r="B25" s="14"/>
      <c r="C25" s="15"/>
      <c r="D25" s="15"/>
      <c r="E25" s="16">
        <v>613900</v>
      </c>
      <c r="F25" s="127" t="s">
        <v>139</v>
      </c>
      <c r="G25" s="69">
        <v>0</v>
      </c>
      <c r="H25" s="69">
        <v>0</v>
      </c>
      <c r="I25" s="212">
        <v>0</v>
      </c>
      <c r="J25" s="69"/>
      <c r="K25" s="84" t="str">
        <f t="shared" si="0"/>
        <v/>
      </c>
      <c r="L25" s="53"/>
    </row>
    <row r="26" spans="2:12" s="1" customFormat="1" ht="17.100000000000001" customHeight="1">
      <c r="B26" s="17"/>
      <c r="C26" s="12"/>
      <c r="D26" s="12"/>
      <c r="E26" s="39"/>
      <c r="F26" s="12"/>
      <c r="G26" s="50"/>
      <c r="H26" s="50"/>
      <c r="I26" s="210"/>
      <c r="J26" s="50"/>
      <c r="K26" s="84" t="str">
        <f t="shared" si="0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12</v>
      </c>
      <c r="G27" s="61">
        <f>SUM(G28:G29)</f>
        <v>100000</v>
      </c>
      <c r="H27" s="61">
        <f>SUM(H28:H29)</f>
        <v>100000</v>
      </c>
      <c r="I27" s="211">
        <v>37433</v>
      </c>
      <c r="J27" s="61">
        <f>SUM(J28:J29)</f>
        <v>0</v>
      </c>
      <c r="K27" s="120">
        <f t="shared" si="0"/>
        <v>0</v>
      </c>
    </row>
    <row r="28" spans="2:12" ht="17.100000000000001" customHeight="1">
      <c r="B28" s="14"/>
      <c r="C28" s="15"/>
      <c r="D28" s="15"/>
      <c r="E28" s="16">
        <v>821200</v>
      </c>
      <c r="F28" s="15" t="s">
        <v>13</v>
      </c>
      <c r="G28" s="50">
        <v>0</v>
      </c>
      <c r="H28" s="50">
        <v>0</v>
      </c>
      <c r="I28" s="210">
        <v>0</v>
      </c>
      <c r="J28" s="50"/>
      <c r="K28" s="84" t="str">
        <f t="shared" si="0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14</v>
      </c>
      <c r="G29" s="50">
        <v>100000</v>
      </c>
      <c r="H29" s="50">
        <v>100000</v>
      </c>
      <c r="I29" s="210">
        <v>37433</v>
      </c>
      <c r="J29" s="50"/>
      <c r="K29" s="84">
        <f t="shared" si="0"/>
        <v>0</v>
      </c>
    </row>
    <row r="30" spans="2:12" ht="17.100000000000001" customHeight="1">
      <c r="B30" s="14"/>
      <c r="C30" s="15"/>
      <c r="D30" s="15"/>
      <c r="E30" s="16"/>
      <c r="F30" s="15"/>
      <c r="G30" s="20"/>
      <c r="H30" s="20"/>
      <c r="I30" s="209"/>
      <c r="J30" s="20"/>
      <c r="K30" s="84" t="str">
        <f t="shared" si="0"/>
        <v/>
      </c>
    </row>
    <row r="31" spans="2:12" s="1" customFormat="1" ht="17.100000000000001" customHeight="1">
      <c r="B31" s="17"/>
      <c r="C31" s="12"/>
      <c r="D31" s="12"/>
      <c r="E31" s="9"/>
      <c r="F31" s="12" t="s">
        <v>15</v>
      </c>
      <c r="G31" s="61">
        <f>198+11</f>
        <v>209</v>
      </c>
      <c r="H31" s="61">
        <f>198+11</f>
        <v>209</v>
      </c>
      <c r="I31" s="211">
        <v>199</v>
      </c>
      <c r="J31" s="61"/>
      <c r="K31" s="84"/>
    </row>
    <row r="32" spans="2:12" s="1" customFormat="1" ht="17.100000000000001" customHeight="1">
      <c r="B32" s="17"/>
      <c r="C32" s="12"/>
      <c r="D32" s="12"/>
      <c r="E32" s="9"/>
      <c r="F32" s="12" t="s">
        <v>31</v>
      </c>
      <c r="G32" s="20">
        <f>G7+G12+G15+G27</f>
        <v>6190850</v>
      </c>
      <c r="H32" s="20">
        <f>H7+H12+H15+H27</f>
        <v>6190850</v>
      </c>
      <c r="I32" s="20">
        <f t="shared" ref="I32" si="1">I7+I12+I15+I27</f>
        <v>4450597</v>
      </c>
      <c r="J32" s="20">
        <f>J7+J12+J15+J27</f>
        <v>0</v>
      </c>
      <c r="K32" s="120">
        <f t="shared" si="0"/>
        <v>0</v>
      </c>
    </row>
    <row r="33" spans="2:11" s="1" customFormat="1" ht="17.100000000000001" customHeight="1">
      <c r="B33" s="17"/>
      <c r="C33" s="12"/>
      <c r="D33" s="12"/>
      <c r="E33" s="9"/>
      <c r="F33" s="12" t="s">
        <v>16</v>
      </c>
      <c r="G33" s="20">
        <f>G32</f>
        <v>6190850</v>
      </c>
      <c r="H33" s="20">
        <f>H32</f>
        <v>6190850</v>
      </c>
      <c r="I33" s="20">
        <f t="shared" ref="I33" si="2">I32</f>
        <v>4450597</v>
      </c>
      <c r="J33" s="20">
        <f>J32</f>
        <v>0</v>
      </c>
      <c r="K33" s="120">
        <f>IF(H33=0,"",J33/H33*100)</f>
        <v>0</v>
      </c>
    </row>
    <row r="34" spans="2:11" s="1" customFormat="1" ht="17.100000000000001" customHeight="1">
      <c r="B34" s="17"/>
      <c r="C34" s="12"/>
      <c r="D34" s="12"/>
      <c r="E34" s="9"/>
      <c r="F34" s="12" t="s">
        <v>17</v>
      </c>
      <c r="G34" s="20">
        <f>G33</f>
        <v>6190850</v>
      </c>
      <c r="H34" s="20">
        <f>H33</f>
        <v>6190850</v>
      </c>
      <c r="I34" s="20">
        <f t="shared" ref="I34" si="3">I33</f>
        <v>4450597</v>
      </c>
      <c r="J34" s="20">
        <f>J33</f>
        <v>0</v>
      </c>
      <c r="K34" s="120">
        <f t="shared" si="0"/>
        <v>0</v>
      </c>
    </row>
    <row r="35" spans="2:11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22"/>
      <c r="K35" s="87"/>
    </row>
    <row r="36" spans="2:11" ht="17.100000000000001" customHeight="1"/>
    <row r="37" spans="2:11" ht="17.100000000000001" customHeight="1">
      <c r="B37" s="49"/>
    </row>
    <row r="38" spans="2:11" ht="17.100000000000001" customHeight="1">
      <c r="B38" s="49"/>
    </row>
    <row r="39" spans="2:11" ht="17.100000000000001" customHeight="1">
      <c r="B39" s="49"/>
    </row>
    <row r="40" spans="2:11" ht="17.100000000000001" customHeight="1">
      <c r="B40" s="49"/>
    </row>
    <row r="41" spans="2:11" ht="17.100000000000001" customHeight="1">
      <c r="B41" s="49"/>
    </row>
    <row r="42" spans="2:11" ht="17.100000000000001" customHeight="1">
      <c r="B42" s="49"/>
    </row>
    <row r="43" spans="2:11" ht="17.100000000000001" customHeight="1"/>
    <row r="44" spans="2:11" ht="17.100000000000001" customHeight="1"/>
    <row r="45" spans="2:11" ht="17.100000000000001" customHeight="1"/>
    <row r="46" spans="2:11" ht="17.100000000000001" customHeight="1"/>
    <row r="47" spans="2:11" ht="17.100000000000001" customHeight="1"/>
    <row r="48" spans="2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  <row r="58" ht="17.100000000000001" customHeight="1"/>
    <row r="59" ht="17.100000000000001" customHeight="1"/>
  </sheetData>
  <mergeCells count="2">
    <mergeCell ref="B2:J2"/>
    <mergeCell ref="F3:G3"/>
  </mergeCells>
  <phoneticPr fontId="1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36</vt:i4>
      </vt:variant>
      <vt:variant>
        <vt:lpstr>Imenovani rasponi</vt:lpstr>
      </vt:variant>
      <vt:variant>
        <vt:i4>4</vt:i4>
      </vt:variant>
    </vt:vector>
  </HeadingPairs>
  <TitlesOfParts>
    <vt:vector size="40" baseType="lpstr"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'15'!Podrucje_ispisa</vt:lpstr>
      <vt:lpstr>'16'!Podrucje_ispisa</vt:lpstr>
      <vt:lpstr>'17'!Podrucje_ispisa</vt:lpstr>
      <vt:lpstr>'21'!Podrucje_ispisa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2018-10-29T12:33:23Z</cp:lastPrinted>
  <dcterms:created xsi:type="dcterms:W3CDTF">2004-07-23T11:14:23Z</dcterms:created>
  <dcterms:modified xsi:type="dcterms:W3CDTF">2018-10-29T12:35:03Z</dcterms:modified>
</cp:coreProperties>
</file>