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44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-15" yWindow="-15" windowWidth="21660" windowHeight="4785" tabRatio="964"/>
  </bookViews>
  <sheets>
    <sheet name="Naslovnica" sheetId="65120" r:id="rId1"/>
    <sheet name="Sadrzaj" sheetId="65121" r:id="rId2"/>
    <sheet name="Uvod" sheetId="304" r:id="rId3"/>
    <sheet name="CODE" sheetId="65119" state="veryHidden" r:id="rId4"/>
    <sheet name="Prihodi" sheetId="65139" r:id="rId5"/>
    <sheet name="Rashodi" sheetId="300" r:id="rId6"/>
    <sheet name="1" sheetId="16" r:id="rId7"/>
    <sheet name="3" sheetId="65065" r:id="rId8"/>
    <sheet name="4" sheetId="65066" r:id="rId9"/>
    <sheet name="5" sheetId="65067" r:id="rId10"/>
    <sheet name="6" sheetId="65099" r:id="rId11"/>
    <sheet name="7" sheetId="65123" r:id="rId12"/>
    <sheet name="8" sheetId="65068" r:id="rId13"/>
    <sheet name="9" sheetId="65069" r:id="rId14"/>
    <sheet name="10" sheetId="65070" r:id="rId15"/>
    <sheet name="11" sheetId="65071" r:id="rId16"/>
    <sheet name="12" sheetId="65074" r:id="rId17"/>
    <sheet name="13" sheetId="65100" r:id="rId18"/>
    <sheet name="14" sheetId="65115" r:id="rId19"/>
    <sheet name="15" sheetId="65075" r:id="rId20"/>
    <sheet name="16" sheetId="65076" r:id="rId21"/>
    <sheet name="17" sheetId="65077" r:id="rId22"/>
    <sheet name="18" sheetId="65078" r:id="rId23"/>
    <sheet name="19" sheetId="65079" r:id="rId24"/>
    <sheet name="20" sheetId="65080" r:id="rId25"/>
    <sheet name="21" sheetId="65082" r:id="rId26"/>
    <sheet name="22" sheetId="65081" r:id="rId27"/>
    <sheet name="23" sheetId="65122" r:id="rId28"/>
    <sheet name="24" sheetId="65083" r:id="rId29"/>
    <sheet name="25" sheetId="65084" r:id="rId30"/>
    <sheet name="26" sheetId="65085" r:id="rId31"/>
    <sheet name="27" sheetId="65086" r:id="rId32"/>
    <sheet name="28" sheetId="65087" r:id="rId33"/>
    <sheet name="29" sheetId="65088" r:id="rId34"/>
    <sheet name="30" sheetId="65089" r:id="rId35"/>
    <sheet name="31" sheetId="65093" r:id="rId36"/>
    <sheet name="32" sheetId="65094" r:id="rId37"/>
    <sheet name="33" sheetId="65095" r:id="rId38"/>
    <sheet name="34" sheetId="65096" r:id="rId39"/>
    <sheet name="35" sheetId="65097" r:id="rId40"/>
    <sheet name="36" sheetId="65098" r:id="rId41"/>
    <sheet name="37" sheetId="65105" r:id="rId42"/>
    <sheet name="Sumarno" sheetId="65124" r:id="rId43"/>
    <sheet name="Funkcijska" sheetId="65137" r:id="rId44"/>
    <sheet name="Kap.pror." sheetId="65125" r:id="rId45"/>
    <sheet name="Kraj" sheetId="65061" r:id="rId46"/>
  </sheets>
  <definedNames>
    <definedName name="ACCOUNTEDPERIODTYPE1">#REF!</definedName>
    <definedName name="APPSUSERNAME1">#REF!</definedName>
    <definedName name="BUDGETORGID1">#REF!</definedName>
    <definedName name="BUDGETORGNAME1">#REF!</definedName>
    <definedName name="CHARTOFACCOUNTSID1">#REF!</definedName>
    <definedName name="CONNECTSTRING1">#REF!</definedName>
    <definedName name="CREATESUMMARYJNLS1">#REF!</definedName>
    <definedName name="CRITERIACOLUMN1">#REF!</definedName>
    <definedName name="DBNAME1">#REF!</definedName>
    <definedName name="DBUSERNAME1">#REF!</definedName>
    <definedName name="DELETELOGICTYPE1">#REF!</definedName>
    <definedName name="FFAPPCOLNAME1_1">#REF!</definedName>
    <definedName name="FFAPPCOLNAME2_1">#REF!</definedName>
    <definedName name="FFAPPCOLNAME3_1">#REF!</definedName>
    <definedName name="FFAPPCOLNAME4_1">#REF!</definedName>
    <definedName name="FFAPPCOLNAME5_1">#REF!</definedName>
    <definedName name="FFAPPCOLNAME6_1">#REF!</definedName>
    <definedName name="FFSEGMENT1_1">#REF!</definedName>
    <definedName name="FFSEGMENT2_1">#REF!</definedName>
    <definedName name="FFSEGMENT3_1">#REF!</definedName>
    <definedName name="FFSEGMENT4_1">#REF!</definedName>
    <definedName name="FFSEGMENT5_1">#REF!</definedName>
    <definedName name="FFSEGMENT6_1">#REF!</definedName>
    <definedName name="FFSEGSEPARATOR1">#REF!</definedName>
    <definedName name="FIELDNAMECOLUMN1">#REF!</definedName>
    <definedName name="FIELDNAMEROW1">#REF!</definedName>
    <definedName name="FIRSTDATAROW1">#REF!</definedName>
    <definedName name="FNDNAM1">#REF!</definedName>
    <definedName name="FNDUSERID1">#REF!</definedName>
    <definedName name="FUNCTIONALCURRENCY1">#REF!</definedName>
    <definedName name="GWYUID1">#REF!</definedName>
    <definedName name="IMPORTDFF1">#REF!</definedName>
    <definedName name="_xlnm.Print_Titles" localSheetId="43">Funkcijska!$1:$6</definedName>
    <definedName name="_xlnm.Print_Titles" localSheetId="4">Prihodi!$2:$4</definedName>
    <definedName name="_xlnm.Print_Titles" localSheetId="5">Rashodi!$1:$6</definedName>
    <definedName name="LABELTEXTCOLUMN1">#REF!</definedName>
    <definedName name="LABELTEXTROW1">#REF!</definedName>
    <definedName name="NOOFFFSEGMENTS1">#REF!</definedName>
    <definedName name="NUMBEROFDETAILFIELDS1">#REF!</definedName>
    <definedName name="NUMBEROFHEADERFIELDS1">#REF!</definedName>
    <definedName name="PERIODSETNAME1">#REF!</definedName>
    <definedName name="_xlnm.Print_Area" localSheetId="14">'10'!$A$1:$N$57</definedName>
    <definedName name="_xlnm.Print_Area" localSheetId="15">'11'!$A$1:$N$57</definedName>
    <definedName name="_xlnm.Print_Area" localSheetId="16">'12'!$A$1:$N$57</definedName>
    <definedName name="_xlnm.Print_Area" localSheetId="17">'13'!$A$1:$N$57</definedName>
    <definedName name="_xlnm.Print_Area" localSheetId="18">'14'!$A$1:$N$57</definedName>
    <definedName name="_xlnm.Print_Area" localSheetId="19">'15'!$A$1:$N$42</definedName>
    <definedName name="_xlnm.Print_Area" localSheetId="20">'16'!$A$1:$N$54</definedName>
    <definedName name="_xlnm.Print_Area" localSheetId="21">'17'!$A$1:$N$44</definedName>
    <definedName name="_xlnm.Print_Area" localSheetId="22">'18'!$A$1:$N$57</definedName>
    <definedName name="_xlnm.Print_Area" localSheetId="23">'19'!$A$1:$N$57</definedName>
    <definedName name="_xlnm.Print_Area" localSheetId="24">'20'!$A$1:$N$57</definedName>
    <definedName name="_xlnm.Print_Area" localSheetId="25">'21'!$A$1:$N$36</definedName>
    <definedName name="_xlnm.Print_Area" localSheetId="26">'22'!$A$1:$N$57</definedName>
    <definedName name="_xlnm.Print_Area" localSheetId="27">'23'!$A$1:$N$57</definedName>
    <definedName name="_xlnm.Print_Area" localSheetId="28">'24'!$A$1:$N$57</definedName>
    <definedName name="_xlnm.Print_Area" localSheetId="29">'25'!$A$1:$N$57</definedName>
    <definedName name="_xlnm.Print_Area" localSheetId="30">'26'!$A$1:$N$57</definedName>
    <definedName name="_xlnm.Print_Area" localSheetId="31">'27'!$A$1:$N$57</definedName>
    <definedName name="_xlnm.Print_Area" localSheetId="32">'28'!$A$1:$N$57</definedName>
    <definedName name="_xlnm.Print_Area" localSheetId="33">'29'!$A$1:$N$57</definedName>
    <definedName name="_xlnm.Print_Area" localSheetId="34">'30'!$A$1:$N$57</definedName>
    <definedName name="_xlnm.Print_Area" localSheetId="35">'31'!$A$1:$N$57</definedName>
    <definedName name="_xlnm.Print_Area" localSheetId="36">'32'!$A$1:$N$57</definedName>
    <definedName name="_xlnm.Print_Area" localSheetId="37">'33'!$A$1:$N$57</definedName>
    <definedName name="_xlnm.Print_Area" localSheetId="38">'34'!$A$1:$N$57</definedName>
    <definedName name="_xlnm.Print_Area" localSheetId="39">'35'!$A$1:$N$57</definedName>
    <definedName name="_xlnm.Print_Area" localSheetId="40">'36'!$A$1:$N$57</definedName>
    <definedName name="_xlnm.Print_Area" localSheetId="41">'37'!$A$1:$N$57</definedName>
    <definedName name="_xlnm.Print_Area" localSheetId="8">'4'!$A$1:$N$59</definedName>
    <definedName name="_xlnm.Print_Area" localSheetId="9">'5'!$A$1:$N$59</definedName>
    <definedName name="_xlnm.Print_Area" localSheetId="10">'6'!$A$1:$N$59</definedName>
    <definedName name="_xlnm.Print_Area" localSheetId="11">'7'!$A$1:$N$57</definedName>
    <definedName name="_xlnm.Print_Area" localSheetId="12">'8'!$A$1:$N$57</definedName>
    <definedName name="_xlnm.Print_Area" localSheetId="13">'9'!$A$1:$N$57</definedName>
    <definedName name="_xlnm.Print_Area" localSheetId="43">Funkcijska!$A$7:$G$106</definedName>
    <definedName name="_xlnm.Print_Area" localSheetId="45">Kraj!$A$1:$H$23</definedName>
    <definedName name="_xlnm.Print_Area" localSheetId="4">Prihodi!$B$4:$F$215</definedName>
    <definedName name="_xlnm.Print_Area" localSheetId="5">Rashodi!$C$7:$L$119</definedName>
    <definedName name="_xlnm.Print_Area" localSheetId="1">Sadrzaj!$A$1:$U$33</definedName>
    <definedName name="_xlnm.Print_Area" localSheetId="2">Uvod!$B$1:$F$45</definedName>
    <definedName name="POSTERRORSTOSUSP1">#REF!</definedName>
    <definedName name="RESPONSIBILITYAPPLICATIONID1">#REF!</definedName>
    <definedName name="RESPONSIBILITYID1">#REF!</definedName>
    <definedName name="RESPONSIBILITYNAME1">#REF!</definedName>
    <definedName name="ROWSTOUPLOAD1">#REF!</definedName>
    <definedName name="SETOFBOOKSID1">#REF!</definedName>
    <definedName name="SETOFBOOKSNAME1">#REF!</definedName>
    <definedName name="STARTJOURNALIMPORT1">#REF!</definedName>
    <definedName name="TEMPLATENUMBER1">#REF!</definedName>
    <definedName name="TEMPLATESTYLE1">#REF!</definedName>
    <definedName name="TEMPLATETYPE1">#REF!</definedName>
  </definedNames>
  <calcPr calcId="125725"/>
</workbook>
</file>

<file path=xl/calcChain.xml><?xml version="1.0" encoding="utf-8"?>
<calcChain xmlns="http://schemas.openxmlformats.org/spreadsheetml/2006/main">
  <c r="N32" i="65095"/>
  <c r="N32" i="65093"/>
  <c r="N32" i="65122"/>
  <c r="N32" i="65080"/>
  <c r="N32" i="65079"/>
  <c r="N32" i="65078"/>
  <c r="N32" i="65077"/>
  <c r="N32" i="65076"/>
  <c r="N32" i="65075"/>
  <c r="N32" i="65071"/>
  <c r="N32" i="65066"/>
  <c r="N32" i="65065"/>
  <c r="L42" i="65124" l="1"/>
  <c r="F86" i="65137"/>
  <c r="D66" i="65139" l="1"/>
  <c r="E66"/>
  <c r="F67"/>
  <c r="K32" i="65077"/>
  <c r="K28" i="65083"/>
  <c r="K16"/>
  <c r="K13"/>
  <c r="K8"/>
  <c r="L8" i="65099"/>
  <c r="D36" i="304"/>
  <c r="D31"/>
  <c r="D29"/>
  <c r="D27"/>
  <c r="D26"/>
  <c r="D25"/>
  <c r="D24"/>
  <c r="D23"/>
  <c r="D22"/>
  <c r="D21"/>
  <c r="D19"/>
  <c r="D17"/>
  <c r="D15"/>
  <c r="F214" i="65139" l="1"/>
  <c r="F213"/>
  <c r="F212"/>
  <c r="F211"/>
  <c r="F210"/>
  <c r="F209"/>
  <c r="F208"/>
  <c r="F207"/>
  <c r="F205"/>
  <c r="F204"/>
  <c r="F203"/>
  <c r="F201"/>
  <c r="F200"/>
  <c r="F199"/>
  <c r="F198"/>
  <c r="F197"/>
  <c r="F196"/>
  <c r="F195"/>
  <c r="F194"/>
  <c r="F193"/>
  <c r="F192"/>
  <c r="F191"/>
  <c r="F189"/>
  <c r="F186"/>
  <c r="F185"/>
  <c r="F184"/>
  <c r="F183"/>
  <c r="F182"/>
  <c r="F177"/>
  <c r="F176"/>
  <c r="F175"/>
  <c r="F174"/>
  <c r="F173"/>
  <c r="F172"/>
  <c r="F171"/>
  <c r="F169"/>
  <c r="F168"/>
  <c r="F167"/>
  <c r="F166"/>
  <c r="F165"/>
  <c r="F164"/>
  <c r="F163"/>
  <c r="F162"/>
  <c r="F157"/>
  <c r="F156"/>
  <c r="F155"/>
  <c r="F153"/>
  <c r="F149"/>
  <c r="F147"/>
  <c r="F146"/>
  <c r="F145"/>
  <c r="F144"/>
  <c r="F143"/>
  <c r="F140"/>
  <c r="F139"/>
  <c r="F138"/>
  <c r="F137"/>
  <c r="F135"/>
  <c r="F134"/>
  <c r="F133"/>
  <c r="F132"/>
  <c r="F131"/>
  <c r="F130"/>
  <c r="F128"/>
  <c r="F127"/>
  <c r="F126"/>
  <c r="F125"/>
  <c r="F124"/>
  <c r="F121"/>
  <c r="F119"/>
  <c r="F117"/>
  <c r="F114"/>
  <c r="F112"/>
  <c r="F111"/>
  <c r="F110"/>
  <c r="F109"/>
  <c r="F107"/>
  <c r="F106"/>
  <c r="F105"/>
  <c r="F104"/>
  <c r="F103"/>
  <c r="F102"/>
  <c r="F101"/>
  <c r="F100"/>
  <c r="F99"/>
  <c r="F96"/>
  <c r="F95"/>
  <c r="F94"/>
  <c r="F93"/>
  <c r="F90"/>
  <c r="F89"/>
  <c r="F88"/>
  <c r="F85"/>
  <c r="F84"/>
  <c r="F82"/>
  <c r="F81"/>
  <c r="F80"/>
  <c r="F78"/>
  <c r="F75"/>
  <c r="F73"/>
  <c r="F70"/>
  <c r="F68"/>
  <c r="F66"/>
  <c r="F65"/>
  <c r="F64"/>
  <c r="F63"/>
  <c r="F61"/>
  <c r="F60"/>
  <c r="F56"/>
  <c r="F55"/>
  <c r="F54"/>
  <c r="F53"/>
  <c r="F50"/>
  <c r="F49"/>
  <c r="F48"/>
  <c r="F45"/>
  <c r="F44"/>
  <c r="F43"/>
  <c r="F42"/>
  <c r="F41"/>
  <c r="F40"/>
  <c r="F39"/>
  <c r="F36"/>
  <c r="F34"/>
  <c r="F32"/>
  <c r="F31"/>
  <c r="F30"/>
  <c r="F29"/>
  <c r="F26"/>
  <c r="F25"/>
  <c r="F24"/>
  <c r="F23"/>
  <c r="F22"/>
  <c r="F21"/>
  <c r="F18"/>
  <c r="F17"/>
  <c r="F14"/>
  <c r="F13"/>
  <c r="F11"/>
  <c r="F10"/>
  <c r="F9"/>
  <c r="F8"/>
  <c r="D210"/>
  <c r="D209" s="1"/>
  <c r="D208" s="1"/>
  <c r="D202"/>
  <c r="D198"/>
  <c r="D197"/>
  <c r="D190"/>
  <c r="D188"/>
  <c r="D187" s="1"/>
  <c r="D181"/>
  <c r="D180" s="1"/>
  <c r="D179" s="1"/>
  <c r="D174"/>
  <c r="D173" s="1"/>
  <c r="D170"/>
  <c r="D168"/>
  <c r="D161"/>
  <c r="D160" s="1"/>
  <c r="D159" s="1"/>
  <c r="D158" s="1"/>
  <c r="D154"/>
  <c r="D152" s="1"/>
  <c r="D151" s="1"/>
  <c r="D150" s="1"/>
  <c r="D145"/>
  <c r="D142"/>
  <c r="D141" s="1"/>
  <c r="D136"/>
  <c r="D129"/>
  <c r="D123"/>
  <c r="D122" s="1"/>
  <c r="D121"/>
  <c r="D120" s="1"/>
  <c r="D119"/>
  <c r="D118" s="1"/>
  <c r="D116"/>
  <c r="D115" s="1"/>
  <c r="D113"/>
  <c r="D108"/>
  <c r="D98"/>
  <c r="D97" s="1"/>
  <c r="D92"/>
  <c r="D91" s="1"/>
  <c r="D88"/>
  <c r="D87" s="1"/>
  <c r="D86" s="1"/>
  <c r="D83"/>
  <c r="D79"/>
  <c r="D77" s="1"/>
  <c r="D76" s="1"/>
  <c r="D74"/>
  <c r="D72"/>
  <c r="D69"/>
  <c r="D62"/>
  <c r="D59"/>
  <c r="D58"/>
  <c r="D52"/>
  <c r="D51" s="1"/>
  <c r="D47"/>
  <c r="D46" s="1"/>
  <c r="D38"/>
  <c r="D37" s="1"/>
  <c r="D35"/>
  <c r="D34"/>
  <c r="D33"/>
  <c r="D28"/>
  <c r="D27"/>
  <c r="D20"/>
  <c r="D19"/>
  <c r="D17"/>
  <c r="D16"/>
  <c r="D15" s="1"/>
  <c r="D12"/>
  <c r="D7"/>
  <c r="D6"/>
  <c r="L109" i="300"/>
  <c r="L104"/>
  <c r="L98"/>
  <c r="L93"/>
  <c r="L90"/>
  <c r="L81"/>
  <c r="L63"/>
  <c r="L56"/>
  <c r="L48"/>
  <c r="L45"/>
  <c r="L44"/>
  <c r="L36"/>
  <c r="L23"/>
  <c r="L20"/>
  <c r="L14"/>
  <c r="L8"/>
  <c r="N66" i="65067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5"/>
  <c r="N34"/>
  <c r="N31"/>
  <c r="N29"/>
  <c r="N27"/>
  <c r="N26"/>
  <c r="N24"/>
  <c r="N23"/>
  <c r="N22"/>
  <c r="N21"/>
  <c r="N20"/>
  <c r="N19"/>
  <c r="N18"/>
  <c r="N15"/>
  <c r="N12"/>
  <c r="N11"/>
  <c r="N66" i="65099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5"/>
  <c r="N34"/>
  <c r="N31"/>
  <c r="N29"/>
  <c r="N27"/>
  <c r="N26"/>
  <c r="N24"/>
  <c r="N23"/>
  <c r="N22"/>
  <c r="N21"/>
  <c r="N18"/>
  <c r="N15"/>
  <c r="N12"/>
  <c r="N11"/>
  <c r="N66" i="65123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1"/>
  <c r="N29"/>
  <c r="N27"/>
  <c r="N26"/>
  <c r="N24"/>
  <c r="N22"/>
  <c r="N21"/>
  <c r="N18"/>
  <c r="N15"/>
  <c r="N12"/>
  <c r="N11"/>
  <c r="N66" i="65068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1"/>
  <c r="N29"/>
  <c r="N27"/>
  <c r="N26"/>
  <c r="N22"/>
  <c r="N15"/>
  <c r="N12"/>
  <c r="N11"/>
  <c r="N66" i="65069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1"/>
  <c r="N29"/>
  <c r="N27"/>
  <c r="N26"/>
  <c r="N15"/>
  <c r="N12"/>
  <c r="N11"/>
  <c r="N66" i="65070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5"/>
  <c r="N34"/>
  <c r="N31"/>
  <c r="N30"/>
  <c r="N29"/>
  <c r="N28"/>
  <c r="N27"/>
  <c r="N26"/>
  <c r="N24"/>
  <c r="N22"/>
  <c r="N21"/>
  <c r="N18"/>
  <c r="N15"/>
  <c r="N12"/>
  <c r="N11"/>
  <c r="N66" i="65071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0"/>
  <c r="N28"/>
  <c r="N27"/>
  <c r="N26"/>
  <c r="N22"/>
  <c r="N15"/>
  <c r="N12"/>
  <c r="N11"/>
  <c r="N66" i="65074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5"/>
  <c r="N34"/>
  <c r="N31"/>
  <c r="N29"/>
  <c r="N27"/>
  <c r="N26"/>
  <c r="N24"/>
  <c r="N23"/>
  <c r="N22"/>
  <c r="N21"/>
  <c r="N18"/>
  <c r="N15"/>
  <c r="N12"/>
  <c r="N11"/>
  <c r="N66" i="65100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5"/>
  <c r="N31"/>
  <c r="N29"/>
  <c r="N27"/>
  <c r="N26"/>
  <c r="N24"/>
  <c r="N22"/>
  <c r="N21"/>
  <c r="N18"/>
  <c r="N15"/>
  <c r="N12"/>
  <c r="N11"/>
  <c r="N66" i="65115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1"/>
  <c r="N29"/>
  <c r="N27"/>
  <c r="N26"/>
  <c r="N24"/>
  <c r="N22"/>
  <c r="N21"/>
  <c r="N18"/>
  <c r="N15"/>
  <c r="N12"/>
  <c r="N11"/>
  <c r="N66" i="65075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35"/>
  <c r="N33"/>
  <c r="N31"/>
  <c r="N28"/>
  <c r="N26"/>
  <c r="N24"/>
  <c r="N22"/>
  <c r="N21"/>
  <c r="N18"/>
  <c r="N15"/>
  <c r="N12"/>
  <c r="N11"/>
  <c r="N66" i="65076"/>
  <c r="N65"/>
  <c r="N64"/>
  <c r="N63"/>
  <c r="N62"/>
  <c r="N61"/>
  <c r="N60"/>
  <c r="N59"/>
  <c r="N58"/>
  <c r="N57"/>
  <c r="N56"/>
  <c r="N55"/>
  <c r="N54"/>
  <c r="N53"/>
  <c r="N48"/>
  <c r="N44"/>
  <c r="N42"/>
  <c r="N40"/>
  <c r="N36"/>
  <c r="N31"/>
  <c r="N30"/>
  <c r="N25"/>
  <c r="N24"/>
  <c r="N21"/>
  <c r="N18"/>
  <c r="N15"/>
  <c r="N14"/>
  <c r="N10"/>
  <c r="N66" i="65077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37"/>
  <c r="N35"/>
  <c r="N33"/>
  <c r="N30"/>
  <c r="N27"/>
  <c r="N26"/>
  <c r="N24"/>
  <c r="N22"/>
  <c r="N21"/>
  <c r="N18"/>
  <c r="N15"/>
  <c r="N12"/>
  <c r="N11"/>
  <c r="N66" i="65078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37"/>
  <c r="N34"/>
  <c r="N28"/>
  <c r="N27"/>
  <c r="N25"/>
  <c r="N22"/>
  <c r="N21"/>
  <c r="N20"/>
  <c r="N18"/>
  <c r="N15"/>
  <c r="N12"/>
  <c r="N11"/>
  <c r="N66" i="65079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37"/>
  <c r="N35"/>
  <c r="N33"/>
  <c r="N27"/>
  <c r="N26"/>
  <c r="N18"/>
  <c r="N15"/>
  <c r="N12"/>
  <c r="N11"/>
  <c r="N66" i="65080"/>
  <c r="N65"/>
  <c r="N64"/>
  <c r="N63"/>
  <c r="N62"/>
  <c r="N61"/>
  <c r="N60"/>
  <c r="N59"/>
  <c r="N58"/>
  <c r="N57"/>
  <c r="N56"/>
  <c r="N55"/>
  <c r="N54"/>
  <c r="N53"/>
  <c r="N50"/>
  <c r="N47"/>
  <c r="N45"/>
  <c r="N43"/>
  <c r="N40"/>
  <c r="N29"/>
  <c r="N28"/>
  <c r="N25"/>
  <c r="N24"/>
  <c r="N22"/>
  <c r="N21"/>
  <c r="N18"/>
  <c r="N15"/>
  <c r="N12"/>
  <c r="N11"/>
  <c r="N66" i="65082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5"/>
  <c r="N34"/>
  <c r="N31"/>
  <c r="N27"/>
  <c r="N26"/>
  <c r="N24"/>
  <c r="N22"/>
  <c r="N15"/>
  <c r="N12"/>
  <c r="N11"/>
  <c r="N66" i="65081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5"/>
  <c r="N34"/>
  <c r="N31"/>
  <c r="N27"/>
  <c r="N26"/>
  <c r="N24"/>
  <c r="N22"/>
  <c r="N15"/>
  <c r="N12"/>
  <c r="N11"/>
  <c r="N66" i="65122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0"/>
  <c r="N28"/>
  <c r="N27"/>
  <c r="N26"/>
  <c r="N24"/>
  <c r="N22"/>
  <c r="N15"/>
  <c r="N12"/>
  <c r="N11"/>
  <c r="N66" i="65083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5"/>
  <c r="N34"/>
  <c r="N31"/>
  <c r="N27"/>
  <c r="N26"/>
  <c r="N24"/>
  <c r="N22"/>
  <c r="N15"/>
  <c r="N12"/>
  <c r="N11"/>
  <c r="N66" i="65084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5"/>
  <c r="N34"/>
  <c r="N31"/>
  <c r="N29"/>
  <c r="N27"/>
  <c r="N26"/>
  <c r="N24"/>
  <c r="N22"/>
  <c r="N15"/>
  <c r="N12"/>
  <c r="N11"/>
  <c r="N66" i="65085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5"/>
  <c r="N34"/>
  <c r="N31"/>
  <c r="N27"/>
  <c r="N26"/>
  <c r="N24"/>
  <c r="N22"/>
  <c r="N15"/>
  <c r="N12"/>
  <c r="N11"/>
  <c r="N66" i="65086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5"/>
  <c r="N34"/>
  <c r="N31"/>
  <c r="N27"/>
  <c r="N26"/>
  <c r="N24"/>
  <c r="N22"/>
  <c r="N21"/>
  <c r="N15"/>
  <c r="N12"/>
  <c r="N11"/>
  <c r="N66" i="65087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5"/>
  <c r="N34"/>
  <c r="N31"/>
  <c r="N27"/>
  <c r="N26"/>
  <c r="N22"/>
  <c r="N15"/>
  <c r="N12"/>
  <c r="N11"/>
  <c r="N66" i="65088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5"/>
  <c r="N34"/>
  <c r="N31"/>
  <c r="N29"/>
  <c r="N27"/>
  <c r="N26"/>
  <c r="N24"/>
  <c r="N22"/>
  <c r="N15"/>
  <c r="N12"/>
  <c r="N11"/>
  <c r="N66" i="65089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1"/>
  <c r="N29"/>
  <c r="N27"/>
  <c r="N26"/>
  <c r="N24"/>
  <c r="N22"/>
  <c r="N15"/>
  <c r="N12"/>
  <c r="N11"/>
  <c r="N66" i="65093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4"/>
  <c r="N30"/>
  <c r="N27"/>
  <c r="N26"/>
  <c r="N24"/>
  <c r="N22"/>
  <c r="N21"/>
  <c r="N18"/>
  <c r="N15"/>
  <c r="N12"/>
  <c r="N11"/>
  <c r="N66" i="65094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1"/>
  <c r="N30"/>
  <c r="N29"/>
  <c r="N28"/>
  <c r="N27"/>
  <c r="N26"/>
  <c r="N24"/>
  <c r="N22"/>
  <c r="N21"/>
  <c r="N15"/>
  <c r="N12"/>
  <c r="N11"/>
  <c r="N66" i="65095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35"/>
  <c r="N33"/>
  <c r="N31"/>
  <c r="N30"/>
  <c r="N27"/>
  <c r="N26"/>
  <c r="N22"/>
  <c r="N15"/>
  <c r="N12"/>
  <c r="N11"/>
  <c r="N66" i="65096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1"/>
  <c r="N27"/>
  <c r="N26"/>
  <c r="N22"/>
  <c r="N15"/>
  <c r="N12"/>
  <c r="N11"/>
  <c r="N66" i="65097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1"/>
  <c r="N29"/>
  <c r="N27"/>
  <c r="N26"/>
  <c r="N24"/>
  <c r="N22"/>
  <c r="N21"/>
  <c r="N18"/>
  <c r="N15"/>
  <c r="N12"/>
  <c r="N11"/>
  <c r="N66" i="65098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1"/>
  <c r="N29"/>
  <c r="N27"/>
  <c r="N26"/>
  <c r="N22"/>
  <c r="N15"/>
  <c r="N12"/>
  <c r="N11"/>
  <c r="N66" i="65105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1"/>
  <c r="N29"/>
  <c r="N27"/>
  <c r="N26"/>
  <c r="N22"/>
  <c r="N15"/>
  <c r="N12"/>
  <c r="N11"/>
  <c r="N66" i="65066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4"/>
  <c r="N30"/>
  <c r="N27"/>
  <c r="N26"/>
  <c r="N24"/>
  <c r="N22"/>
  <c r="N21"/>
  <c r="N20"/>
  <c r="N18"/>
  <c r="N15"/>
  <c r="N12"/>
  <c r="N11"/>
  <c r="N54" i="65065"/>
  <c r="N51"/>
  <c r="N49"/>
  <c r="N46"/>
  <c r="N35"/>
  <c r="N33"/>
  <c r="N27"/>
  <c r="N23"/>
  <c r="N20"/>
  <c r="N17"/>
  <c r="N12"/>
  <c r="E77" i="65137"/>
  <c r="E7" s="1"/>
  <c r="E68"/>
  <c r="E61"/>
  <c r="E54"/>
  <c r="E47"/>
  <c r="E40"/>
  <c r="E30"/>
  <c r="E23"/>
  <c r="E17"/>
  <c r="E8"/>
  <c r="J108" i="300"/>
  <c r="I108"/>
  <c r="J107"/>
  <c r="I107"/>
  <c r="J106"/>
  <c r="J105" s="1"/>
  <c r="I106"/>
  <c r="I105" s="1"/>
  <c r="J103"/>
  <c r="I103"/>
  <c r="J102"/>
  <c r="I102"/>
  <c r="J101"/>
  <c r="I101"/>
  <c r="J100"/>
  <c r="I100"/>
  <c r="I99" s="1"/>
  <c r="J99"/>
  <c r="J97"/>
  <c r="I97"/>
  <c r="J96"/>
  <c r="I96"/>
  <c r="J95"/>
  <c r="I95"/>
  <c r="I94" s="1"/>
  <c r="J94"/>
  <c r="J92"/>
  <c r="I92"/>
  <c r="I91" s="1"/>
  <c r="J91"/>
  <c r="J89"/>
  <c r="I89"/>
  <c r="J88"/>
  <c r="J87" s="1"/>
  <c r="I88"/>
  <c r="I87"/>
  <c r="J86"/>
  <c r="I86"/>
  <c r="J85"/>
  <c r="I85"/>
  <c r="J84"/>
  <c r="I84"/>
  <c r="J83"/>
  <c r="I83"/>
  <c r="I82" s="1"/>
  <c r="J82"/>
  <c r="J81"/>
  <c r="I81"/>
  <c r="J80"/>
  <c r="I80"/>
  <c r="J79"/>
  <c r="I79"/>
  <c r="J78"/>
  <c r="I78"/>
  <c r="J77"/>
  <c r="I77"/>
  <c r="J76"/>
  <c r="I76"/>
  <c r="J75"/>
  <c r="I75"/>
  <c r="J74"/>
  <c r="I74"/>
  <c r="J73"/>
  <c r="I73"/>
  <c r="J72"/>
  <c r="I72"/>
  <c r="J71"/>
  <c r="I71"/>
  <c r="I70" s="1"/>
  <c r="J70"/>
  <c r="J69"/>
  <c r="I69"/>
  <c r="J68"/>
  <c r="I68"/>
  <c r="J67"/>
  <c r="I67"/>
  <c r="J66"/>
  <c r="I66"/>
  <c r="J65"/>
  <c r="I65"/>
  <c r="J64"/>
  <c r="I64"/>
  <c r="J63"/>
  <c r="I63"/>
  <c r="J62"/>
  <c r="I62"/>
  <c r="J61"/>
  <c r="I61"/>
  <c r="I60" s="1"/>
  <c r="J60"/>
  <c r="J59"/>
  <c r="I59"/>
  <c r="J58"/>
  <c r="I58"/>
  <c r="J57"/>
  <c r="I57"/>
  <c r="J56"/>
  <c r="I56"/>
  <c r="J55"/>
  <c r="I55"/>
  <c r="J54"/>
  <c r="I54"/>
  <c r="J53"/>
  <c r="I53"/>
  <c r="J52"/>
  <c r="I52"/>
  <c r="J51"/>
  <c r="I51"/>
  <c r="J50"/>
  <c r="I50"/>
  <c r="J49"/>
  <c r="I49"/>
  <c r="J48"/>
  <c r="J47" s="1"/>
  <c r="I48"/>
  <c r="I47"/>
  <c r="J44"/>
  <c r="I44"/>
  <c r="J43"/>
  <c r="I43"/>
  <c r="J42"/>
  <c r="I42"/>
  <c r="J41"/>
  <c r="I41"/>
  <c r="J40"/>
  <c r="I40"/>
  <c r="J39"/>
  <c r="I39"/>
  <c r="J38"/>
  <c r="I38"/>
  <c r="I37" s="1"/>
  <c r="J37"/>
  <c r="J36"/>
  <c r="I36"/>
  <c r="J35"/>
  <c r="J34" s="1"/>
  <c r="I35"/>
  <c r="I34" s="1"/>
  <c r="J33"/>
  <c r="I33"/>
  <c r="J32"/>
  <c r="I32"/>
  <c r="I31" s="1"/>
  <c r="J31"/>
  <c r="J30"/>
  <c r="I30"/>
  <c r="J29"/>
  <c r="I29"/>
  <c r="J28"/>
  <c r="I28"/>
  <c r="J27"/>
  <c r="I27"/>
  <c r="J26"/>
  <c r="I26"/>
  <c r="J25"/>
  <c r="I25"/>
  <c r="J22"/>
  <c r="J21" s="1"/>
  <c r="I22"/>
  <c r="I21" s="1"/>
  <c r="J19"/>
  <c r="I19"/>
  <c r="J18"/>
  <c r="I18"/>
  <c r="I17" s="1"/>
  <c r="J17"/>
  <c r="J16"/>
  <c r="I16"/>
  <c r="J13"/>
  <c r="I13"/>
  <c r="J12"/>
  <c r="I12"/>
  <c r="J11"/>
  <c r="I11"/>
  <c r="J10"/>
  <c r="J9" s="1"/>
  <c r="I10"/>
  <c r="I9" s="1"/>
  <c r="M34" i="65075"/>
  <c r="N34" s="1"/>
  <c r="M33"/>
  <c r="L32"/>
  <c r="K32"/>
  <c r="D20" i="65125" s="1"/>
  <c r="M30" i="65075"/>
  <c r="M29" s="1"/>
  <c r="N29" s="1"/>
  <c r="L29"/>
  <c r="K29"/>
  <c r="M27"/>
  <c r="N27" s="1"/>
  <c r="M26"/>
  <c r="M25"/>
  <c r="N25" s="1"/>
  <c r="M24"/>
  <c r="M23"/>
  <c r="N23" s="1"/>
  <c r="M22"/>
  <c r="M21"/>
  <c r="M20"/>
  <c r="N20" s="1"/>
  <c r="M19"/>
  <c r="N19" s="1"/>
  <c r="M18"/>
  <c r="M17"/>
  <c r="L16"/>
  <c r="K16"/>
  <c r="M14"/>
  <c r="N14" s="1"/>
  <c r="L13"/>
  <c r="K13"/>
  <c r="M11"/>
  <c r="M10"/>
  <c r="N10" s="1"/>
  <c r="M9"/>
  <c r="C18" i="65124" s="1"/>
  <c r="L8" i="65075"/>
  <c r="K8"/>
  <c r="M47" i="65076"/>
  <c r="N47" s="1"/>
  <c r="M46"/>
  <c r="N46" s="1"/>
  <c r="L45"/>
  <c r="K45"/>
  <c r="M43"/>
  <c r="N43" s="1"/>
  <c r="M42"/>
  <c r="L41"/>
  <c r="K41"/>
  <c r="D21" i="65125" s="1"/>
  <c r="M39" i="65076"/>
  <c r="K97" i="300" s="1"/>
  <c r="L97" s="1"/>
  <c r="M38" i="65076"/>
  <c r="N38" s="1"/>
  <c r="L37"/>
  <c r="K37"/>
  <c r="M35"/>
  <c r="K89" i="300" s="1"/>
  <c r="L89" s="1"/>
  <c r="M34" i="65076"/>
  <c r="N34" s="1"/>
  <c r="M33"/>
  <c r="L32"/>
  <c r="K32"/>
  <c r="M30"/>
  <c r="M29"/>
  <c r="K40" i="300" s="1"/>
  <c r="L40" s="1"/>
  <c r="M28" i="65076"/>
  <c r="N28" s="1"/>
  <c r="M27"/>
  <c r="N27" s="1"/>
  <c r="M26"/>
  <c r="N26" s="1"/>
  <c r="M25"/>
  <c r="M24"/>
  <c r="M23"/>
  <c r="N23" s="1"/>
  <c r="M22"/>
  <c r="N22" s="1"/>
  <c r="M21"/>
  <c r="M20"/>
  <c r="L19"/>
  <c r="M17"/>
  <c r="M16" s="1"/>
  <c r="L16"/>
  <c r="K16"/>
  <c r="M14"/>
  <c r="M13"/>
  <c r="M12"/>
  <c r="N12" s="1"/>
  <c r="L11"/>
  <c r="K11"/>
  <c r="M9"/>
  <c r="N9" s="1"/>
  <c r="L8"/>
  <c r="K8"/>
  <c r="M36" i="65077"/>
  <c r="N36" s="1"/>
  <c r="M35"/>
  <c r="M34" s="1"/>
  <c r="N34" s="1"/>
  <c r="L34"/>
  <c r="K34"/>
  <c r="D22" i="65125" s="1"/>
  <c r="M32" i="65077"/>
  <c r="K65" i="300" s="1"/>
  <c r="L65" s="1"/>
  <c r="M31" i="65077"/>
  <c r="K64" i="300" s="1"/>
  <c r="L64" s="1"/>
  <c r="M30" i="65077"/>
  <c r="K63" i="300" s="1"/>
  <c r="M29" i="65077"/>
  <c r="N29" s="1"/>
  <c r="L28"/>
  <c r="K28"/>
  <c r="M26"/>
  <c r="M25"/>
  <c r="N25" s="1"/>
  <c r="M24"/>
  <c r="M23"/>
  <c r="N23" s="1"/>
  <c r="M22"/>
  <c r="M21"/>
  <c r="M20"/>
  <c r="N20" s="1"/>
  <c r="M19"/>
  <c r="N19" s="1"/>
  <c r="M18"/>
  <c r="M17"/>
  <c r="N17" s="1"/>
  <c r="L16"/>
  <c r="K16"/>
  <c r="M14"/>
  <c r="N14" s="1"/>
  <c r="L13"/>
  <c r="K13"/>
  <c r="M11"/>
  <c r="M10"/>
  <c r="M9"/>
  <c r="N9" s="1"/>
  <c r="L8"/>
  <c r="K8"/>
  <c r="K39" s="1"/>
  <c r="K40" s="1"/>
  <c r="K41" s="1"/>
  <c r="M36" i="65078"/>
  <c r="N36" s="1"/>
  <c r="M35"/>
  <c r="N35" s="1"/>
  <c r="M34"/>
  <c r="L33"/>
  <c r="K33"/>
  <c r="D23" i="65125" s="1"/>
  <c r="M31" i="65078"/>
  <c r="K53" i="300" s="1"/>
  <c r="L53" s="1"/>
  <c r="M30" i="65078"/>
  <c r="N30" s="1"/>
  <c r="L29"/>
  <c r="K29"/>
  <c r="M27"/>
  <c r="M26"/>
  <c r="N26" s="1"/>
  <c r="M25"/>
  <c r="M24"/>
  <c r="N24" s="1"/>
  <c r="M23"/>
  <c r="N23" s="1"/>
  <c r="M22"/>
  <c r="M21"/>
  <c r="M20"/>
  <c r="M19"/>
  <c r="N19" s="1"/>
  <c r="M18"/>
  <c r="M17"/>
  <c r="N17" s="1"/>
  <c r="L16"/>
  <c r="K16"/>
  <c r="M14"/>
  <c r="M13" s="1"/>
  <c r="E21" i="65124" s="1"/>
  <c r="L13" i="65078"/>
  <c r="M11"/>
  <c r="M10"/>
  <c r="N10" s="1"/>
  <c r="M9"/>
  <c r="N9" s="1"/>
  <c r="L8"/>
  <c r="M36" i="65079"/>
  <c r="N36" s="1"/>
  <c r="M35"/>
  <c r="L34"/>
  <c r="K34"/>
  <c r="D24" i="65125" s="1"/>
  <c r="M32" i="65079"/>
  <c r="M31"/>
  <c r="N31" s="1"/>
  <c r="M30"/>
  <c r="N30" s="1"/>
  <c r="M29"/>
  <c r="N29" s="1"/>
  <c r="L28"/>
  <c r="K28"/>
  <c r="M26"/>
  <c r="M25"/>
  <c r="N25" s="1"/>
  <c r="M24"/>
  <c r="N24" s="1"/>
  <c r="M23"/>
  <c r="N23" s="1"/>
  <c r="M22"/>
  <c r="N22" s="1"/>
  <c r="M21"/>
  <c r="N21" s="1"/>
  <c r="M20"/>
  <c r="N20" s="1"/>
  <c r="M19"/>
  <c r="N19" s="1"/>
  <c r="M18"/>
  <c r="M17"/>
  <c r="L16"/>
  <c r="K16"/>
  <c r="M14"/>
  <c r="M13" s="1"/>
  <c r="L13"/>
  <c r="K13"/>
  <c r="M11"/>
  <c r="M10"/>
  <c r="N10" s="1"/>
  <c r="M9"/>
  <c r="C22" i="65124" s="1"/>
  <c r="L8" i="65079"/>
  <c r="K8"/>
  <c r="K39" s="1"/>
  <c r="K40" s="1"/>
  <c r="K41" s="1"/>
  <c r="M49" i="65080"/>
  <c r="M48" s="1"/>
  <c r="K23" i="65124" s="1"/>
  <c r="L48" i="65080"/>
  <c r="K48"/>
  <c r="M46"/>
  <c r="N46" s="1"/>
  <c r="M45"/>
  <c r="L44"/>
  <c r="K44"/>
  <c r="D25" i="65125" s="1"/>
  <c r="M42" i="65080"/>
  <c r="N42" s="1"/>
  <c r="L41"/>
  <c r="K41"/>
  <c r="M39"/>
  <c r="N39" s="1"/>
  <c r="M38"/>
  <c r="N38" s="1"/>
  <c r="M37"/>
  <c r="N37" s="1"/>
  <c r="M36"/>
  <c r="K66" i="300" s="1"/>
  <c r="L66" s="1"/>
  <c r="M35" i="65080"/>
  <c r="N35" s="1"/>
  <c r="M34"/>
  <c r="F63" i="65137" s="1"/>
  <c r="M33" i="65080"/>
  <c r="N33" s="1"/>
  <c r="M32"/>
  <c r="K56" i="300" s="1"/>
  <c r="M31" i="65080"/>
  <c r="N31" s="1"/>
  <c r="L30"/>
  <c r="K30"/>
  <c r="M28"/>
  <c r="M27"/>
  <c r="N27" s="1"/>
  <c r="M26"/>
  <c r="N26" s="1"/>
  <c r="M25"/>
  <c r="K36" i="300" s="1"/>
  <c r="M24" i="65080"/>
  <c r="M23"/>
  <c r="N23" s="1"/>
  <c r="M22"/>
  <c r="M21"/>
  <c r="M20"/>
  <c r="N20" s="1"/>
  <c r="M19"/>
  <c r="N19" s="1"/>
  <c r="M18"/>
  <c r="M17"/>
  <c r="L16"/>
  <c r="K16"/>
  <c r="M14"/>
  <c r="M13" s="1"/>
  <c r="L13"/>
  <c r="K13"/>
  <c r="M11"/>
  <c r="M10"/>
  <c r="N10" s="1"/>
  <c r="M9"/>
  <c r="N9" s="1"/>
  <c r="L8"/>
  <c r="K8"/>
  <c r="M30" i="65082"/>
  <c r="N30" s="1"/>
  <c r="M29"/>
  <c r="N29" s="1"/>
  <c r="L28"/>
  <c r="K28"/>
  <c r="D26" i="65125" s="1"/>
  <c r="M26" i="65082"/>
  <c r="M25"/>
  <c r="N25" s="1"/>
  <c r="M24"/>
  <c r="M23"/>
  <c r="N23" s="1"/>
  <c r="M22"/>
  <c r="M21"/>
  <c r="N21" s="1"/>
  <c r="M20"/>
  <c r="N20" s="1"/>
  <c r="M19"/>
  <c r="N19" s="1"/>
  <c r="M18"/>
  <c r="N18" s="1"/>
  <c r="M17"/>
  <c r="L16"/>
  <c r="K16"/>
  <c r="M14"/>
  <c r="N14" s="1"/>
  <c r="L13"/>
  <c r="K13"/>
  <c r="M11"/>
  <c r="M10"/>
  <c r="N10" s="1"/>
  <c r="M9"/>
  <c r="C24" i="65124" s="1"/>
  <c r="L8" i="65082"/>
  <c r="K8"/>
  <c r="M30" i="65081"/>
  <c r="N30" s="1"/>
  <c r="M29"/>
  <c r="N29" s="1"/>
  <c r="L28"/>
  <c r="K28"/>
  <c r="D27" i="65125" s="1"/>
  <c r="M26" i="65081"/>
  <c r="M25"/>
  <c r="N25" s="1"/>
  <c r="M24"/>
  <c r="M23"/>
  <c r="N23" s="1"/>
  <c r="M22"/>
  <c r="M21"/>
  <c r="N21" s="1"/>
  <c r="M20"/>
  <c r="N20" s="1"/>
  <c r="M19"/>
  <c r="N19" s="1"/>
  <c r="M18"/>
  <c r="N18" s="1"/>
  <c r="M17"/>
  <c r="L16"/>
  <c r="K16"/>
  <c r="M14"/>
  <c r="N14" s="1"/>
  <c r="L13"/>
  <c r="K13"/>
  <c r="M11"/>
  <c r="M10"/>
  <c r="D25" i="65124" s="1"/>
  <c r="M9" i="65081"/>
  <c r="N9" s="1"/>
  <c r="L8"/>
  <c r="K8"/>
  <c r="M30" i="65122"/>
  <c r="K29"/>
  <c r="D28" i="65125" s="1"/>
  <c r="M27" i="65122"/>
  <c r="K44" i="300" s="1"/>
  <c r="M26" i="65122"/>
  <c r="M25"/>
  <c r="N25" s="1"/>
  <c r="M24"/>
  <c r="M23"/>
  <c r="N23" s="1"/>
  <c r="M22"/>
  <c r="M21"/>
  <c r="N21" s="1"/>
  <c r="M20"/>
  <c r="N20" s="1"/>
  <c r="M19"/>
  <c r="N19" s="1"/>
  <c r="M18"/>
  <c r="N18" s="1"/>
  <c r="M17"/>
  <c r="L16"/>
  <c r="K16"/>
  <c r="L13"/>
  <c r="M11"/>
  <c r="M10"/>
  <c r="N10" s="1"/>
  <c r="L8"/>
  <c r="M30" i="65083"/>
  <c r="N30" s="1"/>
  <c r="M29"/>
  <c r="L28"/>
  <c r="D29" i="65125"/>
  <c r="M26" i="65083"/>
  <c r="M25"/>
  <c r="N25" s="1"/>
  <c r="M24"/>
  <c r="M23"/>
  <c r="N23" s="1"/>
  <c r="M22"/>
  <c r="M21"/>
  <c r="N21" s="1"/>
  <c r="M20"/>
  <c r="N20" s="1"/>
  <c r="M19"/>
  <c r="N19" s="1"/>
  <c r="M18"/>
  <c r="N18" s="1"/>
  <c r="M17"/>
  <c r="L16"/>
  <c r="L13"/>
  <c r="M11"/>
  <c r="M10"/>
  <c r="L8"/>
  <c r="M30" i="65084"/>
  <c r="N30" s="1"/>
  <c r="M29"/>
  <c r="L28"/>
  <c r="K28"/>
  <c r="D30" i="65125" s="1"/>
  <c r="M26" i="65084"/>
  <c r="M25"/>
  <c r="N25" s="1"/>
  <c r="M24"/>
  <c r="M23"/>
  <c r="N23" s="1"/>
  <c r="M22"/>
  <c r="M21"/>
  <c r="N21" s="1"/>
  <c r="M20"/>
  <c r="N20" s="1"/>
  <c r="M19"/>
  <c r="N19" s="1"/>
  <c r="M18"/>
  <c r="N18" s="1"/>
  <c r="M17"/>
  <c r="N17" s="1"/>
  <c r="L16"/>
  <c r="K16"/>
  <c r="L13"/>
  <c r="M11"/>
  <c r="M10"/>
  <c r="N10" s="1"/>
  <c r="L8"/>
  <c r="M30" i="65085"/>
  <c r="N30" s="1"/>
  <c r="M29"/>
  <c r="L28"/>
  <c r="K28"/>
  <c r="D31" i="65125" s="1"/>
  <c r="M26" i="65085"/>
  <c r="M25"/>
  <c r="N25" s="1"/>
  <c r="M24"/>
  <c r="M23"/>
  <c r="N23" s="1"/>
  <c r="M22"/>
  <c r="M21"/>
  <c r="N21" s="1"/>
  <c r="M20"/>
  <c r="N20" s="1"/>
  <c r="M19"/>
  <c r="N19" s="1"/>
  <c r="M18"/>
  <c r="N18" s="1"/>
  <c r="M17"/>
  <c r="N17" s="1"/>
  <c r="L16"/>
  <c r="K16"/>
  <c r="L13"/>
  <c r="M11"/>
  <c r="M10"/>
  <c r="N10" s="1"/>
  <c r="L8"/>
  <c r="M30" i="65086"/>
  <c r="N30" s="1"/>
  <c r="M29"/>
  <c r="L28"/>
  <c r="K28"/>
  <c r="D32" i="65125" s="1"/>
  <c r="M26" i="65086"/>
  <c r="M25"/>
  <c r="N25" s="1"/>
  <c r="M24"/>
  <c r="M23"/>
  <c r="N23" s="1"/>
  <c r="M22"/>
  <c r="M21"/>
  <c r="M20"/>
  <c r="N20" s="1"/>
  <c r="M19"/>
  <c r="N19" s="1"/>
  <c r="M18"/>
  <c r="N18" s="1"/>
  <c r="M17"/>
  <c r="N17" s="1"/>
  <c r="L16"/>
  <c r="K16"/>
  <c r="L13"/>
  <c r="M11"/>
  <c r="M10"/>
  <c r="D30" i="65124" s="1"/>
  <c r="L8" i="65086"/>
  <c r="M30" i="65087"/>
  <c r="N30" s="1"/>
  <c r="M29"/>
  <c r="L28"/>
  <c r="K28"/>
  <c r="D33" i="65125" s="1"/>
  <c r="M26" i="65087"/>
  <c r="M25"/>
  <c r="N25" s="1"/>
  <c r="M24"/>
  <c r="N24" s="1"/>
  <c r="M23"/>
  <c r="N23" s="1"/>
  <c r="M22"/>
  <c r="M21"/>
  <c r="N21" s="1"/>
  <c r="M20"/>
  <c r="N20" s="1"/>
  <c r="M19"/>
  <c r="N19" s="1"/>
  <c r="M18"/>
  <c r="N18" s="1"/>
  <c r="M17"/>
  <c r="N17" s="1"/>
  <c r="L16"/>
  <c r="K16"/>
  <c r="L13"/>
  <c r="M11"/>
  <c r="M10"/>
  <c r="D31" i="65124" s="1"/>
  <c r="L8" i="65087"/>
  <c r="M30" i="65088"/>
  <c r="N30" s="1"/>
  <c r="M29"/>
  <c r="L28"/>
  <c r="K28"/>
  <c r="D34" i="65125" s="1"/>
  <c r="M26" i="65088"/>
  <c r="M25"/>
  <c r="N25" s="1"/>
  <c r="M24"/>
  <c r="M23"/>
  <c r="N23" s="1"/>
  <c r="M22"/>
  <c r="M21"/>
  <c r="N21" s="1"/>
  <c r="M20"/>
  <c r="N20" s="1"/>
  <c r="M19"/>
  <c r="N19" s="1"/>
  <c r="M18"/>
  <c r="N18" s="1"/>
  <c r="M17"/>
  <c r="N17" s="1"/>
  <c r="L16"/>
  <c r="K16"/>
  <c r="L13"/>
  <c r="M11"/>
  <c r="M10"/>
  <c r="D32" i="65124" s="1"/>
  <c r="L8" i="65088"/>
  <c r="M30" i="65089"/>
  <c r="N30" s="1"/>
  <c r="M29"/>
  <c r="L28"/>
  <c r="K28"/>
  <c r="D35" i="65125" s="1"/>
  <c r="M26" i="65089"/>
  <c r="M25"/>
  <c r="N25" s="1"/>
  <c r="M24"/>
  <c r="M23"/>
  <c r="N23" s="1"/>
  <c r="M22"/>
  <c r="M21"/>
  <c r="N21" s="1"/>
  <c r="M20"/>
  <c r="N20" s="1"/>
  <c r="M19"/>
  <c r="N19" s="1"/>
  <c r="M18"/>
  <c r="N18" s="1"/>
  <c r="M17"/>
  <c r="N17" s="1"/>
  <c r="L16"/>
  <c r="K16"/>
  <c r="L13"/>
  <c r="M11"/>
  <c r="M10"/>
  <c r="D33" i="65124" s="1"/>
  <c r="L8" i="65089"/>
  <c r="M33" i="65093"/>
  <c r="N33" s="1"/>
  <c r="M32"/>
  <c r="L31"/>
  <c r="K31"/>
  <c r="D36" i="65125" s="1"/>
  <c r="M29" i="65093"/>
  <c r="M28" s="1"/>
  <c r="N28" s="1"/>
  <c r="L28"/>
  <c r="K28"/>
  <c r="M26"/>
  <c r="M25"/>
  <c r="N25" s="1"/>
  <c r="M24"/>
  <c r="M23"/>
  <c r="N23" s="1"/>
  <c r="M22"/>
  <c r="M21"/>
  <c r="M20"/>
  <c r="N20" s="1"/>
  <c r="M19"/>
  <c r="N19" s="1"/>
  <c r="M18"/>
  <c r="M17"/>
  <c r="L16"/>
  <c r="K16"/>
  <c r="L13"/>
  <c r="M11"/>
  <c r="M10"/>
  <c r="D34" i="65124" s="1"/>
  <c r="L8" i="65093"/>
  <c r="M30" i="65094"/>
  <c r="M29"/>
  <c r="L28"/>
  <c r="K28"/>
  <c r="D37" i="65125" s="1"/>
  <c r="M26" i="65094"/>
  <c r="M25"/>
  <c r="N25" s="1"/>
  <c r="M24"/>
  <c r="M23"/>
  <c r="N23" s="1"/>
  <c r="M22"/>
  <c r="M21"/>
  <c r="M20"/>
  <c r="N20" s="1"/>
  <c r="M19"/>
  <c r="N19" s="1"/>
  <c r="M18"/>
  <c r="N18" s="1"/>
  <c r="M17"/>
  <c r="N17" s="1"/>
  <c r="L16"/>
  <c r="K16"/>
  <c r="L13"/>
  <c r="M11"/>
  <c r="M10"/>
  <c r="N10" s="1"/>
  <c r="L8"/>
  <c r="M34" i="65095"/>
  <c r="N34" s="1"/>
  <c r="M33"/>
  <c r="L32"/>
  <c r="K32"/>
  <c r="D38" i="65125" s="1"/>
  <c r="M30" i="65095"/>
  <c r="K81" i="300" s="1"/>
  <c r="M29" i="65095"/>
  <c r="L28"/>
  <c r="K28"/>
  <c r="M26"/>
  <c r="M25"/>
  <c r="N25" s="1"/>
  <c r="M24"/>
  <c r="N24" s="1"/>
  <c r="M23"/>
  <c r="N23" s="1"/>
  <c r="M22"/>
  <c r="M21"/>
  <c r="N21" s="1"/>
  <c r="M20"/>
  <c r="N20" s="1"/>
  <c r="M19"/>
  <c r="N19" s="1"/>
  <c r="M18"/>
  <c r="N18" s="1"/>
  <c r="M17"/>
  <c r="N17" s="1"/>
  <c r="L16"/>
  <c r="K16"/>
  <c r="L13"/>
  <c r="M11"/>
  <c r="M10"/>
  <c r="N10" s="1"/>
  <c r="L8"/>
  <c r="M30" i="65096"/>
  <c r="N30" s="1"/>
  <c r="M29"/>
  <c r="L28"/>
  <c r="K28"/>
  <c r="D39" i="65125" s="1"/>
  <c r="M26" i="65096"/>
  <c r="M25"/>
  <c r="N25" s="1"/>
  <c r="M24"/>
  <c r="N24" s="1"/>
  <c r="M23"/>
  <c r="N23" s="1"/>
  <c r="M22"/>
  <c r="M21"/>
  <c r="N21" s="1"/>
  <c r="M20"/>
  <c r="N20" s="1"/>
  <c r="M19"/>
  <c r="N19" s="1"/>
  <c r="M18"/>
  <c r="N18" s="1"/>
  <c r="M17"/>
  <c r="L16"/>
  <c r="K16"/>
  <c r="L13"/>
  <c r="M11"/>
  <c r="M10"/>
  <c r="D37" i="65124" s="1"/>
  <c r="L8" i="65096"/>
  <c r="M30" i="65097"/>
  <c r="N30" s="1"/>
  <c r="M29"/>
  <c r="L28"/>
  <c r="K28"/>
  <c r="D40" i="65125" s="1"/>
  <c r="M26" i="65097"/>
  <c r="M25"/>
  <c r="N25" s="1"/>
  <c r="M24"/>
  <c r="M23"/>
  <c r="N23" s="1"/>
  <c r="M22"/>
  <c r="M21"/>
  <c r="M20"/>
  <c r="N20" s="1"/>
  <c r="M19"/>
  <c r="N19" s="1"/>
  <c r="M18"/>
  <c r="M17"/>
  <c r="N17" s="1"/>
  <c r="L16"/>
  <c r="K16"/>
  <c r="L13"/>
  <c r="M11"/>
  <c r="M10"/>
  <c r="L8"/>
  <c r="M30" i="65098"/>
  <c r="N30" s="1"/>
  <c r="M29"/>
  <c r="L28"/>
  <c r="K28"/>
  <c r="D41" i="65125" s="1"/>
  <c r="M26" i="65098"/>
  <c r="M25"/>
  <c r="N25" s="1"/>
  <c r="M24"/>
  <c r="N24" s="1"/>
  <c r="M23"/>
  <c r="N23" s="1"/>
  <c r="M22"/>
  <c r="M21"/>
  <c r="N21" s="1"/>
  <c r="M20"/>
  <c r="N20" s="1"/>
  <c r="M19"/>
  <c r="N19" s="1"/>
  <c r="M18"/>
  <c r="N18" s="1"/>
  <c r="M17"/>
  <c r="N17" s="1"/>
  <c r="L16"/>
  <c r="K16"/>
  <c r="L13"/>
  <c r="M11"/>
  <c r="M10"/>
  <c r="L8"/>
  <c r="M30" i="65105"/>
  <c r="N30" s="1"/>
  <c r="M29"/>
  <c r="L28"/>
  <c r="K28"/>
  <c r="D42" i="65125" s="1"/>
  <c r="M26" i="65105"/>
  <c r="M25"/>
  <c r="N25" s="1"/>
  <c r="M24"/>
  <c r="N24" s="1"/>
  <c r="M23"/>
  <c r="N23" s="1"/>
  <c r="M22"/>
  <c r="M21"/>
  <c r="N21" s="1"/>
  <c r="M20"/>
  <c r="N20" s="1"/>
  <c r="M19"/>
  <c r="N19" s="1"/>
  <c r="M18"/>
  <c r="N18" s="1"/>
  <c r="M17"/>
  <c r="N17" s="1"/>
  <c r="L16"/>
  <c r="K16"/>
  <c r="L13"/>
  <c r="M11"/>
  <c r="M10"/>
  <c r="N10" s="1"/>
  <c r="L8"/>
  <c r="M30" i="65115"/>
  <c r="N30" s="1"/>
  <c r="M29"/>
  <c r="L28"/>
  <c r="K28"/>
  <c r="D19" i="65125" s="1"/>
  <c r="M26" i="65115"/>
  <c r="M25"/>
  <c r="N25" s="1"/>
  <c r="M24"/>
  <c r="M23"/>
  <c r="N23" s="1"/>
  <c r="M22"/>
  <c r="M21"/>
  <c r="M20"/>
  <c r="N20" s="1"/>
  <c r="M19"/>
  <c r="N19" s="1"/>
  <c r="M18"/>
  <c r="M17"/>
  <c r="N17" s="1"/>
  <c r="L16"/>
  <c r="K16"/>
  <c r="L13"/>
  <c r="M11"/>
  <c r="M10"/>
  <c r="D17" i="65124" s="1"/>
  <c r="L8" i="65115"/>
  <c r="M30" i="65100"/>
  <c r="N30" s="1"/>
  <c r="M29"/>
  <c r="L28"/>
  <c r="K28"/>
  <c r="D18" i="65125" s="1"/>
  <c r="M26" i="65100"/>
  <c r="M25"/>
  <c r="N25" s="1"/>
  <c r="M24"/>
  <c r="M23"/>
  <c r="N23" s="1"/>
  <c r="M22"/>
  <c r="M21"/>
  <c r="M20"/>
  <c r="N20" s="1"/>
  <c r="M19"/>
  <c r="N19" s="1"/>
  <c r="M18"/>
  <c r="M17"/>
  <c r="N17" s="1"/>
  <c r="L16"/>
  <c r="K16"/>
  <c r="M14"/>
  <c r="M13" s="1"/>
  <c r="N13" s="1"/>
  <c r="L13"/>
  <c r="K13"/>
  <c r="M11"/>
  <c r="M10"/>
  <c r="N10" s="1"/>
  <c r="M9"/>
  <c r="L8"/>
  <c r="K8"/>
  <c r="M30" i="65074"/>
  <c r="N30" s="1"/>
  <c r="M29"/>
  <c r="L28"/>
  <c r="K28"/>
  <c r="D17" i="65125" s="1"/>
  <c r="M26" i="65074"/>
  <c r="M25"/>
  <c r="N25" s="1"/>
  <c r="M24"/>
  <c r="M23"/>
  <c r="M22"/>
  <c r="M21"/>
  <c r="M20"/>
  <c r="N20" s="1"/>
  <c r="M19"/>
  <c r="N19" s="1"/>
  <c r="M18"/>
  <c r="M17"/>
  <c r="L16"/>
  <c r="K16"/>
  <c r="M14"/>
  <c r="N14" s="1"/>
  <c r="L13"/>
  <c r="K13"/>
  <c r="M11"/>
  <c r="M10"/>
  <c r="N10" s="1"/>
  <c r="M9"/>
  <c r="N9" s="1"/>
  <c r="L8"/>
  <c r="L33" s="1"/>
  <c r="K8"/>
  <c r="M31" i="65071"/>
  <c r="N31" s="1"/>
  <c r="M30"/>
  <c r="L29"/>
  <c r="K29"/>
  <c r="D16" i="65125" s="1"/>
  <c r="M26" i="65071"/>
  <c r="M25"/>
  <c r="N25" s="1"/>
  <c r="M24"/>
  <c r="N24" s="1"/>
  <c r="M23"/>
  <c r="N23" s="1"/>
  <c r="M22"/>
  <c r="M21"/>
  <c r="N21" s="1"/>
  <c r="M20"/>
  <c r="N20" s="1"/>
  <c r="M19"/>
  <c r="N19" s="1"/>
  <c r="M18"/>
  <c r="N18" s="1"/>
  <c r="M17"/>
  <c r="N17" s="1"/>
  <c r="L16"/>
  <c r="K16"/>
  <c r="M14"/>
  <c r="M13" s="1"/>
  <c r="E14" i="65124" s="1"/>
  <c r="L13" i="65071"/>
  <c r="M11"/>
  <c r="M10"/>
  <c r="N10" s="1"/>
  <c r="M9"/>
  <c r="L8"/>
  <c r="M30" i="65070"/>
  <c r="M29"/>
  <c r="L28"/>
  <c r="K28"/>
  <c r="D15" i="65125" s="1"/>
  <c r="M26" i="65070"/>
  <c r="M25"/>
  <c r="N25" s="1"/>
  <c r="M24"/>
  <c r="M23"/>
  <c r="N23" s="1"/>
  <c r="M22"/>
  <c r="M21"/>
  <c r="M20"/>
  <c r="N20" s="1"/>
  <c r="M19"/>
  <c r="N19" s="1"/>
  <c r="M18"/>
  <c r="M17"/>
  <c r="L16"/>
  <c r="K16"/>
  <c r="M14"/>
  <c r="M13" s="1"/>
  <c r="L13"/>
  <c r="K13"/>
  <c r="M11"/>
  <c r="M10"/>
  <c r="N10" s="1"/>
  <c r="M9"/>
  <c r="C13" i="65124" s="1"/>
  <c r="L8" i="65070"/>
  <c r="K8"/>
  <c r="K33" s="1"/>
  <c r="M30" i="65069"/>
  <c r="N30" s="1"/>
  <c r="M29"/>
  <c r="L28"/>
  <c r="K28"/>
  <c r="D14" i="65125" s="1"/>
  <c r="M26" i="65069"/>
  <c r="M25"/>
  <c r="N25" s="1"/>
  <c r="M24"/>
  <c r="N24" s="1"/>
  <c r="M23"/>
  <c r="N23" s="1"/>
  <c r="M22"/>
  <c r="N22" s="1"/>
  <c r="M21"/>
  <c r="N21" s="1"/>
  <c r="M20"/>
  <c r="N20" s="1"/>
  <c r="M19"/>
  <c r="N19" s="1"/>
  <c r="M18"/>
  <c r="N18" s="1"/>
  <c r="M17"/>
  <c r="L16"/>
  <c r="K16"/>
  <c r="M14"/>
  <c r="N14" s="1"/>
  <c r="L13"/>
  <c r="K13"/>
  <c r="M11"/>
  <c r="M10"/>
  <c r="N10" s="1"/>
  <c r="M9"/>
  <c r="C12" i="65124" s="1"/>
  <c r="L8" i="65069"/>
  <c r="K8"/>
  <c r="M30" i="65068"/>
  <c r="N30" s="1"/>
  <c r="M29"/>
  <c r="L28"/>
  <c r="K28"/>
  <c r="D13" i="65125" s="1"/>
  <c r="M26" i="65068"/>
  <c r="M25"/>
  <c r="N25" s="1"/>
  <c r="M24"/>
  <c r="N24" s="1"/>
  <c r="M23"/>
  <c r="N23" s="1"/>
  <c r="M22"/>
  <c r="M21"/>
  <c r="N21" s="1"/>
  <c r="M20"/>
  <c r="N20" s="1"/>
  <c r="M19"/>
  <c r="N19" s="1"/>
  <c r="M18"/>
  <c r="N18" s="1"/>
  <c r="M17"/>
  <c r="L16"/>
  <c r="K16"/>
  <c r="M14"/>
  <c r="M13" s="1"/>
  <c r="N13" s="1"/>
  <c r="L13"/>
  <c r="K13"/>
  <c r="M11"/>
  <c r="M10"/>
  <c r="M9"/>
  <c r="L8"/>
  <c r="L33" s="1"/>
  <c r="L34" s="1"/>
  <c r="L35" s="1"/>
  <c r="K8"/>
  <c r="M30" i="65123"/>
  <c r="N30" s="1"/>
  <c r="M29"/>
  <c r="L28"/>
  <c r="K28"/>
  <c r="D12" i="65125" s="1"/>
  <c r="M26" i="65123"/>
  <c r="M25"/>
  <c r="N25" s="1"/>
  <c r="M24"/>
  <c r="M23"/>
  <c r="N23" s="1"/>
  <c r="M22"/>
  <c r="M21"/>
  <c r="M20"/>
  <c r="N20" s="1"/>
  <c r="M19"/>
  <c r="N19" s="1"/>
  <c r="M18"/>
  <c r="M17"/>
  <c r="L16"/>
  <c r="K16"/>
  <c r="M14"/>
  <c r="M13" s="1"/>
  <c r="N13" s="1"/>
  <c r="L13"/>
  <c r="K13"/>
  <c r="M11"/>
  <c r="M10"/>
  <c r="M9"/>
  <c r="L8"/>
  <c r="L33" s="1"/>
  <c r="K8"/>
  <c r="M30" i="65099"/>
  <c r="N30" s="1"/>
  <c r="M29"/>
  <c r="L28"/>
  <c r="K28"/>
  <c r="D11" i="65125" s="1"/>
  <c r="M26" i="65099"/>
  <c r="M25"/>
  <c r="N25" s="1"/>
  <c r="M24"/>
  <c r="M23"/>
  <c r="M22"/>
  <c r="M21"/>
  <c r="M20"/>
  <c r="N20" s="1"/>
  <c r="M19"/>
  <c r="N19" s="1"/>
  <c r="M18"/>
  <c r="M17"/>
  <c r="L16"/>
  <c r="K16"/>
  <c r="M14"/>
  <c r="M13" s="1"/>
  <c r="E9" i="65124" s="1"/>
  <c r="L13" i="65099"/>
  <c r="K13"/>
  <c r="M11"/>
  <c r="M10"/>
  <c r="N10" s="1"/>
  <c r="M9"/>
  <c r="L33"/>
  <c r="K8"/>
  <c r="M30" i="65067"/>
  <c r="N30" s="1"/>
  <c r="M29"/>
  <c r="L28"/>
  <c r="K28"/>
  <c r="D10" i="65125" s="1"/>
  <c r="M26" i="65067"/>
  <c r="M25"/>
  <c r="N25" s="1"/>
  <c r="M24"/>
  <c r="M23"/>
  <c r="M22"/>
  <c r="M21"/>
  <c r="M20"/>
  <c r="M19"/>
  <c r="M18"/>
  <c r="M17"/>
  <c r="N17" s="1"/>
  <c r="L16"/>
  <c r="K16"/>
  <c r="M14"/>
  <c r="M13" s="1"/>
  <c r="E8" i="65124" s="1"/>
  <c r="L13" i="65067"/>
  <c r="M11"/>
  <c r="M10"/>
  <c r="M9"/>
  <c r="C8" i="65124" s="1"/>
  <c r="L8" i="65067"/>
  <c r="M33" i="65066"/>
  <c r="N33" s="1"/>
  <c r="M32"/>
  <c r="L31"/>
  <c r="K31"/>
  <c r="D9" i="65125" s="1"/>
  <c r="M29" i="65066"/>
  <c r="K62" i="300" s="1"/>
  <c r="L62" s="1"/>
  <c r="L28" i="65066"/>
  <c r="K28"/>
  <c r="M26"/>
  <c r="M25"/>
  <c r="N25" s="1"/>
  <c r="M24"/>
  <c r="M23"/>
  <c r="N23" s="1"/>
  <c r="M22"/>
  <c r="M21"/>
  <c r="M20"/>
  <c r="M19"/>
  <c r="N19" s="1"/>
  <c r="M18"/>
  <c r="M17"/>
  <c r="N17" s="1"/>
  <c r="L16"/>
  <c r="K16"/>
  <c r="M14"/>
  <c r="M13" s="1"/>
  <c r="E7" i="65124" s="1"/>
  <c r="L13" i="65066"/>
  <c r="K13"/>
  <c r="M11"/>
  <c r="M10"/>
  <c r="N10" s="1"/>
  <c r="M9"/>
  <c r="C7" i="65124" s="1"/>
  <c r="L8" i="65066"/>
  <c r="K8"/>
  <c r="M53" i="65065"/>
  <c r="K102" i="300" s="1"/>
  <c r="L102" s="1"/>
  <c r="M52" i="65065"/>
  <c r="N52" s="1"/>
  <c r="M51"/>
  <c r="L50"/>
  <c r="K50"/>
  <c r="D8" i="65125" s="1"/>
  <c r="M48" i="65065"/>
  <c r="M47" s="1"/>
  <c r="H6" i="65124" s="1"/>
  <c r="L47" i="65065"/>
  <c r="K47"/>
  <c r="M45"/>
  <c r="K71" i="300" s="1"/>
  <c r="L71" s="1"/>
  <c r="M44" i="65065"/>
  <c r="K78" i="300" s="1"/>
  <c r="L78" s="1"/>
  <c r="M43" i="65065"/>
  <c r="K77" i="300" s="1"/>
  <c r="L77" s="1"/>
  <c r="M42" i="65065"/>
  <c r="K76" i="300" s="1"/>
  <c r="L76" s="1"/>
  <c r="M41" i="65065"/>
  <c r="K75" i="300" s="1"/>
  <c r="L75" s="1"/>
  <c r="M40" i="65065"/>
  <c r="K74" i="300" s="1"/>
  <c r="L74" s="1"/>
  <c r="M39" i="65065"/>
  <c r="K73" i="300" s="1"/>
  <c r="L73" s="1"/>
  <c r="M38" i="65065"/>
  <c r="K72" i="300" s="1"/>
  <c r="L72" s="1"/>
  <c r="M37" i="65065"/>
  <c r="K61" i="300" s="1"/>
  <c r="L61" s="1"/>
  <c r="M36" i="65065"/>
  <c r="K49" i="300" s="1"/>
  <c r="L49" s="1"/>
  <c r="M35" i="65065"/>
  <c r="L34"/>
  <c r="K34"/>
  <c r="M32"/>
  <c r="M31"/>
  <c r="K39" i="300" s="1"/>
  <c r="L39" s="1"/>
  <c r="M30" i="65065"/>
  <c r="N30" s="1"/>
  <c r="M29"/>
  <c r="N29" s="1"/>
  <c r="M28"/>
  <c r="N28" s="1"/>
  <c r="M27"/>
  <c r="M26"/>
  <c r="N26" s="1"/>
  <c r="M25"/>
  <c r="N25" s="1"/>
  <c r="M24"/>
  <c r="N24" s="1"/>
  <c r="M23"/>
  <c r="M22"/>
  <c r="L21"/>
  <c r="K21"/>
  <c r="M19"/>
  <c r="N19" s="1"/>
  <c r="L18"/>
  <c r="K18"/>
  <c r="M16"/>
  <c r="N16" s="1"/>
  <c r="M15"/>
  <c r="N15" s="1"/>
  <c r="M14"/>
  <c r="C6" i="65124" s="1"/>
  <c r="L13" i="65065"/>
  <c r="K13"/>
  <c r="M11"/>
  <c r="K12" i="300" s="1"/>
  <c r="L12" s="1"/>
  <c r="M10" i="65065"/>
  <c r="K11" i="300" s="1"/>
  <c r="L11" s="1"/>
  <c r="M9" i="65065"/>
  <c r="K10" i="300" s="1"/>
  <c r="L10" s="1"/>
  <c r="L8" i="65065"/>
  <c r="K8"/>
  <c r="N31" i="16"/>
  <c r="N29"/>
  <c r="N27"/>
  <c r="N26"/>
  <c r="N22"/>
  <c r="N15"/>
  <c r="N12"/>
  <c r="N11"/>
  <c r="M30"/>
  <c r="N30" s="1"/>
  <c r="M29"/>
  <c r="L28"/>
  <c r="K28"/>
  <c r="D7" i="65125" s="1"/>
  <c r="M26" i="16"/>
  <c r="M25"/>
  <c r="N25" s="1"/>
  <c r="M24"/>
  <c r="N24" s="1"/>
  <c r="M23"/>
  <c r="N23" s="1"/>
  <c r="M22"/>
  <c r="M21"/>
  <c r="N21" s="1"/>
  <c r="M20"/>
  <c r="N20" s="1"/>
  <c r="M19"/>
  <c r="N19" s="1"/>
  <c r="M18"/>
  <c r="N18" s="1"/>
  <c r="M17"/>
  <c r="L16"/>
  <c r="K16"/>
  <c r="M14"/>
  <c r="M13" s="1"/>
  <c r="E5" i="65124" s="1"/>
  <c r="L13" i="16"/>
  <c r="M11"/>
  <c r="M10"/>
  <c r="M9"/>
  <c r="N9" s="1"/>
  <c r="L8"/>
  <c r="L33" s="1"/>
  <c r="L34" s="1"/>
  <c r="L35" s="1"/>
  <c r="M28" i="65105" l="1"/>
  <c r="N28" s="1"/>
  <c r="M16"/>
  <c r="N16" s="1"/>
  <c r="M28" i="65098"/>
  <c r="N28" s="1"/>
  <c r="M16"/>
  <c r="N16" s="1"/>
  <c r="D39" i="65124"/>
  <c r="M16" i="65097"/>
  <c r="N16" s="1"/>
  <c r="D38" i="65124"/>
  <c r="M28" i="65096"/>
  <c r="N28" s="1"/>
  <c r="M16"/>
  <c r="M32" i="65095"/>
  <c r="M28"/>
  <c r="G36" i="65124" s="1"/>
  <c r="M16" i="65095"/>
  <c r="F36" i="65124" s="1"/>
  <c r="M28" i="65094"/>
  <c r="J35" i="65124" s="1"/>
  <c r="M16" i="65094"/>
  <c r="N16" s="1"/>
  <c r="M31" i="65093"/>
  <c r="J34" i="65124" s="1"/>
  <c r="M16" i="65093"/>
  <c r="M16" i="65089"/>
  <c r="N16" s="1"/>
  <c r="M28" i="65088"/>
  <c r="N28" s="1"/>
  <c r="M16"/>
  <c r="N16" s="1"/>
  <c r="M28" i="65087"/>
  <c r="N28" s="1"/>
  <c r="M16"/>
  <c r="N16" s="1"/>
  <c r="M28" i="65086"/>
  <c r="N28" s="1"/>
  <c r="M16"/>
  <c r="N16" s="1"/>
  <c r="M28" i="65085"/>
  <c r="J29" i="65124" s="1"/>
  <c r="M16" i="65085"/>
  <c r="N16" s="1"/>
  <c r="M28" i="65084"/>
  <c r="J28" i="65124" s="1"/>
  <c r="M16" i="65084"/>
  <c r="N16" s="1"/>
  <c r="M16" i="65122"/>
  <c r="D27" i="65124"/>
  <c r="M16" i="65083"/>
  <c r="M28"/>
  <c r="N28" s="1"/>
  <c r="M28" i="65081"/>
  <c r="N28" s="1"/>
  <c r="M16"/>
  <c r="N16" s="1"/>
  <c r="M8"/>
  <c r="N8" s="1"/>
  <c r="M28" i="65082"/>
  <c r="J24" i="65124" s="1"/>
  <c r="M16" i="65082"/>
  <c r="N16" s="1"/>
  <c r="K33"/>
  <c r="M44" i="65080"/>
  <c r="N44" s="1"/>
  <c r="K52"/>
  <c r="M8"/>
  <c r="N8" s="1"/>
  <c r="L39" i="65079"/>
  <c r="L40" s="1"/>
  <c r="L41" s="1"/>
  <c r="M8"/>
  <c r="M28"/>
  <c r="N28" s="1"/>
  <c r="M29" i="65078"/>
  <c r="G21" i="65124" s="1"/>
  <c r="L39" i="65078"/>
  <c r="L40" s="1"/>
  <c r="L41" s="1"/>
  <c r="M8" i="65077"/>
  <c r="D20" i="65124"/>
  <c r="M45" i="65076"/>
  <c r="K19" i="65124" s="1"/>
  <c r="M37" i="65076"/>
  <c r="N37" s="1"/>
  <c r="M32"/>
  <c r="M19"/>
  <c r="N19" s="1"/>
  <c r="D19" i="65124"/>
  <c r="M32" i="65075"/>
  <c r="J18" i="65124" s="1"/>
  <c r="M16" i="65075"/>
  <c r="N16" s="1"/>
  <c r="K37"/>
  <c r="K38" s="1"/>
  <c r="K39" s="1"/>
  <c r="M28" i="65115"/>
  <c r="J17" i="65124" s="1"/>
  <c r="M16" i="65115"/>
  <c r="N16" s="1"/>
  <c r="L33" i="65100"/>
  <c r="M28"/>
  <c r="N28" s="1"/>
  <c r="M16"/>
  <c r="F16" i="65124" s="1"/>
  <c r="M8" i="65100"/>
  <c r="M28" i="65074"/>
  <c r="N28" s="1"/>
  <c r="K33"/>
  <c r="L34" i="65071"/>
  <c r="L35" s="1"/>
  <c r="M8"/>
  <c r="M29"/>
  <c r="N29" s="1"/>
  <c r="M16"/>
  <c r="N16" s="1"/>
  <c r="M28" i="65070"/>
  <c r="J13" i="65124" s="1"/>
  <c r="M16" i="65070"/>
  <c r="F13" i="65124" s="1"/>
  <c r="M28" i="65069"/>
  <c r="J12" i="65124" s="1"/>
  <c r="M16" i="65069"/>
  <c r="N16" s="1"/>
  <c r="K33"/>
  <c r="K34" s="1"/>
  <c r="K35" s="1"/>
  <c r="M28" i="65068"/>
  <c r="M16"/>
  <c r="K33"/>
  <c r="K34" s="1"/>
  <c r="K35" s="1"/>
  <c r="D11" i="65124"/>
  <c r="M8" i="65068"/>
  <c r="M28" i="65123"/>
  <c r="N28" s="1"/>
  <c r="M16"/>
  <c r="K33"/>
  <c r="D10" i="65124"/>
  <c r="M8" i="65123"/>
  <c r="M28" i="65099"/>
  <c r="K33"/>
  <c r="M8"/>
  <c r="L33" i="65067"/>
  <c r="M28"/>
  <c r="J8" i="65124" s="1"/>
  <c r="M16" i="65067"/>
  <c r="N14"/>
  <c r="N13"/>
  <c r="D8" i="65124"/>
  <c r="N10" i="65067"/>
  <c r="N9"/>
  <c r="N40" i="65065"/>
  <c r="L56"/>
  <c r="J15" i="300"/>
  <c r="J46"/>
  <c r="M31" i="65066"/>
  <c r="J7" i="65124" s="1"/>
  <c r="N29" i="65066"/>
  <c r="M16"/>
  <c r="N14"/>
  <c r="N13"/>
  <c r="N9"/>
  <c r="N53" i="65065"/>
  <c r="M50"/>
  <c r="J6" i="65124" s="1"/>
  <c r="N48" i="65065"/>
  <c r="N47"/>
  <c r="N45"/>
  <c r="N44"/>
  <c r="N43"/>
  <c r="N42"/>
  <c r="N41"/>
  <c r="N39"/>
  <c r="N38"/>
  <c r="N37"/>
  <c r="M34"/>
  <c r="G6" i="65124" s="1"/>
  <c r="N36" i="65065"/>
  <c r="N34"/>
  <c r="N31"/>
  <c r="M21"/>
  <c r="F6" i="65124" s="1"/>
  <c r="N22" i="65065"/>
  <c r="N21"/>
  <c r="N14"/>
  <c r="K56"/>
  <c r="N11"/>
  <c r="N10"/>
  <c r="N9"/>
  <c r="M28" i="16"/>
  <c r="J5" i="65124" s="1"/>
  <c r="N28" i="16"/>
  <c r="K42" i="300"/>
  <c r="L42" s="1"/>
  <c r="K38"/>
  <c r="L38" s="1"/>
  <c r="K35"/>
  <c r="L35" s="1"/>
  <c r="K32"/>
  <c r="L32" s="1"/>
  <c r="K30"/>
  <c r="L30" s="1"/>
  <c r="K29"/>
  <c r="L29" s="1"/>
  <c r="K28"/>
  <c r="L28" s="1"/>
  <c r="K27"/>
  <c r="L27" s="1"/>
  <c r="M16" i="16"/>
  <c r="F5" i="65124" s="1"/>
  <c r="K26" i="300"/>
  <c r="L26" s="1"/>
  <c r="N16" i="16"/>
  <c r="N17"/>
  <c r="N14"/>
  <c r="N13"/>
  <c r="D5" i="65124"/>
  <c r="K19" i="300"/>
  <c r="L19" s="1"/>
  <c r="N10" i="16"/>
  <c r="K18" i="300"/>
  <c r="L18" s="1"/>
  <c r="I15"/>
  <c r="C5" i="65124"/>
  <c r="D5" i="65139"/>
  <c r="D71"/>
  <c r="D178"/>
  <c r="D18" i="304" s="1"/>
  <c r="D57" i="65139"/>
  <c r="D16" i="304" s="1"/>
  <c r="J40" i="65124"/>
  <c r="F40"/>
  <c r="L33" i="65105"/>
  <c r="L34" s="1"/>
  <c r="L35" s="1"/>
  <c r="D40" i="65124"/>
  <c r="J39"/>
  <c r="F39"/>
  <c r="L33" i="65098"/>
  <c r="L34" s="1"/>
  <c r="L35" s="1"/>
  <c r="K17" i="300"/>
  <c r="L17" s="1"/>
  <c r="N10" i="65098"/>
  <c r="M28" i="65097"/>
  <c r="F38" i="65124"/>
  <c r="L33" i="65097"/>
  <c r="L34" s="1"/>
  <c r="L35" s="1"/>
  <c r="N10"/>
  <c r="N29" i="65096"/>
  <c r="J37" i="65124"/>
  <c r="N16" i="65096"/>
  <c r="F37" i="65124"/>
  <c r="N17" i="65096"/>
  <c r="L33"/>
  <c r="L34" s="1"/>
  <c r="L35" s="1"/>
  <c r="N10"/>
  <c r="J36" i="65124"/>
  <c r="N28" i="65095"/>
  <c r="K69" i="300"/>
  <c r="L69" s="1"/>
  <c r="N29" i="65095"/>
  <c r="N16"/>
  <c r="L37"/>
  <c r="L38" s="1"/>
  <c r="L39" s="1"/>
  <c r="D36" i="65124"/>
  <c r="F35"/>
  <c r="L33" i="65094"/>
  <c r="L34" s="1"/>
  <c r="L35" s="1"/>
  <c r="D35" i="65124"/>
  <c r="N31" i="65093"/>
  <c r="K68" i="300"/>
  <c r="L68" s="1"/>
  <c r="G34" i="65124"/>
  <c r="N29" i="65093"/>
  <c r="N16"/>
  <c r="F34" i="65124"/>
  <c r="N17" i="65093"/>
  <c r="L36"/>
  <c r="L37" s="1"/>
  <c r="L38" s="1"/>
  <c r="N10"/>
  <c r="M28" i="65089"/>
  <c r="F33" i="65124"/>
  <c r="L33" i="65089"/>
  <c r="L34" s="1"/>
  <c r="L35" s="1"/>
  <c r="N10"/>
  <c r="J32" i="65124"/>
  <c r="F32"/>
  <c r="L33" i="65088"/>
  <c r="N10"/>
  <c r="N29" i="65087"/>
  <c r="J31" i="65124"/>
  <c r="F31"/>
  <c r="L33" i="65087"/>
  <c r="N10"/>
  <c r="N29" i="65086"/>
  <c r="J30" i="65124"/>
  <c r="F30"/>
  <c r="L33" i="65086"/>
  <c r="N10"/>
  <c r="N28" i="65085"/>
  <c r="N29"/>
  <c r="F29" i="65124"/>
  <c r="L33" i="65085"/>
  <c r="D29" i="65124"/>
  <c r="N28" i="65084"/>
  <c r="F28" i="65124"/>
  <c r="L33" i="65084"/>
  <c r="D28" i="65124"/>
  <c r="J27"/>
  <c r="N29" i="65083"/>
  <c r="N16"/>
  <c r="F27" i="65124"/>
  <c r="N17" i="65083"/>
  <c r="L33"/>
  <c r="N10"/>
  <c r="N16" i="65122"/>
  <c r="F26" i="65124"/>
  <c r="N17" i="65122"/>
  <c r="D26" i="65124"/>
  <c r="J25"/>
  <c r="N17" i="65081"/>
  <c r="K33"/>
  <c r="F25" i="65124"/>
  <c r="M13" i="65081"/>
  <c r="L33"/>
  <c r="C25" i="65124"/>
  <c r="N10" i="65081"/>
  <c r="N28" i="65082"/>
  <c r="F24" i="65124"/>
  <c r="N17" i="65082"/>
  <c r="M13"/>
  <c r="M8"/>
  <c r="N8" s="1"/>
  <c r="L33"/>
  <c r="D24" i="65124"/>
  <c r="N9" i="65082"/>
  <c r="K106" i="300"/>
  <c r="L106" s="1"/>
  <c r="N48" i="65080"/>
  <c r="N49"/>
  <c r="J23" i="65124"/>
  <c r="M41" i="65080"/>
  <c r="K95" i="300"/>
  <c r="L95" s="1"/>
  <c r="M30" i="65080"/>
  <c r="M52" s="1"/>
  <c r="K58" i="300"/>
  <c r="L58" s="1"/>
  <c r="K67"/>
  <c r="L67" s="1"/>
  <c r="K79"/>
  <c r="L79" s="1"/>
  <c r="F62" i="65137"/>
  <c r="F64"/>
  <c r="F72"/>
  <c r="N34" i="65080"/>
  <c r="N36"/>
  <c r="K55" i="300"/>
  <c r="L55" s="1"/>
  <c r="K57"/>
  <c r="L57" s="1"/>
  <c r="K59"/>
  <c r="L59" s="1"/>
  <c r="K80"/>
  <c r="L80" s="1"/>
  <c r="F65" i="65137"/>
  <c r="M16" i="65080"/>
  <c r="K41" i="300"/>
  <c r="L41" s="1"/>
  <c r="N17" i="65080"/>
  <c r="N13"/>
  <c r="E23" i="65124"/>
  <c r="N14" i="65080"/>
  <c r="C23" i="65124"/>
  <c r="L52" i="65080"/>
  <c r="D23" i="65124"/>
  <c r="M34" i="65079"/>
  <c r="K54" i="300"/>
  <c r="L54" s="1"/>
  <c r="K84"/>
  <c r="L84" s="1"/>
  <c r="K86"/>
  <c r="L86" s="1"/>
  <c r="G22" i="65124"/>
  <c r="K85" i="300"/>
  <c r="L85" s="1"/>
  <c r="M16" i="65079"/>
  <c r="M39" s="1"/>
  <c r="M40" s="1"/>
  <c r="M41" s="1"/>
  <c r="N41" s="1"/>
  <c r="N17"/>
  <c r="N13"/>
  <c r="E22" i="65124"/>
  <c r="N14" i="65079"/>
  <c r="D22" i="65124"/>
  <c r="N9" i="65079"/>
  <c r="N8"/>
  <c r="K103" i="300"/>
  <c r="L103" s="1"/>
  <c r="M33" i="65078"/>
  <c r="K52" i="300"/>
  <c r="L52" s="1"/>
  <c r="N29" i="65078"/>
  <c r="N31"/>
  <c r="M16"/>
  <c r="K33" i="300"/>
  <c r="N13" i="65078"/>
  <c r="N14"/>
  <c r="D21" i="65124"/>
  <c r="C21"/>
  <c r="J20"/>
  <c r="K51" i="300"/>
  <c r="L51" s="1"/>
  <c r="F54" i="65137"/>
  <c r="N31" i="65077"/>
  <c r="M28"/>
  <c r="M16"/>
  <c r="M13"/>
  <c r="L39"/>
  <c r="L40" s="1"/>
  <c r="L41" s="1"/>
  <c r="C20" i="65124"/>
  <c r="N8" i="65077"/>
  <c r="N10"/>
  <c r="K108" i="300"/>
  <c r="L108" s="1"/>
  <c r="N45" i="65076"/>
  <c r="K107" i="300"/>
  <c r="M41" i="65076"/>
  <c r="K96" i="300"/>
  <c r="L96" s="1"/>
  <c r="I19" i="65124"/>
  <c r="N39" i="65076"/>
  <c r="K94" i="300"/>
  <c r="G19" i="65124"/>
  <c r="K50" i="300"/>
  <c r="L50" s="1"/>
  <c r="K88"/>
  <c r="N33" i="65076"/>
  <c r="N35"/>
  <c r="F19" i="65124"/>
  <c r="N29" i="65076"/>
  <c r="N20"/>
  <c r="N16"/>
  <c r="E19" i="65124"/>
  <c r="N17" i="65076"/>
  <c r="C19" i="65124"/>
  <c r="N13" i="65076"/>
  <c r="M11"/>
  <c r="N11" s="1"/>
  <c r="L50"/>
  <c r="L51" s="1"/>
  <c r="L52" s="1"/>
  <c r="K13" i="300"/>
  <c r="L13" s="1"/>
  <c r="M8" i="65076"/>
  <c r="K83" i="300"/>
  <c r="L83" s="1"/>
  <c r="G18" i="65124"/>
  <c r="N30" i="65075"/>
  <c r="K43" i="300"/>
  <c r="L43" s="1"/>
  <c r="F18" i="65124"/>
  <c r="N17" i="65075"/>
  <c r="L37"/>
  <c r="L38" s="1"/>
  <c r="L39" s="1"/>
  <c r="M13"/>
  <c r="M8"/>
  <c r="D18" i="65124"/>
  <c r="N9" i="65075"/>
  <c r="N28" i="65115"/>
  <c r="F17" i="65124"/>
  <c r="L33" i="65115"/>
  <c r="L34" s="1"/>
  <c r="N10"/>
  <c r="J16" i="65124"/>
  <c r="N16" i="65100"/>
  <c r="E16" i="65124"/>
  <c r="N14" i="65100"/>
  <c r="K33"/>
  <c r="K34" s="1"/>
  <c r="M33"/>
  <c r="N33" s="1"/>
  <c r="C16" i="65124"/>
  <c r="N8" i="65100"/>
  <c r="N9"/>
  <c r="D16" i="65124"/>
  <c r="J15"/>
  <c r="M16" i="65074"/>
  <c r="N17"/>
  <c r="M13"/>
  <c r="M8"/>
  <c r="N8" s="1"/>
  <c r="C15" i="65124"/>
  <c r="L34" i="65100"/>
  <c r="L35" i="65115" s="1"/>
  <c r="D15" i="65124"/>
  <c r="J14"/>
  <c r="F14"/>
  <c r="N13" i="65071"/>
  <c r="N14"/>
  <c r="C14" i="65124"/>
  <c r="N8" i="65071"/>
  <c r="N9"/>
  <c r="D14" i="65124"/>
  <c r="N16" i="65070"/>
  <c r="N17"/>
  <c r="N13"/>
  <c r="E13" i="65124"/>
  <c r="N14" i="65070"/>
  <c r="L33"/>
  <c r="M8"/>
  <c r="N8" s="1"/>
  <c r="D13" i="65124"/>
  <c r="N9" i="65070"/>
  <c r="F12" i="65124"/>
  <c r="N17" i="65069"/>
  <c r="M13"/>
  <c r="M8"/>
  <c r="L33"/>
  <c r="L34" s="1"/>
  <c r="L35" s="1"/>
  <c r="D12" i="65124"/>
  <c r="N9" i="65069"/>
  <c r="N28" i="65068"/>
  <c r="J11" i="65124"/>
  <c r="N16" i="65068"/>
  <c r="F11" i="65124"/>
  <c r="N17" i="65068"/>
  <c r="M33"/>
  <c r="M34" s="1"/>
  <c r="M35" s="1"/>
  <c r="N35" s="1"/>
  <c r="E11" i="65124"/>
  <c r="N14" i="65068"/>
  <c r="C11" i="65124"/>
  <c r="N8" i="65068"/>
  <c r="N10"/>
  <c r="N34"/>
  <c r="N9"/>
  <c r="J10" i="65124"/>
  <c r="N16" i="65123"/>
  <c r="F10" i="65124"/>
  <c r="N17" i="65123"/>
  <c r="M33"/>
  <c r="N33" s="1"/>
  <c r="E10" i="65124"/>
  <c r="N14" i="65123"/>
  <c r="C10" i="65124"/>
  <c r="N8" i="65123"/>
  <c r="N10"/>
  <c r="N9"/>
  <c r="N28" i="65099"/>
  <c r="J9" i="65124"/>
  <c r="M16" i="65099"/>
  <c r="M33" s="1"/>
  <c r="N33" s="1"/>
  <c r="N17"/>
  <c r="N13"/>
  <c r="N14"/>
  <c r="D9" i="65124"/>
  <c r="C9"/>
  <c r="N8" i="65099"/>
  <c r="N9"/>
  <c r="K60" i="300"/>
  <c r="L60" s="1"/>
  <c r="M28" i="65066"/>
  <c r="M8"/>
  <c r="N8" s="1"/>
  <c r="K36"/>
  <c r="L36"/>
  <c r="D7" i="65124"/>
  <c r="K100" i="300"/>
  <c r="L100" s="1"/>
  <c r="K92"/>
  <c r="K70"/>
  <c r="L70" s="1"/>
  <c r="K48"/>
  <c r="K47" s="1"/>
  <c r="L47" s="1"/>
  <c r="K25"/>
  <c r="L25" s="1"/>
  <c r="M18" i="65065"/>
  <c r="M13"/>
  <c r="N13" s="1"/>
  <c r="D6" i="65124"/>
  <c r="K9" i="300"/>
  <c r="M8" i="65065"/>
  <c r="J24" i="300"/>
  <c r="J7" s="1"/>
  <c r="I24"/>
  <c r="I46"/>
  <c r="M9" i="65115"/>
  <c r="K8"/>
  <c r="M14"/>
  <c r="K13"/>
  <c r="M9" i="65105"/>
  <c r="K8"/>
  <c r="M14"/>
  <c r="K13"/>
  <c r="M9" i="65098"/>
  <c r="K8"/>
  <c r="M14"/>
  <c r="K13"/>
  <c r="M9" i="65097"/>
  <c r="K8"/>
  <c r="M14"/>
  <c r="K13"/>
  <c r="M9" i="65096"/>
  <c r="K8"/>
  <c r="M14"/>
  <c r="K13"/>
  <c r="M9" i="65095"/>
  <c r="K8"/>
  <c r="M14"/>
  <c r="K13"/>
  <c r="M9" i="65089"/>
  <c r="K8"/>
  <c r="M14"/>
  <c r="K13"/>
  <c r="M9" i="65088"/>
  <c r="K8"/>
  <c r="M14"/>
  <c r="K13"/>
  <c r="M9" i="65086"/>
  <c r="K8"/>
  <c r="M14"/>
  <c r="K13"/>
  <c r="M9" i="65084"/>
  <c r="K8"/>
  <c r="M14"/>
  <c r="K13"/>
  <c r="M9" i="65122"/>
  <c r="K8"/>
  <c r="M14"/>
  <c r="K13"/>
  <c r="M31"/>
  <c r="K101" i="300" s="1"/>
  <c r="L101" s="1"/>
  <c r="L29" i="65122"/>
  <c r="L34" s="1"/>
  <c r="L35" s="1"/>
  <c r="M9" i="65094"/>
  <c r="K8"/>
  <c r="M14"/>
  <c r="K13"/>
  <c r="M9" i="65093"/>
  <c r="K8"/>
  <c r="M14"/>
  <c r="K13"/>
  <c r="M9" i="65087"/>
  <c r="K8"/>
  <c r="M14"/>
  <c r="K13"/>
  <c r="M9" i="65085"/>
  <c r="K8"/>
  <c r="M14"/>
  <c r="K13"/>
  <c r="M9" i="65083"/>
  <c r="M14"/>
  <c r="M33" i="65081"/>
  <c r="N33" s="1"/>
  <c r="M33" i="65082"/>
  <c r="M8" i="65078"/>
  <c r="K8"/>
  <c r="K13"/>
  <c r="K19" i="65076"/>
  <c r="K50" s="1"/>
  <c r="K51" s="1"/>
  <c r="K52" s="1"/>
  <c r="M33" i="65074"/>
  <c r="N33" s="1"/>
  <c r="K8" i="65071"/>
  <c r="K13"/>
  <c r="M33" i="65070"/>
  <c r="M8" i="65067"/>
  <c r="K8"/>
  <c r="K13"/>
  <c r="M36" i="65066"/>
  <c r="N36" s="1"/>
  <c r="M8" i="16"/>
  <c r="K8"/>
  <c r="K13"/>
  <c r="H14" i="65078"/>
  <c r="H10"/>
  <c r="H9"/>
  <c r="K31" i="300" l="1"/>
  <c r="L31" s="1"/>
  <c r="L33"/>
  <c r="K105"/>
  <c r="L107"/>
  <c r="E27" i="304"/>
  <c r="L94" i="300"/>
  <c r="K87"/>
  <c r="L87" s="1"/>
  <c r="L88"/>
  <c r="K37"/>
  <c r="L37" s="1"/>
  <c r="M34" i="65071"/>
  <c r="N28" i="65069"/>
  <c r="N28" i="65067"/>
  <c r="F8" i="65124"/>
  <c r="N16" i="65067"/>
  <c r="M33"/>
  <c r="N33" s="1"/>
  <c r="N8"/>
  <c r="N31" i="65066"/>
  <c r="G7" i="65124"/>
  <c r="N28" i="65066"/>
  <c r="K34" i="300"/>
  <c r="L34" s="1"/>
  <c r="F7" i="65124"/>
  <c r="N16" i="65066"/>
  <c r="N50" i="65065"/>
  <c r="K91" i="300"/>
  <c r="L92"/>
  <c r="E6" i="65124"/>
  <c r="N18" i="65065"/>
  <c r="M56"/>
  <c r="N56" s="1"/>
  <c r="N8"/>
  <c r="E21" i="304"/>
  <c r="L9" i="300"/>
  <c r="M33" i="16"/>
  <c r="N8"/>
  <c r="D148" i="65139"/>
  <c r="D206" s="1"/>
  <c r="D215" s="1"/>
  <c r="M13" i="65105"/>
  <c r="N14"/>
  <c r="M8"/>
  <c r="N8" s="1"/>
  <c r="C40" i="65124"/>
  <c r="N9" i="65105"/>
  <c r="M13" i="65098"/>
  <c r="N14"/>
  <c r="M8"/>
  <c r="N8" s="1"/>
  <c r="N9"/>
  <c r="C39" i="65124"/>
  <c r="N28" i="65097"/>
  <c r="J38" i="65124"/>
  <c r="M13" i="65097"/>
  <c r="N14"/>
  <c r="M8"/>
  <c r="N8" s="1"/>
  <c r="N9"/>
  <c r="C38" i="65124"/>
  <c r="M13" i="65096"/>
  <c r="N14"/>
  <c r="M8"/>
  <c r="N8" s="1"/>
  <c r="N9"/>
  <c r="C37" i="65124"/>
  <c r="M13" i="65095"/>
  <c r="N14"/>
  <c r="M8"/>
  <c r="N8" s="1"/>
  <c r="N9"/>
  <c r="C36" i="65124"/>
  <c r="M13" i="65094"/>
  <c r="N14"/>
  <c r="M8"/>
  <c r="N8" s="1"/>
  <c r="N9"/>
  <c r="C35" i="65124"/>
  <c r="M13" i="65093"/>
  <c r="N14"/>
  <c r="M8"/>
  <c r="N8" s="1"/>
  <c r="N9"/>
  <c r="C34" i="65124"/>
  <c r="N28" i="65089"/>
  <c r="J33" i="65124"/>
  <c r="M13" i="65089"/>
  <c r="N14"/>
  <c r="M8"/>
  <c r="N8" s="1"/>
  <c r="N9"/>
  <c r="C33" i="65124"/>
  <c r="M13" i="65088"/>
  <c r="N14"/>
  <c r="M8"/>
  <c r="N8" s="1"/>
  <c r="N9"/>
  <c r="C32" i="65124"/>
  <c r="M13" i="65087"/>
  <c r="N14"/>
  <c r="M8"/>
  <c r="N8" s="1"/>
  <c r="N9"/>
  <c r="C31" i="65124"/>
  <c r="M13" i="65086"/>
  <c r="N14"/>
  <c r="M8"/>
  <c r="N8" s="1"/>
  <c r="N9"/>
  <c r="C30" i="65124"/>
  <c r="M13" i="65085"/>
  <c r="N14"/>
  <c r="M8"/>
  <c r="N8" s="1"/>
  <c r="C29" i="65124"/>
  <c r="N9" i="65085"/>
  <c r="M13" i="65084"/>
  <c r="N14"/>
  <c r="M8"/>
  <c r="N8" s="1"/>
  <c r="C28" i="65124"/>
  <c r="N9" i="65084"/>
  <c r="M13" i="65083"/>
  <c r="N14"/>
  <c r="M8"/>
  <c r="N8" s="1"/>
  <c r="N9"/>
  <c r="C27" i="65124"/>
  <c r="K99" i="300"/>
  <c r="M29" i="65122"/>
  <c r="N31"/>
  <c r="J111" i="300"/>
  <c r="M13" i="65122"/>
  <c r="N14"/>
  <c r="K22" i="300"/>
  <c r="M8" i="65122"/>
  <c r="N8" s="1"/>
  <c r="C26" i="65124"/>
  <c r="N9" i="65122"/>
  <c r="N13" i="65081"/>
  <c r="E25" i="65124"/>
  <c r="N13" i="65082"/>
  <c r="E24" i="65124"/>
  <c r="N33" i="65082"/>
  <c r="N41" i="65080"/>
  <c r="I23" i="65124"/>
  <c r="G23"/>
  <c r="N30" i="65080"/>
  <c r="F23" i="65124"/>
  <c r="N16" i="65080"/>
  <c r="N52"/>
  <c r="F76" i="65137"/>
  <c r="N34" i="65079"/>
  <c r="J22" i="65124"/>
  <c r="K82" i="300"/>
  <c r="L82" s="1"/>
  <c r="N16" i="65079"/>
  <c r="F22" i="65124"/>
  <c r="N40" i="65079"/>
  <c r="F32" i="65137"/>
  <c r="N39" i="65079"/>
  <c r="J21" i="65124"/>
  <c r="N33" i="65078"/>
  <c r="N16"/>
  <c r="F21" i="65124"/>
  <c r="M39" i="65078"/>
  <c r="N8"/>
  <c r="M39" i="65077"/>
  <c r="M40" s="1"/>
  <c r="N28"/>
  <c r="G20" i="65124"/>
  <c r="N16" i="65077"/>
  <c r="F20" i="65124"/>
  <c r="N13" i="65077"/>
  <c r="E20" i="65124"/>
  <c r="N41" i="65076"/>
  <c r="J19" i="65124"/>
  <c r="M50" i="65076"/>
  <c r="F9" i="65137" s="1"/>
  <c r="N8" i="65076"/>
  <c r="K24" i="300"/>
  <c r="N13" i="65075"/>
  <c r="E18" i="65124"/>
  <c r="M37" i="65075"/>
  <c r="N8"/>
  <c r="M13" i="65115"/>
  <c r="N14"/>
  <c r="M8"/>
  <c r="N8" s="1"/>
  <c r="N9"/>
  <c r="C17" i="65124"/>
  <c r="K16" i="300"/>
  <c r="N16" i="65074"/>
  <c r="F15" i="65124"/>
  <c r="N13" i="65074"/>
  <c r="E15" i="65124"/>
  <c r="M34" i="65100"/>
  <c r="N34" s="1"/>
  <c r="N33" i="65070"/>
  <c r="F29" i="65137"/>
  <c r="N13" i="65069"/>
  <c r="E12" i="65124"/>
  <c r="M33" i="65069"/>
  <c r="N8"/>
  <c r="N33" i="65068"/>
  <c r="F11" i="65137"/>
  <c r="N16" i="65099"/>
  <c r="F9" i="65124"/>
  <c r="L34" i="65123"/>
  <c r="L35" s="1"/>
  <c r="M34"/>
  <c r="I7" i="300"/>
  <c r="K39" i="65078"/>
  <c r="K40" s="1"/>
  <c r="K41" s="1"/>
  <c r="M36" i="65093"/>
  <c r="M33" i="65094"/>
  <c r="M33" i="65084"/>
  <c r="N33" s="1"/>
  <c r="M33" i="65086"/>
  <c r="N33" s="1"/>
  <c r="M33" i="65088"/>
  <c r="N33" s="1"/>
  <c r="M33" i="65089"/>
  <c r="M37" i="65095"/>
  <c r="M33" i="65096"/>
  <c r="M33" i="65097"/>
  <c r="M33" i="65098"/>
  <c r="M33" i="65105"/>
  <c r="M33" i="65115"/>
  <c r="K33" i="65083"/>
  <c r="K33" i="65085"/>
  <c r="K33" i="65087"/>
  <c r="K36" i="65093"/>
  <c r="K37" s="1"/>
  <c r="K38" s="1"/>
  <c r="K33" i="65094"/>
  <c r="K34" s="1"/>
  <c r="K35" s="1"/>
  <c r="K34" i="65122"/>
  <c r="K33" i="65084"/>
  <c r="K33" i="65086"/>
  <c r="K33" i="65088"/>
  <c r="K33" i="65089"/>
  <c r="K37" i="65095"/>
  <c r="K38" s="1"/>
  <c r="K39" s="1"/>
  <c r="K33" i="65096"/>
  <c r="K34" s="1"/>
  <c r="K35" s="1"/>
  <c r="K33" i="65097"/>
  <c r="K34" s="1"/>
  <c r="K35" s="1"/>
  <c r="K33" i="65098"/>
  <c r="K34" s="1"/>
  <c r="K35" s="1"/>
  <c r="K33" i="65105"/>
  <c r="K34" s="1"/>
  <c r="K35" s="1"/>
  <c r="K33" i="65115"/>
  <c r="K34" s="1"/>
  <c r="K34" i="65071"/>
  <c r="K35" s="1"/>
  <c r="K33" i="65067"/>
  <c r="K34" i="65123" s="1"/>
  <c r="K35" s="1"/>
  <c r="K33" i="16"/>
  <c r="K34" s="1"/>
  <c r="K35" s="1"/>
  <c r="J9" i="65065"/>
  <c r="H14" i="16"/>
  <c r="H10"/>
  <c r="H9"/>
  <c r="M33" i="65087" l="1"/>
  <c r="N33" s="1"/>
  <c r="M33" i="65085"/>
  <c r="N33" s="1"/>
  <c r="M34" i="65122"/>
  <c r="M33" i="65083"/>
  <c r="K35" i="65122"/>
  <c r="N39" i="65077"/>
  <c r="E36" i="304"/>
  <c r="L105" i="300"/>
  <c r="K46"/>
  <c r="E25" i="304" s="1"/>
  <c r="M35" i="65071"/>
  <c r="N35" s="1"/>
  <c r="N34"/>
  <c r="E26" i="304"/>
  <c r="L91" i="300"/>
  <c r="E31" i="304"/>
  <c r="L99" i="300"/>
  <c r="E24" i="304"/>
  <c r="L24" i="300"/>
  <c r="K21"/>
  <c r="L22"/>
  <c r="K15"/>
  <c r="L16"/>
  <c r="M34" i="16"/>
  <c r="N33"/>
  <c r="N13" i="65105"/>
  <c r="E40" i="65124"/>
  <c r="M34" i="65105"/>
  <c r="N33"/>
  <c r="N13" i="65098"/>
  <c r="E39" i="65124"/>
  <c r="M34" i="65098"/>
  <c r="N33"/>
  <c r="N13" i="65097"/>
  <c r="E38" i="65124"/>
  <c r="M34" i="65097"/>
  <c r="N33"/>
  <c r="N13" i="65096"/>
  <c r="E37" i="65124"/>
  <c r="M34" i="65096"/>
  <c r="N33"/>
  <c r="N13" i="65095"/>
  <c r="E36" i="65124"/>
  <c r="M38" i="65095"/>
  <c r="N37"/>
  <c r="F25" i="65137"/>
  <c r="E35" i="65124"/>
  <c r="N13" i="65094"/>
  <c r="M34"/>
  <c r="N33"/>
  <c r="N13" i="65093"/>
  <c r="E34" i="65124"/>
  <c r="M37" i="65093"/>
  <c r="N36"/>
  <c r="N13" i="65089"/>
  <c r="E33" i="65124"/>
  <c r="M34" i="65089"/>
  <c r="N33"/>
  <c r="N13" i="65088"/>
  <c r="E32" i="65124"/>
  <c r="N13" i="65087"/>
  <c r="E31" i="65124"/>
  <c r="N13" i="65086"/>
  <c r="E30" i="65124"/>
  <c r="N13" i="65085"/>
  <c r="E29" i="65124"/>
  <c r="N13" i="65084"/>
  <c r="E28" i="65124"/>
  <c r="N13" i="65083"/>
  <c r="E27" i="65124"/>
  <c r="N33" i="65083"/>
  <c r="F69" i="65137"/>
  <c r="K34" i="65089"/>
  <c r="N29" i="65122"/>
  <c r="J26" i="65124"/>
  <c r="N13" i="65122"/>
  <c r="E26" i="65124"/>
  <c r="M35" i="65122"/>
  <c r="N35" s="1"/>
  <c r="N34"/>
  <c r="K111" i="300"/>
  <c r="L111" s="1"/>
  <c r="F70" i="65137"/>
  <c r="K7" i="300"/>
  <c r="L7" s="1"/>
  <c r="M40" i="65078"/>
  <c r="N39"/>
  <c r="M41" i="65077"/>
  <c r="N40"/>
  <c r="M51" i="65076"/>
  <c r="N50"/>
  <c r="M38" i="65075"/>
  <c r="F39" i="65137"/>
  <c r="N37" i="65075"/>
  <c r="N13" i="65115"/>
  <c r="E17" i="65124"/>
  <c r="M34" i="65115"/>
  <c r="N34" s="1"/>
  <c r="N33"/>
  <c r="F26" i="65137"/>
  <c r="K35" i="65115"/>
  <c r="M34" i="65069"/>
  <c r="N33"/>
  <c r="F24" i="65137"/>
  <c r="M35" i="65123"/>
  <c r="N35" s="1"/>
  <c r="N34"/>
  <c r="I111" i="300"/>
  <c r="H10" i="65079"/>
  <c r="H28" i="65074"/>
  <c r="I28"/>
  <c r="L46" i="300" l="1"/>
  <c r="M35" i="65115"/>
  <c r="N35" s="1"/>
  <c r="E23" i="304"/>
  <c r="L21" i="300"/>
  <c r="M35" i="16"/>
  <c r="N35" s="1"/>
  <c r="N34"/>
  <c r="E22" i="304"/>
  <c r="L15" i="300"/>
  <c r="M35" i="65105"/>
  <c r="N35" s="1"/>
  <c r="N34"/>
  <c r="M35" i="65098"/>
  <c r="N35" s="1"/>
  <c r="N34"/>
  <c r="M35" i="65097"/>
  <c r="N35" s="1"/>
  <c r="N34"/>
  <c r="M35" i="65096"/>
  <c r="N35" s="1"/>
  <c r="N34"/>
  <c r="M39" i="65095"/>
  <c r="N39" s="1"/>
  <c r="N38"/>
  <c r="M35" i="65094"/>
  <c r="N35" s="1"/>
  <c r="N34"/>
  <c r="M38" i="65093"/>
  <c r="N38" s="1"/>
  <c r="N37"/>
  <c r="M35" i="65089"/>
  <c r="N35" s="1"/>
  <c r="N34"/>
  <c r="M41" i="65078"/>
  <c r="N41" s="1"/>
  <c r="N40"/>
  <c r="N41" i="65077"/>
  <c r="M52" i="65076"/>
  <c r="N52" s="1"/>
  <c r="N51"/>
  <c r="M39" i="65075"/>
  <c r="N39" s="1"/>
  <c r="N38"/>
  <c r="M35" i="65069"/>
  <c r="N35" s="1"/>
  <c r="N34"/>
  <c r="H32" i="65077"/>
  <c r="H10" i="65067" l="1"/>
  <c r="H14"/>
  <c r="H9"/>
  <c r="H13" i="65076"/>
  <c r="H17"/>
  <c r="H12"/>
  <c r="H10" i="65094"/>
  <c r="H14"/>
  <c r="H9"/>
  <c r="H10" i="65074"/>
  <c r="H14"/>
  <c r="H9"/>
  <c r="H10" i="65093"/>
  <c r="H14"/>
  <c r="H9"/>
  <c r="H10" i="65075" l="1"/>
  <c r="H14"/>
  <c r="H9"/>
  <c r="H10" i="65070"/>
  <c r="H14"/>
  <c r="H9"/>
  <c r="H14" i="65098"/>
  <c r="H9"/>
  <c r="H10" i="65080"/>
  <c r="H14"/>
  <c r="H9"/>
  <c r="H9" i="65082"/>
  <c r="H10"/>
  <c r="H14" i="65084"/>
  <c r="H9"/>
  <c r="H10"/>
  <c r="H14" i="65079"/>
  <c r="H9"/>
  <c r="H10" i="65069"/>
  <c r="H14"/>
  <c r="H9"/>
  <c r="H10" i="65077" l="1"/>
  <c r="H14"/>
  <c r="H9"/>
  <c r="H14" i="65096"/>
  <c r="H9"/>
  <c r="H14" i="65089"/>
  <c r="H9"/>
  <c r="H14" i="65088"/>
  <c r="H9"/>
  <c r="H14" i="65086"/>
  <c r="H9"/>
  <c r="H14" i="65085"/>
  <c r="H9"/>
  <c r="H14" i="65083"/>
  <c r="H9"/>
  <c r="H14" i="65122"/>
  <c r="H9"/>
  <c r="H14" i="65081"/>
  <c r="H9"/>
  <c r="H14" i="65082"/>
  <c r="H14" i="65071"/>
  <c r="H9"/>
  <c r="H19" i="65065"/>
  <c r="I31" i="65079"/>
  <c r="H34" i="65095"/>
  <c r="I32" i="65079"/>
  <c r="E190" i="65139"/>
  <c r="I31" i="65122"/>
  <c r="E188" i="65139" l="1"/>
  <c r="F188" s="1"/>
  <c r="F190"/>
  <c r="J30" i="65077"/>
  <c r="F92" i="300" l="1"/>
  <c r="F91" s="1"/>
  <c r="G92"/>
  <c r="J30" i="16"/>
  <c r="J29"/>
  <c r="J26"/>
  <c r="J25"/>
  <c r="J24"/>
  <c r="J23"/>
  <c r="J22"/>
  <c r="J21"/>
  <c r="J20"/>
  <c r="J19"/>
  <c r="J18"/>
  <c r="J17"/>
  <c r="J11"/>
  <c r="J53" i="65065"/>
  <c r="J52"/>
  <c r="J51"/>
  <c r="J48"/>
  <c r="H92" i="300" s="1"/>
  <c r="J45" i="65065"/>
  <c r="J44"/>
  <c r="J43"/>
  <c r="J42"/>
  <c r="J41"/>
  <c r="J40"/>
  <c r="J39"/>
  <c r="J38"/>
  <c r="J37"/>
  <c r="J36"/>
  <c r="J35"/>
  <c r="J32"/>
  <c r="J31"/>
  <c r="J30"/>
  <c r="J29"/>
  <c r="J28"/>
  <c r="J27"/>
  <c r="J26"/>
  <c r="J25"/>
  <c r="J24"/>
  <c r="J23"/>
  <c r="J22"/>
  <c r="J16"/>
  <c r="J11"/>
  <c r="J10"/>
  <c r="J33" i="65066"/>
  <c r="J32"/>
  <c r="J29"/>
  <c r="J26"/>
  <c r="J25"/>
  <c r="J24"/>
  <c r="J23"/>
  <c r="J22"/>
  <c r="J21"/>
  <c r="J20"/>
  <c r="J19"/>
  <c r="J18"/>
  <c r="J17"/>
  <c r="J11"/>
  <c r="J30" i="65067"/>
  <c r="J29"/>
  <c r="J26"/>
  <c r="J25"/>
  <c r="J24"/>
  <c r="J23"/>
  <c r="J22"/>
  <c r="J21"/>
  <c r="J20"/>
  <c r="J19"/>
  <c r="J18"/>
  <c r="J17"/>
  <c r="J11"/>
  <c r="J30" i="65099"/>
  <c r="J29"/>
  <c r="J26"/>
  <c r="J25"/>
  <c r="J24"/>
  <c r="J23"/>
  <c r="J22"/>
  <c r="J21"/>
  <c r="J20"/>
  <c r="J19"/>
  <c r="J18"/>
  <c r="J17"/>
  <c r="J11"/>
  <c r="J30" i="65123"/>
  <c r="J29"/>
  <c r="J26"/>
  <c r="J25"/>
  <c r="J24"/>
  <c r="J23"/>
  <c r="J22"/>
  <c r="J21"/>
  <c r="J20"/>
  <c r="J19"/>
  <c r="J18"/>
  <c r="J17"/>
  <c r="J11"/>
  <c r="J30" i="65068"/>
  <c r="J29"/>
  <c r="J26"/>
  <c r="J25"/>
  <c r="J24"/>
  <c r="J23"/>
  <c r="J22"/>
  <c r="J21"/>
  <c r="J20"/>
  <c r="J19"/>
  <c r="J18"/>
  <c r="J17"/>
  <c r="J11"/>
  <c r="J30" i="65069"/>
  <c r="J29"/>
  <c r="J26"/>
  <c r="J25"/>
  <c r="J24"/>
  <c r="J23"/>
  <c r="J22"/>
  <c r="J21"/>
  <c r="J20"/>
  <c r="J19"/>
  <c r="J18"/>
  <c r="J17"/>
  <c r="J11"/>
  <c r="J30" i="65070"/>
  <c r="J29"/>
  <c r="J26"/>
  <c r="J25"/>
  <c r="J24"/>
  <c r="J23"/>
  <c r="J22"/>
  <c r="J21"/>
  <c r="J20"/>
  <c r="J19"/>
  <c r="J18"/>
  <c r="J17"/>
  <c r="J11"/>
  <c r="J31" i="65071"/>
  <c r="J30"/>
  <c r="J26"/>
  <c r="J25"/>
  <c r="J24"/>
  <c r="J23"/>
  <c r="J22"/>
  <c r="J21"/>
  <c r="J20"/>
  <c r="J19"/>
  <c r="J18"/>
  <c r="J17"/>
  <c r="J11"/>
  <c r="J30" i="65074"/>
  <c r="J29"/>
  <c r="J28" s="1"/>
  <c r="J26"/>
  <c r="J25"/>
  <c r="J24"/>
  <c r="J23"/>
  <c r="J22"/>
  <c r="J21"/>
  <c r="J20"/>
  <c r="J19"/>
  <c r="J18"/>
  <c r="J17"/>
  <c r="J11"/>
  <c r="J30" i="65100"/>
  <c r="J29"/>
  <c r="J26"/>
  <c r="J25"/>
  <c r="J24"/>
  <c r="J23"/>
  <c r="J22"/>
  <c r="J21"/>
  <c r="J20"/>
  <c r="J19"/>
  <c r="J18"/>
  <c r="J17"/>
  <c r="J11"/>
  <c r="J30" i="65115"/>
  <c r="J29"/>
  <c r="J26"/>
  <c r="J25"/>
  <c r="J24"/>
  <c r="J23"/>
  <c r="J22"/>
  <c r="J21"/>
  <c r="J20"/>
  <c r="J19"/>
  <c r="J18"/>
  <c r="J17"/>
  <c r="J11"/>
  <c r="J34" i="65075"/>
  <c r="J33"/>
  <c r="J30"/>
  <c r="J27"/>
  <c r="J26"/>
  <c r="J25"/>
  <c r="J24"/>
  <c r="J23"/>
  <c r="J22"/>
  <c r="J21"/>
  <c r="J20"/>
  <c r="J19"/>
  <c r="J18"/>
  <c r="J17"/>
  <c r="J11"/>
  <c r="J47" i="65076"/>
  <c r="J46"/>
  <c r="J43"/>
  <c r="J42"/>
  <c r="J39"/>
  <c r="J38"/>
  <c r="J35"/>
  <c r="J34"/>
  <c r="J33"/>
  <c r="J30"/>
  <c r="J26"/>
  <c r="J25"/>
  <c r="J24"/>
  <c r="J21"/>
  <c r="J20"/>
  <c r="J14"/>
  <c r="J9"/>
  <c r="J36" i="65077"/>
  <c r="J35"/>
  <c r="J32"/>
  <c r="J31"/>
  <c r="J29"/>
  <c r="J26"/>
  <c r="J25"/>
  <c r="J24"/>
  <c r="J23"/>
  <c r="J22"/>
  <c r="J21"/>
  <c r="J20"/>
  <c r="J19"/>
  <c r="J18"/>
  <c r="J17"/>
  <c r="J11"/>
  <c r="J36" i="65078"/>
  <c r="J35"/>
  <c r="J34"/>
  <c r="J31"/>
  <c r="J30"/>
  <c r="J27"/>
  <c r="J26"/>
  <c r="J25"/>
  <c r="J24"/>
  <c r="J23"/>
  <c r="J22"/>
  <c r="J21"/>
  <c r="J20"/>
  <c r="J19"/>
  <c r="J18"/>
  <c r="J17"/>
  <c r="J11"/>
  <c r="J36" i="65079"/>
  <c r="J35"/>
  <c r="J32"/>
  <c r="J31"/>
  <c r="J30"/>
  <c r="J29"/>
  <c r="J26"/>
  <c r="J25"/>
  <c r="J24"/>
  <c r="J23"/>
  <c r="J22"/>
  <c r="J21"/>
  <c r="J20"/>
  <c r="J19"/>
  <c r="J18"/>
  <c r="J17"/>
  <c r="J11"/>
  <c r="J49" i="65080"/>
  <c r="J46"/>
  <c r="J45"/>
  <c r="J42"/>
  <c r="J39"/>
  <c r="J38"/>
  <c r="J37"/>
  <c r="J36"/>
  <c r="J35"/>
  <c r="J34"/>
  <c r="J33"/>
  <c r="J32"/>
  <c r="J31"/>
  <c r="J28"/>
  <c r="J27"/>
  <c r="J26"/>
  <c r="J25"/>
  <c r="J24"/>
  <c r="J23"/>
  <c r="J22"/>
  <c r="J21"/>
  <c r="J20"/>
  <c r="J19"/>
  <c r="J18"/>
  <c r="J17"/>
  <c r="J11"/>
  <c r="J30" i="65082"/>
  <c r="J29"/>
  <c r="J26"/>
  <c r="J25"/>
  <c r="J24"/>
  <c r="J23"/>
  <c r="J22"/>
  <c r="J21"/>
  <c r="J20"/>
  <c r="J19"/>
  <c r="J18"/>
  <c r="J17"/>
  <c r="J11"/>
  <c r="J30" i="65081"/>
  <c r="J29"/>
  <c r="J26"/>
  <c r="J25"/>
  <c r="J24"/>
  <c r="J23"/>
  <c r="J22"/>
  <c r="J21"/>
  <c r="J20"/>
  <c r="J19"/>
  <c r="J18"/>
  <c r="J17"/>
  <c r="J11"/>
  <c r="J31" i="65122"/>
  <c r="J30"/>
  <c r="J27"/>
  <c r="J26"/>
  <c r="J25"/>
  <c r="J24"/>
  <c r="J23"/>
  <c r="J22"/>
  <c r="J21"/>
  <c r="J20"/>
  <c r="J19"/>
  <c r="J18"/>
  <c r="J17"/>
  <c r="J11"/>
  <c r="J30" i="65083"/>
  <c r="J29"/>
  <c r="J26"/>
  <c r="J25"/>
  <c r="J24"/>
  <c r="J23"/>
  <c r="J22"/>
  <c r="J21"/>
  <c r="J20"/>
  <c r="J19"/>
  <c r="J18"/>
  <c r="J17"/>
  <c r="J11"/>
  <c r="J30" i="65084"/>
  <c r="J29"/>
  <c r="J26"/>
  <c r="J25"/>
  <c r="J24"/>
  <c r="J23"/>
  <c r="J22"/>
  <c r="J21"/>
  <c r="J20"/>
  <c r="J19"/>
  <c r="J18"/>
  <c r="J17"/>
  <c r="J11"/>
  <c r="J30" i="65085"/>
  <c r="J29"/>
  <c r="J26"/>
  <c r="J25"/>
  <c r="J24"/>
  <c r="J23"/>
  <c r="J22"/>
  <c r="J21"/>
  <c r="J20"/>
  <c r="J19"/>
  <c r="J18"/>
  <c r="J17"/>
  <c r="J11"/>
  <c r="J30" i="65086"/>
  <c r="J29"/>
  <c r="J26"/>
  <c r="J25"/>
  <c r="J24"/>
  <c r="J23"/>
  <c r="J22"/>
  <c r="J21"/>
  <c r="J20"/>
  <c r="J19"/>
  <c r="J18"/>
  <c r="J17"/>
  <c r="J11"/>
  <c r="J30" i="65087"/>
  <c r="J29"/>
  <c r="J26"/>
  <c r="J25"/>
  <c r="J24"/>
  <c r="J23"/>
  <c r="J22"/>
  <c r="J21"/>
  <c r="J20"/>
  <c r="J19"/>
  <c r="J18"/>
  <c r="J17"/>
  <c r="J11"/>
  <c r="J30" i="65088"/>
  <c r="J29"/>
  <c r="J26"/>
  <c r="J25"/>
  <c r="J24"/>
  <c r="J23"/>
  <c r="J22"/>
  <c r="J21"/>
  <c r="J20"/>
  <c r="J19"/>
  <c r="J18"/>
  <c r="J17"/>
  <c r="J11"/>
  <c r="J30" i="65089"/>
  <c r="J29"/>
  <c r="J26"/>
  <c r="J25"/>
  <c r="J24"/>
  <c r="J23"/>
  <c r="J22"/>
  <c r="J21"/>
  <c r="J20"/>
  <c r="J19"/>
  <c r="J18"/>
  <c r="J17"/>
  <c r="J11"/>
  <c r="J33" i="65093"/>
  <c r="J32"/>
  <c r="J29"/>
  <c r="J26"/>
  <c r="J25"/>
  <c r="J24"/>
  <c r="J23"/>
  <c r="J22"/>
  <c r="J21"/>
  <c r="J20"/>
  <c r="J19"/>
  <c r="J18"/>
  <c r="J17"/>
  <c r="J11"/>
  <c r="J30" i="65094"/>
  <c r="J29"/>
  <c r="J26"/>
  <c r="J25"/>
  <c r="J24"/>
  <c r="J23"/>
  <c r="J22"/>
  <c r="J21"/>
  <c r="J20"/>
  <c r="J19"/>
  <c r="J18"/>
  <c r="J17"/>
  <c r="J11"/>
  <c r="J34" i="65095"/>
  <c r="J33"/>
  <c r="J30"/>
  <c r="J29"/>
  <c r="J26"/>
  <c r="J25"/>
  <c r="J24"/>
  <c r="J23"/>
  <c r="J22"/>
  <c r="J21"/>
  <c r="J20"/>
  <c r="J19"/>
  <c r="J18"/>
  <c r="J17"/>
  <c r="J11"/>
  <c r="J30" i="65096"/>
  <c r="J29"/>
  <c r="J26"/>
  <c r="J25"/>
  <c r="J24"/>
  <c r="J23"/>
  <c r="J22"/>
  <c r="J21"/>
  <c r="J20"/>
  <c r="J19"/>
  <c r="J18"/>
  <c r="J17"/>
  <c r="J11"/>
  <c r="J30" i="65097"/>
  <c r="J29"/>
  <c r="J26"/>
  <c r="J25"/>
  <c r="J24"/>
  <c r="J23"/>
  <c r="J22"/>
  <c r="J21"/>
  <c r="J20"/>
  <c r="J19"/>
  <c r="J18"/>
  <c r="J17"/>
  <c r="J11"/>
  <c r="J30" i="65098"/>
  <c r="J29"/>
  <c r="J26"/>
  <c r="J25"/>
  <c r="J24"/>
  <c r="J23"/>
  <c r="J22"/>
  <c r="J21"/>
  <c r="J20"/>
  <c r="J19"/>
  <c r="J18"/>
  <c r="J17"/>
  <c r="J11"/>
  <c r="J30" i="65105"/>
  <c r="J29"/>
  <c r="J26"/>
  <c r="J25"/>
  <c r="J24"/>
  <c r="J23"/>
  <c r="J22"/>
  <c r="J21"/>
  <c r="J20"/>
  <c r="J19"/>
  <c r="J18"/>
  <c r="J17"/>
  <c r="J11"/>
  <c r="F108" i="300"/>
  <c r="F107"/>
  <c r="F106"/>
  <c r="F103"/>
  <c r="F102"/>
  <c r="F101"/>
  <c r="F100"/>
  <c r="F97"/>
  <c r="F96"/>
  <c r="F95"/>
  <c r="F89"/>
  <c r="F88"/>
  <c r="F86"/>
  <c r="F85"/>
  <c r="F84"/>
  <c r="F83"/>
  <c r="F81"/>
  <c r="F80"/>
  <c r="F79"/>
  <c r="F78"/>
  <c r="F77"/>
  <c r="F76"/>
  <c r="F75"/>
  <c r="F74"/>
  <c r="F73"/>
  <c r="F72"/>
  <c r="F71"/>
  <c r="F69"/>
  <c r="F68"/>
  <c r="F67"/>
  <c r="F66"/>
  <c r="F65"/>
  <c r="F64"/>
  <c r="F63"/>
  <c r="F62"/>
  <c r="F61"/>
  <c r="F59"/>
  <c r="F58"/>
  <c r="F57"/>
  <c r="F56"/>
  <c r="F55"/>
  <c r="F54"/>
  <c r="F53"/>
  <c r="F52"/>
  <c r="F51"/>
  <c r="F50"/>
  <c r="F49"/>
  <c r="F48"/>
  <c r="F44"/>
  <c r="F43"/>
  <c r="F42"/>
  <c r="F41"/>
  <c r="F39"/>
  <c r="F36"/>
  <c r="F33"/>
  <c r="F32"/>
  <c r="F30"/>
  <c r="F29"/>
  <c r="F26"/>
  <c r="F25"/>
  <c r="F19"/>
  <c r="F13"/>
  <c r="F12"/>
  <c r="F11"/>
  <c r="F10"/>
  <c r="G108"/>
  <c r="G107"/>
  <c r="G106"/>
  <c r="G103"/>
  <c r="G102"/>
  <c r="G101"/>
  <c r="G100"/>
  <c r="G97"/>
  <c r="G96"/>
  <c r="G95"/>
  <c r="G91"/>
  <c r="G89"/>
  <c r="G88"/>
  <c r="G86"/>
  <c r="G85"/>
  <c r="G84"/>
  <c r="G83"/>
  <c r="G81"/>
  <c r="G80"/>
  <c r="G79"/>
  <c r="G78"/>
  <c r="G77"/>
  <c r="G76"/>
  <c r="G75"/>
  <c r="G74"/>
  <c r="G73"/>
  <c r="G72"/>
  <c r="G71"/>
  <c r="G69"/>
  <c r="G68"/>
  <c r="G67"/>
  <c r="G66"/>
  <c r="G65"/>
  <c r="G64"/>
  <c r="G63"/>
  <c r="G62"/>
  <c r="G61"/>
  <c r="G59"/>
  <c r="G58"/>
  <c r="G57"/>
  <c r="G56"/>
  <c r="G55"/>
  <c r="G54"/>
  <c r="G53"/>
  <c r="G52"/>
  <c r="G51"/>
  <c r="G50"/>
  <c r="G49"/>
  <c r="G48"/>
  <c r="G44"/>
  <c r="G43"/>
  <c r="G42"/>
  <c r="G41"/>
  <c r="G40"/>
  <c r="G39"/>
  <c r="G38"/>
  <c r="G36"/>
  <c r="G35"/>
  <c r="G33"/>
  <c r="G32"/>
  <c r="G30"/>
  <c r="G29"/>
  <c r="G28"/>
  <c r="G27"/>
  <c r="G26"/>
  <c r="G25"/>
  <c r="G19"/>
  <c r="G13"/>
  <c r="G12"/>
  <c r="G11"/>
  <c r="G10"/>
  <c r="H50" i="65065"/>
  <c r="H47"/>
  <c r="H34"/>
  <c r="H21"/>
  <c r="J19"/>
  <c r="H15"/>
  <c r="J15" s="1"/>
  <c r="H14"/>
  <c r="J14" s="1"/>
  <c r="H8"/>
  <c r="H31" i="65066"/>
  <c r="H28"/>
  <c r="H16"/>
  <c r="H14"/>
  <c r="J14" s="1"/>
  <c r="H13"/>
  <c r="H10"/>
  <c r="J10" s="1"/>
  <c r="H9"/>
  <c r="H8" s="1"/>
  <c r="H28" i="65067"/>
  <c r="H16"/>
  <c r="J14"/>
  <c r="H13"/>
  <c r="J10"/>
  <c r="H8"/>
  <c r="H28" i="65099"/>
  <c r="H16"/>
  <c r="H14"/>
  <c r="J14" s="1"/>
  <c r="H13"/>
  <c r="H10"/>
  <c r="J10" s="1"/>
  <c r="H9"/>
  <c r="H8" s="1"/>
  <c r="H28" i="65123"/>
  <c r="H16"/>
  <c r="H14"/>
  <c r="J14" s="1"/>
  <c r="H13"/>
  <c r="H10"/>
  <c r="J10" s="1"/>
  <c r="H9"/>
  <c r="H8" s="1"/>
  <c r="H28" i="65068"/>
  <c r="H16"/>
  <c r="H14"/>
  <c r="J14" s="1"/>
  <c r="H13"/>
  <c r="H10"/>
  <c r="J10" s="1"/>
  <c r="H9"/>
  <c r="H8" s="1"/>
  <c r="H28" i="65069"/>
  <c r="H16"/>
  <c r="J14"/>
  <c r="H13"/>
  <c r="J10"/>
  <c r="H8"/>
  <c r="H28" i="65070"/>
  <c r="H16"/>
  <c r="J14"/>
  <c r="H13"/>
  <c r="J10"/>
  <c r="H8"/>
  <c r="H29" i="65071"/>
  <c r="H16"/>
  <c r="J14"/>
  <c r="H13"/>
  <c r="H10"/>
  <c r="J10" s="1"/>
  <c r="H8"/>
  <c r="H16" i="65074"/>
  <c r="J14"/>
  <c r="J10"/>
  <c r="H28" i="65100"/>
  <c r="H16"/>
  <c r="H14"/>
  <c r="J14" s="1"/>
  <c r="H10"/>
  <c r="J10" s="1"/>
  <c r="H9"/>
  <c r="H28" i="65115"/>
  <c r="H16"/>
  <c r="H14"/>
  <c r="J14" s="1"/>
  <c r="H10"/>
  <c r="J10" s="1"/>
  <c r="H9"/>
  <c r="H32" i="65075"/>
  <c r="H29"/>
  <c r="H16"/>
  <c r="J14"/>
  <c r="H13"/>
  <c r="J10"/>
  <c r="H8"/>
  <c r="H45" i="65076"/>
  <c r="H41"/>
  <c r="H37"/>
  <c r="H32"/>
  <c r="H29"/>
  <c r="J29" s="1"/>
  <c r="H28"/>
  <c r="J28" s="1"/>
  <c r="H27"/>
  <c r="J27" s="1"/>
  <c r="H23"/>
  <c r="F28" i="300" s="1"/>
  <c r="H22" i="65076"/>
  <c r="J22" s="1"/>
  <c r="H19"/>
  <c r="J17"/>
  <c r="H16"/>
  <c r="J13"/>
  <c r="H11"/>
  <c r="H8"/>
  <c r="H34" i="65077"/>
  <c r="H28"/>
  <c r="H16"/>
  <c r="J14"/>
  <c r="H13"/>
  <c r="J10"/>
  <c r="H8"/>
  <c r="H33" i="65078"/>
  <c r="H29"/>
  <c r="H16"/>
  <c r="J14"/>
  <c r="J10"/>
  <c r="H34" i="65079"/>
  <c r="H28"/>
  <c r="H16"/>
  <c r="J14"/>
  <c r="H13"/>
  <c r="J10"/>
  <c r="H8"/>
  <c r="H48" i="65080"/>
  <c r="H44"/>
  <c r="H41"/>
  <c r="H30"/>
  <c r="H16"/>
  <c r="J14"/>
  <c r="J10"/>
  <c r="H28" i="65082"/>
  <c r="H16"/>
  <c r="J14"/>
  <c r="J10"/>
  <c r="H28" i="65081"/>
  <c r="H16"/>
  <c r="J14"/>
  <c r="H10"/>
  <c r="J10" s="1"/>
  <c r="H29" i="65122"/>
  <c r="H16"/>
  <c r="J14"/>
  <c r="H10"/>
  <c r="J10" s="1"/>
  <c r="H28" i="65083"/>
  <c r="H16"/>
  <c r="J14"/>
  <c r="H10"/>
  <c r="J10" s="1"/>
  <c r="H28" i="65084"/>
  <c r="H16"/>
  <c r="J14"/>
  <c r="J10"/>
  <c r="H28" i="65085"/>
  <c r="H16"/>
  <c r="J14"/>
  <c r="H10"/>
  <c r="J10" s="1"/>
  <c r="H28" i="65086"/>
  <c r="H16"/>
  <c r="J14"/>
  <c r="H10"/>
  <c r="J10" s="1"/>
  <c r="H28" i="65087"/>
  <c r="H16"/>
  <c r="H14"/>
  <c r="J14" s="1"/>
  <c r="H10"/>
  <c r="J10" s="1"/>
  <c r="H9"/>
  <c r="H28" i="65088"/>
  <c r="H16"/>
  <c r="J14"/>
  <c r="H10"/>
  <c r="J10" s="1"/>
  <c r="H28" i="65089"/>
  <c r="H16"/>
  <c r="J14"/>
  <c r="H10"/>
  <c r="J10" s="1"/>
  <c r="H31" i="65093"/>
  <c r="H28"/>
  <c r="H16"/>
  <c r="J14"/>
  <c r="H13"/>
  <c r="J10"/>
  <c r="H8"/>
  <c r="H28" i="65094"/>
  <c r="H16"/>
  <c r="J14"/>
  <c r="H13"/>
  <c r="J10"/>
  <c r="H8"/>
  <c r="H32" i="65095"/>
  <c r="H28"/>
  <c r="H16"/>
  <c r="H14"/>
  <c r="J14" s="1"/>
  <c r="H10"/>
  <c r="J10" s="1"/>
  <c r="H9"/>
  <c r="H28" i="65096"/>
  <c r="H16"/>
  <c r="J14"/>
  <c r="H10"/>
  <c r="J10" s="1"/>
  <c r="H28" i="65097"/>
  <c r="H16"/>
  <c r="H14"/>
  <c r="J14" s="1"/>
  <c r="H10"/>
  <c r="J10" s="1"/>
  <c r="H9"/>
  <c r="H28" i="65098"/>
  <c r="H16"/>
  <c r="J14"/>
  <c r="H10"/>
  <c r="J10" s="1"/>
  <c r="H28" i="65105"/>
  <c r="H16"/>
  <c r="H14"/>
  <c r="J14" s="1"/>
  <c r="H10"/>
  <c r="J10" s="1"/>
  <c r="H9"/>
  <c r="H28" i="16"/>
  <c r="H16"/>
  <c r="J14"/>
  <c r="J10"/>
  <c r="I50" i="65065"/>
  <c r="I47"/>
  <c r="I34"/>
  <c r="I21"/>
  <c r="I18"/>
  <c r="G18" i="300"/>
  <c r="G16"/>
  <c r="I8" i="65065"/>
  <c r="I31" i="65066"/>
  <c r="I28"/>
  <c r="I16"/>
  <c r="I13"/>
  <c r="I8"/>
  <c r="I28" i="65067"/>
  <c r="I16"/>
  <c r="I13"/>
  <c r="I8"/>
  <c r="I28" i="65099"/>
  <c r="I16"/>
  <c r="I13"/>
  <c r="I8"/>
  <c r="I28" i="65123"/>
  <c r="I16"/>
  <c r="I13"/>
  <c r="I8"/>
  <c r="I28" i="65068"/>
  <c r="I16"/>
  <c r="I13"/>
  <c r="I8"/>
  <c r="I28" i="65069"/>
  <c r="I16"/>
  <c r="I13"/>
  <c r="I8"/>
  <c r="I28" i="65070"/>
  <c r="I16"/>
  <c r="I13"/>
  <c r="I8"/>
  <c r="I29" i="65071"/>
  <c r="I16"/>
  <c r="I13"/>
  <c r="I8"/>
  <c r="I16" i="65074"/>
  <c r="I13"/>
  <c r="I8"/>
  <c r="I28" i="65100"/>
  <c r="I16"/>
  <c r="I13"/>
  <c r="I8"/>
  <c r="I28" i="65115"/>
  <c r="I16"/>
  <c r="I13"/>
  <c r="I8"/>
  <c r="I32" i="65075"/>
  <c r="I29"/>
  <c r="I16"/>
  <c r="I13"/>
  <c r="I8"/>
  <c r="I45" i="65076"/>
  <c r="I41"/>
  <c r="I37"/>
  <c r="I32"/>
  <c r="I19"/>
  <c r="I16"/>
  <c r="I11"/>
  <c r="I8"/>
  <c r="I34" i="65077"/>
  <c r="I28"/>
  <c r="I16"/>
  <c r="I13"/>
  <c r="I8"/>
  <c r="I33" i="65078"/>
  <c r="I29"/>
  <c r="I16"/>
  <c r="I13"/>
  <c r="I8"/>
  <c r="I34" i="65079"/>
  <c r="I28"/>
  <c r="I16"/>
  <c r="I13"/>
  <c r="I8"/>
  <c r="I48" i="65080"/>
  <c r="I44"/>
  <c r="I41"/>
  <c r="I30"/>
  <c r="I16"/>
  <c r="I13"/>
  <c r="I8"/>
  <c r="I28" i="65082"/>
  <c r="I16"/>
  <c r="I13"/>
  <c r="I8"/>
  <c r="I28" i="65081"/>
  <c r="I16"/>
  <c r="I13"/>
  <c r="I8"/>
  <c r="I29" i="65122"/>
  <c r="I16"/>
  <c r="I13"/>
  <c r="I8"/>
  <c r="I28" i="65083"/>
  <c r="I16"/>
  <c r="I13"/>
  <c r="I8"/>
  <c r="I28" i="65084"/>
  <c r="I16"/>
  <c r="I13"/>
  <c r="I8"/>
  <c r="I28" i="65085"/>
  <c r="I16"/>
  <c r="I13"/>
  <c r="I8"/>
  <c r="I28" i="65086"/>
  <c r="I16"/>
  <c r="I13"/>
  <c r="I8"/>
  <c r="I28" i="65087"/>
  <c r="I16"/>
  <c r="I13"/>
  <c r="I8"/>
  <c r="I28" i="65088"/>
  <c r="I16"/>
  <c r="I13"/>
  <c r="I8"/>
  <c r="I28" i="65089"/>
  <c r="I16"/>
  <c r="I13"/>
  <c r="I8"/>
  <c r="I31" i="65093"/>
  <c r="I28"/>
  <c r="I16"/>
  <c r="I13"/>
  <c r="I8"/>
  <c r="I28" i="65094"/>
  <c r="I16"/>
  <c r="I13"/>
  <c r="I8"/>
  <c r="I32" i="65095"/>
  <c r="I28"/>
  <c r="I16"/>
  <c r="I13"/>
  <c r="I8"/>
  <c r="I28" i="65096"/>
  <c r="I16"/>
  <c r="I13"/>
  <c r="I8"/>
  <c r="I28" i="65097"/>
  <c r="I16"/>
  <c r="I13"/>
  <c r="I8"/>
  <c r="I28" i="65098"/>
  <c r="I16"/>
  <c r="I13"/>
  <c r="I8"/>
  <c r="I28" i="65105"/>
  <c r="I16"/>
  <c r="I13"/>
  <c r="I8"/>
  <c r="I28" i="16"/>
  <c r="I16"/>
  <c r="I13"/>
  <c r="I8"/>
  <c r="H33" i="65094" l="1"/>
  <c r="H34" s="1"/>
  <c r="H35" s="1"/>
  <c r="H36" i="65093"/>
  <c r="H37" s="1"/>
  <c r="H38" s="1"/>
  <c r="G105" i="300"/>
  <c r="I52" i="65080"/>
  <c r="G47" i="300"/>
  <c r="H33" i="65067"/>
  <c r="H33" i="65068"/>
  <c r="H34" s="1"/>
  <c r="H35" s="1"/>
  <c r="H33" i="65123"/>
  <c r="H33" i="65099"/>
  <c r="H37" i="65075"/>
  <c r="H38" s="1"/>
  <c r="H39" s="1"/>
  <c r="H33" i="65070"/>
  <c r="H34" i="65071"/>
  <c r="H35" s="1"/>
  <c r="H39" i="65079"/>
  <c r="H40" s="1"/>
  <c r="H41" s="1"/>
  <c r="H33" i="65069"/>
  <c r="H34" s="1"/>
  <c r="H35" s="1"/>
  <c r="H39" i="65077"/>
  <c r="H40" s="1"/>
  <c r="H41" s="1"/>
  <c r="H8" i="16"/>
  <c r="H13"/>
  <c r="H8" i="65105"/>
  <c r="H33" s="1"/>
  <c r="H34" s="1"/>
  <c r="H35" s="1"/>
  <c r="H13"/>
  <c r="H8" i="65098"/>
  <c r="H13"/>
  <c r="H8" i="65097"/>
  <c r="H33" s="1"/>
  <c r="H34" s="1"/>
  <c r="H35" s="1"/>
  <c r="H13"/>
  <c r="H8" i="65096"/>
  <c r="H13"/>
  <c r="H8" i="65095"/>
  <c r="H37" s="1"/>
  <c r="H38" s="1"/>
  <c r="H39" s="1"/>
  <c r="H13"/>
  <c r="H8" i="65089"/>
  <c r="H13"/>
  <c r="H8" i="65088"/>
  <c r="H33" s="1"/>
  <c r="H13"/>
  <c r="H8" i="65087"/>
  <c r="H33" s="1"/>
  <c r="H13"/>
  <c r="H8" i="65086"/>
  <c r="H33" s="1"/>
  <c r="H13"/>
  <c r="H8" i="65085"/>
  <c r="H13"/>
  <c r="H8" i="65084"/>
  <c r="H13"/>
  <c r="H8" i="65083"/>
  <c r="H13"/>
  <c r="H8" i="65122"/>
  <c r="H34" s="1"/>
  <c r="H13"/>
  <c r="H8" i="65081"/>
  <c r="H13"/>
  <c r="H8" i="65082"/>
  <c r="H13"/>
  <c r="H8" i="65080"/>
  <c r="H52" s="1"/>
  <c r="H13"/>
  <c r="H8" i="65078"/>
  <c r="H39" s="1"/>
  <c r="H40" s="1"/>
  <c r="H41" s="1"/>
  <c r="H13"/>
  <c r="H8" i="65115"/>
  <c r="H33" s="1"/>
  <c r="H34" s="1"/>
  <c r="H13"/>
  <c r="H8" i="65100"/>
  <c r="H33" s="1"/>
  <c r="H13"/>
  <c r="H8" i="65074"/>
  <c r="H33" s="1"/>
  <c r="H34" i="65100" s="1"/>
  <c r="H35" i="65115" s="1"/>
  <c r="H13" i="65074"/>
  <c r="F27" i="300"/>
  <c r="F35"/>
  <c r="F34" s="1"/>
  <c r="F38"/>
  <c r="F40"/>
  <c r="J9" i="65089"/>
  <c r="J9" i="65088"/>
  <c r="J9" i="65087"/>
  <c r="J9" i="65086"/>
  <c r="J9" i="65085"/>
  <c r="J9" i="65084"/>
  <c r="J9" i="65083"/>
  <c r="J9" i="65122"/>
  <c r="J12" i="65076"/>
  <c r="J23"/>
  <c r="J9" i="65105"/>
  <c r="J9" i="65098"/>
  <c r="J9" i="65097"/>
  <c r="J9" i="65096"/>
  <c r="J9" i="65095"/>
  <c r="J9" i="65094"/>
  <c r="J9" i="65093"/>
  <c r="J9" i="65081"/>
  <c r="J9" i="65082"/>
  <c r="J9" i="65079"/>
  <c r="J9" i="65078"/>
  <c r="J9" i="65077"/>
  <c r="J9" i="65075"/>
  <c r="J9" i="65115"/>
  <c r="J9" i="65100"/>
  <c r="J9" i="65074"/>
  <c r="J9" i="65071"/>
  <c r="J9" i="65070"/>
  <c r="J9" i="65069"/>
  <c r="J9" i="65068"/>
  <c r="J9" i="65123"/>
  <c r="J9" i="65099"/>
  <c r="J9" i="65067"/>
  <c r="J9" i="65066"/>
  <c r="J9" i="16"/>
  <c r="F47" i="300"/>
  <c r="F87"/>
  <c r="F99"/>
  <c r="F105"/>
  <c r="F18"/>
  <c r="F17" s="1"/>
  <c r="J9" i="65080"/>
  <c r="F22" i="300"/>
  <c r="F21" s="1"/>
  <c r="I33" i="65105"/>
  <c r="I34" s="1"/>
  <c r="I35" s="1"/>
  <c r="I33" i="65098"/>
  <c r="I34" s="1"/>
  <c r="I35" s="1"/>
  <c r="I33" i="65097"/>
  <c r="I34" s="1"/>
  <c r="I35" s="1"/>
  <c r="I33" i="65096"/>
  <c r="I34" s="1"/>
  <c r="I35" s="1"/>
  <c r="I37" i="65095"/>
  <c r="I38" s="1"/>
  <c r="I39" s="1"/>
  <c r="I33" i="65094"/>
  <c r="I34" s="1"/>
  <c r="I35" s="1"/>
  <c r="I36" i="65093"/>
  <c r="I37" s="1"/>
  <c r="I38" s="1"/>
  <c r="I33" i="65089"/>
  <c r="I33" i="65088"/>
  <c r="I33" i="65087"/>
  <c r="I33" i="65086"/>
  <c r="I33" i="65085"/>
  <c r="I33" i="65084"/>
  <c r="I33" i="65083"/>
  <c r="I34" i="65122"/>
  <c r="I33" i="65081"/>
  <c r="I33" i="65082"/>
  <c r="I39" i="65079"/>
  <c r="I40" s="1"/>
  <c r="I41" s="1"/>
  <c r="I39" i="65078"/>
  <c r="I40" s="1"/>
  <c r="I41" s="1"/>
  <c r="I39" i="65077"/>
  <c r="I40" s="1"/>
  <c r="I41" s="1"/>
  <c r="I37" i="65075"/>
  <c r="I38" s="1"/>
  <c r="I39" s="1"/>
  <c r="I33" i="65115"/>
  <c r="I34" s="1"/>
  <c r="I33" i="65100"/>
  <c r="I33" i="65074"/>
  <c r="I34" i="65100" s="1"/>
  <c r="I34" i="65071"/>
  <c r="I35" s="1"/>
  <c r="I33" i="65070"/>
  <c r="I33" i="65069"/>
  <c r="I34" s="1"/>
  <c r="I35" s="1"/>
  <c r="I33" i="65068"/>
  <c r="I34" s="1"/>
  <c r="I35" s="1"/>
  <c r="I33" i="65123"/>
  <c r="I33" i="65099"/>
  <c r="I33" i="65067"/>
  <c r="I36" i="65066"/>
  <c r="G31" i="300"/>
  <c r="I13" i="65065"/>
  <c r="I56" s="1"/>
  <c r="I34" i="65123" s="1"/>
  <c r="H13" i="65065"/>
  <c r="H18"/>
  <c r="G9" i="300"/>
  <c r="G34"/>
  <c r="F9"/>
  <c r="F16"/>
  <c r="G22"/>
  <c r="G21" s="1"/>
  <c r="G70"/>
  <c r="F70"/>
  <c r="I33" i="16"/>
  <c r="I34" s="1"/>
  <c r="I35" s="1"/>
  <c r="G87" i="300"/>
  <c r="G99"/>
  <c r="F31"/>
  <c r="F60"/>
  <c r="F82"/>
  <c r="F94"/>
  <c r="G17"/>
  <c r="G15" s="1"/>
  <c r="G37"/>
  <c r="G60"/>
  <c r="G82"/>
  <c r="G94"/>
  <c r="H50" i="65076"/>
  <c r="H51" s="1"/>
  <c r="H52" s="1"/>
  <c r="H36" i="65066"/>
  <c r="I50" i="65076"/>
  <c r="I51" s="1"/>
  <c r="I52" s="1"/>
  <c r="I35" i="65122" l="1"/>
  <c r="I35" i="65115"/>
  <c r="F37" i="300"/>
  <c r="I34" i="65089"/>
  <c r="I35" s="1"/>
  <c r="H33" i="16"/>
  <c r="H34" s="1"/>
  <c r="H35" s="1"/>
  <c r="H33" i="65098"/>
  <c r="H34" s="1"/>
  <c r="H35" s="1"/>
  <c r="F15" i="300"/>
  <c r="H33" i="65096"/>
  <c r="H34" s="1"/>
  <c r="H35" s="1"/>
  <c r="H33" i="65089"/>
  <c r="H33" i="65085"/>
  <c r="H33" i="65084"/>
  <c r="H33" i="65083"/>
  <c r="H33" i="65081"/>
  <c r="H35" i="65122" s="1"/>
  <c r="H33" i="65082"/>
  <c r="F24" i="300"/>
  <c r="H56" i="65065"/>
  <c r="G46" i="300"/>
  <c r="G24"/>
  <c r="F46"/>
  <c r="G111"/>
  <c r="F7"/>
  <c r="E154" i="65139"/>
  <c r="F154" s="1"/>
  <c r="H34" i="65089" l="1"/>
  <c r="H35" s="1"/>
  <c r="G7" i="300"/>
  <c r="F111"/>
  <c r="H34" i="65123"/>
  <c r="E12" i="65139"/>
  <c r="F12" s="1"/>
  <c r="E7"/>
  <c r="F7" s="1"/>
  <c r="H64" i="300"/>
  <c r="H65"/>
  <c r="H57"/>
  <c r="H58"/>
  <c r="J28" i="65077"/>
  <c r="H18" i="300"/>
  <c r="H19"/>
  <c r="H22"/>
  <c r="H25"/>
  <c r="H26"/>
  <c r="H27"/>
  <c r="H28"/>
  <c r="H29"/>
  <c r="H30"/>
  <c r="H32"/>
  <c r="H35"/>
  <c r="H38"/>
  <c r="H42"/>
  <c r="H100"/>
  <c r="H101"/>
  <c r="E198" i="65139"/>
  <c r="E197" s="1"/>
  <c r="E181"/>
  <c r="F181" s="1"/>
  <c r="E136"/>
  <c r="F136" s="1"/>
  <c r="E92"/>
  <c r="F92" s="1"/>
  <c r="E47"/>
  <c r="F47" s="1"/>
  <c r="E170"/>
  <c r="F170" s="1"/>
  <c r="H78" i="300"/>
  <c r="H81"/>
  <c r="J28" i="65095"/>
  <c r="H17" i="300" l="1"/>
  <c r="H35" i="65123"/>
  <c r="I35" l="1"/>
  <c r="J28" i="65093" l="1"/>
  <c r="J28" i="65079"/>
  <c r="J28" i="65067"/>
  <c r="H107" i="300" l="1"/>
  <c r="H108"/>
  <c r="J45" i="65076"/>
  <c r="J13" i="65094" l="1"/>
  <c r="J32" i="65095"/>
  <c r="J31" i="65093"/>
  <c r="J30" i="65080"/>
  <c r="J29" i="65078"/>
  <c r="J34" i="65077"/>
  <c r="J32" i="65076"/>
  <c r="J29" i="65075"/>
  <c r="J32"/>
  <c r="J28" i="65066"/>
  <c r="D34" i="304" l="1"/>
  <c r="H44" i="300"/>
  <c r="J16" i="65122"/>
  <c r="H43" i="300"/>
  <c r="J16" i="65075"/>
  <c r="J8" i="65080"/>
  <c r="E210" i="65139"/>
  <c r="E123"/>
  <c r="J28" i="65085"/>
  <c r="E202" i="65139"/>
  <c r="E168"/>
  <c r="E161"/>
  <c r="F161" s="1"/>
  <c r="J13" i="65098"/>
  <c r="J8"/>
  <c r="J13" i="65096"/>
  <c r="J8"/>
  <c r="J13" i="65071"/>
  <c r="J8"/>
  <c r="J13" i="65105"/>
  <c r="J13" i="65097"/>
  <c r="J8"/>
  <c r="J13" i="65095"/>
  <c r="J8"/>
  <c r="J8" i="65094"/>
  <c r="J13" i="65093"/>
  <c r="J8"/>
  <c r="J13" i="65089"/>
  <c r="J8"/>
  <c r="J13" i="65088"/>
  <c r="J8"/>
  <c r="J13" i="65087"/>
  <c r="J8"/>
  <c r="J13" i="65086"/>
  <c r="J8"/>
  <c r="J13" i="65085"/>
  <c r="J8"/>
  <c r="J13" i="65084"/>
  <c r="J8"/>
  <c r="J13" i="65083"/>
  <c r="J8"/>
  <c r="J13" i="65122"/>
  <c r="J8"/>
  <c r="J13" i="65081"/>
  <c r="J8"/>
  <c r="J13" i="65082"/>
  <c r="J8"/>
  <c r="J13" i="65080"/>
  <c r="J13" i="65079"/>
  <c r="J8"/>
  <c r="J13" i="65078"/>
  <c r="J8"/>
  <c r="J13" i="65077"/>
  <c r="J8"/>
  <c r="J16" i="65076"/>
  <c r="J11"/>
  <c r="J13" i="65075"/>
  <c r="J8"/>
  <c r="J13" i="65115"/>
  <c r="J8"/>
  <c r="J13" i="65100"/>
  <c r="J8"/>
  <c r="J13" i="65074"/>
  <c r="J8"/>
  <c r="J13" i="65070"/>
  <c r="J8"/>
  <c r="J13" i="65069"/>
  <c r="J8"/>
  <c r="J13" i="65068"/>
  <c r="J8"/>
  <c r="J13" i="65123"/>
  <c r="J8"/>
  <c r="J13" i="65099"/>
  <c r="J8"/>
  <c r="J13" i="65067"/>
  <c r="J8"/>
  <c r="J13" i="65066"/>
  <c r="J8"/>
  <c r="J18" i="65065"/>
  <c r="J13"/>
  <c r="J13" i="16"/>
  <c r="J8"/>
  <c r="E142" i="65139"/>
  <c r="E129"/>
  <c r="F129" s="1"/>
  <c r="E120"/>
  <c r="F120" s="1"/>
  <c r="E118"/>
  <c r="F118" s="1"/>
  <c r="E116"/>
  <c r="F116" s="1"/>
  <c r="E113"/>
  <c r="F113" s="1"/>
  <c r="E108"/>
  <c r="F108" s="1"/>
  <c r="E98"/>
  <c r="E87"/>
  <c r="E83"/>
  <c r="F83" s="1"/>
  <c r="E79"/>
  <c r="E74"/>
  <c r="F74" s="1"/>
  <c r="E72"/>
  <c r="F72" s="1"/>
  <c r="E69"/>
  <c r="F69" s="1"/>
  <c r="E62"/>
  <c r="F62" s="1"/>
  <c r="E59"/>
  <c r="F59" s="1"/>
  <c r="E52"/>
  <c r="E46"/>
  <c r="F46" s="1"/>
  <c r="E38"/>
  <c r="F38" s="1"/>
  <c r="E35"/>
  <c r="F35" s="1"/>
  <c r="E33"/>
  <c r="F33" s="1"/>
  <c r="E28"/>
  <c r="F28" s="1"/>
  <c r="E20"/>
  <c r="E16"/>
  <c r="G72" i="65137"/>
  <c r="G64"/>
  <c r="E43" i="65125"/>
  <c r="F43"/>
  <c r="G10" i="65137"/>
  <c r="G12"/>
  <c r="G13"/>
  <c r="G14"/>
  <c r="G15"/>
  <c r="G16"/>
  <c r="F17"/>
  <c r="G17"/>
  <c r="G18"/>
  <c r="G19"/>
  <c r="G20"/>
  <c r="G21"/>
  <c r="G22"/>
  <c r="G27"/>
  <c r="G28"/>
  <c r="G31"/>
  <c r="G33"/>
  <c r="G34"/>
  <c r="G35"/>
  <c r="G36"/>
  <c r="G37"/>
  <c r="G38"/>
  <c r="F40"/>
  <c r="G40"/>
  <c r="G41"/>
  <c r="G42"/>
  <c r="G43"/>
  <c r="G44"/>
  <c r="G45"/>
  <c r="G46"/>
  <c r="F47"/>
  <c r="G47"/>
  <c r="G48"/>
  <c r="G49"/>
  <c r="G50"/>
  <c r="G51"/>
  <c r="G52"/>
  <c r="G53"/>
  <c r="G54"/>
  <c r="G55"/>
  <c r="G56"/>
  <c r="G57"/>
  <c r="G58"/>
  <c r="G59"/>
  <c r="G60"/>
  <c r="G62"/>
  <c r="G63"/>
  <c r="G66"/>
  <c r="G67"/>
  <c r="G71"/>
  <c r="G73"/>
  <c r="G74"/>
  <c r="G75"/>
  <c r="G78"/>
  <c r="G79"/>
  <c r="G80"/>
  <c r="G81"/>
  <c r="G82"/>
  <c r="G83"/>
  <c r="G84"/>
  <c r="G85"/>
  <c r="J16" i="65105"/>
  <c r="J28"/>
  <c r="J16" i="65098"/>
  <c r="J28"/>
  <c r="J16" i="65097"/>
  <c r="J28"/>
  <c r="J16" i="65096"/>
  <c r="J28"/>
  <c r="J16" i="65095"/>
  <c r="J16" i="65094"/>
  <c r="J28"/>
  <c r="J16" i="65093"/>
  <c r="J16" i="65089"/>
  <c r="J28"/>
  <c r="J16" i="65088"/>
  <c r="J28"/>
  <c r="J16" i="65087"/>
  <c r="J28"/>
  <c r="J16" i="65086"/>
  <c r="J28"/>
  <c r="J16" i="65085"/>
  <c r="J16" i="65084"/>
  <c r="J28"/>
  <c r="J16" i="65083"/>
  <c r="J28"/>
  <c r="J29" i="65122"/>
  <c r="J16" i="65081"/>
  <c r="J28"/>
  <c r="J16" i="65082"/>
  <c r="J28"/>
  <c r="J16" i="65080"/>
  <c r="J41"/>
  <c r="J44"/>
  <c r="J48"/>
  <c r="J16" i="65079"/>
  <c r="J34"/>
  <c r="J16" i="65078"/>
  <c r="J33"/>
  <c r="J16" i="65077"/>
  <c r="J8" i="65076"/>
  <c r="J19"/>
  <c r="J37"/>
  <c r="J41"/>
  <c r="J16" i="65115"/>
  <c r="J28"/>
  <c r="J16" i="65100"/>
  <c r="J28"/>
  <c r="J16" i="65074"/>
  <c r="J16" i="65071"/>
  <c r="J29"/>
  <c r="J16" i="65070"/>
  <c r="J28"/>
  <c r="J16" i="65069"/>
  <c r="J28"/>
  <c r="J16" i="65068"/>
  <c r="J28"/>
  <c r="J16" i="65123"/>
  <c r="J28"/>
  <c r="J16" i="65099"/>
  <c r="J28"/>
  <c r="J16" i="65067"/>
  <c r="J16" i="65066"/>
  <c r="J31"/>
  <c r="J8" i="65065"/>
  <c r="J21"/>
  <c r="J34"/>
  <c r="J47"/>
  <c r="J50"/>
  <c r="J16" i="16"/>
  <c r="J28"/>
  <c r="H10" i="300"/>
  <c r="H11"/>
  <c r="H12"/>
  <c r="H13"/>
  <c r="H33"/>
  <c r="H36"/>
  <c r="H39"/>
  <c r="H40"/>
  <c r="H41"/>
  <c r="H48"/>
  <c r="H49"/>
  <c r="H50"/>
  <c r="H51"/>
  <c r="H52"/>
  <c r="H53"/>
  <c r="H54"/>
  <c r="H55"/>
  <c r="H56"/>
  <c r="H59"/>
  <c r="H61"/>
  <c r="H62"/>
  <c r="H63"/>
  <c r="H66"/>
  <c r="H67"/>
  <c r="H68"/>
  <c r="H69"/>
  <c r="H71"/>
  <c r="H72"/>
  <c r="H73"/>
  <c r="H74"/>
  <c r="H75"/>
  <c r="H76"/>
  <c r="H77"/>
  <c r="H79"/>
  <c r="H80"/>
  <c r="H83"/>
  <c r="H84"/>
  <c r="H85"/>
  <c r="H86"/>
  <c r="H88"/>
  <c r="H89"/>
  <c r="H95"/>
  <c r="H96"/>
  <c r="H97"/>
  <c r="H102"/>
  <c r="H103"/>
  <c r="H106"/>
  <c r="E34" i="304"/>
  <c r="F34"/>
  <c r="C41" i="65125"/>
  <c r="C38"/>
  <c r="C36"/>
  <c r="C35"/>
  <c r="C31"/>
  <c r="C29"/>
  <c r="C27"/>
  <c r="C26"/>
  <c r="C23"/>
  <c r="C20"/>
  <c r="C18"/>
  <c r="C16"/>
  <c r="C14"/>
  <c r="C13"/>
  <c r="C12"/>
  <c r="G65" i="65137"/>
  <c r="J33" i="65084"/>
  <c r="L21" i="65124"/>
  <c r="J33" i="65074"/>
  <c r="J33" i="65123"/>
  <c r="E6" i="65139"/>
  <c r="F6" s="1"/>
  <c r="E115"/>
  <c r="F115" s="1"/>
  <c r="J33" i="65068"/>
  <c r="J39" i="65078"/>
  <c r="J33" i="65087"/>
  <c r="J33" i="65100"/>
  <c r="J33" i="65086"/>
  <c r="J33" i="65089"/>
  <c r="J33" i="65085"/>
  <c r="J33" i="65082"/>
  <c r="C15" i="65125"/>
  <c r="J33" i="65070"/>
  <c r="J33" i="65069"/>
  <c r="J33" i="65115"/>
  <c r="J39" i="65077"/>
  <c r="J33" i="65083"/>
  <c r="C8" i="65125"/>
  <c r="C17"/>
  <c r="C21"/>
  <c r="J50" i="65076"/>
  <c r="C32" i="65125"/>
  <c r="C39"/>
  <c r="C10"/>
  <c r="C22"/>
  <c r="I41" i="65124"/>
  <c r="C28" i="65125"/>
  <c r="C42"/>
  <c r="J34" i="65122"/>
  <c r="J39" i="65079"/>
  <c r="J56" i="65065"/>
  <c r="C25" i="65125"/>
  <c r="C24"/>
  <c r="C40"/>
  <c r="J33" i="65088"/>
  <c r="J37" i="65095"/>
  <c r="J34" i="65071"/>
  <c r="J33" i="65098"/>
  <c r="C37" i="65125"/>
  <c r="J36" i="65093"/>
  <c r="E180" i="65139"/>
  <c r="E152"/>
  <c r="J37" i="65075"/>
  <c r="E187" i="65139"/>
  <c r="F187" s="1"/>
  <c r="H82" i="300"/>
  <c r="J33" i="65081"/>
  <c r="E19" i="304" l="1"/>
  <c r="F202" i="65139"/>
  <c r="E179"/>
  <c r="F179" s="1"/>
  <c r="F180"/>
  <c r="E151"/>
  <c r="F151" s="1"/>
  <c r="F152"/>
  <c r="E141"/>
  <c r="F141" s="1"/>
  <c r="F142"/>
  <c r="E122"/>
  <c r="F122" s="1"/>
  <c r="F123"/>
  <c r="E97"/>
  <c r="F97" s="1"/>
  <c r="F98"/>
  <c r="E86"/>
  <c r="F86" s="1"/>
  <c r="F87"/>
  <c r="E77"/>
  <c r="F77" s="1"/>
  <c r="F79"/>
  <c r="E51"/>
  <c r="F51" s="1"/>
  <c r="F52"/>
  <c r="E19"/>
  <c r="F19" s="1"/>
  <c r="F20"/>
  <c r="E15"/>
  <c r="F15" s="1"/>
  <c r="F16"/>
  <c r="H9" i="300"/>
  <c r="H94"/>
  <c r="J34" i="65100"/>
  <c r="J52" i="65080"/>
  <c r="H41" i="65124"/>
  <c r="E58" i="65139"/>
  <c r="F58" s="1"/>
  <c r="E27"/>
  <c r="F27" s="1"/>
  <c r="F61" i="65137"/>
  <c r="G61" s="1"/>
  <c r="E37" i="65139"/>
  <c r="F37" s="1"/>
  <c r="H31" i="300"/>
  <c r="L26" i="65124"/>
  <c r="J34" i="65098"/>
  <c r="C34" i="65125"/>
  <c r="C33"/>
  <c r="C30"/>
  <c r="L25" i="65124"/>
  <c r="L23"/>
  <c r="C19" i="65125"/>
  <c r="J35" i="65071"/>
  <c r="J34" i="65069"/>
  <c r="J34" i="65068"/>
  <c r="C11" i="65125"/>
  <c r="J33" i="65099"/>
  <c r="L8" i="65124"/>
  <c r="G29" i="65137"/>
  <c r="J34" i="65115"/>
  <c r="J38" i="65075"/>
  <c r="H87" i="300"/>
  <c r="G32" i="65137"/>
  <c r="J38" i="65095"/>
  <c r="J40" i="65078"/>
  <c r="J40" i="65077"/>
  <c r="J51" i="65076"/>
  <c r="E174" i="65139"/>
  <c r="F27" i="304"/>
  <c r="H91" i="300"/>
  <c r="H21"/>
  <c r="G24" i="65137"/>
  <c r="H70" i="300"/>
  <c r="L36" i="65124"/>
  <c r="L37"/>
  <c r="L11"/>
  <c r="H105" i="300"/>
  <c r="F36" i="304" s="1"/>
  <c r="L6" i="65124"/>
  <c r="J33" i="65094"/>
  <c r="L35" i="65124"/>
  <c r="L33"/>
  <c r="G70" i="65137"/>
  <c r="H60" i="300"/>
  <c r="H34"/>
  <c r="J40" i="65079"/>
  <c r="H47" i="300"/>
  <c r="L17" i="65124"/>
  <c r="J33" i="65067"/>
  <c r="L5" i="65124"/>
  <c r="E209" i="65139"/>
  <c r="D14" i="304"/>
  <c r="D40" s="1"/>
  <c r="F19"/>
  <c r="J33" i="65096"/>
  <c r="L34" i="65124"/>
  <c r="L32"/>
  <c r="D41"/>
  <c r="J36" i="65066"/>
  <c r="C9" i="65125"/>
  <c r="J33" i="16"/>
  <c r="J33" i="65097"/>
  <c r="L20" i="65124"/>
  <c r="L38"/>
  <c r="L39"/>
  <c r="J35" i="65098"/>
  <c r="G25" i="65137"/>
  <c r="J37" i="65093"/>
  <c r="L31" i="65124"/>
  <c r="L30"/>
  <c r="L29"/>
  <c r="L28"/>
  <c r="J34" i="65089"/>
  <c r="L27" i="65124"/>
  <c r="L24"/>
  <c r="J35" i="65122"/>
  <c r="K35" i="65089" s="1"/>
  <c r="K41" i="65124"/>
  <c r="L22"/>
  <c r="L19"/>
  <c r="L18"/>
  <c r="L16"/>
  <c r="L15"/>
  <c r="L14"/>
  <c r="L13"/>
  <c r="L12"/>
  <c r="E41"/>
  <c r="J35" i="65069"/>
  <c r="L10" i="65124"/>
  <c r="H99" i="300"/>
  <c r="G41" i="65124"/>
  <c r="L7"/>
  <c r="H37" i="300"/>
  <c r="C7" i="65125"/>
  <c r="E178" i="65139"/>
  <c r="F178" s="1"/>
  <c r="E91"/>
  <c r="F91" s="1"/>
  <c r="E76"/>
  <c r="F76" s="1"/>
  <c r="E5"/>
  <c r="D35" i="304"/>
  <c r="E15" l="1"/>
  <c r="F5" i="65139"/>
  <c r="F21" i="304"/>
  <c r="L9" i="65124"/>
  <c r="J41"/>
  <c r="J34" i="16"/>
  <c r="J39" i="65075"/>
  <c r="E208" i="65139"/>
  <c r="E29" i="304" s="1"/>
  <c r="F29" s="1"/>
  <c r="J41" i="65078"/>
  <c r="J35" i="65068"/>
  <c r="D43" i="65125"/>
  <c r="F41" i="65124"/>
  <c r="E173" i="65139"/>
  <c r="F23" i="304"/>
  <c r="J34" i="65097"/>
  <c r="G26" i="65137"/>
  <c r="J34" i="65096"/>
  <c r="J34" i="65094"/>
  <c r="J38" i="65093"/>
  <c r="J35" i="65115"/>
  <c r="D30" i="304"/>
  <c r="D32" s="1"/>
  <c r="F26"/>
  <c r="J41" i="65079"/>
  <c r="J39" i="65095"/>
  <c r="J41" i="65077"/>
  <c r="J52" i="65076"/>
  <c r="E30" i="304"/>
  <c r="C43" i="65125"/>
  <c r="G11" i="65137"/>
  <c r="G69"/>
  <c r="J34" i="65123"/>
  <c r="H46" i="300"/>
  <c r="E71" i="65139"/>
  <c r="F68" i="65137"/>
  <c r="J35" i="65089"/>
  <c r="G76" i="65137"/>
  <c r="H24" i="300"/>
  <c r="E18" i="304"/>
  <c r="F18" s="1"/>
  <c r="F15"/>
  <c r="D37"/>
  <c r="E57" i="65139" l="1"/>
  <c r="F57" s="1"/>
  <c r="F71"/>
  <c r="E148"/>
  <c r="F148" s="1"/>
  <c r="G9" i="65137"/>
  <c r="F8"/>
  <c r="G8" s="1"/>
  <c r="J35" i="16"/>
  <c r="G68" i="65137"/>
  <c r="E32" i="304"/>
  <c r="F32" s="1"/>
  <c r="J35" i="65097"/>
  <c r="F23" i="65137"/>
  <c r="G23" s="1"/>
  <c r="J35" i="65096"/>
  <c r="F30" i="304"/>
  <c r="F31"/>
  <c r="J35" i="65094"/>
  <c r="D20" i="304"/>
  <c r="D28" s="1"/>
  <c r="D33" s="1"/>
  <c r="E35"/>
  <c r="F24"/>
  <c r="F25"/>
  <c r="J35" i="65123"/>
  <c r="E16" i="304" l="1"/>
  <c r="F16" s="1"/>
  <c r="F77" i="65137"/>
  <c r="G86"/>
  <c r="E160" i="65139"/>
  <c r="F160" s="1"/>
  <c r="D41" i="304"/>
  <c r="D42" s="1"/>
  <c r="E37"/>
  <c r="F37" s="1"/>
  <c r="F35"/>
  <c r="D38"/>
  <c r="G77" i="65137" l="1"/>
  <c r="E159" i="65139"/>
  <c r="F159" s="1"/>
  <c r="E158" l="1"/>
  <c r="F158" s="1"/>
  <c r="E150" l="1"/>
  <c r="F150" s="1"/>
  <c r="E206" l="1"/>
  <c r="F206" s="1"/>
  <c r="E17" i="304"/>
  <c r="E215" i="65139" l="1"/>
  <c r="F215" s="1"/>
  <c r="F17" i="304"/>
  <c r="E14"/>
  <c r="F14" l="1"/>
  <c r="E40"/>
  <c r="F40" l="1"/>
  <c r="J8" i="65105"/>
  <c r="C41" i="65124"/>
  <c r="H16" i="300"/>
  <c r="L40" i="65124" l="1"/>
  <c r="L41" s="1"/>
  <c r="J33" i="65105"/>
  <c r="H111" i="300" s="1"/>
  <c r="H15"/>
  <c r="H7" s="1"/>
  <c r="J34" i="65105" l="1"/>
  <c r="F22" i="304"/>
  <c r="J35" i="65105"/>
  <c r="G39" i="65137"/>
  <c r="F30"/>
  <c r="F7" s="1"/>
  <c r="E20" i="304" l="1"/>
  <c r="F20" s="1"/>
  <c r="G30" i="65137"/>
  <c r="G7"/>
  <c r="E41" i="304" l="1"/>
  <c r="F41" s="1"/>
  <c r="E28"/>
  <c r="E33" s="1"/>
  <c r="E42" l="1"/>
  <c r="F28"/>
  <c r="F33"/>
  <c r="E38"/>
  <c r="F42" l="1"/>
  <c r="L43" i="65124"/>
  <c r="F38" i="304"/>
  <c r="L44" i="65124" l="1"/>
</calcChain>
</file>

<file path=xl/sharedStrings.xml><?xml version="1.0" encoding="utf-8"?>
<sst xmlns="http://schemas.openxmlformats.org/spreadsheetml/2006/main" count="2591" uniqueCount="842">
  <si>
    <t>073</t>
  </si>
  <si>
    <t>Bolničke usluge</t>
  </si>
  <si>
    <t>074</t>
  </si>
  <si>
    <t>Usluge zdravstvene zaštite</t>
  </si>
  <si>
    <t>075</t>
  </si>
  <si>
    <t>IiR Zdravstvo</t>
  </si>
  <si>
    <t>076</t>
  </si>
  <si>
    <t>Zdravstvo n. k.</t>
  </si>
  <si>
    <t>08</t>
  </si>
  <si>
    <t>Rekreacija, kultura i religija     (56+….+61)</t>
  </si>
  <si>
    <t>081</t>
  </si>
  <si>
    <t>082</t>
  </si>
  <si>
    <t xml:space="preserve">Usluge kulture </t>
  </si>
  <si>
    <t>083</t>
  </si>
  <si>
    <t>084</t>
  </si>
  <si>
    <t>085</t>
  </si>
  <si>
    <t>IiR Rekreacija, kultura i religija</t>
  </si>
  <si>
    <t>086</t>
  </si>
  <si>
    <t>Rekreacija, kultura i religija n. k.</t>
  </si>
  <si>
    <t>09</t>
  </si>
  <si>
    <t>Obrazovanje         (63+…..+70)</t>
  </si>
  <si>
    <t>091</t>
  </si>
  <si>
    <t>Predškolsko i osnovno obrazovanje</t>
  </si>
  <si>
    <t>092</t>
  </si>
  <si>
    <t>Srednje obrazovanje</t>
  </si>
  <si>
    <t>093</t>
  </si>
  <si>
    <t>Obrazovanje poslije srednje škole koje nije visoko obrazovanje</t>
  </si>
  <si>
    <t>094</t>
  </si>
  <si>
    <t>Visoko obrazovanje</t>
  </si>
  <si>
    <t>095</t>
  </si>
  <si>
    <t>096</t>
  </si>
  <si>
    <t>Pomoćne usluge obrazovanju</t>
  </si>
  <si>
    <t>097</t>
  </si>
  <si>
    <t>IiR Obrazovanje</t>
  </si>
  <si>
    <t>098</t>
  </si>
  <si>
    <t>Obrazovanje n. k.</t>
  </si>
  <si>
    <t>10</t>
  </si>
  <si>
    <t>Socijalna zaštita      (72+…..+80)</t>
  </si>
  <si>
    <t>101</t>
  </si>
  <si>
    <t>Bolest i hendikepiranost</t>
  </si>
  <si>
    <t>102</t>
  </si>
  <si>
    <t>Starost</t>
  </si>
  <si>
    <t>103</t>
  </si>
  <si>
    <t>Nasljednici</t>
  </si>
  <si>
    <t>104</t>
  </si>
  <si>
    <t>105</t>
  </si>
  <si>
    <t>106</t>
  </si>
  <si>
    <t>Stanovanje</t>
  </si>
  <si>
    <t>107</t>
  </si>
  <si>
    <t>Socijalno isključenje n. k.</t>
  </si>
  <si>
    <t>108</t>
  </si>
  <si>
    <t>IiR Socijalna zaštita</t>
  </si>
  <si>
    <t>109</t>
  </si>
  <si>
    <t>Socijalna zaštita n. k.</t>
  </si>
  <si>
    <t>Ukupni rashodi (zbroj funkcija) (2+11+17+24+34+41+48+55+62+71)</t>
  </si>
  <si>
    <t>INDEX
4/3</t>
  </si>
  <si>
    <t xml:space="preserve">IiR Zaštita životne sredine </t>
  </si>
  <si>
    <t xml:space="preserve">Religijske i druge zajedničke usluge </t>
  </si>
  <si>
    <t>Opće javne usluge       (3+…..+10)</t>
  </si>
  <si>
    <t>Izvršni i zakonodavni organi, financijski i fiskalni poslovi, vanjski poslovi</t>
  </si>
  <si>
    <t>Transferi općeg karaktera između različitih razina vlasti</t>
  </si>
  <si>
    <t>Obrana      (12+….+16)</t>
  </si>
  <si>
    <t>Vojna obrana</t>
  </si>
  <si>
    <t>Civilna obrana</t>
  </si>
  <si>
    <t>Inozemna vojna pomoć</t>
  </si>
  <si>
    <t>IiR Obrana</t>
  </si>
  <si>
    <t>Obrana n. k.</t>
  </si>
  <si>
    <t>Promet</t>
  </si>
  <si>
    <t>Zaštita raznovrsnosti flore i faune i zaštita okoliša</t>
  </si>
  <si>
    <t>Vodoopskrba</t>
  </si>
  <si>
    <t>Izvanbolničke usluge</t>
  </si>
  <si>
    <t>Usluge športa i rekreacije</t>
  </si>
  <si>
    <t xml:space="preserve">Usluge emitiranja i izdavaštva </t>
  </si>
  <si>
    <t>Obrazovanje koje nije definirano razinom</t>
  </si>
  <si>
    <t>Obitelj i djeca</t>
  </si>
  <si>
    <t>Neuposlenost</t>
  </si>
  <si>
    <t>I - PRIHODI, PRIMICI I FINANCIRANJE</t>
  </si>
  <si>
    <t xml:space="preserve">II - RASHODI I IZDACI  </t>
  </si>
  <si>
    <t>Ministarstvo
(razdjel)</t>
  </si>
  <si>
    <t>Proračunska
institucija</t>
  </si>
  <si>
    <t>OPIS</t>
  </si>
  <si>
    <t>01</t>
  </si>
  <si>
    <t>0001</t>
  </si>
  <si>
    <t xml:space="preserve"> Doprinosi poslodavca</t>
  </si>
  <si>
    <t xml:space="preserve"> Putni troškovi</t>
  </si>
  <si>
    <t xml:space="preserve"> Izdaci za energiju</t>
  </si>
  <si>
    <t xml:space="preserve"> Izdaci za usluge prijevoza i goriva</t>
  </si>
  <si>
    <t xml:space="preserve"> Izdaci za tekuće održavanje</t>
  </si>
  <si>
    <t xml:space="preserve"> Tekuće održavanje cesta</t>
  </si>
  <si>
    <t xml:space="preserve"> Kapitalni grantovi</t>
  </si>
  <si>
    <t xml:space="preserve"> Izdaci za nabavku stalnih sredstava</t>
  </si>
  <si>
    <t xml:space="preserve"> Nabavka građevina</t>
  </si>
  <si>
    <t xml:space="preserve"> Nabavka opreme</t>
  </si>
  <si>
    <t xml:space="preserve"> Ukupan broj zaposlenih:</t>
  </si>
  <si>
    <t xml:space="preserve"> Ukupno za proračunsku instituciju:</t>
  </si>
  <si>
    <t xml:space="preserve"> Ukupno za ministarstvo (razdjel):</t>
  </si>
  <si>
    <t xml:space="preserve"> Grantovi političkim strankama</t>
  </si>
  <si>
    <t xml:space="preserve"> Tekuća pričuva Vlade</t>
  </si>
  <si>
    <t xml:space="preserve"> Tekuća pričuva predsjednika Vlade</t>
  </si>
  <si>
    <t xml:space="preserve"> Grantovi za povratak raseljenih osoba</t>
  </si>
  <si>
    <t xml:space="preserve"> Grantovi za šport i kulturu</t>
  </si>
  <si>
    <t xml:space="preserve"> Grantovi za informiranje</t>
  </si>
  <si>
    <t xml:space="preserve"> Grantovi za financiranje vjerskih zajednica</t>
  </si>
  <si>
    <t>616000</t>
  </si>
  <si>
    <t xml:space="preserve"> Rekonstrukcija i investicijsko održavanje</t>
  </si>
  <si>
    <t xml:space="preserve"> Grantovi za zdravstvene i socijalne potrebe</t>
  </si>
  <si>
    <t>614200</t>
  </si>
  <si>
    <t>614300</t>
  </si>
  <si>
    <t>614100</t>
  </si>
  <si>
    <t xml:space="preserve"> Tekuća pričuva ministra financija</t>
  </si>
  <si>
    <t>Potrošačka
jedinica</t>
  </si>
  <si>
    <t xml:space="preserve"> Ostali grantovi-povrat i drugo</t>
  </si>
  <si>
    <t xml:space="preserve"> Isplate stipendija</t>
  </si>
  <si>
    <t xml:space="preserve"> Ukupno za potrošačku jedinicu:</t>
  </si>
  <si>
    <t xml:space="preserve"> Grantovi za branitelje i stradalnike dom. rata</t>
  </si>
  <si>
    <t xml:space="preserve"> Grant za zaštitu od prirodnih i drugih nesreća</t>
  </si>
  <si>
    <t>SKUPŠTINA ŽUPANIJE POSAVSKE</t>
  </si>
  <si>
    <t>0002</t>
  </si>
  <si>
    <t>VLADA ŽUPANIJE POSAVSKE</t>
  </si>
  <si>
    <t>11</t>
  </si>
  <si>
    <t xml:space="preserve"> Rashodi - Tekuća pričuva</t>
  </si>
  <si>
    <t xml:space="preserve"> Tekuća pričuva zamjenika pred. Vlade</t>
  </si>
  <si>
    <t>URED ZA RASELJENE</t>
  </si>
  <si>
    <t>URED ZA ZAKONODAVSTVO</t>
  </si>
  <si>
    <t>0003</t>
  </si>
  <si>
    <t>0004</t>
  </si>
  <si>
    <t>ZAJEDNIČKA SLUŽBA VLADE</t>
  </si>
  <si>
    <t>12</t>
  </si>
  <si>
    <t>MINISTARSTVO UNUTARNJIH POSLOVA ŽUPANIJE POSAVSKE</t>
  </si>
  <si>
    <t>13</t>
  </si>
  <si>
    <t>MINISTARSTVO PRAVOSUĐA I UPRAVE</t>
  </si>
  <si>
    <t>14</t>
  </si>
  <si>
    <t>02</t>
  </si>
  <si>
    <t>05</t>
  </si>
  <si>
    <t>15</t>
  </si>
  <si>
    <t>16</t>
  </si>
  <si>
    <t>MINISTARSTVO FINANCIJA</t>
  </si>
  <si>
    <t>MINISTARSTVO ZDRAVSTVA, RADA I SOCIJALNE POLITIKE</t>
  </si>
  <si>
    <t>17</t>
  </si>
  <si>
    <t>18</t>
  </si>
  <si>
    <t>MINISTARSTVO POLJOPRIVREDE, VODOPRIVREDE I ŠUMARSTVA</t>
  </si>
  <si>
    <t>19</t>
  </si>
  <si>
    <t>MINISTARSTVO PROSVJETE, ZNANOSTI, KULTURE I ŠPORTA</t>
  </si>
  <si>
    <t>20</t>
  </si>
  <si>
    <t>MINISTARSTVO PROSVJETE - OSNOVNA ŠKOLA ORAŠJE</t>
  </si>
  <si>
    <t>03</t>
  </si>
  <si>
    <t>0005</t>
  </si>
  <si>
    <t>0006</t>
  </si>
  <si>
    <t>0007</t>
  </si>
  <si>
    <t>21</t>
  </si>
  <si>
    <t>22</t>
  </si>
  <si>
    <t>AGENCIJA ZA PRIVATIZACIJU</t>
  </si>
  <si>
    <t>UPRAVA ZA CIVILNU ZAŠTITU ŽUPANIJE POSAVSKE</t>
  </si>
  <si>
    <t>23</t>
  </si>
  <si>
    <t>KANTONALNI SUD ODŽAK</t>
  </si>
  <si>
    <t>24</t>
  </si>
  <si>
    <t>26</t>
  </si>
  <si>
    <t>27</t>
  </si>
  <si>
    <t>KANTONALNO TUŽITELJSTVO</t>
  </si>
  <si>
    <t xml:space="preserve"> UKUPNI IZDACI </t>
  </si>
  <si>
    <t>SLUŽBA ZA ODNOSE S JAVNOŠĆU</t>
  </si>
  <si>
    <t xml:space="preserve"> Grantovi za šumarstvo</t>
  </si>
  <si>
    <t xml:space="preserve"> Doprinosi poslodavca i ostali doprinosi</t>
  </si>
  <si>
    <t xml:space="preserve"> Plaće i naknade troškova zaposlenih</t>
  </si>
  <si>
    <t xml:space="preserve"> Izdaci za materijal, sitan inv. i usluge</t>
  </si>
  <si>
    <t xml:space="preserve"> Nabavka materijala i sitnog inventara</t>
  </si>
  <si>
    <t xml:space="preserve"> Izdaci osiguranja, bank. usluga i usluga p.p.</t>
  </si>
  <si>
    <t xml:space="preserve"> Ugovorene i druge posebne usluge</t>
  </si>
  <si>
    <t>MINISTARSTVO PROSVJETE - SREDNJA ŠKOLA PERE ZEČEVIĆA ODŽAK</t>
  </si>
  <si>
    <t>MINISTARSTVO PROSVJETE - OSNOVNA ŠKOLA VLADIMIRA NAZORA ODŽAK</t>
  </si>
  <si>
    <t>MINISTARSTVO PROSVJETE - OSNOVNA ŠKOLA RUĐERA BOŠKOVIĆA DONJA MAHALA</t>
  </si>
  <si>
    <t>MINISTARSTVO PROSVJETE - OSNOVNA ŠKOLA FRA ILIJE STARČEVIĆA TOLISA</t>
  </si>
  <si>
    <t>MINISTARSTVO PROSVJETE - OSNOVNA ŠKOLA STJEPANA RADIĆA OŠTRA LUKA-BOK</t>
  </si>
  <si>
    <t>MINISTARSTVO PROSVJETE - OSNOVNA ŠKOLA A.G. MATOŠA VIDOVICE</t>
  </si>
  <si>
    <t>MINISTARSTVO PROSVJETE - OSNOVNA ŠKOLA BRAĆE RADIĆA DOMALJEVAC</t>
  </si>
  <si>
    <t xml:space="preserve"> </t>
  </si>
  <si>
    <t xml:space="preserve"> Grant za zaštitu okoliša</t>
  </si>
  <si>
    <t>MINISTARSTVO GOSPODARSTVA I PROSTORNOG UREĐENJA</t>
  </si>
  <si>
    <t>MINISTARSTVO PROMETA, VEZA, TURIZMA I ZAŠTITE OKOLIŠA</t>
  </si>
  <si>
    <t>MINISTARSTVO BRANITELJA</t>
  </si>
  <si>
    <t xml:space="preserve"> Vozački ispiti-vlastiti prihodi</t>
  </si>
  <si>
    <t>28</t>
  </si>
  <si>
    <t>ŽUPANIJSKA UPRAVA ZA INSPEKCIJSKE POSLOVE</t>
  </si>
  <si>
    <t>I PRIHODI OD POREZA</t>
  </si>
  <si>
    <t>Ekonomski kod</t>
  </si>
  <si>
    <t xml:space="preserve"> Otplate domaćeg pozajmljivanja</t>
  </si>
  <si>
    <t xml:space="preserve"> Izdaci za negativne tečajne razlike</t>
  </si>
  <si>
    <t>II NEPOREZNI PRIHODI</t>
  </si>
  <si>
    <t>1.Porez na dobit pojedinaca i poduzeća</t>
  </si>
  <si>
    <t>3.Porez na imovinu</t>
  </si>
  <si>
    <t>5.Porez na dohodak</t>
  </si>
  <si>
    <t>6.Prihodi od neizravnih poreza</t>
  </si>
  <si>
    <t>7.Ostali porezi</t>
  </si>
  <si>
    <t>3.Novčane kazne</t>
  </si>
  <si>
    <t xml:space="preserve"> Kamate na domaće pozajmljivanje-OPEC fond</t>
  </si>
  <si>
    <t xml:space="preserve"> MINISTARSTVO PRAVOSUĐA I UPRAVE - OPĆINSKI SUD ORAŠJE</t>
  </si>
  <si>
    <t>MINISTARSTVO PRAVOSUĐA I UPRAVE - ZAVOD ZA PRUŽANJE PRAVNE POMOĆI</t>
  </si>
  <si>
    <t>06</t>
  </si>
  <si>
    <t xml:space="preserve"> Bruto plaće i naknade plaća</t>
  </si>
  <si>
    <t xml:space="preserve"> Naknade troškova zaposlenih</t>
  </si>
  <si>
    <t xml:space="preserve"> Izdaci za komunikaciju i komunalne usluge</t>
  </si>
  <si>
    <t xml:space="preserve"> Unajmljivanje imovine, opreme i nemat.imovine</t>
  </si>
  <si>
    <t xml:space="preserve"> Tekući grantovi i drugi tekući rashodi</t>
  </si>
  <si>
    <t xml:space="preserve"> Izdaci za kamate </t>
  </si>
  <si>
    <t xml:space="preserve"> Izdaci za otplate dugova</t>
  </si>
  <si>
    <t xml:space="preserve"> Izdaci za kamate</t>
  </si>
  <si>
    <t>614500</t>
  </si>
  <si>
    <t xml:space="preserve"> Agencija za državnu službu ŽP</t>
  </si>
  <si>
    <t>615100</t>
  </si>
  <si>
    <t>1.Prihodi od poduzetničkih aktivnosti i imovine i prihodi od pozitivnih tečajnih razlika</t>
  </si>
  <si>
    <t xml:space="preserve"> Kamate na domaće pozajmljivanje-Koreja</t>
  </si>
  <si>
    <t>Izdaci za otplate dugova</t>
  </si>
  <si>
    <t xml:space="preserve"> Kamate na domaće pozajmljivanje-OPEC</t>
  </si>
  <si>
    <t xml:space="preserve"> Otplate domaćeg pozajmljivanja - OPEC</t>
  </si>
  <si>
    <t xml:space="preserve"> Kamate na domaće pozajmljivanje-Austrija</t>
  </si>
  <si>
    <t xml:space="preserve"> Grant za razvoj turizma</t>
  </si>
  <si>
    <t>MINISTARSTVO PRAVOSUĐA I UPRAVE - OPĆINSKO PRAVOBRANITELJSTVO ODŽAK</t>
  </si>
  <si>
    <t>MINISTARSTVO PRAVOSUĐA I UPRAVE - OPĆINSKO PRAVOBRANITELJSTVO ORAŠJE</t>
  </si>
  <si>
    <t xml:space="preserve"> Grantovi za financiranje višeg i visokog obrazovanja    
 i Zavoda za školstvo</t>
  </si>
  <si>
    <t xml:space="preserve"> Grant za Crveni križ Županije Posavske</t>
  </si>
  <si>
    <t>ŽUPANIJSKO PRAVOBRANITELJSTVO</t>
  </si>
  <si>
    <t xml:space="preserve"> Grant za Gospodarsku komoru ŽP</t>
  </si>
  <si>
    <t>SADRŽAJ</t>
  </si>
  <si>
    <t>1.</t>
  </si>
  <si>
    <t xml:space="preserve">Opći dio </t>
  </si>
  <si>
    <t>2.</t>
  </si>
  <si>
    <t>Prihodi, primici i financiranje</t>
  </si>
  <si>
    <t>3.</t>
  </si>
  <si>
    <t>4.</t>
  </si>
  <si>
    <t>Posebni dio</t>
  </si>
  <si>
    <t>Skupština Županije Posavske</t>
  </si>
  <si>
    <t>Vlada Županije Posavske</t>
  </si>
  <si>
    <t>Ured za raseljene</t>
  </si>
  <si>
    <t>Ured za zakonodavstvo</t>
  </si>
  <si>
    <t>Služba za odnose s javnošću</t>
  </si>
  <si>
    <t>Zajednička služba Vlade</t>
  </si>
  <si>
    <t>Ministarstvo unutarnjih poslova Županije Posavske</t>
  </si>
  <si>
    <t>Ministarstvo pravosuđa i uprave</t>
  </si>
  <si>
    <t>Ministarstvo pravosuđa i uprave - Općinski sud Orašje</t>
  </si>
  <si>
    <t>Ministarstvo pravosuđa i uprave - Općinsko pravobraniteljstvo Orašje</t>
  </si>
  <si>
    <t>Ministarstvo pravosuđa i uprave - Općinsko pravobraniteljstvo Odžak</t>
  </si>
  <si>
    <t>Ministarstvo pravosuđa i uprave - Zavod za pružanje pravne pomoći</t>
  </si>
  <si>
    <t>Ministarstvo gospodarstva i prostornog uređenja</t>
  </si>
  <si>
    <t>Ministarstvo financija</t>
  </si>
  <si>
    <t>Ministarstvo zdravstva, rada i socijalne politike</t>
  </si>
  <si>
    <t>Ministarstvo prometa, veza, turizma i zaštite okoliša</t>
  </si>
  <si>
    <t>Ministarstvo poljoprivrede, vodoprivrede i šumarstva</t>
  </si>
  <si>
    <t>Ministarstvo prosvjete, znanosti, kulture i športa</t>
  </si>
  <si>
    <t>Stranica</t>
  </si>
  <si>
    <t>Ministarstvo prosvjete - Srednja škola Pere Zečevića Odžak</t>
  </si>
  <si>
    <t>Ministarstvo prosvjete - Osnovna škola Orašje</t>
  </si>
  <si>
    <t>Ministarstvo prosvjete - Osnovna škola Vladimira Nazora Odžak</t>
  </si>
  <si>
    <t>Ministarstvo prosvjete - Osnovna škola Ruđera Boškovića Donja Mahala</t>
  </si>
  <si>
    <t>Ministarstvo prosvjete - Osnovna škola Fra Ilije Starčevića Tolisa</t>
  </si>
  <si>
    <t>Ministarstvo prosvjete - Osnovna škola Stjepana Radića Oštra Luka-Bok</t>
  </si>
  <si>
    <t>Ministarstvo prosvjete - Osnovna škola A.G.Matoša Vidovice</t>
  </si>
  <si>
    <t>Ministarstvo prosvjete - Osnovna škola Braće Radića Domaljevac</t>
  </si>
  <si>
    <t>Ministarstvo branitelja</t>
  </si>
  <si>
    <t>Agencija za privatizaciju</t>
  </si>
  <si>
    <t>Uprava za civilnu zaštitu Županije Posavske</t>
  </si>
  <si>
    <t>Kantonalni sud Odžak</t>
  </si>
  <si>
    <t>Županijsko pravobraniteljstvo</t>
  </si>
  <si>
    <t>Kantonalno tužiteljstvo</t>
  </si>
  <si>
    <t>Županijska uprava za inspekcijske poslove</t>
  </si>
  <si>
    <t>RB</t>
  </si>
  <si>
    <t>5.</t>
  </si>
  <si>
    <t>O P I S</t>
  </si>
  <si>
    <t xml:space="preserve"> Grant za Kuću nade Odžak</t>
  </si>
  <si>
    <t>MINISTARSTVO PROSVJETE - ŠKOLSKI CENTAR FRA MARTINA NEDIĆA ORAŠJE</t>
  </si>
  <si>
    <t>MINISTARSTVO PROSVJETE - SREDNJA STRUKOVNA ŠKOLA ORAŠJE</t>
  </si>
  <si>
    <t>Ministarstvo prosvjete - Školski centar Fra Martina Nedića Orašje</t>
  </si>
  <si>
    <t>Ministarstvo prosvjete - Srednja strukovna škola Orašje</t>
  </si>
  <si>
    <t xml:space="preserve"> Grant za sanaciju šteta uzrokovanih poplavom</t>
  </si>
  <si>
    <t xml:space="preserve"> Grant za Sveučilište u Mostaru</t>
  </si>
  <si>
    <t xml:space="preserve"> Grantovi nižim razinama vlasti</t>
  </si>
  <si>
    <t xml:space="preserve">   Porezi na dobit pojedinaca (zaostale uplate poreza)</t>
  </si>
  <si>
    <t xml:space="preserve">   Porez na dobit od gospodarskih i profesionalnih djelatnosti</t>
  </si>
  <si>
    <t xml:space="preserve">   Porez na prihod od imovine i imovinskih prava</t>
  </si>
  <si>
    <t xml:space="preserve">   Porez na dobit</t>
  </si>
  <si>
    <t xml:space="preserve">   Porez po odbitku</t>
  </si>
  <si>
    <t xml:space="preserve">   Porez na dobit poduzeća</t>
  </si>
  <si>
    <t>2.Porezi na plaću i radnu snagu (zaostale uplate poreza)</t>
  </si>
  <si>
    <t xml:space="preserve">   Porezi na plaću i druga osobna primanja</t>
  </si>
  <si>
    <t xml:space="preserve">   Porezi na dodatna primanja</t>
  </si>
  <si>
    <t xml:space="preserve">   Porez na imovinu od fizičkih osoba</t>
  </si>
  <si>
    <t xml:space="preserve">   Porez na imovinu od pravnih osoba</t>
  </si>
  <si>
    <t xml:space="preserve">   Porez na imovinu za motorna vozila</t>
  </si>
  <si>
    <t xml:space="preserve">   Porez na naslijeđe i darove</t>
  </si>
  <si>
    <t xml:space="preserve">   Porez na promet nepokretnosti - fizičkih osoba</t>
  </si>
  <si>
    <t xml:space="preserve">   Porez na promet nepokretnosti - pravnih osoba</t>
  </si>
  <si>
    <t>4.Domaći porezi na dobra i usluge (zaostale obveze na 
   temelju poreza na promet dobara i usluga)</t>
  </si>
  <si>
    <t xml:space="preserve">   Porez na promet proizvoda (opća stopa od 20%)</t>
  </si>
  <si>
    <t xml:space="preserve">   Kaznena kamata</t>
  </si>
  <si>
    <t xml:space="preserve">   Porez na promet usluga, osim usluga u građevinarstvu</t>
  </si>
  <si>
    <t xml:space="preserve">   Porezi na prodaju dobara i usluga, ukupni promet ili 
   dodanu vrijednost</t>
  </si>
  <si>
    <t xml:space="preserve">   Porez na promet posebnih usluga</t>
  </si>
  <si>
    <t xml:space="preserve">   Porez na dobitke od igara na sreću</t>
  </si>
  <si>
    <t xml:space="preserve">   Ostali porezi na promet proizvoda i usluga</t>
  </si>
  <si>
    <t xml:space="preserve">   Porez na promet osnovnih proizvoda poljoprivrede, ribarstva i 
   proizvoda koji služe za ljudsku prehranu</t>
  </si>
  <si>
    <t xml:space="preserve">   Porez na dohodak</t>
  </si>
  <si>
    <t xml:space="preserve">   Prihodi od poreza na dohodak po konačnom obračunu</t>
  </si>
  <si>
    <t xml:space="preserve">   Prihodi od poreza na dohodak fiz.osoba od nesam.djelatnosti</t>
  </si>
  <si>
    <t xml:space="preserve">   Prihodi od poreza na dohodak fizi.osoba od samost.djelatnosti</t>
  </si>
  <si>
    <t xml:space="preserve">   Prihodi od poreza na dohodak fiz.os.od imovine i imov.prava</t>
  </si>
  <si>
    <t xml:space="preserve">   Prihodi od poreza na dohodak fiz.osoba od ulaganja kapitala</t>
  </si>
  <si>
    <t xml:space="preserve">   Prihodi od poreza na dohodak fizičkih osoba na dobitke od 
   nagradnih igara i igara na sreću</t>
  </si>
  <si>
    <t xml:space="preserve">   Prihodi od poreza na dohodak od dr.samostalnih djelatnosti</t>
  </si>
  <si>
    <t xml:space="preserve">   Prihodi od neizravnih poreza</t>
  </si>
  <si>
    <t xml:space="preserve">   Prihodi od neizravnih poreza koji pripadaju županijama</t>
  </si>
  <si>
    <t xml:space="preserve">   Prihodi od neizravnih poreza koji pripadaju Direkciji cesta</t>
  </si>
  <si>
    <t xml:space="preserve">   Ostali porezi</t>
  </si>
  <si>
    <t xml:space="preserve">   Pos.porez na plaću za zašt.od prir.i dr.nesr.(zaost.obveze)</t>
  </si>
  <si>
    <t xml:space="preserve">   Poseban porez za zaštitu od prirodnih i drugih nesreća po 
   osnovi ugovora o djelu i povr.i privr.poslova (zaostale obveze)</t>
  </si>
  <si>
    <t xml:space="preserve">   Prihodi od nefinanc.jav.poduzeća i financ.jav.institucija</t>
  </si>
  <si>
    <t xml:space="preserve">   Prihodi od davanja prava na eksploataciju prirodnih resursa</t>
  </si>
  <si>
    <t xml:space="preserve">   Ostali prihodi od imovine</t>
  </si>
  <si>
    <t xml:space="preserve">   Prihodi od kamate za depozite u banci</t>
  </si>
  <si>
    <t xml:space="preserve">   Kamata i divid.primljene od pozajmica i udj.u kapitalu</t>
  </si>
  <si>
    <t xml:space="preserve">   Kamate primljene od pozajmica Federaciji</t>
  </si>
  <si>
    <t xml:space="preserve">   Prihodi od pozitivnih tečajnih razlika</t>
  </si>
  <si>
    <t xml:space="preserve">   Administrativne pristojbe</t>
  </si>
  <si>
    <t xml:space="preserve">   Županijske administrativne pristojbe</t>
  </si>
  <si>
    <t xml:space="preserve">   Sudske pristojbe</t>
  </si>
  <si>
    <t xml:space="preserve">   Županijske sudske pristojbe</t>
  </si>
  <si>
    <t xml:space="preserve">   Ostale proračunske naknade</t>
  </si>
  <si>
    <t xml:space="preserve">   Županijske naknade</t>
  </si>
  <si>
    <t xml:space="preserve">   Ostale županijske naknade</t>
  </si>
  <si>
    <t xml:space="preserve">   Naknade za korištenje šuma</t>
  </si>
  <si>
    <t xml:space="preserve">   Naknada za obavljeni tehn.pregl.vozila koja pripada županijama</t>
  </si>
  <si>
    <t xml:space="preserve">   Naknada za opće korisne funkcije šuma</t>
  </si>
  <si>
    <t xml:space="preserve">   Naknada za korištenje državnih šuma</t>
  </si>
  <si>
    <t xml:space="preserve">   Naknada za opće korisne funkc.šuma utvrđene žup.propisima</t>
  </si>
  <si>
    <t xml:space="preserve">   Naknada za obavljanje stručnih poslova u privatnim šumama 
   utvrđena županijskim propisima</t>
  </si>
  <si>
    <t xml:space="preserve">   Naknada za korištenje podataka premjera i katastra</t>
  </si>
  <si>
    <t xml:space="preserve">   Naknada za vršenje usluga iz oblasti premjera i katastra</t>
  </si>
  <si>
    <t xml:space="preserve">   Vodne naknade</t>
  </si>
  <si>
    <t xml:space="preserve">   Posebna vodna naknada za zaštitu od poplava</t>
  </si>
  <si>
    <t xml:space="preserve">   Opća vodna naknada</t>
  </si>
  <si>
    <t xml:space="preserve">   Cestovne naknade</t>
  </si>
  <si>
    <t xml:space="preserve">   Naknada za uporabu cesta za vozila pravnih osoba</t>
  </si>
  <si>
    <t xml:space="preserve">   Naknada za uporabu cesta za vozila građana</t>
  </si>
  <si>
    <t xml:space="preserve">   Naknada za korištenje cestovnog zemljišta</t>
  </si>
  <si>
    <t xml:space="preserve">   Zaostale obveze po osnovi naknada za korištenje šuma</t>
  </si>
  <si>
    <t xml:space="preserve">   Naknada za korištenje općekorisnih funkcija šuma</t>
  </si>
  <si>
    <t xml:space="preserve">   Naknada za zaštitu okoliša</t>
  </si>
  <si>
    <t xml:space="preserve">   Naknada zagađivača okoliša pravnih osoba</t>
  </si>
  <si>
    <t xml:space="preserve">   Prihodi od pružanja javnih usluga</t>
  </si>
  <si>
    <t xml:space="preserve">   Federalna naknada za izvršene veterinarsko-zdravstvene 
   preglede i kontrolu u zemlji</t>
  </si>
  <si>
    <t xml:space="preserve">   Posebna vodna naknada za zaštitu voda za transportna 
   sredstva koja za pogon koriste naftu ili naftne derivate</t>
  </si>
  <si>
    <t xml:space="preserve">   Posebna vodna naknada za zaštitu voda (ispuštanje otpadnih 
   voda, uzgoj ribe, upotrebu umj.đubriva i kemik.za zašt.bilja)</t>
  </si>
  <si>
    <t xml:space="preserve">   Posebna vodna naknada za korištenje površinskih i 
   podzemnih voda za javnu vodoopskrbu</t>
  </si>
  <si>
    <t xml:space="preserve">   Posebne naknade za okoliš koje plaćaju pravne osobe pri 
   svakoj registraciji motornih vozila</t>
  </si>
  <si>
    <t xml:space="preserve">   Posebne naknade za okoliš koje plaćaju fizičke osobe pri 
   svakoj registraciji motornih vozila</t>
  </si>
  <si>
    <t xml:space="preserve">   Posebne naknade za zaštitu od prirodnih i dr.nesreća</t>
  </si>
  <si>
    <t xml:space="preserve">   Naknada za vatrogasne jedinice iz premije osiguranja imovine 
   od požara i prirodnih sila</t>
  </si>
  <si>
    <t xml:space="preserve">   Naknada iz funkcionalne premije osiguranja od 
   autoodgovornosti za vatrogasne jedinice</t>
  </si>
  <si>
    <t xml:space="preserve">   Naknada za zajedničke profesionalne vatrogasne jedinice iz 
   premije osiguranja imovine od požara i prirodnih sila</t>
  </si>
  <si>
    <t xml:space="preserve">   Prihodi od pružanja usluga građanima</t>
  </si>
  <si>
    <t xml:space="preserve">   Prihodi od pružanja usluga pravnim osobama</t>
  </si>
  <si>
    <t xml:space="preserve">   Prihodi od pružanja usluga drugima</t>
  </si>
  <si>
    <t xml:space="preserve">   Prihodi od pružanja usluga drugim razinama vlasti</t>
  </si>
  <si>
    <t xml:space="preserve">   Vlastiti prihodi proračunskih korisnika</t>
  </si>
  <si>
    <t xml:space="preserve">   Neplanirane uplate - prihodi</t>
  </si>
  <si>
    <t xml:space="preserve">   Prihodi od trošk.naplate po osn.pokret.postupka prin.naplate</t>
  </si>
  <si>
    <t xml:space="preserve">   Ostale neplanirane uplate</t>
  </si>
  <si>
    <t xml:space="preserve">   Novčane kazne</t>
  </si>
  <si>
    <t xml:space="preserve">   Novčane kazne po županijskim propisima</t>
  </si>
  <si>
    <t xml:space="preserve">   Ostale kazne</t>
  </si>
  <si>
    <t xml:space="preserve">   Ostali prihodi</t>
  </si>
  <si>
    <t xml:space="preserve">   Novčane kazne za prekršaje koje su registrirane u registru 
   novčanih kazni i troškovi prekršajnog postupka</t>
  </si>
  <si>
    <t>3. Donacije</t>
  </si>
  <si>
    <t xml:space="preserve">   Donacije</t>
  </si>
  <si>
    <t xml:space="preserve">   Domaće donacije</t>
  </si>
  <si>
    <t xml:space="preserve">   Donacije iz inozemstva</t>
  </si>
  <si>
    <t>V  PRIHODI PO OSNOVI ZAOSTALIH OBVEZA</t>
  </si>
  <si>
    <t xml:space="preserve">   Uplate zaostalih obveza od por.na promet visokotar.proizvoda</t>
  </si>
  <si>
    <t xml:space="preserve">   Uplate zaost.obveza od nakn.Za puteve iz cijene naft.derivata</t>
  </si>
  <si>
    <t>VI KAPITALNI PRIMICI</t>
  </si>
  <si>
    <t xml:space="preserve">   Kapitalni primici od prodaje stalnih sredstava</t>
  </si>
  <si>
    <t>1.Kapitalni primici od prodaje stalnih sredstava</t>
  </si>
  <si>
    <t xml:space="preserve">   Porez na imovinu</t>
  </si>
  <si>
    <t xml:space="preserve">   Porezi na plaće (zaostale uplate poreza)</t>
  </si>
  <si>
    <t xml:space="preserve">2.Naknade i pristojbe i prihodi od pružanja javnih usluga </t>
  </si>
  <si>
    <t xml:space="preserve">   Naknade za korištenje, zaštitu i unapređenje šuma 
   utvrđene županijskim propisima</t>
  </si>
  <si>
    <t xml:space="preserve">   Naknade i pristojbe za veterinarske i sanitarne preglede 
   životinja i biljaka</t>
  </si>
  <si>
    <t xml:space="preserve">       9.1.  Izdaci za otplate dugova</t>
  </si>
  <si>
    <t xml:space="preserve">      17010001 Ministarstvo zdravstva, rada i socijalne politike - 
      Civilne žrtve rata</t>
  </si>
  <si>
    <t xml:space="preserve">      99999999 Riznica ŽP - Proračunska potpora</t>
  </si>
  <si>
    <t>UKUPNO POREZNI I NEPOREZNI PRIHODI (I+II)</t>
  </si>
  <si>
    <t>UKUPNO PRIHODI (I+II+III+IV+V)</t>
  </si>
  <si>
    <t xml:space="preserve">   Naknade za korištenje poljopr.zemljišta u nepoljopr.svrhe</t>
  </si>
  <si>
    <t xml:space="preserve"> Grantovi za poljoprivredu</t>
  </si>
  <si>
    <t xml:space="preserve"> Grantovi za vodoprivredu</t>
  </si>
  <si>
    <t xml:space="preserve"> Grant za uređenje poljoprivrednog zemljišta</t>
  </si>
  <si>
    <t xml:space="preserve"> Transfer za sufinanciranje prijevoza učenika</t>
  </si>
  <si>
    <t>Ministarstvo unutarnjih poslova</t>
  </si>
  <si>
    <t>Proračunski
korisnik</t>
  </si>
  <si>
    <t>Ministarstvo prosvjete, znanosti, kulture i športa - Srednja škola Pere Zečevića Odžak</t>
  </si>
  <si>
    <t>Ministarstvo prosvjete, znanosti, kulture i športa - Školski centar fra Martina Nedića Orašje</t>
  </si>
  <si>
    <t>Ministarstvo prosvjete, znanosti, kulture i športa - Srednja strukovna škola Orašje</t>
  </si>
  <si>
    <t>Ministarstvo prosvjete, znanosti, kulture i športa - Osnovna škola Orašje</t>
  </si>
  <si>
    <t>Ministarstvo prosvjete, znanosti, kulture i športa - Osnovna škola Vladimira Nazora Odžak</t>
  </si>
  <si>
    <t>Ministarstvo prosvjete, znanosti, kulture i športa - Osnovna škola Ruđera Boškovića Donja Mahala</t>
  </si>
  <si>
    <t>Ministarstvo prosvjete, znanosti, kulture i športa - Osnovna škola fra Ilije Starčevića Tolisa</t>
  </si>
  <si>
    <t>Ministarstvo prosvjete, znanosti, kulture i športa - Osnovna škola Stjepana Radića Oštra Luka-Bok</t>
  </si>
  <si>
    <t>Ministarstvo prosvjete, znanosti, kulture i športa - Osnovna škola A.G.Matoša Vidovice</t>
  </si>
  <si>
    <t>Ministarstvo prosvjete, znanosti, kulture i športa - Osnovna škola Braće Radića Domaljevac</t>
  </si>
  <si>
    <t>Bruto plaće
611100</t>
  </si>
  <si>
    <t>Nakn.trošk.zaposlenih
611200</t>
  </si>
  <si>
    <t xml:space="preserve">Tekući grantovi
614000 </t>
  </si>
  <si>
    <t>Kapitalni grantovi
615000</t>
  </si>
  <si>
    <t>Izdaci za kamate
616000</t>
  </si>
  <si>
    <t>Otplate dugova
823000</t>
  </si>
  <si>
    <t>UKUPNO</t>
  </si>
  <si>
    <t>NAZIV</t>
  </si>
  <si>
    <t>Dopr.posl.
612000</t>
  </si>
  <si>
    <t>Mat.trošk.
613000</t>
  </si>
  <si>
    <t>Nab.staln.
sredstava
821000</t>
  </si>
  <si>
    <t>UKUPNO:</t>
  </si>
  <si>
    <t>Tekuća pričuva</t>
  </si>
  <si>
    <t>Proračun</t>
  </si>
  <si>
    <t>Izvor financiranja</t>
  </si>
  <si>
    <t>3=4+5+6</t>
  </si>
  <si>
    <t>1. Primljeni tekući grantovi od inozemnih vlada i 
   međunarodnih organizacija</t>
  </si>
  <si>
    <t xml:space="preserve">   Primljeni tekući grantovi od inoz.vlada i međ.organizacija</t>
  </si>
  <si>
    <t xml:space="preserve">   Primljeni tekući grantovi od međunarodnih organizacija</t>
  </si>
  <si>
    <t>2. Primljeni tekući grantovi od ostalih razina vlasti</t>
  </si>
  <si>
    <t xml:space="preserve">   Primljeni tekući grantovi od ostalih razina vlasti i fondova</t>
  </si>
  <si>
    <t xml:space="preserve">   Primljeni tekući grantovi od ostalih razina vlasti</t>
  </si>
  <si>
    <t xml:space="preserve">   Primljeni tekući grantovi od FBiH</t>
  </si>
  <si>
    <t xml:space="preserve">   Primljeni namjenski grantovi od drugih razina vlasti</t>
  </si>
  <si>
    <t>IV KAPITALNI GRANTOVI</t>
  </si>
  <si>
    <t>1. Primljeni kapitalni grantovi od inozemnih vlada i 
   međunarodnih organizacija</t>
  </si>
  <si>
    <t xml:space="preserve">   Primljeni kapitalni grantovi od inozemnih vlada i 
   međunarodnih organizacija</t>
  </si>
  <si>
    <t xml:space="preserve">   Primljeni kapitalni grantovi od inozemnih vlada</t>
  </si>
  <si>
    <t>2. Kapitalni grantovi od ostalih razina vlasti</t>
  </si>
  <si>
    <t xml:space="preserve">   Kapitalni grantovi od ostalih razina vlasti i fondova</t>
  </si>
  <si>
    <t xml:space="preserve">   Primljeni kapitalni grantovi od Federacije</t>
  </si>
  <si>
    <t>UKUPNO PRIHODI, TEKUĆI I KAPITALNI GRANTOVI I PRIMICI:</t>
  </si>
  <si>
    <t>Rashodi i izdaci</t>
  </si>
  <si>
    <t>Pokriće deficita</t>
  </si>
  <si>
    <t>III TEKUĆI GRANTOVI (GRANTOVI I DONACIJE)</t>
  </si>
  <si>
    <t>Funk. kod</t>
  </si>
  <si>
    <t>Opis</t>
  </si>
  <si>
    <t>011</t>
  </si>
  <si>
    <t>012</t>
  </si>
  <si>
    <t>Strana ekonomska pomoć</t>
  </si>
  <si>
    <t>013</t>
  </si>
  <si>
    <t>Opće usluge</t>
  </si>
  <si>
    <t>014</t>
  </si>
  <si>
    <t>Osnovno istraživanje</t>
  </si>
  <si>
    <t>015</t>
  </si>
  <si>
    <t>IiR Opće javne usluge</t>
  </si>
  <si>
    <t>016</t>
  </si>
  <si>
    <t>Opće javne usluge n. k.</t>
  </si>
  <si>
    <t>017</t>
  </si>
  <si>
    <t xml:space="preserve">Transakcije vezane za javni dug </t>
  </si>
  <si>
    <t>018</t>
  </si>
  <si>
    <t>021</t>
  </si>
  <si>
    <t>022</t>
  </si>
  <si>
    <t>023</t>
  </si>
  <si>
    <t>024</t>
  </si>
  <si>
    <t>025</t>
  </si>
  <si>
    <t>031</t>
  </si>
  <si>
    <t>Policijske usluge</t>
  </si>
  <si>
    <t>032</t>
  </si>
  <si>
    <t>033</t>
  </si>
  <si>
    <t>Sudovi</t>
  </si>
  <si>
    <t>034</t>
  </si>
  <si>
    <t>Zatvori</t>
  </si>
  <si>
    <t>035</t>
  </si>
  <si>
    <t>IiR  Javni red i sigurnost</t>
  </si>
  <si>
    <t>036</t>
  </si>
  <si>
    <t>Javni red i sigurnost n. k.</t>
  </si>
  <si>
    <t>04</t>
  </si>
  <si>
    <t>Ekonomski poslovi    (25+….+33)</t>
  </si>
  <si>
    <t>041</t>
  </si>
  <si>
    <t>Opći ekonomski, komercijalni i poslovi po pitanju rada</t>
  </si>
  <si>
    <t>042</t>
  </si>
  <si>
    <t>Poljoprivreda, šumarstvo, lov i ribolov</t>
  </si>
  <si>
    <t>043</t>
  </si>
  <si>
    <t>Gorivo i energija</t>
  </si>
  <si>
    <t>044</t>
  </si>
  <si>
    <t xml:space="preserve">Rudarstvo, proizvodnja i izgradnja </t>
  </si>
  <si>
    <t>045</t>
  </si>
  <si>
    <t>046</t>
  </si>
  <si>
    <t>Komunikacije</t>
  </si>
  <si>
    <t>047</t>
  </si>
  <si>
    <t>Ostale industrije</t>
  </si>
  <si>
    <t>048</t>
  </si>
  <si>
    <t>IiR Ekonomski poslovi</t>
  </si>
  <si>
    <t>049</t>
  </si>
  <si>
    <t>Ekonomski poslovi n. k.</t>
  </si>
  <si>
    <t>Zaštita životne sredine      (35+…..+40)</t>
  </si>
  <si>
    <t>051</t>
  </si>
  <si>
    <t xml:space="preserve">Upravljanje otpadom </t>
  </si>
  <si>
    <t>052</t>
  </si>
  <si>
    <t>Upravljanje otpadnim vodama</t>
  </si>
  <si>
    <t>053</t>
  </si>
  <si>
    <t>Smanjenje zagađenosti</t>
  </si>
  <si>
    <t>054</t>
  </si>
  <si>
    <t>055</t>
  </si>
  <si>
    <t>056</t>
  </si>
  <si>
    <t>Zaštita životne sredine n. k.</t>
  </si>
  <si>
    <t>Stambeni i zajednički poslovi    (42+….+47)</t>
  </si>
  <si>
    <t>061</t>
  </si>
  <si>
    <t>Stambeni razvoj</t>
  </si>
  <si>
    <t>062</t>
  </si>
  <si>
    <t>Razvoj zajednice</t>
  </si>
  <si>
    <t>063</t>
  </si>
  <si>
    <t>064</t>
  </si>
  <si>
    <t>Ulična rasvjeta</t>
  </si>
  <si>
    <t>065</t>
  </si>
  <si>
    <t>IiR Stambeni i zajednički poslovi</t>
  </si>
  <si>
    <t>066</t>
  </si>
  <si>
    <t>Stambeni i zajednički poslovi n. k.</t>
  </si>
  <si>
    <t>07</t>
  </si>
  <si>
    <t>Zdravstvo    (49+….+54)</t>
  </si>
  <si>
    <t>071</t>
  </si>
  <si>
    <t>Medicinski proizvodi, uređaji i oprema</t>
  </si>
  <si>
    <t>072</t>
  </si>
  <si>
    <t xml:space="preserve"> Nabavka stalnih sredstava u obliku prava</t>
  </si>
  <si>
    <t xml:space="preserve">   Porez na ukupan prihod fizičkih osoba</t>
  </si>
  <si>
    <t xml:space="preserve">   Porez na promet proizvoda (niža stopa)</t>
  </si>
  <si>
    <r>
      <t xml:space="preserve">      99999999 Riznica </t>
    </r>
    <r>
      <rPr>
        <b/>
        <sz val="10"/>
        <color indexed="8"/>
        <rFont val="Calibri"/>
        <family val="2"/>
        <charset val="238"/>
      </rPr>
      <t>(razgraničenja)</t>
    </r>
  </si>
  <si>
    <t xml:space="preserve">   Posebna vodna naknada za vađenje materijala iz vodotoka</t>
  </si>
  <si>
    <t xml:space="preserve">   Ostali povrati</t>
  </si>
  <si>
    <r>
      <t xml:space="preserve">      18010001 Ministarstvo prometa, veza, turizma i zašt.okoliša
      </t>
    </r>
    <r>
      <rPr>
        <sz val="10"/>
        <color indexed="8"/>
        <rFont val="Calibri"/>
        <family val="2"/>
        <charset val="238"/>
      </rPr>
      <t>- GSM licence</t>
    </r>
  </si>
  <si>
    <t xml:space="preserve">       5.1.  Izdaci za nabavku stalnih sredstava</t>
  </si>
  <si>
    <t xml:space="preserve">   Naknada za postavljanje reklamnih panoa</t>
  </si>
  <si>
    <t xml:space="preserve">   Prihodi od mjenice</t>
  </si>
  <si>
    <t xml:space="preserve">      16010001 Ministarstvo financija - Refundacija kamata</t>
  </si>
  <si>
    <t xml:space="preserve">      11010001 Vlada ŽP - Ured za Hrvate izvan RH</t>
  </si>
  <si>
    <t>Minist.prosv., znanosti, kulture i športa - Osnovna škola fra Ilije Starčevića Tolisa</t>
  </si>
  <si>
    <t xml:space="preserve"> Naknade troškova zaposlenih - volonteri ()</t>
  </si>
  <si>
    <t xml:space="preserve"> Ugovorene i druge posebne usluge-volonteri ()</t>
  </si>
  <si>
    <t xml:space="preserve">   Primici od prodaje zemljišta</t>
  </si>
  <si>
    <t xml:space="preserve">   Primici od prodaje prometnih vozila</t>
  </si>
  <si>
    <t xml:space="preserve"> Potpora riznici</t>
  </si>
  <si>
    <t>Namjenski prihodi</t>
  </si>
  <si>
    <t>Grantovi i donacije</t>
  </si>
  <si>
    <t>Minist.prosv., znan., kult.i šp.- Osnovna škola Stjepana Radića Oštra Luka-Bok</t>
  </si>
  <si>
    <t>Minist.prosvj., znanosti, kulture i športa - Osnovna škola A.G.Matoša Vidovice</t>
  </si>
  <si>
    <t>Minist.prosv., znan., kulture i športa - Osnovna škola Braće Radića Domaljevac</t>
  </si>
  <si>
    <t xml:space="preserve">   Primljeni tekući grantovi od inozemnih vlada</t>
  </si>
  <si>
    <t xml:space="preserve">   Primljeni kapitalni grantovi od Države</t>
  </si>
  <si>
    <t>URED ZA RAZVOJ I EUROPSKE INTEGRACIJE ŽUPANIJE POSAVSKE</t>
  </si>
  <si>
    <t xml:space="preserve"> Ugovorene i druge posebne usluge-prostorni plan</t>
  </si>
  <si>
    <t xml:space="preserve"> Ugovorene i druge posebne usluge-Nerda</t>
  </si>
  <si>
    <t xml:space="preserve"> o/č Izdaci za tekuće održavanje</t>
  </si>
  <si>
    <t xml:space="preserve"> o/č Tekuće održavanje cesta</t>
  </si>
  <si>
    <t xml:space="preserve"> o/č Izdaci osiguranja, bank. usluga i usluga p.p.</t>
  </si>
  <si>
    <t xml:space="preserve"> o/č Izdaci za negativne tečajne razlike</t>
  </si>
  <si>
    <t xml:space="preserve"> o/č Ugovorene i druge posebne usluge</t>
  </si>
  <si>
    <t xml:space="preserve"> o/č Agencija za državnu službu</t>
  </si>
  <si>
    <t xml:space="preserve"> o/č Potpora riznici</t>
  </si>
  <si>
    <t xml:space="preserve"> o/č Vozački ispiti-vlastiti prihodi</t>
  </si>
  <si>
    <t xml:space="preserve"> o/č Ugovorene i druge posebne usluge-prostorni plan</t>
  </si>
  <si>
    <t xml:space="preserve"> o/č Ugovorene i druge posebne usluge-Nerda</t>
  </si>
  <si>
    <t xml:space="preserve"> o/č Grant za sanaciju šteta uzrokovanih poplavom</t>
  </si>
  <si>
    <t xml:space="preserve"> o/č Grant za Sveučilište u Mostaru</t>
  </si>
  <si>
    <t xml:space="preserve"> o/č Grantovi nižim razinama vlasti</t>
  </si>
  <si>
    <t xml:space="preserve"> o/č Transfer za zdravstvene institucije i centre za soc.rad</t>
  </si>
  <si>
    <t xml:space="preserve"> o/č Grant za zaštitu okoliša</t>
  </si>
  <si>
    <t xml:space="preserve"> o/č Grant za razvoj turizma</t>
  </si>
  <si>
    <t xml:space="preserve"> o/č Grantovi za šumarstvo</t>
  </si>
  <si>
    <t xml:space="preserve"> o/č Grantovi za financiranje višeg i visokog obrazovanja i 
       Zavoda za školstvo</t>
  </si>
  <si>
    <t xml:space="preserve"> o/č Grantovi za šport i kulturu</t>
  </si>
  <si>
    <t xml:space="preserve"> o/č Transfer za sufinanciranje prijevoza učenika</t>
  </si>
  <si>
    <t xml:space="preserve"> o/č Grant za sufinanciranje nabavke udžbenika učenicima </t>
  </si>
  <si>
    <t xml:space="preserve"> o/č Grantovi za povratak raseljenih osoba</t>
  </si>
  <si>
    <t xml:space="preserve"> o/č Grantovi za zdravstvene i socijalne potrebe</t>
  </si>
  <si>
    <t xml:space="preserve"> o/č Isplate stipendija</t>
  </si>
  <si>
    <t xml:space="preserve"> o/č Grant za sufinanciranje osn.i srednjeg obrazovanja djece s 
       posebnim potrebama</t>
  </si>
  <si>
    <t xml:space="preserve"> o/č Grantovi za branitelje i stradalnike dom. rata</t>
  </si>
  <si>
    <t xml:space="preserve"> o/č Grant za zaštitu od prirodnih i drugih nesreća</t>
  </si>
  <si>
    <t xml:space="preserve"> o/č Grantovi političkim strankama</t>
  </si>
  <si>
    <t xml:space="preserve"> o/č Grantovi neprofitnim organizacijama i udrugama građana</t>
  </si>
  <si>
    <t xml:space="preserve"> o/č Grant za Crveni križ Županije Posavske</t>
  </si>
  <si>
    <t xml:space="preserve"> o/č Grant za Kuću nade Odžak</t>
  </si>
  <si>
    <t xml:space="preserve"> o/č Grant za Udrugu roditelja djece s posebnim potrebama 
      Angelus Domaljevac</t>
  </si>
  <si>
    <t xml:space="preserve"> o/č Grant za Gospodarsku komoru ŽP</t>
  </si>
  <si>
    <t xml:space="preserve"> o/č Grantovi za informiranje</t>
  </si>
  <si>
    <t xml:space="preserve"> o/č Grantovi za financiranje vjerskih zajednica</t>
  </si>
  <si>
    <t xml:space="preserve"> o/č Grantovi za poljoprivredu</t>
  </si>
  <si>
    <t xml:space="preserve"> o/č Grantovi za vodoprivredu</t>
  </si>
  <si>
    <t xml:space="preserve"> o/č Grant za uređenje poljoprivrednog zemljišta</t>
  </si>
  <si>
    <t xml:space="preserve"> o/č Ostali grantovi-povrat i drugo</t>
  </si>
  <si>
    <t xml:space="preserve"> o/č Ostali grantovi-izvršenje sudskih presuda i rješenja o 
      izvršenju</t>
  </si>
  <si>
    <t xml:space="preserve"> Tekući grantovi drugim razinama vlasti i fondovima</t>
  </si>
  <si>
    <t xml:space="preserve"> Tekući grantovi pojedincima</t>
  </si>
  <si>
    <t xml:space="preserve"> Tekući grantovi neprofitnim organizacijama</t>
  </si>
  <si>
    <t xml:space="preserve"> Subvencije privatnim poduzećima i poduzetnicima</t>
  </si>
  <si>
    <t xml:space="preserve"> Drugi tekući rashodi</t>
  </si>
  <si>
    <t>Ekon. 
kod</t>
  </si>
  <si>
    <t xml:space="preserve"> Ostali grantovi-izvršenje sudskih presuda i rješenja
 o izvršenju</t>
  </si>
  <si>
    <t>43 (43)</t>
  </si>
  <si>
    <t>28 (28)</t>
  </si>
  <si>
    <t>Otplate domaćeg pozajmljivanja-Austrija</t>
  </si>
  <si>
    <t>Otplate domaćeg pozajmljivanja-Koreja</t>
  </si>
  <si>
    <t xml:space="preserve"> Otplate domaćeg pozajmljivanja - Austrija</t>
  </si>
  <si>
    <t xml:space="preserve"> Otplate domaćeg pozajmljivanja - Koreja</t>
  </si>
  <si>
    <t xml:space="preserve">      11010001 Vlada ŽP - Fond za zaštitu okoliša Federacije BiH</t>
  </si>
  <si>
    <t xml:space="preserve">   Grantovi od izvanproračunskih fondova</t>
  </si>
  <si>
    <t xml:space="preserve"> o/č Grant za sufinanciranje profesionalne vatrogasne postrojbe</t>
  </si>
  <si>
    <t>Ured za razvoj i europske integracije Županije Posavske</t>
  </si>
  <si>
    <t>54 (61)</t>
  </si>
  <si>
    <t xml:space="preserve"> Ugovorene i druge posebne usluge-volonteri (1) (0)</t>
  </si>
  <si>
    <t xml:space="preserve"> Ugovorene i druge posebne usluge-volonteri (2) (0)</t>
  </si>
  <si>
    <t>Javni red i sihurnost       (18+….+23)</t>
  </si>
  <si>
    <t xml:space="preserve">Usluge protupožarne zaštite </t>
  </si>
  <si>
    <t xml:space="preserve">   Prihodi od zakupa javnog vodnog dobra na površ.vodama I kateg.</t>
  </si>
  <si>
    <t xml:space="preserve">   Ostali prih.za korišt., zaštitu i unapređ.šuma po žup.propisima</t>
  </si>
  <si>
    <t xml:space="preserve">     19010001 Min.poljopr., vodoprivrede i šumarstva - DR.SHARE</t>
  </si>
  <si>
    <t xml:space="preserve">   Primljeni namj.grantovi za obrazov.- SSŠ Orašje - Udruga Nerda</t>
  </si>
  <si>
    <t xml:space="preserve">      20020002 Sred.škola P.Zečevića Odžak-Ured za Hrvate izvan RH</t>
  </si>
  <si>
    <t xml:space="preserve">      20020002 Srednja strukovna škola Orašje - Federalno 
      ministarstvo obrazovanja i nauke</t>
  </si>
  <si>
    <t>INDEKS
(4/3)</t>
  </si>
  <si>
    <t xml:space="preserve">   Posebna naknada za zaštitu od prir.i drugih nesreća gdje 
   je osnovica sumarni iznos neto prim.po osnovi dr.samostalne 
   djelatnosti i povremenog samostalnog rada</t>
  </si>
  <si>
    <t xml:space="preserve">   Posebna vodna naknada za korištenje površ..i podzemnih 
   voda za industrijske procese, uključujući i termoelektrane</t>
  </si>
  <si>
    <t xml:space="preserve">   Poseb.vodna naknada za korištenje površ.i podzem.voda za
   flaš.vode i min.vode za uzgoj ribe u ribnj.za navod.i dr.namj.</t>
  </si>
  <si>
    <t xml:space="preserve">   Posebna naknada za zaštitu od prirodnih i drugih nesreća 
   gdje je osnovica sumarni iznos neto plaće za isplatu</t>
  </si>
  <si>
    <t xml:space="preserve">   Posebna vodna naknada za korištenje vode za proizvodnju 
   električne energije</t>
  </si>
  <si>
    <t xml:space="preserve">   Naknade i pristojbe po Fed.zakonima i dr.propisima</t>
  </si>
  <si>
    <r>
      <t xml:space="preserve">      19010001 Minist.poljopr., vodoprivrede i šumarstva </t>
    </r>
    <r>
      <rPr>
        <b/>
        <sz val="10"/>
        <color indexed="8"/>
        <rFont val="Calibri"/>
        <family val="2"/>
        <charset val="238"/>
      </rPr>
      <t>(razgr.)</t>
    </r>
  </si>
  <si>
    <t xml:space="preserve"> Grant za Obrtničku komoru ŽP</t>
  </si>
  <si>
    <t xml:space="preserve"> o/č Grant za Obrtničku komoru ŽP</t>
  </si>
  <si>
    <t xml:space="preserve"> Grant za sufinanc.nabavke udžbenika učenicima</t>
  </si>
  <si>
    <t xml:space="preserve"> o/č Grant za Udrugu osoba s posebnim potrebama Put u  
      život Orašje</t>
  </si>
  <si>
    <t xml:space="preserve">   Grant od Federalnog zavoda za zapošljavanje - osnovne škole</t>
  </si>
  <si>
    <t xml:space="preserve">   Grant od Federalnog zavoda za zapošljavanje-Min.pravosuđa</t>
  </si>
  <si>
    <t xml:space="preserve"> Grant za razvoj poduzetništva, obrta i zadruga</t>
  </si>
  <si>
    <t xml:space="preserve"> o/č Grant za razvoj poduzetništva, obrta i zadruga</t>
  </si>
  <si>
    <t xml:space="preserve">   Porez na temelju autorskih prava, patenata i tehn.unapređenja</t>
  </si>
  <si>
    <t xml:space="preserve">   Prihodi od neizravnih poreza na ime financ.autocesta u FBiH</t>
  </si>
  <si>
    <t xml:space="preserve">   Prihodi od zakupa korištenja sportsko-gospodarskih lovišta</t>
  </si>
  <si>
    <t xml:space="preserve">   Federalna naknada za uvjerenje o veterin.-zdravstvenom 
   stanju životinja iz uvoza</t>
  </si>
  <si>
    <t xml:space="preserve">   Povrati naknada troškova zaposlenih</t>
  </si>
  <si>
    <t xml:space="preserve">      20030001 Osn.škola Orašje - Ured za Hrvate izvan RH</t>
  </si>
  <si>
    <t xml:space="preserve">      20030007 Osn.šk.B.Radića Domaljevac- Ured za Hrv. izvan RH</t>
  </si>
  <si>
    <t xml:space="preserve">      20020002 Srednja škola Pere Zečevića Odžak - Federalno 
      ministarstvo obrazovanja i nauke</t>
  </si>
  <si>
    <t xml:space="preserve">   Kapitalni grantovi od nevladinih izvora</t>
  </si>
  <si>
    <t xml:space="preserve">   Kapitalni grantovi od poduzeća</t>
  </si>
  <si>
    <t xml:space="preserve">      20030002 Osnovna škola V.Nazora Odžak - BH Telecom d.d.</t>
  </si>
  <si>
    <t xml:space="preserve">      20030003 Osn.škola R.Boškovića D.Mahala - BH Telecom d.d.</t>
  </si>
  <si>
    <t xml:space="preserve">   Primljeni tekući grantovi od gradova</t>
  </si>
  <si>
    <t xml:space="preserve">      14020003 Općinski sud Orašje</t>
  </si>
  <si>
    <t>PRORAČUN za 2019.</t>
  </si>
  <si>
    <t>107 (110)</t>
  </si>
  <si>
    <t>31 (31)</t>
  </si>
  <si>
    <t>48 (49)</t>
  </si>
  <si>
    <t>20 (20)</t>
  </si>
  <si>
    <t>PRORAČUN za 
2019.godinu</t>
  </si>
  <si>
    <t>Subanalitika</t>
  </si>
  <si>
    <t>BA6017</t>
  </si>
  <si>
    <t>BA6006</t>
  </si>
  <si>
    <t>BA6012</t>
  </si>
  <si>
    <t>BA6014</t>
  </si>
  <si>
    <t>BA6016</t>
  </si>
  <si>
    <t>BA6001</t>
  </si>
  <si>
    <t>BA6008</t>
  </si>
  <si>
    <t>BA6009</t>
  </si>
  <si>
    <t>BA6013</t>
  </si>
  <si>
    <t>BA6015</t>
  </si>
  <si>
    <t>BA6007</t>
  </si>
  <si>
    <t>BA6018</t>
  </si>
  <si>
    <t>AA6001</t>
  </si>
  <si>
    <t>BA6010</t>
  </si>
  <si>
    <t>FA6002</t>
  </si>
  <si>
    <t>FA6001</t>
  </si>
  <si>
    <t>GA6003</t>
  </si>
  <si>
    <t>GA6002</t>
  </si>
  <si>
    <t>GA6005</t>
  </si>
  <si>
    <t>GA6006</t>
  </si>
  <si>
    <t>GA6008</t>
  </si>
  <si>
    <t>GA6009</t>
  </si>
  <si>
    <t>HA6001</t>
  </si>
  <si>
    <t>IA6004</t>
  </si>
  <si>
    <t>IA6002</t>
  </si>
  <si>
    <t>IA6003</t>
  </si>
  <si>
    <t>JA6004</t>
  </si>
  <si>
    <t>JA6008</t>
  </si>
  <si>
    <t>JA6005</t>
  </si>
  <si>
    <t>JA6007</t>
  </si>
  <si>
    <t>KA6007</t>
  </si>
  <si>
    <t>KA6004</t>
  </si>
  <si>
    <t xml:space="preserve"> Grantovi za šport</t>
  </si>
  <si>
    <t xml:space="preserve"> Grantovi za kulturu</t>
  </si>
  <si>
    <t>KA6009</t>
  </si>
  <si>
    <t>KA6003</t>
  </si>
  <si>
    <t>KA6008</t>
  </si>
  <si>
    <t>KA6001</t>
  </si>
  <si>
    <t>KA6006</t>
  </si>
  <si>
    <t>KB6001</t>
  </si>
  <si>
    <t>LA6001</t>
  </si>
  <si>
    <t>NA6002</t>
  </si>
  <si>
    <t>NA6003</t>
  </si>
  <si>
    <t xml:space="preserve"> Grantovi za zdravstvene potrebe</t>
  </si>
  <si>
    <t xml:space="preserve"> Grantovi za socijalne potrebe</t>
  </si>
  <si>
    <t xml:space="preserve"> o/č Grantovi za zdravstvene potrebe</t>
  </si>
  <si>
    <t xml:space="preserve"> o/č Grantovi za socijalne potrebe</t>
  </si>
  <si>
    <t xml:space="preserve"> o/č Grantovi za šport</t>
  </si>
  <si>
    <t xml:space="preserve"> o/č Grantovi za kulturu</t>
  </si>
  <si>
    <t xml:space="preserve">     15010001 Min.gospod.i prost.uređenja-Prostorni plan</t>
  </si>
  <si>
    <t xml:space="preserve">      18010001 Minist.prometa, veza, turizma i zaštite okoliša - 
      Fed.ministarstvo raseljenih osoba i izbjeglica</t>
  </si>
  <si>
    <t>iz prorač.
sredstava</t>
  </si>
  <si>
    <t>iz ostalih izvora</t>
  </si>
  <si>
    <t>12=10+11</t>
  </si>
  <si>
    <t>8=6+7</t>
  </si>
  <si>
    <t xml:space="preserve"> Grantovi neprofitnim organizacijama i udrugama građana</t>
  </si>
  <si>
    <t>PRORAČUN 
za 2019.</t>
  </si>
  <si>
    <t>822, 823</t>
  </si>
  <si>
    <t>813, 814, 815</t>
  </si>
  <si>
    <t>Ekonomski 
kod</t>
  </si>
  <si>
    <t xml:space="preserve">     1.1.  Prihodi od poreza</t>
  </si>
  <si>
    <t xml:space="preserve">     1.2.  Neporezni prihodi</t>
  </si>
  <si>
    <t xml:space="preserve">     1.3.  Tekući grantovi (grantovi i donacije)</t>
  </si>
  <si>
    <t xml:space="preserve">     1.4.  Kapitalni grantovi</t>
  </si>
  <si>
    <t xml:space="preserve">     1.5.  Prihodi po osnovi zaostalih obveza</t>
  </si>
  <si>
    <t xml:space="preserve">     2.1.  Rashodi - Tekuća pričuva</t>
  </si>
  <si>
    <t xml:space="preserve">     2.2.  Plaće i naknade troškova zaposlenih</t>
  </si>
  <si>
    <t xml:space="preserve">     2.3.  Doprinosi poslodavca i ostali doprinosi</t>
  </si>
  <si>
    <t xml:space="preserve">     2.4.  Izdaci za materijal, sitan inventar i usluge</t>
  </si>
  <si>
    <t xml:space="preserve">     2.5.  Tekući grantovi i drugi tekući rashodi</t>
  </si>
  <si>
    <t xml:space="preserve">     2.6.  Kapitalni grantovi</t>
  </si>
  <si>
    <t xml:space="preserve">     2.7.  Izdaci za kamate</t>
  </si>
  <si>
    <t xml:space="preserve">   1. PRORAČUNSKI PRIHODI (1.1.+1.2.+1.3.+1.4.+1.5.)</t>
  </si>
  <si>
    <t xml:space="preserve">   2. PRORAČUNSKI RASHODI (2.1.+2.2.)</t>
  </si>
  <si>
    <t xml:space="preserve">   3. TEKUĆA BILANCA (1-2)</t>
  </si>
  <si>
    <t xml:space="preserve">   4. PRIMICI OD PRODAJE NEFINANCIJSKE IMOVINE</t>
  </si>
  <si>
    <t xml:space="preserve">   5. IZDACI ZA NABAVKU NEFINANCIJSKE IMOVINE</t>
  </si>
  <si>
    <t xml:space="preserve">   6. NETO NABAVKA NEFINANCIJSKE IMOVINE (4-5)</t>
  </si>
  <si>
    <t xml:space="preserve">   7. UKUPAN SUFICIT/DEFICIT (3+6)</t>
  </si>
  <si>
    <t xml:space="preserve">   8. PRIMICI OD FINANCIJSKE IMOVINE I ZADUŽIVANJA</t>
  </si>
  <si>
    <t xml:space="preserve">   9. IZDACI ZA NABAVKU FINANCIJSKE IMOVINE I     OTPLATE DUGOVA</t>
  </si>
  <si>
    <t xml:space="preserve">   10. NETO FINANCIRANJE (8-9)</t>
  </si>
  <si>
    <t xml:space="preserve">   11. UKUPAN FINANCIJSKI REZULTAT (7+10)</t>
  </si>
  <si>
    <t xml:space="preserve">   UKUPNO PRIHODI, PRIMICI I FINANCIRANJE</t>
  </si>
  <si>
    <t xml:space="preserve">   UKUPNO RASHODI I IZDACI</t>
  </si>
  <si>
    <t xml:space="preserve">   UKUPNO POKRIĆE AKUMULIRANOG DEFICITA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</si>
  <si>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</si>
  <si>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</si>
  <si>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</si>
  <si>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</si>
  <si>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</si>
  <si>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</si>
  <si>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</si>
  <si>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</si>
  <si>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</si>
  <si>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</si>
  <si>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</si>
  <si>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</si>
  <si>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</si>
  <si>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</si>
  <si>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</si>
  <si>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</si>
  <si>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</si>
  <si>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</si>
  <si>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</si>
  <si>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</si>
  <si>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</si>
  <si>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</si>
  <si>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</si>
  <si>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</si>
  <si>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</si>
  <si>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</si>
  <si>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</si>
  <si>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</si>
  <si>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</si>
  <si>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</si>
  <si>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</si>
  <si>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</si>
  <si>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</si>
  <si>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</si>
  <si>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</si>
  <si>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</si>
  <si>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</si>
  <si>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</si>
  <si>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</si>
  <si>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 xml:space="preserve"> Grant za sufinanciranje osn.i srednjeg obrazovanja djece s 
 posebnim potrebama</t>
  </si>
  <si>
    <t xml:space="preserve">      20010001 Ministarstvo prosvjete, znanosti, kulture i športa - 
      Nabavka besplatnih udžbenika</t>
  </si>
  <si>
    <t xml:space="preserve"> Grant za sufinanc.profesionalne vatrogasne postrojbe</t>
  </si>
  <si>
    <t>44 (45)</t>
  </si>
  <si>
    <t xml:space="preserve">      20030002 Osnovna škola V.Nazora Odžak - Federalno ministarstvo 
      obrazovanja i nauke</t>
  </si>
  <si>
    <t xml:space="preserve">      20030004 Osnovna škola fra I.Starčevića Tolisa - Federalno ministarstvo 
      obrazovanja i nauke</t>
  </si>
  <si>
    <t xml:space="preserve">      23010001 Uprava za civilnu zaštitu</t>
  </si>
  <si>
    <r>
      <t xml:space="preserve">      19010001 Minist.poljopr., vodoprivrede i šumarstva </t>
    </r>
    <r>
      <rPr>
        <b/>
        <sz val="10"/>
        <color indexed="8"/>
        <rFont val="Calibri"/>
        <family val="2"/>
        <charset val="238"/>
      </rPr>
      <t>(razgraničenja)</t>
    </r>
  </si>
  <si>
    <t xml:space="preserve">      99999999 Riznica</t>
  </si>
  <si>
    <t>52 (52)</t>
  </si>
  <si>
    <t xml:space="preserve"> Transfer za zdravstvene institucije i centre za soc.rad</t>
  </si>
  <si>
    <t xml:space="preserve"> Grant za Udr.rod.djece s pos.potr.Angelus Domaljevac</t>
  </si>
  <si>
    <t xml:space="preserve"> Grant za Udr.osoba s pos.potrebama Put u život Orašje</t>
  </si>
  <si>
    <t xml:space="preserve">   Prihodi od iznajmljivanja zemljišta</t>
  </si>
  <si>
    <t>KA6010</t>
  </si>
  <si>
    <t>KA6011</t>
  </si>
  <si>
    <t>HA6003</t>
  </si>
  <si>
    <t>HA6004</t>
  </si>
  <si>
    <t>55 (55)</t>
  </si>
  <si>
    <t>968 (980)</t>
  </si>
  <si>
    <r>
      <t xml:space="preserve">      20020004 Sred.struk.škola Orašje-Ured za Hrvate izvan RH </t>
    </r>
    <r>
      <rPr>
        <b/>
        <sz val="10"/>
        <color indexed="8"/>
        <rFont val="Calibri"/>
        <family val="2"/>
        <charset val="238"/>
      </rPr>
      <t>(razgr.)</t>
    </r>
  </si>
  <si>
    <r>
      <t xml:space="preserve">      27010001 Kant.tužiteljstvo - IPA </t>
    </r>
    <r>
      <rPr>
        <b/>
        <sz val="10"/>
        <color indexed="8"/>
        <rFont val="Calibri"/>
        <family val="2"/>
        <charset val="238"/>
      </rPr>
      <t>(razgr.)</t>
    </r>
  </si>
  <si>
    <t>Izvršenje PRORAČUNA za 01.01.-31.03.2019.G.</t>
  </si>
  <si>
    <t>Izvršenje PRORAČUNa za 01.01.-31.03.2019.g.</t>
  </si>
  <si>
    <t>5=3+4</t>
  </si>
  <si>
    <t>9=7+8</t>
  </si>
  <si>
    <t>INDEKS 12/9*
100</t>
  </si>
  <si>
    <t>INDEKS 
8/5*
100</t>
  </si>
  <si>
    <t>Izvršenje PRORAČUNA za 01.01.-31.03.2019.g.</t>
  </si>
  <si>
    <t>IZDACI ZA NABAVKU STALNIH SREDSTAVA ŽUPANIJE POSAVSKE ZA 01.01.-31.03.2019.g. (po proračunskim korisnicima i izvorima financiranja)</t>
  </si>
  <si>
    <t>FUNKCIJSKA KLASIFIKACIJA RASHODA I IZDATAKA PRORAČUNA ŽUPANIJE POSAVSKE ZA 01.01.-31.03.2019.g.</t>
  </si>
  <si>
    <t>Izvršenje PRORAČUNA za 01.01.-31.03.2019.</t>
  </si>
  <si>
    <t>IZVRŠENJE PRORAČUNA ŽUPANIJE POSAVSKE ZA 01.01.-31.03.2019.g. (po korisnicima i ekonomskim klasifikacijama izdataka)</t>
  </si>
  <si>
    <t>Izvršenje PRORAČUNA 
za 01.01.-31.03.2019.g.</t>
  </si>
  <si>
    <t>INDEKS
4/3*100</t>
  </si>
  <si>
    <t>za razdoblje 01.01.-31.03.2019. godine</t>
  </si>
  <si>
    <r>
      <t>IZVRŠENJE PRORAČUNA ŽUPANIJE POSAVSKE</t>
    </r>
    <r>
      <rPr>
        <b/>
        <sz val="10"/>
        <rFont val="Arial"/>
        <family val="2"/>
      </rPr>
      <t xml:space="preserve">
</t>
    </r>
    <r>
      <rPr>
        <b/>
        <sz val="14"/>
        <rFont val="Arial"/>
        <family val="2"/>
      </rPr>
      <t>za razdoblje 01.01.-31.03.2019. godine</t>
    </r>
  </si>
  <si>
    <t>Bosna i Hercegovina
Federacija Bosne i 
Hercegovine
Županija Posavska
V L A D A</t>
  </si>
  <si>
    <t>Bosnia and Herzegovina
Federation of Bosnia and Herzegovina
Posavina County
THE GOVERNMENT</t>
  </si>
  <si>
    <t>Orašje, svibanj 2019. godine</t>
  </si>
  <si>
    <t>TABLIČNI PREGLED</t>
  </si>
  <si>
    <t>IZVRŠENJE PRORAČUNA ŽUPANIJE POSAVSKE</t>
  </si>
  <si>
    <t>Izvršenje PRORAČUNA za 
01.01.-31.03.2019.g.</t>
  </si>
  <si>
    <t xml:space="preserve">   Kamate primljene od pozajmica Državi</t>
  </si>
  <si>
    <t>Izvršenje Prorač.ŽP za 01.01.-31.03.19. (po korisnic.i ek.klasifikac. izdataka)</t>
  </si>
  <si>
    <t>Funkcijska klasifikacija rashoda i izdataka Proračuna ŽP za 01.01.-31.03.19.</t>
  </si>
  <si>
    <t>52 (59)</t>
  </si>
  <si>
    <t>54 (54)</t>
  </si>
  <si>
    <t>43 (44)</t>
  </si>
  <si>
    <t xml:space="preserve">51 (53) </t>
  </si>
  <si>
    <t>51 (53)</t>
  </si>
  <si>
    <t>30 (31)</t>
  </si>
  <si>
    <t>39 (39)</t>
  </si>
  <si>
    <t>51 (51)</t>
  </si>
  <si>
    <t>19 (19)</t>
  </si>
  <si>
    <t>30 (30)</t>
  </si>
  <si>
    <t xml:space="preserve">                      Orašje, svibanj 2019. godine</t>
  </si>
  <si>
    <t>Izdaci za nabavku st.sredstava za 01.01.-31.03.19.g.(po pror.korisn.i izv.financ.)</t>
  </si>
  <si>
    <t>Završni dio</t>
  </si>
  <si>
    <t>937 (951)</t>
  </si>
  <si>
    <t xml:space="preserve"> Naknade troškova zaposlenih - volonteri (38)</t>
  </si>
  <si>
    <t xml:space="preserve"> o/č Ugovorene i druge posebne usluge-volonterski rad (38)</t>
  </si>
  <si>
    <t xml:space="preserve"> Ugovorene i dr. posebne usluge-volonteri (38)</t>
  </si>
</sst>
</file>

<file path=xl/styles.xml><?xml version="1.0" encoding="utf-8"?>
<styleSheet xmlns="http://schemas.openxmlformats.org/spreadsheetml/2006/main">
  <numFmts count="5">
    <numFmt numFmtId="43" formatCode="_-* #,##0.00\ _k_n_-;\-* #,##0.00\ _k_n_-;_-* &quot;-&quot;??\ _k_n_-;_-@_-"/>
    <numFmt numFmtId="164" formatCode="#,##0\ &quot;KM&quot;;\-#,##0\ &quot;KM&quot;"/>
    <numFmt numFmtId="165" formatCode="_-* #,##0.00_-;\-* #,##0.00_-;_-* &quot;-&quot;??_-;_-@_-"/>
    <numFmt numFmtId="166" formatCode="_-* #,##0_-;\-* #,##0_-;_-* &quot;-&quot;??_-;_-@_-"/>
    <numFmt numFmtId="167" formatCode="000"/>
  </numFmts>
  <fonts count="42">
    <font>
      <sz val="10"/>
      <name val="Arial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b/>
      <sz val="10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b/>
      <i/>
      <sz val="10"/>
      <name val="Arial"/>
      <family val="2"/>
      <charset val="238"/>
    </font>
    <font>
      <b/>
      <i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name val="Arial CE"/>
      <family val="2"/>
      <charset val="238"/>
    </font>
    <font>
      <b/>
      <sz val="11"/>
      <name val="Arial CE"/>
      <family val="2"/>
      <charset val="238"/>
    </font>
    <font>
      <sz val="9"/>
      <name val="Arial"/>
      <family val="2"/>
      <charset val="238"/>
    </font>
    <font>
      <b/>
      <sz val="11"/>
      <name val="Arial"/>
      <family val="2"/>
      <charset val="238"/>
    </font>
    <font>
      <sz val="10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b/>
      <i/>
      <sz val="10"/>
      <color indexed="8"/>
      <name val="Calibri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i/>
      <sz val="10"/>
      <name val="Arial"/>
      <family val="2"/>
      <charset val="238"/>
    </font>
    <font>
      <sz val="11"/>
      <color rgb="FF9C0006"/>
      <name val="Calibri"/>
      <family val="2"/>
      <charset val="238"/>
      <scheme val="minor"/>
    </font>
    <font>
      <sz val="10"/>
      <color theme="0"/>
      <name val="Arial"/>
      <family val="2"/>
    </font>
    <font>
      <b/>
      <sz val="9"/>
      <name val="Arial"/>
      <family val="2"/>
    </font>
    <font>
      <b/>
      <sz val="9"/>
      <name val="Arial"/>
      <family val="2"/>
      <charset val="238"/>
    </font>
    <font>
      <sz val="9"/>
      <name val="Arial"/>
      <family val="2"/>
    </font>
    <font>
      <i/>
      <sz val="8"/>
      <name val="Arial"/>
      <family val="2"/>
    </font>
    <font>
      <i/>
      <sz val="11"/>
      <name val="Arial"/>
      <family val="2"/>
    </font>
    <font>
      <sz val="11"/>
      <name val="Arial"/>
      <family val="2"/>
      <charset val="238"/>
    </font>
    <font>
      <b/>
      <i/>
      <sz val="11"/>
      <name val="Arial"/>
      <family val="2"/>
      <charset val="238"/>
    </font>
    <font>
      <i/>
      <sz val="9"/>
      <name val="Arial"/>
      <family val="2"/>
      <charset val="238"/>
    </font>
    <font>
      <b/>
      <i/>
      <sz val="9"/>
      <name val="Arial"/>
      <family val="2"/>
      <charset val="238"/>
    </font>
    <font>
      <sz val="7"/>
      <name val="Arial"/>
      <family val="2"/>
      <charset val="238"/>
    </font>
    <font>
      <b/>
      <sz val="7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7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14">
    <xf numFmtId="0" fontId="0" fillId="0" borderId="0"/>
    <xf numFmtId="165" fontId="11" fillId="0" borderId="0" applyFont="0" applyFill="0" applyBorder="0" applyAlignment="0" applyProtection="0"/>
    <xf numFmtId="0" fontId="29" fillId="5" borderId="0" applyNumberFormat="0" applyBorder="0" applyAlignment="0" applyProtection="0"/>
    <xf numFmtId="0" fontId="2" fillId="0" borderId="0"/>
    <xf numFmtId="0" fontId="10" fillId="0" borderId="0"/>
    <xf numFmtId="9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625">
    <xf numFmtId="0" fontId="0" fillId="0" borderId="0" xfId="0"/>
    <xf numFmtId="0" fontId="3" fillId="0" borderId="0" xfId="3" applyFont="1"/>
    <xf numFmtId="0" fontId="3" fillId="0" borderId="0" xfId="3" applyFont="1" applyAlignment="1">
      <alignment horizontal="center"/>
    </xf>
    <xf numFmtId="0" fontId="3" fillId="0" borderId="1" xfId="3" applyFont="1" applyBorder="1" applyAlignment="1">
      <alignment horizontal="center" vertical="center" textRotation="90" wrapText="1"/>
    </xf>
    <xf numFmtId="0" fontId="3" fillId="0" borderId="3" xfId="3" applyFont="1" applyBorder="1" applyAlignment="1">
      <alignment horizontal="center"/>
    </xf>
    <xf numFmtId="0" fontId="3" fillId="0" borderId="4" xfId="3" applyFont="1" applyBorder="1" applyAlignment="1">
      <alignment horizontal="center"/>
    </xf>
    <xf numFmtId="49" fontId="3" fillId="0" borderId="3" xfId="3" applyNumberFormat="1" applyFont="1" applyBorder="1" applyAlignment="1">
      <alignment horizontal="center"/>
    </xf>
    <xf numFmtId="49" fontId="3" fillId="0" borderId="4" xfId="3" applyNumberFormat="1" applyFont="1" applyBorder="1" applyAlignment="1">
      <alignment horizontal="center"/>
    </xf>
    <xf numFmtId="0" fontId="3" fillId="0" borderId="4" xfId="3" applyFont="1" applyBorder="1"/>
    <xf numFmtId="0" fontId="2" fillId="0" borderId="0" xfId="3"/>
    <xf numFmtId="0" fontId="2" fillId="0" borderId="3" xfId="3" applyBorder="1"/>
    <xf numFmtId="0" fontId="2" fillId="0" borderId="4" xfId="3" applyBorder="1"/>
    <xf numFmtId="0" fontId="3" fillId="0" borderId="3" xfId="3" applyFont="1" applyBorder="1"/>
    <xf numFmtId="0" fontId="4" fillId="0" borderId="4" xfId="3" applyFont="1" applyBorder="1"/>
    <xf numFmtId="0" fontId="2" fillId="0" borderId="4" xfId="3" applyFill="1" applyBorder="1"/>
    <xf numFmtId="0" fontId="2" fillId="0" borderId="5" xfId="3" applyBorder="1"/>
    <xf numFmtId="0" fontId="2" fillId="0" borderId="6" xfId="3" applyBorder="1"/>
    <xf numFmtId="0" fontId="2" fillId="0" borderId="0" xfId="3" applyAlignment="1">
      <alignment horizontal="center"/>
    </xf>
    <xf numFmtId="0" fontId="2" fillId="0" borderId="4" xfId="3" applyFont="1" applyBorder="1"/>
    <xf numFmtId="0" fontId="3" fillId="0" borderId="4" xfId="3" applyFont="1" applyBorder="1" applyAlignment="1">
      <alignment horizontal="left"/>
    </xf>
    <xf numFmtId="0" fontId="3" fillId="0" borderId="7" xfId="3" applyFont="1" applyBorder="1"/>
    <xf numFmtId="0" fontId="0" fillId="0" borderId="4" xfId="0" applyBorder="1"/>
    <xf numFmtId="0" fontId="2" fillId="0" borderId="8" xfId="3" applyBorder="1"/>
    <xf numFmtId="0" fontId="3" fillId="0" borderId="8" xfId="3" applyFont="1" applyBorder="1"/>
    <xf numFmtId="0" fontId="3" fillId="0" borderId="4" xfId="0" applyFont="1" applyBorder="1"/>
    <xf numFmtId="0" fontId="2" fillId="0" borderId="3" xfId="3" applyBorder="1" applyAlignment="1">
      <alignment horizontal="center"/>
    </xf>
    <xf numFmtId="0" fontId="2" fillId="0" borderId="5" xfId="3" applyBorder="1" applyAlignment="1">
      <alignment horizontal="center"/>
    </xf>
    <xf numFmtId="3" fontId="2" fillId="0" borderId="6" xfId="3" applyNumberFormat="1" applyBorder="1"/>
    <xf numFmtId="0" fontId="2" fillId="0" borderId="0" xfId="3" applyFont="1" applyAlignment="1">
      <alignment horizontal="left"/>
    </xf>
    <xf numFmtId="0" fontId="7" fillId="0" borderId="0" xfId="3" applyFont="1" applyAlignment="1">
      <alignment horizontal="left"/>
    </xf>
    <xf numFmtId="0" fontId="3" fillId="0" borderId="3" xfId="0" applyFont="1" applyBorder="1" applyAlignment="1">
      <alignment horizontal="center"/>
    </xf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4" xfId="3" applyFont="1" applyBorder="1" applyAlignment="1">
      <alignment horizontal="left"/>
    </xf>
    <xf numFmtId="0" fontId="0" fillId="0" borderId="9" xfId="0" applyBorder="1"/>
    <xf numFmtId="0" fontId="2" fillId="0" borderId="9" xfId="3" applyFill="1" applyBorder="1"/>
    <xf numFmtId="3" fontId="4" fillId="0" borderId="4" xfId="3" applyNumberFormat="1" applyFont="1" applyBorder="1" applyAlignment="1">
      <alignment horizontal="right"/>
    </xf>
    <xf numFmtId="0" fontId="4" fillId="0" borderId="4" xfId="0" applyFont="1" applyBorder="1"/>
    <xf numFmtId="0" fontId="3" fillId="0" borderId="0" xfId="0" applyFont="1"/>
    <xf numFmtId="0" fontId="2" fillId="0" borderId="11" xfId="3" applyFont="1" applyBorder="1"/>
    <xf numFmtId="0" fontId="10" fillId="0" borderId="0" xfId="0" applyFont="1"/>
    <xf numFmtId="0" fontId="0" fillId="0" borderId="4" xfId="0" applyBorder="1" applyAlignment="1">
      <alignment wrapText="1"/>
    </xf>
    <xf numFmtId="0" fontId="3" fillId="0" borderId="4" xfId="0" applyFont="1" applyBorder="1" applyAlignment="1">
      <alignment horizontal="right" wrapText="1"/>
    </xf>
    <xf numFmtId="0" fontId="3" fillId="0" borderId="4" xfId="0" applyFont="1" applyFill="1" applyBorder="1" applyAlignment="1">
      <alignment wrapText="1"/>
    </xf>
    <xf numFmtId="0" fontId="3" fillId="0" borderId="3" xfId="0" applyFont="1" applyBorder="1" applyAlignment="1">
      <alignment horizontal="right" wrapText="1"/>
    </xf>
    <xf numFmtId="0" fontId="3" fillId="0" borderId="11" xfId="3" applyFont="1" applyBorder="1"/>
    <xf numFmtId="0" fontId="2" fillId="0" borderId="12" xfId="3" applyBorder="1" applyAlignment="1">
      <alignment horizontal="center"/>
    </xf>
    <xf numFmtId="0" fontId="2" fillId="0" borderId="13" xfId="3" applyBorder="1"/>
    <xf numFmtId="0" fontId="2" fillId="0" borderId="0" xfId="3" applyFont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0" fillId="0" borderId="0" xfId="0" applyBorder="1" applyAlignment="1"/>
    <xf numFmtId="0" fontId="7" fillId="0" borderId="0" xfId="0" applyFont="1" applyBorder="1" applyAlignment="1"/>
    <xf numFmtId="3" fontId="2" fillId="0" borderId="14" xfId="3" applyNumberFormat="1" applyBorder="1"/>
    <xf numFmtId="2" fontId="3" fillId="0" borderId="0" xfId="3" applyNumberFormat="1" applyFont="1"/>
    <xf numFmtId="3" fontId="2" fillId="0" borderId="0" xfId="3" applyNumberFormat="1"/>
    <xf numFmtId="3" fontId="3" fillId="0" borderId="0" xfId="3" applyNumberFormat="1" applyFont="1"/>
    <xf numFmtId="3" fontId="2" fillId="0" borderId="0" xfId="3" applyNumberFormat="1" applyFont="1"/>
    <xf numFmtId="0" fontId="4" fillId="0" borderId="0" xfId="3" applyFont="1"/>
    <xf numFmtId="0" fontId="4" fillId="0" borderId="3" xfId="3" applyFont="1" applyBorder="1"/>
    <xf numFmtId="0" fontId="4" fillId="0" borderId="0" xfId="0" applyFont="1"/>
    <xf numFmtId="0" fontId="4" fillId="0" borderId="3" xfId="0" applyFont="1" applyBorder="1" applyAlignment="1">
      <alignment horizontal="center"/>
    </xf>
    <xf numFmtId="0" fontId="4" fillId="0" borderId="4" xfId="0" applyFont="1" applyFill="1" applyBorder="1" applyAlignment="1">
      <alignment wrapText="1"/>
    </xf>
    <xf numFmtId="3" fontId="0" fillId="0" borderId="0" xfId="0" applyNumberFormat="1"/>
    <xf numFmtId="0" fontId="6" fillId="0" borderId="0" xfId="3" applyFont="1" applyAlignment="1">
      <alignment horizontal="left"/>
    </xf>
    <xf numFmtId="0" fontId="10" fillId="0" borderId="0" xfId="3" applyFont="1" applyAlignment="1">
      <alignment horizontal="left"/>
    </xf>
    <xf numFmtId="0" fontId="10" fillId="0" borderId="0" xfId="3" applyFont="1"/>
    <xf numFmtId="0" fontId="2" fillId="0" borderId="4" xfId="3" applyFont="1" applyFill="1" applyBorder="1"/>
    <xf numFmtId="0" fontId="2" fillId="0" borderId="0" xfId="3" applyFont="1" applyFill="1"/>
    <xf numFmtId="0" fontId="2" fillId="0" borderId="0" xfId="3" applyFill="1"/>
    <xf numFmtId="0" fontId="3" fillId="0" borderId="0" xfId="3" applyFont="1" applyFill="1"/>
    <xf numFmtId="0" fontId="0" fillId="0" borderId="4" xfId="0" applyFill="1" applyBorder="1" applyAlignment="1">
      <alignment wrapText="1"/>
    </xf>
    <xf numFmtId="0" fontId="0" fillId="0" borderId="4" xfId="0" applyFill="1" applyBorder="1"/>
    <xf numFmtId="0" fontId="4" fillId="0" borderId="4" xfId="3" applyFont="1" applyFill="1" applyBorder="1"/>
    <xf numFmtId="3" fontId="4" fillId="0" borderId="4" xfId="3" applyNumberFormat="1" applyFont="1" applyFill="1" applyBorder="1" applyProtection="1">
      <protection locked="0"/>
    </xf>
    <xf numFmtId="0" fontId="9" fillId="0" borderId="0" xfId="0" applyFont="1" applyAlignment="1">
      <alignment horizontal="center" vertical="top"/>
    </xf>
    <xf numFmtId="0" fontId="3" fillId="2" borderId="4" xfId="0" applyFont="1" applyFill="1" applyBorder="1" applyAlignment="1">
      <alignment horizontal="center"/>
    </xf>
    <xf numFmtId="49" fontId="3" fillId="0" borderId="3" xfId="3" applyNumberFormat="1" applyFont="1" applyFill="1" applyBorder="1" applyAlignment="1">
      <alignment horizontal="center"/>
    </xf>
    <xf numFmtId="49" fontId="3" fillId="0" borderId="4" xfId="3" applyNumberFormat="1" applyFont="1" applyFill="1" applyBorder="1" applyAlignment="1">
      <alignment horizontal="center"/>
    </xf>
    <xf numFmtId="3" fontId="3" fillId="0" borderId="0" xfId="3" applyNumberFormat="1" applyFont="1" applyAlignment="1">
      <alignment horizontal="center"/>
    </xf>
    <xf numFmtId="4" fontId="2" fillId="0" borderId="0" xfId="3" applyNumberFormat="1"/>
    <xf numFmtId="4" fontId="2" fillId="0" borderId="18" xfId="3" applyNumberFormat="1" applyBorder="1"/>
    <xf numFmtId="4" fontId="7" fillId="0" borderId="0" xfId="3" applyNumberFormat="1" applyFont="1" applyAlignment="1">
      <alignment horizontal="left"/>
    </xf>
    <xf numFmtId="4" fontId="2" fillId="0" borderId="20" xfId="3" applyNumberFormat="1" applyBorder="1"/>
    <xf numFmtId="3" fontId="3" fillId="0" borderId="4" xfId="3" applyNumberFormat="1" applyFont="1" applyBorder="1" applyAlignment="1">
      <alignment horizontal="center"/>
    </xf>
    <xf numFmtId="3" fontId="10" fillId="0" borderId="4" xfId="3" applyNumberFormat="1" applyFont="1" applyFill="1" applyBorder="1"/>
    <xf numFmtId="3" fontId="3" fillId="0" borderId="6" xfId="3" applyNumberFormat="1" applyFont="1" applyBorder="1"/>
    <xf numFmtId="4" fontId="4" fillId="0" borderId="19" xfId="3" applyNumberFormat="1" applyFont="1" applyBorder="1" applyAlignment="1">
      <alignment horizontal="right"/>
    </xf>
    <xf numFmtId="3" fontId="4" fillId="0" borderId="0" xfId="3" applyNumberFormat="1" applyFont="1"/>
    <xf numFmtId="3" fontId="4" fillId="0" borderId="0" xfId="0" applyNumberFormat="1" applyFont="1"/>
    <xf numFmtId="164" fontId="9" fillId="0" borderId="13" xfId="3" applyNumberFormat="1" applyFont="1" applyBorder="1" applyAlignment="1"/>
    <xf numFmtId="0" fontId="2" fillId="0" borderId="3" xfId="3" applyBorder="1" applyAlignment="1">
      <alignment vertical="center"/>
    </xf>
    <xf numFmtId="0" fontId="2" fillId="0" borderId="4" xfId="3" applyBorder="1" applyAlignment="1">
      <alignment vertical="center"/>
    </xf>
    <xf numFmtId="0" fontId="2" fillId="0" borderId="8" xfId="3" applyBorder="1" applyAlignment="1">
      <alignment vertical="center"/>
    </xf>
    <xf numFmtId="0" fontId="0" fillId="0" borderId="4" xfId="0" applyFill="1" applyBorder="1" applyAlignment="1">
      <alignment vertical="center" wrapText="1"/>
    </xf>
    <xf numFmtId="0" fontId="10" fillId="0" borderId="0" xfId="3" applyFont="1" applyAlignment="1">
      <alignment vertical="center"/>
    </xf>
    <xf numFmtId="0" fontId="2" fillId="0" borderId="0" xfId="3" applyAlignment="1">
      <alignment vertical="center"/>
    </xf>
    <xf numFmtId="0" fontId="0" fillId="0" borderId="4" xfId="0" applyBorder="1" applyAlignment="1">
      <alignment vertical="center" wrapText="1"/>
    </xf>
    <xf numFmtId="0" fontId="4" fillId="0" borderId="3" xfId="3" applyFont="1" applyBorder="1" applyAlignment="1">
      <alignment vertical="center"/>
    </xf>
    <xf numFmtId="0" fontId="4" fillId="0" borderId="4" xfId="3" applyFont="1" applyBorder="1" applyAlignment="1">
      <alignment vertical="center"/>
    </xf>
    <xf numFmtId="0" fontId="4" fillId="0" borderId="4" xfId="3" applyFont="1" applyFill="1" applyBorder="1" applyAlignment="1">
      <alignment vertical="center" wrapText="1"/>
    </xf>
    <xf numFmtId="0" fontId="4" fillId="0" borderId="0" xfId="3" applyFont="1" applyAlignment="1">
      <alignment vertical="center"/>
    </xf>
    <xf numFmtId="3" fontId="4" fillId="0" borderId="0" xfId="3" applyNumberFormat="1" applyFont="1" applyAlignment="1">
      <alignment vertical="center"/>
    </xf>
    <xf numFmtId="0" fontId="10" fillId="0" borderId="4" xfId="0" applyFont="1" applyBorder="1" applyAlignment="1">
      <alignment wrapText="1"/>
    </xf>
    <xf numFmtId="0" fontId="0" fillId="0" borderId="3" xfId="0" applyBorder="1" applyAlignment="1">
      <alignment horizontal="right"/>
    </xf>
    <xf numFmtId="4" fontId="8" fillId="0" borderId="17" xfId="0" applyNumberFormat="1" applyFont="1" applyBorder="1"/>
    <xf numFmtId="0" fontId="8" fillId="0" borderId="0" xfId="0" applyFont="1"/>
    <xf numFmtId="0" fontId="8" fillId="0" borderId="3" xfId="0" applyFont="1" applyBorder="1" applyAlignment="1">
      <alignment horizontal="right"/>
    </xf>
    <xf numFmtId="0" fontId="8" fillId="0" borderId="4" xfId="0" applyFont="1" applyBorder="1" applyAlignment="1">
      <alignment wrapText="1"/>
    </xf>
    <xf numFmtId="4" fontId="10" fillId="0" borderId="17" xfId="0" applyNumberFormat="1" applyFont="1" applyFill="1" applyBorder="1"/>
    <xf numFmtId="0" fontId="10" fillId="0" borderId="3" xfId="0" applyFont="1" applyBorder="1" applyAlignment="1">
      <alignment horizontal="right"/>
    </xf>
    <xf numFmtId="4" fontId="10" fillId="0" borderId="17" xfId="0" applyNumberFormat="1" applyFont="1" applyBorder="1"/>
    <xf numFmtId="0" fontId="3" fillId="0" borderId="3" xfId="0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0" fontId="3" fillId="0" borderId="4" xfId="0" applyFont="1" applyFill="1" applyBorder="1"/>
    <xf numFmtId="4" fontId="8" fillId="0" borderId="17" xfId="0" applyNumberFormat="1" applyFont="1" applyFill="1" applyBorder="1"/>
    <xf numFmtId="0" fontId="8" fillId="0" borderId="4" xfId="0" applyFont="1" applyFill="1" applyBorder="1"/>
    <xf numFmtId="0" fontId="16" fillId="0" borderId="3" xfId="0" applyFont="1" applyBorder="1" applyAlignment="1">
      <alignment horizontal="right"/>
    </xf>
    <xf numFmtId="0" fontId="8" fillId="0" borderId="4" xfId="0" applyFont="1" applyFill="1" applyBorder="1" applyAlignment="1">
      <alignment wrapText="1"/>
    </xf>
    <xf numFmtId="0" fontId="15" fillId="0" borderId="3" xfId="0" applyFont="1" applyBorder="1" applyAlignment="1">
      <alignment horizontal="right"/>
    </xf>
    <xf numFmtId="0" fontId="16" fillId="0" borderId="4" xfId="0" applyFont="1" applyFill="1" applyBorder="1" applyAlignment="1">
      <alignment wrapText="1"/>
    </xf>
    <xf numFmtId="0" fontId="16" fillId="0" borderId="4" xfId="0" applyFont="1" applyFill="1" applyBorder="1"/>
    <xf numFmtId="0" fontId="12" fillId="0" borderId="3" xfId="0" applyFont="1" applyBorder="1" applyAlignment="1">
      <alignment horizontal="right" wrapText="1"/>
    </xf>
    <xf numFmtId="0" fontId="12" fillId="0" borderId="4" xfId="0" applyFont="1" applyBorder="1" applyAlignment="1">
      <alignment horizontal="right" wrapText="1"/>
    </xf>
    <xf numFmtId="0" fontId="12" fillId="0" borderId="0" xfId="0" applyFont="1"/>
    <xf numFmtId="0" fontId="3" fillId="0" borderId="0" xfId="0" applyFont="1" applyFill="1" applyBorder="1" applyAlignment="1"/>
    <xf numFmtId="3" fontId="4" fillId="0" borderId="4" xfId="0" applyNumberFormat="1" applyFont="1" applyFill="1" applyBorder="1" applyAlignment="1">
      <alignment horizontal="right" vertical="center"/>
    </xf>
    <xf numFmtId="0" fontId="18" fillId="0" borderId="24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/>
    </xf>
    <xf numFmtId="3" fontId="0" fillId="0" borderId="4" xfId="0" applyNumberFormat="1" applyBorder="1"/>
    <xf numFmtId="3" fontId="3" fillId="0" borderId="4" xfId="0" applyNumberFormat="1" applyFont="1" applyBorder="1"/>
    <xf numFmtId="0" fontId="0" fillId="0" borderId="4" xfId="0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/>
    <xf numFmtId="0" fontId="3" fillId="2" borderId="0" xfId="0" applyFont="1" applyFill="1"/>
    <xf numFmtId="0" fontId="3" fillId="2" borderId="4" xfId="0" applyFont="1" applyFill="1" applyBorder="1"/>
    <xf numFmtId="3" fontId="3" fillId="2" borderId="4" xfId="0" applyNumberFormat="1" applyFont="1" applyFill="1" applyBorder="1"/>
    <xf numFmtId="0" fontId="3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3" fontId="3" fillId="2" borderId="0" xfId="0" applyNumberFormat="1" applyFont="1" applyFill="1"/>
    <xf numFmtId="4" fontId="3" fillId="0" borderId="0" xfId="3" applyNumberFormat="1" applyFont="1" applyAlignment="1">
      <alignment horizontal="center"/>
    </xf>
    <xf numFmtId="0" fontId="0" fillId="0" borderId="13" xfId="0" applyBorder="1"/>
    <xf numFmtId="0" fontId="0" fillId="0" borderId="5" xfId="0" applyBorder="1" applyAlignment="1">
      <alignment horizontal="center"/>
    </xf>
    <xf numFmtId="0" fontId="0" fillId="0" borderId="6" xfId="0" applyBorder="1"/>
    <xf numFmtId="0" fontId="19" fillId="0" borderId="0" xfId="0" applyFont="1" applyFill="1" applyBorder="1" applyAlignment="1"/>
    <xf numFmtId="0" fontId="20" fillId="0" borderId="0" xfId="0" applyFont="1" applyFill="1" applyBorder="1" applyAlignment="1">
      <alignment horizontal="centerContinuous"/>
    </xf>
    <xf numFmtId="0" fontId="20" fillId="0" borderId="0" xfId="0" applyFont="1" applyAlignment="1">
      <alignment horizontal="centerContinuous"/>
    </xf>
    <xf numFmtId="0" fontId="21" fillId="0" borderId="0" xfId="0" applyFont="1" applyFill="1" applyBorder="1" applyAlignment="1"/>
    <xf numFmtId="0" fontId="21" fillId="0" borderId="0" xfId="0" applyFont="1" applyAlignment="1">
      <alignment horizontal="center"/>
    </xf>
    <xf numFmtId="0" fontId="21" fillId="0" borderId="0" xfId="0" applyFont="1" applyAlignment="1">
      <alignment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Continuous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Continuous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167" fontId="4" fillId="0" borderId="4" xfId="0" applyNumberFormat="1" applyFont="1" applyFill="1" applyBorder="1" applyAlignment="1">
      <alignment horizontal="left" vertical="center" wrapText="1"/>
    </xf>
    <xf numFmtId="4" fontId="4" fillId="0" borderId="4" xfId="0" applyNumberFormat="1" applyFont="1" applyFill="1" applyBorder="1"/>
    <xf numFmtId="4" fontId="4" fillId="0" borderId="4" xfId="0" applyNumberFormat="1" applyFont="1" applyBorder="1"/>
    <xf numFmtId="0" fontId="10" fillId="0" borderId="4" xfId="3" applyFont="1" applyFill="1" applyBorder="1"/>
    <xf numFmtId="0" fontId="18" fillId="0" borderId="17" xfId="4" applyFont="1" applyFill="1" applyBorder="1" applyAlignment="1">
      <alignment horizontal="center" vertical="center" wrapText="1"/>
    </xf>
    <xf numFmtId="0" fontId="0" fillId="0" borderId="0" xfId="0" applyFill="1"/>
    <xf numFmtId="0" fontId="6" fillId="0" borderId="0" xfId="0" applyFont="1" applyFill="1"/>
    <xf numFmtId="43" fontId="8" fillId="0" borderId="0" xfId="0" applyNumberFormat="1" applyFont="1" applyFill="1"/>
    <xf numFmtId="0" fontId="8" fillId="0" borderId="0" xfId="0" applyFont="1" applyFill="1"/>
    <xf numFmtId="0" fontId="23" fillId="0" borderId="4" xfId="0" applyFont="1" applyBorder="1"/>
    <xf numFmtId="0" fontId="24" fillId="0" borderId="4" xfId="0" applyFont="1" applyFill="1" applyBorder="1" applyAlignment="1">
      <alignment wrapText="1"/>
    </xf>
    <xf numFmtId="0" fontId="24" fillId="0" borderId="4" xfId="0" applyFont="1" applyBorder="1"/>
    <xf numFmtId="0" fontId="23" fillId="0" borderId="4" xfId="0" applyFont="1" applyBorder="1" applyAlignment="1">
      <alignment wrapText="1"/>
    </xf>
    <xf numFmtId="43" fontId="8" fillId="0" borderId="0" xfId="6" applyFont="1" applyFill="1"/>
    <xf numFmtId="9" fontId="8" fillId="0" borderId="0" xfId="0" applyNumberFormat="1" applyFont="1" applyFill="1"/>
    <xf numFmtId="0" fontId="23" fillId="0" borderId="4" xfId="0" applyFont="1" applyFill="1" applyBorder="1"/>
    <xf numFmtId="0" fontId="25" fillId="0" borderId="4" xfId="0" applyFont="1" applyFill="1" applyBorder="1"/>
    <xf numFmtId="0" fontId="23" fillId="0" borderId="4" xfId="0" applyFont="1" applyFill="1" applyBorder="1" applyAlignment="1">
      <alignment wrapText="1"/>
    </xf>
    <xf numFmtId="0" fontId="25" fillId="0" borderId="4" xfId="0" applyFont="1" applyFill="1" applyBorder="1" applyAlignment="1">
      <alignment wrapText="1"/>
    </xf>
    <xf numFmtId="0" fontId="0" fillId="0" borderId="24" xfId="0" applyBorder="1" applyAlignment="1">
      <alignment horizontal="right"/>
    </xf>
    <xf numFmtId="0" fontId="23" fillId="0" borderId="11" xfId="0" applyFont="1" applyBorder="1"/>
    <xf numFmtId="0" fontId="0" fillId="0" borderId="11" xfId="0" applyFill="1" applyBorder="1" applyAlignment="1">
      <alignment wrapText="1"/>
    </xf>
    <xf numFmtId="0" fontId="10" fillId="0" borderId="24" xfId="0" applyFont="1" applyBorder="1" applyAlignment="1">
      <alignment horizontal="right"/>
    </xf>
    <xf numFmtId="0" fontId="0" fillId="0" borderId="11" xfId="0" applyBorder="1"/>
    <xf numFmtId="4" fontId="22" fillId="6" borderId="17" xfId="0" applyNumberFormat="1" applyFont="1" applyFill="1" applyBorder="1"/>
    <xf numFmtId="4" fontId="8" fillId="6" borderId="17" xfId="0" applyNumberFormat="1" applyFont="1" applyFill="1" applyBorder="1"/>
    <xf numFmtId="4" fontId="10" fillId="0" borderId="27" xfId="0" applyNumberFormat="1" applyFont="1" applyBorder="1"/>
    <xf numFmtId="4" fontId="10" fillId="0" borderId="27" xfId="0" applyNumberFormat="1" applyFont="1" applyFill="1" applyBorder="1"/>
    <xf numFmtId="4" fontId="22" fillId="0" borderId="17" xfId="0" applyNumberFormat="1" applyFont="1" applyBorder="1"/>
    <xf numFmtId="4" fontId="22" fillId="6" borderId="28" xfId="0" applyNumberFormat="1" applyFont="1" applyFill="1" applyBorder="1"/>
    <xf numFmtId="0" fontId="10" fillId="0" borderId="4" xfId="3" applyFont="1" applyBorder="1"/>
    <xf numFmtId="3" fontId="3" fillId="0" borderId="0" xfId="0" applyNumberFormat="1" applyFont="1" applyFill="1" applyBorder="1" applyAlignment="1"/>
    <xf numFmtId="2" fontId="3" fillId="0" borderId="0" xfId="0" applyNumberFormat="1" applyFont="1" applyFill="1" applyBorder="1" applyAlignment="1">
      <alignment horizontal="right"/>
    </xf>
    <xf numFmtId="10" fontId="0" fillId="0" borderId="0" xfId="0" applyNumberFormat="1"/>
    <xf numFmtId="4" fontId="30" fillId="0" borderId="0" xfId="5" applyNumberFormat="1" applyFont="1"/>
    <xf numFmtId="4" fontId="26" fillId="6" borderId="17" xfId="0" applyNumberFormat="1" applyFont="1" applyFill="1" applyBorder="1"/>
    <xf numFmtId="4" fontId="27" fillId="0" borderId="17" xfId="0" applyNumberFormat="1" applyFont="1" applyBorder="1"/>
    <xf numFmtId="4" fontId="27" fillId="0" borderId="17" xfId="0" applyNumberFormat="1" applyFont="1" applyFill="1" applyBorder="1"/>
    <xf numFmtId="0" fontId="10" fillId="0" borderId="4" xfId="0" applyFont="1" applyBorder="1"/>
    <xf numFmtId="0" fontId="3" fillId="2" borderId="16" xfId="4" applyFont="1" applyFill="1" applyBorder="1" applyAlignment="1">
      <alignment horizontal="center" vertical="center" wrapText="1"/>
    </xf>
    <xf numFmtId="0" fontId="12" fillId="6" borderId="3" xfId="0" applyFont="1" applyFill="1" applyBorder="1" applyAlignment="1">
      <alignment horizontal="center"/>
    </xf>
    <xf numFmtId="0" fontId="12" fillId="6" borderId="4" xfId="0" applyFont="1" applyFill="1" applyBorder="1"/>
    <xf numFmtId="0" fontId="8" fillId="6" borderId="3" xfId="0" applyFont="1" applyFill="1" applyBorder="1" applyAlignment="1">
      <alignment horizontal="center"/>
    </xf>
    <xf numFmtId="0" fontId="8" fillId="6" borderId="4" xfId="0" applyFont="1" applyFill="1" applyBorder="1" applyAlignment="1">
      <alignment wrapText="1"/>
    </xf>
    <xf numFmtId="0" fontId="8" fillId="6" borderId="4" xfId="0" applyFont="1" applyFill="1" applyBorder="1"/>
    <xf numFmtId="0" fontId="8" fillId="6" borderId="4" xfId="1" applyNumberFormat="1" applyFont="1" applyFill="1" applyBorder="1" applyAlignment="1">
      <alignment wrapText="1"/>
    </xf>
    <xf numFmtId="0" fontId="12" fillId="6" borderId="4" xfId="0" applyFont="1" applyFill="1" applyBorder="1" applyAlignment="1">
      <alignment wrapText="1"/>
    </xf>
    <xf numFmtId="0" fontId="3" fillId="6" borderId="3" xfId="0" applyFont="1" applyFill="1" applyBorder="1" applyAlignment="1">
      <alignment horizontal="center"/>
    </xf>
    <xf numFmtId="0" fontId="3" fillId="6" borderId="4" xfId="0" applyFont="1" applyFill="1" applyBorder="1" applyAlignment="1">
      <alignment wrapText="1"/>
    </xf>
    <xf numFmtId="0" fontId="16" fillId="6" borderId="3" xfId="0" applyFont="1" applyFill="1" applyBorder="1" applyAlignment="1">
      <alignment horizontal="center"/>
    </xf>
    <xf numFmtId="3" fontId="10" fillId="0" borderId="4" xfId="4" applyNumberFormat="1" applyFill="1" applyBorder="1"/>
    <xf numFmtId="3" fontId="3" fillId="0" borderId="4" xfId="4" applyNumberFormat="1" applyFont="1" applyFill="1" applyBorder="1"/>
    <xf numFmtId="3" fontId="10" fillId="0" borderId="9" xfId="4" applyNumberFormat="1" applyFill="1" applyBorder="1"/>
    <xf numFmtId="3" fontId="4" fillId="0" borderId="4" xfId="4" applyNumberFormat="1" applyFont="1" applyFill="1" applyBorder="1"/>
    <xf numFmtId="3" fontId="10" fillId="0" borderId="4" xfId="4" applyNumberFormat="1" applyFont="1" applyFill="1" applyBorder="1"/>
    <xf numFmtId="3" fontId="3" fillId="0" borderId="9" xfId="4" applyNumberFormat="1" applyFont="1" applyFill="1" applyBorder="1"/>
    <xf numFmtId="3" fontId="29" fillId="0" borderId="0" xfId="2" applyNumberFormat="1" applyFill="1"/>
    <xf numFmtId="3" fontId="0" fillId="0" borderId="0" xfId="0" applyNumberFormat="1" applyFill="1"/>
    <xf numFmtId="3" fontId="4" fillId="0" borderId="4" xfId="3" applyNumberFormat="1" applyFont="1" applyFill="1" applyBorder="1" applyAlignment="1">
      <alignment horizontal="right"/>
    </xf>
    <xf numFmtId="4" fontId="26" fillId="0" borderId="17" xfId="0" applyNumberFormat="1" applyFont="1" applyBorder="1"/>
    <xf numFmtId="0" fontId="2" fillId="0" borderId="3" xfId="0" applyFont="1" applyBorder="1" applyAlignment="1">
      <alignment horizontal="right"/>
    </xf>
    <xf numFmtId="4" fontId="2" fillId="0" borderId="17" xfId="0" applyNumberFormat="1" applyFont="1" applyBorder="1"/>
    <xf numFmtId="4" fontId="2" fillId="0" borderId="30" xfId="0" applyNumberFormat="1" applyFont="1" applyBorder="1"/>
    <xf numFmtId="3" fontId="3" fillId="7" borderId="4" xfId="4" applyNumberFormat="1" applyFont="1" applyFill="1" applyBorder="1"/>
    <xf numFmtId="3" fontId="10" fillId="7" borderId="4" xfId="4" applyNumberFormat="1" applyFill="1" applyBorder="1"/>
    <xf numFmtId="3" fontId="4" fillId="7" borderId="4" xfId="4" applyNumberFormat="1" applyFont="1" applyFill="1" applyBorder="1"/>
    <xf numFmtId="0" fontId="28" fillId="0" borderId="4" xfId="3" applyFont="1" applyBorder="1"/>
    <xf numFmtId="4" fontId="28" fillId="0" borderId="19" xfId="3" applyNumberFormat="1" applyFont="1" applyBorder="1" applyAlignment="1">
      <alignment horizontal="right"/>
    </xf>
    <xf numFmtId="0" fontId="28" fillId="0" borderId="4" xfId="3" applyFont="1" applyFill="1" applyBorder="1"/>
    <xf numFmtId="0" fontId="28" fillId="0" borderId="4" xfId="0" applyFont="1" applyBorder="1"/>
    <xf numFmtId="0" fontId="28" fillId="0" borderId="11" xfId="3" applyFont="1" applyBorder="1"/>
    <xf numFmtId="0" fontId="28" fillId="0" borderId="4" xfId="0" applyFont="1" applyFill="1" applyBorder="1" applyAlignment="1">
      <alignment wrapText="1"/>
    </xf>
    <xf numFmtId="0" fontId="28" fillId="0" borderId="4" xfId="0" applyFont="1" applyFill="1" applyBorder="1"/>
    <xf numFmtId="0" fontId="28" fillId="0" borderId="4" xfId="3" applyFont="1" applyFill="1" applyBorder="1" applyAlignment="1">
      <alignment wrapText="1"/>
    </xf>
    <xf numFmtId="0" fontId="28" fillId="0" borderId="4" xfId="0" applyFont="1" applyBorder="1" applyAlignment="1">
      <alignment wrapText="1"/>
    </xf>
    <xf numFmtId="0" fontId="2" fillId="0" borderId="4" xfId="0" applyFont="1" applyBorder="1"/>
    <xf numFmtId="0" fontId="2" fillId="0" borderId="4" xfId="0" applyFont="1" applyFill="1" applyBorder="1"/>
    <xf numFmtId="0" fontId="4" fillId="0" borderId="3" xfId="3" applyFont="1" applyBorder="1" applyAlignment="1">
      <alignment horizontal="center" vertical="top"/>
    </xf>
    <xf numFmtId="0" fontId="2" fillId="0" borderId="3" xfId="3" applyBorder="1" applyAlignment="1">
      <alignment horizontal="center" vertical="top"/>
    </xf>
    <xf numFmtId="0" fontId="28" fillId="0" borderId="3" xfId="3" applyFont="1" applyBorder="1" applyAlignment="1">
      <alignment horizontal="right" vertical="top"/>
    </xf>
    <xf numFmtId="0" fontId="2" fillId="0" borderId="3" xfId="3" applyFill="1" applyBorder="1" applyAlignment="1">
      <alignment horizontal="center" vertical="top"/>
    </xf>
    <xf numFmtId="0" fontId="28" fillId="0" borderId="3" xfId="3" applyFont="1" applyFill="1" applyBorder="1" applyAlignment="1">
      <alignment horizontal="right" vertical="top"/>
    </xf>
    <xf numFmtId="49" fontId="28" fillId="0" borderId="3" xfId="0" applyNumberFormat="1" applyFont="1" applyBorder="1" applyAlignment="1">
      <alignment horizontal="right" vertical="top"/>
    </xf>
    <xf numFmtId="49" fontId="28" fillId="0" borderId="3" xfId="0" applyNumberFormat="1" applyFont="1" applyFill="1" applyBorder="1" applyAlignment="1">
      <alignment horizontal="right" vertical="top"/>
    </xf>
    <xf numFmtId="0" fontId="3" fillId="0" borderId="3" xfId="3" applyFont="1" applyBorder="1" applyAlignment="1">
      <alignment vertical="top"/>
    </xf>
    <xf numFmtId="49" fontId="4" fillId="0" borderId="3" xfId="0" applyNumberFormat="1" applyFont="1" applyBorder="1" applyAlignment="1">
      <alignment horizontal="center" vertical="top"/>
    </xf>
    <xf numFmtId="49" fontId="2" fillId="0" borderId="3" xfId="3" applyNumberFormat="1" applyFont="1" applyBorder="1" applyAlignment="1">
      <alignment horizontal="center" vertical="top"/>
    </xf>
    <xf numFmtId="0" fontId="2" fillId="0" borderId="3" xfId="3" applyFont="1" applyBorder="1"/>
    <xf numFmtId="0" fontId="2" fillId="0" borderId="3" xfId="3" applyFont="1" applyBorder="1" applyAlignment="1">
      <alignment horizontal="center" vertical="top"/>
    </xf>
    <xf numFmtId="49" fontId="2" fillId="0" borderId="3" xfId="0" applyNumberFormat="1" applyFont="1" applyFill="1" applyBorder="1" applyAlignment="1">
      <alignment horizontal="center" vertical="top"/>
    </xf>
    <xf numFmtId="0" fontId="2" fillId="0" borderId="4" xfId="3" applyFont="1" applyFill="1" applyBorder="1" applyAlignment="1">
      <alignment wrapText="1"/>
    </xf>
    <xf numFmtId="49" fontId="2" fillId="0" borderId="3" xfId="0" applyNumberFormat="1" applyFont="1" applyBorder="1" applyAlignment="1">
      <alignment horizontal="center" vertical="top"/>
    </xf>
    <xf numFmtId="0" fontId="2" fillId="0" borderId="9" xfId="0" applyFont="1" applyBorder="1" applyAlignment="1">
      <alignment wrapText="1"/>
    </xf>
    <xf numFmtId="0" fontId="18" fillId="0" borderId="26" xfId="0" applyFont="1" applyFill="1" applyBorder="1" applyAlignment="1">
      <alignment horizontal="center" vertical="center"/>
    </xf>
    <xf numFmtId="0" fontId="0" fillId="0" borderId="0" xfId="0" applyFill="1" applyAlignment="1">
      <alignment wrapText="1"/>
    </xf>
    <xf numFmtId="3" fontId="12" fillId="0" borderId="0" xfId="0" applyNumberFormat="1" applyFont="1" applyFill="1"/>
    <xf numFmtId="3" fontId="8" fillId="0" borderId="0" xfId="0" applyNumberFormat="1" applyFont="1" applyFill="1"/>
    <xf numFmtId="4" fontId="8" fillId="0" borderId="0" xfId="0" applyNumberFormat="1" applyFont="1" applyFill="1"/>
    <xf numFmtId="0" fontId="3" fillId="0" borderId="0" xfId="0" applyFont="1" applyFill="1" applyBorder="1"/>
    <xf numFmtId="3" fontId="0" fillId="0" borderId="0" xfId="0" applyNumberFormat="1" applyFill="1" applyBorder="1"/>
    <xf numFmtId="0" fontId="10" fillId="0" borderId="0" xfId="0" applyFont="1" applyFill="1"/>
    <xf numFmtId="0" fontId="2" fillId="0" borderId="0" xfId="0" applyFont="1" applyFill="1"/>
    <xf numFmtId="0" fontId="8" fillId="0" borderId="4" xfId="0" applyFont="1" applyBorder="1" applyAlignment="1">
      <alignment horizontal="center"/>
    </xf>
    <xf numFmtId="4" fontId="8" fillId="0" borderId="19" xfId="3" applyNumberFormat="1" applyFont="1" applyBorder="1" applyAlignment="1">
      <alignment horizontal="right"/>
    </xf>
    <xf numFmtId="0" fontId="2" fillId="0" borderId="4" xfId="0" applyFont="1" applyFill="1" applyBorder="1" applyAlignment="1">
      <alignment wrapText="1"/>
    </xf>
    <xf numFmtId="3" fontId="4" fillId="0" borderId="33" xfId="0" applyNumberFormat="1" applyFont="1" applyFill="1" applyBorder="1"/>
    <xf numFmtId="3" fontId="0" fillId="0" borderId="4" xfId="0" applyNumberFormat="1" applyFill="1" applyBorder="1"/>
    <xf numFmtId="3" fontId="2" fillId="0" borderId="9" xfId="3" applyNumberFormat="1" applyBorder="1"/>
    <xf numFmtId="3" fontId="3" fillId="3" borderId="9" xfId="3" applyNumberFormat="1" applyFont="1" applyFill="1" applyBorder="1"/>
    <xf numFmtId="3" fontId="4" fillId="0" borderId="9" xfId="3" applyNumberFormat="1" applyFont="1" applyBorder="1"/>
    <xf numFmtId="3" fontId="2" fillId="0" borderId="9" xfId="3" applyNumberFormat="1" applyFill="1" applyBorder="1"/>
    <xf numFmtId="3" fontId="3" fillId="0" borderId="9" xfId="3" applyNumberFormat="1" applyFont="1" applyFill="1" applyBorder="1" applyAlignment="1">
      <alignment horizontal="right"/>
    </xf>
    <xf numFmtId="3" fontId="3" fillId="0" borderId="9" xfId="3" applyNumberFormat="1" applyFont="1" applyBorder="1"/>
    <xf numFmtId="3" fontId="4" fillId="0" borderId="9" xfId="3" applyNumberFormat="1" applyFont="1" applyFill="1" applyBorder="1"/>
    <xf numFmtId="3" fontId="8" fillId="0" borderId="4" xfId="3" applyNumberFormat="1" applyFont="1" applyFill="1" applyBorder="1"/>
    <xf numFmtId="0" fontId="3" fillId="0" borderId="4" xfId="3" applyFont="1" applyFill="1" applyBorder="1"/>
    <xf numFmtId="3" fontId="4" fillId="0" borderId="4" xfId="3" applyNumberFormat="1" applyFont="1" applyFill="1" applyBorder="1" applyAlignment="1">
      <alignment vertical="center"/>
    </xf>
    <xf numFmtId="3" fontId="2" fillId="0" borderId="4" xfId="3" applyNumberFormat="1" applyFont="1" applyBorder="1"/>
    <xf numFmtId="3" fontId="2" fillId="0" borderId="4" xfId="3" applyNumberFormat="1" applyFont="1" applyFill="1" applyBorder="1"/>
    <xf numFmtId="3" fontId="3" fillId="0" borderId="4" xfId="3" applyNumberFormat="1" applyFont="1" applyBorder="1" applyAlignment="1">
      <alignment horizontal="right"/>
    </xf>
    <xf numFmtId="3" fontId="2" fillId="0" borderId="4" xfId="3" applyNumberFormat="1" applyBorder="1"/>
    <xf numFmtId="3" fontId="2" fillId="0" borderId="4" xfId="3" applyNumberFormat="1" applyFill="1" applyBorder="1"/>
    <xf numFmtId="0" fontId="3" fillId="0" borderId="0" xfId="3" applyFont="1"/>
    <xf numFmtId="0" fontId="3" fillId="0" borderId="0" xfId="3" applyFont="1" applyAlignment="1">
      <alignment horizontal="center"/>
    </xf>
    <xf numFmtId="0" fontId="3" fillId="0" borderId="4" xfId="3" applyFont="1" applyBorder="1" applyAlignment="1">
      <alignment horizontal="center"/>
    </xf>
    <xf numFmtId="0" fontId="2" fillId="0" borderId="0" xfId="3"/>
    <xf numFmtId="0" fontId="2" fillId="0" borderId="3" xfId="3" applyBorder="1"/>
    <xf numFmtId="0" fontId="2" fillId="0" borderId="4" xfId="3" applyBorder="1"/>
    <xf numFmtId="0" fontId="3" fillId="0" borderId="3" xfId="3" applyFont="1" applyBorder="1"/>
    <xf numFmtId="3" fontId="3" fillId="0" borderId="4" xfId="3" applyNumberFormat="1" applyFont="1" applyBorder="1"/>
    <xf numFmtId="0" fontId="2" fillId="0" borderId="0" xfId="3" applyAlignment="1">
      <alignment horizontal="center"/>
    </xf>
    <xf numFmtId="0" fontId="2" fillId="0" borderId="4" xfId="3" applyFont="1" applyBorder="1"/>
    <xf numFmtId="3" fontId="4" fillId="0" borderId="4" xfId="3" applyNumberFormat="1" applyFont="1" applyBorder="1"/>
    <xf numFmtId="0" fontId="2" fillId="0" borderId="0" xfId="3" applyFont="1" applyAlignment="1">
      <alignment horizontal="left"/>
    </xf>
    <xf numFmtId="3" fontId="3" fillId="3" borderId="4" xfId="3" applyNumberFormat="1" applyFont="1" applyFill="1" applyBorder="1"/>
    <xf numFmtId="0" fontId="6" fillId="0" borderId="0" xfId="3" applyFont="1" applyAlignment="1">
      <alignment horizontal="left"/>
    </xf>
    <xf numFmtId="3" fontId="3" fillId="0" borderId="4" xfId="3" applyNumberFormat="1" applyFont="1" applyFill="1" applyBorder="1"/>
    <xf numFmtId="3" fontId="4" fillId="0" borderId="4" xfId="3" applyNumberFormat="1" applyFont="1" applyFill="1" applyBorder="1"/>
    <xf numFmtId="3" fontId="3" fillId="0" borderId="4" xfId="3" applyNumberFormat="1" applyFont="1" applyFill="1" applyBorder="1" applyAlignment="1">
      <alignment horizontal="right"/>
    </xf>
    <xf numFmtId="0" fontId="3" fillId="0" borderId="9" xfId="3" applyFont="1" applyBorder="1" applyAlignment="1">
      <alignment horizontal="center"/>
    </xf>
    <xf numFmtId="0" fontId="28" fillId="0" borderId="4" xfId="3" applyFont="1" applyBorder="1"/>
    <xf numFmtId="3" fontId="28" fillId="0" borderId="4" xfId="3" applyNumberFormat="1" applyFont="1" applyBorder="1"/>
    <xf numFmtId="4" fontId="28" fillId="0" borderId="19" xfId="3" applyNumberFormat="1" applyFont="1" applyBorder="1" applyAlignment="1">
      <alignment horizontal="right"/>
    </xf>
    <xf numFmtId="3" fontId="28" fillId="0" borderId="4" xfId="3" applyNumberFormat="1" applyFont="1" applyFill="1" applyBorder="1"/>
    <xf numFmtId="3" fontId="28" fillId="0" borderId="4" xfId="3" applyNumberFormat="1" applyFont="1" applyFill="1" applyBorder="1" applyProtection="1">
      <protection locked="0"/>
    </xf>
    <xf numFmtId="0" fontId="2" fillId="0" borderId="13" xfId="3" applyBorder="1" applyAlignment="1">
      <alignment horizontal="center"/>
    </xf>
    <xf numFmtId="0" fontId="31" fillId="0" borderId="4" xfId="3" applyFont="1" applyBorder="1" applyAlignment="1">
      <alignment horizontal="center"/>
    </xf>
    <xf numFmtId="0" fontId="33" fillId="0" borderId="4" xfId="3" applyFont="1" applyBorder="1" applyAlignment="1">
      <alignment horizontal="center"/>
    </xf>
    <xf numFmtId="0" fontId="33" fillId="0" borderId="6" xfId="3" applyFont="1" applyBorder="1" applyAlignment="1">
      <alignment horizontal="center"/>
    </xf>
    <xf numFmtId="0" fontId="33" fillId="0" borderId="0" xfId="3" applyFont="1" applyAlignment="1">
      <alignment horizontal="center"/>
    </xf>
    <xf numFmtId="0" fontId="33" fillId="0" borderId="4" xfId="3" applyFont="1" applyFill="1" applyBorder="1" applyAlignment="1">
      <alignment horizontal="center"/>
    </xf>
    <xf numFmtId="0" fontId="33" fillId="0" borderId="4" xfId="3" applyFont="1" applyBorder="1" applyAlignment="1">
      <alignment horizontal="center" vertical="center"/>
    </xf>
    <xf numFmtId="0" fontId="33" fillId="0" borderId="11" xfId="3" applyFont="1" applyFill="1" applyBorder="1" applyAlignment="1">
      <alignment horizontal="center"/>
    </xf>
    <xf numFmtId="0" fontId="33" fillId="0" borderId="10" xfId="3" applyFont="1" applyBorder="1" applyAlignment="1">
      <alignment horizontal="center"/>
    </xf>
    <xf numFmtId="0" fontId="33" fillId="0" borderId="9" xfId="3" applyFont="1" applyBorder="1" applyAlignment="1">
      <alignment horizontal="center"/>
    </xf>
    <xf numFmtId="0" fontId="33" fillId="0" borderId="11" xfId="3" applyFont="1" applyBorder="1" applyAlignment="1">
      <alignment horizontal="center"/>
    </xf>
    <xf numFmtId="0" fontId="31" fillId="0" borderId="15" xfId="3" applyFont="1" applyBorder="1" applyAlignment="1">
      <alignment horizontal="center"/>
    </xf>
    <xf numFmtId="0" fontId="31" fillId="0" borderId="10" xfId="3" applyFont="1" applyBorder="1" applyAlignment="1">
      <alignment horizontal="center"/>
    </xf>
    <xf numFmtId="0" fontId="18" fillId="0" borderId="9" xfId="3" applyFont="1" applyBorder="1" applyAlignment="1">
      <alignment horizontal="center"/>
    </xf>
    <xf numFmtId="0" fontId="18" fillId="0" borderId="9" xfId="3" applyFont="1" applyBorder="1" applyAlignment="1">
      <alignment horizontal="center" vertical="top"/>
    </xf>
    <xf numFmtId="0" fontId="17" fillId="0" borderId="9" xfId="3" applyFont="1" applyBorder="1" applyAlignment="1">
      <alignment horizontal="center" vertical="top"/>
    </xf>
    <xf numFmtId="0" fontId="34" fillId="0" borderId="9" xfId="3" applyFont="1" applyBorder="1" applyAlignment="1">
      <alignment horizontal="center" vertical="top"/>
    </xf>
    <xf numFmtId="0" fontId="17" fillId="0" borderId="9" xfId="3" applyFont="1" applyFill="1" applyBorder="1" applyAlignment="1">
      <alignment horizontal="center" vertical="top"/>
    </xf>
    <xf numFmtId="0" fontId="34" fillId="0" borderId="9" xfId="3" applyFont="1" applyFill="1" applyBorder="1" applyAlignment="1">
      <alignment horizontal="center" vertical="top"/>
    </xf>
    <xf numFmtId="49" fontId="34" fillId="0" borderId="9" xfId="0" applyNumberFormat="1" applyFont="1" applyBorder="1" applyAlignment="1">
      <alignment horizontal="center" vertical="top"/>
    </xf>
    <xf numFmtId="0" fontId="34" fillId="0" borderId="15" xfId="3" applyFont="1" applyBorder="1" applyAlignment="1">
      <alignment horizontal="center" vertical="top"/>
    </xf>
    <xf numFmtId="49" fontId="34" fillId="0" borderId="9" xfId="0" applyNumberFormat="1" applyFont="1" applyFill="1" applyBorder="1" applyAlignment="1">
      <alignment horizontal="center" vertical="top"/>
    </xf>
    <xf numFmtId="49" fontId="17" fillId="0" borderId="9" xfId="0" applyNumberFormat="1" applyFont="1" applyFill="1" applyBorder="1" applyAlignment="1">
      <alignment horizontal="center" vertical="top"/>
    </xf>
    <xf numFmtId="49" fontId="17" fillId="0" borderId="9" xfId="0" applyNumberFormat="1" applyFont="1" applyBorder="1" applyAlignment="1">
      <alignment horizontal="center" vertical="top"/>
    </xf>
    <xf numFmtId="49" fontId="17" fillId="0" borderId="9" xfId="3" applyNumberFormat="1" applyFont="1" applyBorder="1" applyAlignment="1">
      <alignment horizontal="center" vertical="top"/>
    </xf>
    <xf numFmtId="0" fontId="17" fillId="0" borderId="9" xfId="3" applyFont="1" applyBorder="1" applyAlignment="1">
      <alignment horizontal="center"/>
    </xf>
    <xf numFmtId="0" fontId="17" fillId="0" borderId="35" xfId="3" applyFont="1" applyBorder="1" applyAlignment="1">
      <alignment horizontal="center"/>
    </xf>
    <xf numFmtId="0" fontId="18" fillId="0" borderId="4" xfId="3" applyFont="1" applyBorder="1" applyAlignment="1">
      <alignment horizontal="center"/>
    </xf>
    <xf numFmtId="0" fontId="17" fillId="0" borderId="4" xfId="3" applyFont="1" applyBorder="1" applyAlignment="1">
      <alignment horizontal="center"/>
    </xf>
    <xf numFmtId="0" fontId="17" fillId="0" borderId="6" xfId="3" applyFont="1" applyBorder="1" applyAlignment="1">
      <alignment horizontal="center"/>
    </xf>
    <xf numFmtId="0" fontId="17" fillId="0" borderId="0" xfId="3" applyFont="1" applyAlignment="1">
      <alignment horizontal="center"/>
    </xf>
    <xf numFmtId="0" fontId="17" fillId="0" borderId="4" xfId="3" applyFont="1" applyFill="1" applyBorder="1" applyAlignment="1">
      <alignment horizontal="center"/>
    </xf>
    <xf numFmtId="0" fontId="17" fillId="0" borderId="4" xfId="3" applyFont="1" applyBorder="1" applyAlignment="1">
      <alignment horizontal="center" vertical="center"/>
    </xf>
    <xf numFmtId="0" fontId="17" fillId="0" borderId="11" xfId="3" applyFont="1" applyFill="1" applyBorder="1" applyAlignment="1">
      <alignment horizontal="center"/>
    </xf>
    <xf numFmtId="0" fontId="17" fillId="0" borderId="10" xfId="3" applyFont="1" applyBorder="1" applyAlignment="1">
      <alignment horizontal="center"/>
    </xf>
    <xf numFmtId="0" fontId="17" fillId="0" borderId="11" xfId="3" applyFont="1" applyBorder="1" applyAlignment="1">
      <alignment horizontal="center"/>
    </xf>
    <xf numFmtId="49" fontId="17" fillId="0" borderId="9" xfId="0" applyNumberFormat="1" applyFont="1" applyBorder="1" applyAlignment="1">
      <alignment horizontal="center"/>
    </xf>
    <xf numFmtId="49" fontId="17" fillId="0" borderId="15" xfId="0" applyNumberFormat="1" applyFont="1" applyBorder="1" applyAlignment="1">
      <alignment horizontal="center"/>
    </xf>
    <xf numFmtId="0" fontId="18" fillId="0" borderId="15" xfId="3" applyFont="1" applyBorder="1" applyAlignment="1">
      <alignment horizontal="center"/>
    </xf>
    <xf numFmtId="0" fontId="18" fillId="0" borderId="10" xfId="3" applyFont="1" applyBorder="1" applyAlignment="1">
      <alignment horizontal="center"/>
    </xf>
    <xf numFmtId="164" fontId="21" fillId="0" borderId="13" xfId="0" applyNumberFormat="1" applyFont="1" applyBorder="1" applyAlignment="1"/>
    <xf numFmtId="4" fontId="32" fillId="0" borderId="19" xfId="3" applyNumberFormat="1" applyFont="1" applyBorder="1" applyAlignment="1">
      <alignment horizontal="center"/>
    </xf>
    <xf numFmtId="4" fontId="32" fillId="0" borderId="19" xfId="3" applyNumberFormat="1" applyFont="1" applyFill="1" applyBorder="1"/>
    <xf numFmtId="4" fontId="21" fillId="0" borderId="19" xfId="3" applyNumberFormat="1" applyFont="1" applyFill="1" applyBorder="1"/>
    <xf numFmtId="4" fontId="21" fillId="0" borderId="19" xfId="3" applyNumberFormat="1" applyFont="1" applyBorder="1"/>
    <xf numFmtId="4" fontId="21" fillId="0" borderId="20" xfId="3" applyNumberFormat="1" applyFont="1" applyBorder="1"/>
    <xf numFmtId="4" fontId="21" fillId="0" borderId="0" xfId="3" applyNumberFormat="1" applyFont="1"/>
    <xf numFmtId="4" fontId="32" fillId="0" borderId="20" xfId="3" applyNumberFormat="1" applyFont="1" applyBorder="1"/>
    <xf numFmtId="4" fontId="21" fillId="0" borderId="14" xfId="3" applyNumberFormat="1" applyFont="1" applyBorder="1"/>
    <xf numFmtId="4" fontId="32" fillId="0" borderId="19" xfId="3" applyNumberFormat="1" applyFont="1" applyBorder="1"/>
    <xf numFmtId="49" fontId="33" fillId="0" borderId="4" xfId="0" applyNumberFormat="1" applyFont="1" applyBorder="1" applyAlignment="1">
      <alignment horizontal="center"/>
    </xf>
    <xf numFmtId="49" fontId="33" fillId="0" borderId="11" xfId="0" applyNumberFormat="1" applyFont="1" applyBorder="1" applyAlignment="1">
      <alignment horizontal="center"/>
    </xf>
    <xf numFmtId="0" fontId="1" fillId="0" borderId="4" xfId="3" applyFont="1" applyBorder="1"/>
    <xf numFmtId="3" fontId="4" fillId="0" borderId="9" xfId="12" applyNumberFormat="1" applyFont="1" applyBorder="1"/>
    <xf numFmtId="3" fontId="4" fillId="0" borderId="9" xfId="12" applyNumberFormat="1" applyFont="1" applyFill="1" applyBorder="1"/>
    <xf numFmtId="3" fontId="1" fillId="0" borderId="4" xfId="12" applyNumberFormat="1" applyFont="1" applyBorder="1"/>
    <xf numFmtId="3" fontId="4" fillId="7" borderId="4" xfId="12" applyNumberFormat="1" applyFont="1" applyFill="1" applyBorder="1"/>
    <xf numFmtId="3" fontId="1" fillId="0" borderId="4" xfId="12" applyNumberFormat="1" applyFont="1" applyFill="1" applyBorder="1"/>
    <xf numFmtId="3" fontId="1" fillId="0" borderId="4" xfId="12" applyNumberFormat="1" applyBorder="1"/>
    <xf numFmtId="3" fontId="4" fillId="0" borderId="4" xfId="12" applyNumberFormat="1" applyFont="1" applyBorder="1"/>
    <xf numFmtId="3" fontId="1" fillId="0" borderId="4" xfId="12" applyNumberFormat="1" applyFill="1" applyBorder="1"/>
    <xf numFmtId="3" fontId="4" fillId="0" borderId="4" xfId="12" applyNumberFormat="1" applyFont="1" applyFill="1" applyBorder="1"/>
    <xf numFmtId="0" fontId="23" fillId="0" borderId="4" xfId="11" applyFont="1" applyFill="1" applyBorder="1" applyAlignment="1">
      <alignment wrapText="1"/>
    </xf>
    <xf numFmtId="164" fontId="18" fillId="0" borderId="13" xfId="3" applyNumberFormat="1" applyFont="1" applyBorder="1" applyAlignment="1"/>
    <xf numFmtId="164" fontId="3" fillId="0" borderId="0" xfId="3" applyNumberFormat="1" applyFont="1"/>
    <xf numFmtId="0" fontId="5" fillId="0" borderId="0" xfId="3" applyFont="1" applyBorder="1" applyAlignment="1">
      <alignment horizontal="left"/>
    </xf>
    <xf numFmtId="0" fontId="7" fillId="0" borderId="0" xfId="3" applyFont="1" applyAlignment="1">
      <alignment horizontal="left"/>
    </xf>
    <xf numFmtId="0" fontId="3" fillId="0" borderId="11" xfId="3" applyFont="1" applyFill="1" applyBorder="1" applyAlignment="1">
      <alignment horizontal="center" vertical="center" wrapText="1"/>
    </xf>
    <xf numFmtId="0" fontId="8" fillId="0" borderId="11" xfId="3" applyFont="1" applyFill="1" applyBorder="1" applyAlignment="1">
      <alignment horizontal="center" vertical="center" wrapText="1"/>
    </xf>
    <xf numFmtId="0" fontId="3" fillId="0" borderId="24" xfId="3" applyFont="1" applyBorder="1" applyAlignment="1">
      <alignment horizontal="center" vertical="center" textRotation="90" wrapText="1"/>
    </xf>
    <xf numFmtId="0" fontId="1" fillId="0" borderId="4" xfId="3" applyFont="1" applyFill="1" applyBorder="1" applyAlignment="1">
      <alignment wrapText="1"/>
    </xf>
    <xf numFmtId="0" fontId="1" fillId="3" borderId="4" xfId="3" applyFont="1" applyFill="1" applyBorder="1" applyAlignment="1">
      <alignment wrapText="1"/>
    </xf>
    <xf numFmtId="0" fontId="2" fillId="0" borderId="0" xfId="3" applyFill="1" applyAlignment="1">
      <alignment vertical="center"/>
    </xf>
    <xf numFmtId="3" fontId="14" fillId="6" borderId="42" xfId="3" applyNumberFormat="1" applyFont="1" applyFill="1" applyBorder="1" applyAlignment="1">
      <alignment vertical="center"/>
    </xf>
    <xf numFmtId="0" fontId="14" fillId="6" borderId="42" xfId="3" applyFont="1" applyFill="1" applyBorder="1" applyAlignment="1">
      <alignment vertical="center"/>
    </xf>
    <xf numFmtId="4" fontId="9" fillId="6" borderId="43" xfId="3" applyNumberFormat="1" applyFont="1" applyFill="1" applyBorder="1" applyAlignment="1">
      <alignment horizontal="left" vertical="center"/>
    </xf>
    <xf numFmtId="4" fontId="14" fillId="6" borderId="43" xfId="3" applyNumberFormat="1" applyFont="1" applyFill="1" applyBorder="1" applyAlignment="1">
      <alignment vertical="center"/>
    </xf>
    <xf numFmtId="3" fontId="4" fillId="0" borderId="9" xfId="12" applyNumberFormat="1" applyFont="1" applyFill="1" applyBorder="1" applyAlignment="1">
      <alignment vertical="center"/>
    </xf>
    <xf numFmtId="0" fontId="12" fillId="6" borderId="11" xfId="3" applyFont="1" applyFill="1" applyBorder="1" applyAlignment="1">
      <alignment horizontal="center" vertical="center" wrapText="1"/>
    </xf>
    <xf numFmtId="0" fontId="12" fillId="6" borderId="4" xfId="3" applyFont="1" applyFill="1" applyBorder="1" applyAlignment="1">
      <alignment horizontal="center"/>
    </xf>
    <xf numFmtId="3" fontId="12" fillId="6" borderId="4" xfId="4" applyNumberFormat="1" applyFont="1" applyFill="1" applyBorder="1"/>
    <xf numFmtId="3" fontId="6" fillId="6" borderId="4" xfId="4" applyNumberFormat="1" applyFont="1" applyFill="1" applyBorder="1"/>
    <xf numFmtId="3" fontId="6" fillId="6" borderId="4" xfId="3" applyNumberFormat="1" applyFont="1" applyFill="1" applyBorder="1"/>
    <xf numFmtId="3" fontId="12" fillId="6" borderId="4" xfId="3" applyNumberFormat="1" applyFont="1" applyFill="1" applyBorder="1"/>
    <xf numFmtId="3" fontId="6" fillId="6" borderId="4" xfId="12" applyNumberFormat="1" applyFont="1" applyFill="1" applyBorder="1"/>
    <xf numFmtId="3" fontId="12" fillId="6" borderId="4" xfId="3" applyNumberFormat="1" applyFont="1" applyFill="1" applyBorder="1" applyAlignment="1">
      <alignment horizontal="right"/>
    </xf>
    <xf numFmtId="3" fontId="6" fillId="6" borderId="6" xfId="3" applyNumberFormat="1" applyFont="1" applyFill="1" applyBorder="1"/>
    <xf numFmtId="0" fontId="6" fillId="0" borderId="0" xfId="3" applyFont="1"/>
    <xf numFmtId="3" fontId="12" fillId="6" borderId="4" xfId="3" applyNumberFormat="1" applyFont="1" applyFill="1" applyBorder="1" applyAlignment="1">
      <alignment horizontal="center"/>
    </xf>
    <xf numFmtId="3" fontId="6" fillId="0" borderId="0" xfId="3" applyNumberFormat="1" applyFont="1"/>
    <xf numFmtId="0" fontId="6" fillId="6" borderId="6" xfId="3" applyFont="1" applyFill="1" applyBorder="1"/>
    <xf numFmtId="3" fontId="12" fillId="6" borderId="6" xfId="3" applyNumberFormat="1" applyFont="1" applyFill="1" applyBorder="1"/>
    <xf numFmtId="3" fontId="6" fillId="0" borderId="14" xfId="3" applyNumberFormat="1" applyFont="1" applyBorder="1"/>
    <xf numFmtId="0" fontId="6" fillId="6" borderId="4" xfId="3" applyFont="1" applyFill="1" applyBorder="1"/>
    <xf numFmtId="3" fontId="12" fillId="6" borderId="4" xfId="12" applyNumberFormat="1" applyFont="1" applyFill="1" applyBorder="1"/>
    <xf numFmtId="0" fontId="12" fillId="6" borderId="9" xfId="3" applyFont="1" applyFill="1" applyBorder="1" applyAlignment="1">
      <alignment horizontal="center"/>
    </xf>
    <xf numFmtId="3" fontId="12" fillId="6" borderId="9" xfId="3" applyNumberFormat="1" applyFont="1" applyFill="1" applyBorder="1" applyAlignment="1">
      <alignment horizontal="right"/>
    </xf>
    <xf numFmtId="3" fontId="6" fillId="6" borderId="9" xfId="3" applyNumberFormat="1" applyFont="1" applyFill="1" applyBorder="1"/>
    <xf numFmtId="3" fontId="12" fillId="6" borderId="9" xfId="3" applyNumberFormat="1" applyFont="1" applyFill="1" applyBorder="1"/>
    <xf numFmtId="3" fontId="12" fillId="6" borderId="9" xfId="4" applyNumberFormat="1" applyFont="1" applyFill="1" applyBorder="1"/>
    <xf numFmtId="0" fontId="12" fillId="6" borderId="4" xfId="3" applyFont="1" applyFill="1" applyBorder="1"/>
    <xf numFmtId="0" fontId="0" fillId="0" borderId="0" xfId="0" applyAlignment="1"/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0" fillId="0" borderId="0" xfId="0" applyAlignment="1">
      <alignment horizontal="justify" wrapText="1"/>
    </xf>
    <xf numFmtId="0" fontId="0" fillId="0" borderId="0" xfId="0" applyAlignment="1">
      <alignment horizontal="justify"/>
    </xf>
    <xf numFmtId="0" fontId="3" fillId="6" borderId="11" xfId="3" applyFont="1" applyFill="1" applyBorder="1" applyAlignment="1">
      <alignment horizontal="center" vertical="center" wrapText="1"/>
    </xf>
    <xf numFmtId="3" fontId="6" fillId="6" borderId="4" xfId="3" applyNumberFormat="1" applyFont="1" applyFill="1" applyBorder="1" applyAlignment="1">
      <alignment horizontal="right"/>
    </xf>
    <xf numFmtId="3" fontId="35" fillId="6" borderId="4" xfId="3" applyNumberFormat="1" applyFont="1" applyFill="1" applyBorder="1"/>
    <xf numFmtId="3" fontId="6" fillId="6" borderId="4" xfId="3" applyNumberFormat="1" applyFont="1" applyFill="1" applyBorder="1" applyProtection="1">
      <protection locked="0"/>
    </xf>
    <xf numFmtId="3" fontId="35" fillId="6" borderId="4" xfId="3" applyNumberFormat="1" applyFont="1" applyFill="1" applyBorder="1" applyProtection="1">
      <protection locked="0"/>
    </xf>
    <xf numFmtId="0" fontId="3" fillId="6" borderId="3" xfId="3" applyFont="1" applyFill="1" applyBorder="1" applyAlignment="1">
      <alignment horizontal="center"/>
    </xf>
    <xf numFmtId="0" fontId="3" fillId="6" borderId="9" xfId="3" applyFont="1" applyFill="1" applyBorder="1" applyAlignment="1">
      <alignment horizontal="center"/>
    </xf>
    <xf numFmtId="0" fontId="3" fillId="6" borderId="4" xfId="3" applyFont="1" applyFill="1" applyBorder="1" applyAlignment="1">
      <alignment horizontal="left"/>
    </xf>
    <xf numFmtId="3" fontId="3" fillId="6" borderId="4" xfId="3" applyNumberFormat="1" applyFont="1" applyFill="1" applyBorder="1" applyAlignment="1">
      <alignment horizontal="right"/>
    </xf>
    <xf numFmtId="4" fontId="3" fillId="6" borderId="19" xfId="3" applyNumberFormat="1" applyFont="1" applyFill="1" applyBorder="1" applyAlignment="1">
      <alignment horizontal="right"/>
    </xf>
    <xf numFmtId="0" fontId="3" fillId="6" borderId="3" xfId="3" applyFont="1" applyFill="1" applyBorder="1" applyAlignment="1">
      <alignment horizontal="center" vertical="top"/>
    </xf>
    <xf numFmtId="0" fontId="18" fillId="6" borderId="9" xfId="3" applyFont="1" applyFill="1" applyBorder="1" applyAlignment="1">
      <alignment horizontal="center" vertical="top"/>
    </xf>
    <xf numFmtId="0" fontId="3" fillId="6" borderId="4" xfId="3" applyFont="1" applyFill="1" applyBorder="1"/>
    <xf numFmtId="3" fontId="3" fillId="6" borderId="4" xfId="3" applyNumberFormat="1" applyFont="1" applyFill="1" applyBorder="1"/>
    <xf numFmtId="4" fontId="8" fillId="6" borderId="19" xfId="3" applyNumberFormat="1" applyFont="1" applyFill="1" applyBorder="1" applyAlignment="1">
      <alignment horizontal="right"/>
    </xf>
    <xf numFmtId="49" fontId="3" fillId="6" borderId="3" xfId="0" applyNumberFormat="1" applyFont="1" applyFill="1" applyBorder="1" applyAlignment="1">
      <alignment horizontal="center" vertical="top"/>
    </xf>
    <xf numFmtId="49" fontId="18" fillId="6" borderId="9" xfId="0" applyNumberFormat="1" applyFont="1" applyFill="1" applyBorder="1" applyAlignment="1">
      <alignment horizontal="center" vertical="top"/>
    </xf>
    <xf numFmtId="0" fontId="3" fillId="6" borderId="4" xfId="0" applyFont="1" applyFill="1" applyBorder="1"/>
    <xf numFmtId="49" fontId="3" fillId="6" borderId="3" xfId="3" applyNumberFormat="1" applyFont="1" applyFill="1" applyBorder="1" applyAlignment="1">
      <alignment horizontal="center" vertical="top"/>
    </xf>
    <xf numFmtId="49" fontId="18" fillId="6" borderId="9" xfId="3" applyNumberFormat="1" applyFont="1" applyFill="1" applyBorder="1" applyAlignment="1">
      <alignment horizontal="center" vertical="top"/>
    </xf>
    <xf numFmtId="0" fontId="22" fillId="2" borderId="2" xfId="0" applyFont="1" applyFill="1" applyBorder="1" applyAlignment="1">
      <alignment horizontal="center" vertical="center" wrapText="1"/>
    </xf>
    <xf numFmtId="3" fontId="22" fillId="6" borderId="4" xfId="0" applyNumberFormat="1" applyFont="1" applyFill="1" applyBorder="1"/>
    <xf numFmtId="3" fontId="22" fillId="6" borderId="8" xfId="0" applyNumberFormat="1" applyFont="1" applyFill="1" applyBorder="1"/>
    <xf numFmtId="3" fontId="22" fillId="0" borderId="8" xfId="0" applyNumberFormat="1" applyFont="1" applyBorder="1"/>
    <xf numFmtId="3" fontId="36" fillId="0" borderId="8" xfId="0" applyNumberFormat="1" applyFont="1" applyBorder="1"/>
    <xf numFmtId="3" fontId="36" fillId="0" borderId="8" xfId="0" applyNumberFormat="1" applyFont="1" applyFill="1" applyBorder="1"/>
    <xf numFmtId="3" fontId="22" fillId="0" borderId="8" xfId="0" applyNumberFormat="1" applyFont="1" applyFill="1" applyBorder="1"/>
    <xf numFmtId="3" fontId="36" fillId="0" borderId="26" xfId="0" applyNumberFormat="1" applyFont="1" applyFill="1" applyBorder="1"/>
    <xf numFmtId="3" fontId="37" fillId="0" borderId="8" xfId="0" applyNumberFormat="1" applyFont="1" applyFill="1" applyBorder="1"/>
    <xf numFmtId="3" fontId="36" fillId="0" borderId="26" xfId="0" applyNumberFormat="1" applyFont="1" applyBorder="1"/>
    <xf numFmtId="3" fontId="22" fillId="0" borderId="4" xfId="0" applyNumberFormat="1" applyFont="1" applyBorder="1"/>
    <xf numFmtId="0" fontId="36" fillId="0" borderId="6" xfId="0" applyFont="1" applyBorder="1"/>
    <xf numFmtId="3" fontId="22" fillId="6" borderId="29" xfId="0" applyNumberFormat="1" applyFont="1" applyFill="1" applyBorder="1"/>
    <xf numFmtId="0" fontId="36" fillId="0" borderId="0" xfId="0" applyFont="1"/>
    <xf numFmtId="0" fontId="26" fillId="0" borderId="26" xfId="4" applyFont="1" applyFill="1" applyBorder="1" applyAlignment="1">
      <alignment horizontal="center" vertical="center" wrapText="1"/>
    </xf>
    <xf numFmtId="0" fontId="0" fillId="0" borderId="0" xfId="0"/>
    <xf numFmtId="3" fontId="1" fillId="0" borderId="4" xfId="0" applyNumberFormat="1" applyFont="1" applyFill="1" applyBorder="1" applyAlignment="1"/>
    <xf numFmtId="3" fontId="1" fillId="0" borderId="4" xfId="0" applyNumberFormat="1" applyFont="1" applyFill="1" applyBorder="1" applyAlignment="1">
      <alignment horizontal="right" vertical="center"/>
    </xf>
    <xf numFmtId="3" fontId="1" fillId="0" borderId="21" xfId="0" applyNumberFormat="1" applyFont="1" applyFill="1" applyBorder="1" applyAlignment="1">
      <alignment horizontal="right" vertical="center"/>
    </xf>
    <xf numFmtId="0" fontId="21" fillId="0" borderId="0" xfId="0" applyFont="1"/>
    <xf numFmtId="0" fontId="32" fillId="6" borderId="4" xfId="0" applyFont="1" applyFill="1" applyBorder="1" applyAlignment="1">
      <alignment horizontal="center" vertical="center"/>
    </xf>
    <xf numFmtId="0" fontId="32" fillId="6" borderId="4" xfId="0" applyFont="1" applyFill="1" applyBorder="1" applyAlignment="1">
      <alignment horizontal="center" vertical="center" wrapText="1"/>
    </xf>
    <xf numFmtId="0" fontId="21" fillId="0" borderId="0" xfId="0" applyFont="1" applyBorder="1" applyAlignment="1"/>
    <xf numFmtId="0" fontId="32" fillId="6" borderId="4" xfId="0" applyFont="1" applyFill="1" applyBorder="1" applyAlignment="1"/>
    <xf numFmtId="3" fontId="32" fillId="6" borderId="4" xfId="0" applyNumberFormat="1" applyFont="1" applyFill="1" applyBorder="1" applyAlignment="1"/>
    <xf numFmtId="2" fontId="32" fillId="6" borderId="4" xfId="0" applyNumberFormat="1" applyFont="1" applyFill="1" applyBorder="1" applyAlignment="1"/>
    <xf numFmtId="0" fontId="21" fillId="0" borderId="4" xfId="0" applyFont="1" applyFill="1" applyBorder="1" applyAlignment="1"/>
    <xf numFmtId="0" fontId="38" fillId="0" borderId="4" xfId="0" applyFont="1" applyFill="1" applyBorder="1" applyAlignment="1">
      <alignment horizontal="center"/>
    </xf>
    <xf numFmtId="3" fontId="21" fillId="0" borderId="4" xfId="0" applyNumberFormat="1" applyFont="1" applyFill="1" applyBorder="1" applyAlignment="1"/>
    <xf numFmtId="2" fontId="21" fillId="0" borderId="4" xfId="0" applyNumberFormat="1" applyFont="1" applyFill="1" applyBorder="1" applyAlignment="1">
      <alignment horizontal="right"/>
    </xf>
    <xf numFmtId="0" fontId="21" fillId="0" borderId="4" xfId="0" applyFont="1" applyFill="1" applyBorder="1" applyAlignment="1">
      <alignment horizontal="left" vertical="center"/>
    </xf>
    <xf numFmtId="0" fontId="38" fillId="0" borderId="4" xfId="0" applyFont="1" applyFill="1" applyBorder="1" applyAlignment="1">
      <alignment horizontal="center" vertical="center"/>
    </xf>
    <xf numFmtId="3" fontId="21" fillId="0" borderId="4" xfId="0" applyNumberFormat="1" applyFont="1" applyFill="1" applyBorder="1" applyAlignment="1">
      <alignment horizontal="right" vertical="center"/>
    </xf>
    <xf numFmtId="2" fontId="21" fillId="0" borderId="4" xfId="0" applyNumberFormat="1" applyFont="1" applyFill="1" applyBorder="1" applyAlignment="1">
      <alignment horizontal="right" vertical="center"/>
    </xf>
    <xf numFmtId="0" fontId="32" fillId="4" borderId="4" xfId="0" applyFont="1" applyFill="1" applyBorder="1" applyAlignment="1"/>
    <xf numFmtId="0" fontId="39" fillId="4" borderId="4" xfId="0" applyFont="1" applyFill="1" applyBorder="1" applyAlignment="1">
      <alignment horizontal="center"/>
    </xf>
    <xf numFmtId="3" fontId="32" fillId="4" borderId="4" xfId="0" applyNumberFormat="1" applyFont="1" applyFill="1" applyBorder="1" applyAlignment="1"/>
    <xf numFmtId="2" fontId="32" fillId="4" borderId="4" xfId="0" applyNumberFormat="1" applyFont="1" applyFill="1" applyBorder="1" applyAlignment="1">
      <alignment horizontal="right" vertical="center"/>
    </xf>
    <xf numFmtId="0" fontId="32" fillId="0" borderId="0" xfId="0" applyFont="1"/>
    <xf numFmtId="0" fontId="32" fillId="0" borderId="0" xfId="0" applyFont="1" applyFill="1" applyBorder="1" applyAlignment="1"/>
    <xf numFmtId="0" fontId="32" fillId="0" borderId="0" xfId="0" applyFont="1" applyBorder="1" applyAlignment="1"/>
    <xf numFmtId="0" fontId="21" fillId="0" borderId="21" xfId="0" applyFont="1" applyFill="1" applyBorder="1" applyAlignment="1">
      <alignment horizontal="left" vertical="center"/>
    </xf>
    <xf numFmtId="0" fontId="38" fillId="0" borderId="21" xfId="0" applyFont="1" applyFill="1" applyBorder="1" applyAlignment="1">
      <alignment horizontal="center" vertical="center"/>
    </xf>
    <xf numFmtId="3" fontId="21" fillId="0" borderId="21" xfId="0" applyNumberFormat="1" applyFont="1" applyFill="1" applyBorder="1" applyAlignment="1">
      <alignment horizontal="right" vertical="center"/>
    </xf>
    <xf numFmtId="2" fontId="21" fillId="0" borderId="21" xfId="0" applyNumberFormat="1" applyFont="1" applyFill="1" applyBorder="1" applyAlignment="1">
      <alignment horizontal="right" vertical="center"/>
    </xf>
    <xf numFmtId="0" fontId="32" fillId="4" borderId="21" xfId="0" applyFont="1" applyFill="1" applyBorder="1" applyAlignment="1">
      <alignment horizontal="left" vertical="center"/>
    </xf>
    <xf numFmtId="0" fontId="39" fillId="4" borderId="21" xfId="0" applyFont="1" applyFill="1" applyBorder="1" applyAlignment="1">
      <alignment horizontal="center" vertical="center"/>
    </xf>
    <xf numFmtId="3" fontId="32" fillId="4" borderId="21" xfId="0" applyNumberFormat="1" applyFont="1" applyFill="1" applyBorder="1" applyAlignment="1"/>
    <xf numFmtId="2" fontId="32" fillId="4" borderId="21" xfId="0" applyNumberFormat="1" applyFont="1" applyFill="1" applyBorder="1" applyAlignment="1">
      <alignment horizontal="right" vertical="center"/>
    </xf>
    <xf numFmtId="0" fontId="32" fillId="4" borderId="22" xfId="0" applyFont="1" applyFill="1" applyBorder="1" applyAlignment="1"/>
    <xf numFmtId="0" fontId="39" fillId="4" borderId="22" xfId="0" applyFont="1" applyFill="1" applyBorder="1" applyAlignment="1">
      <alignment horizontal="center"/>
    </xf>
    <xf numFmtId="3" fontId="32" fillId="4" borderId="22" xfId="0" applyNumberFormat="1" applyFont="1" applyFill="1" applyBorder="1" applyAlignment="1"/>
    <xf numFmtId="2" fontId="32" fillId="4" borderId="22" xfId="0" applyNumberFormat="1" applyFont="1" applyFill="1" applyBorder="1" applyAlignment="1">
      <alignment horizontal="right" vertical="center"/>
    </xf>
    <xf numFmtId="3" fontId="32" fillId="4" borderId="21" xfId="0" applyNumberFormat="1" applyFont="1" applyFill="1" applyBorder="1" applyAlignment="1">
      <alignment vertical="center"/>
    </xf>
    <xf numFmtId="0" fontId="32" fillId="4" borderId="4" xfId="0" applyFont="1" applyFill="1" applyBorder="1" applyAlignment="1">
      <alignment wrapText="1"/>
    </xf>
    <xf numFmtId="0" fontId="39" fillId="4" borderId="4" xfId="0" applyFont="1" applyFill="1" applyBorder="1" applyAlignment="1">
      <alignment horizontal="center" wrapText="1"/>
    </xf>
    <xf numFmtId="3" fontId="32" fillId="4" borderId="4" xfId="0" applyNumberFormat="1" applyFont="1" applyFill="1" applyBorder="1" applyAlignment="1">
      <alignment vertical="center"/>
    </xf>
    <xf numFmtId="0" fontId="32" fillId="0" borderId="23" xfId="0" applyFont="1" applyFill="1" applyBorder="1" applyAlignment="1"/>
    <xf numFmtId="0" fontId="39" fillId="0" borderId="23" xfId="0" applyFont="1" applyFill="1" applyBorder="1" applyAlignment="1">
      <alignment horizontal="center"/>
    </xf>
    <xf numFmtId="4" fontId="21" fillId="0" borderId="23" xfId="0" applyNumberFormat="1" applyFont="1" applyFill="1" applyBorder="1" applyAlignment="1"/>
    <xf numFmtId="2" fontId="21" fillId="0" borderId="23" xfId="0" applyNumberFormat="1" applyFont="1" applyFill="1" applyBorder="1" applyAlignment="1">
      <alignment horizontal="right" vertical="center"/>
    </xf>
    <xf numFmtId="3" fontId="21" fillId="0" borderId="0" xfId="0" applyNumberFormat="1" applyFont="1" applyBorder="1" applyAlignment="1"/>
    <xf numFmtId="0" fontId="8" fillId="6" borderId="4" xfId="0" applyFont="1" applyFill="1" applyBorder="1" applyAlignment="1">
      <alignment horizontal="center" vertical="center" wrapText="1"/>
    </xf>
    <xf numFmtId="3" fontId="8" fillId="6" borderId="4" xfId="0" applyNumberFormat="1" applyFont="1" applyFill="1" applyBorder="1" applyAlignment="1"/>
    <xf numFmtId="3" fontId="8" fillId="4" borderId="4" xfId="0" applyNumberFormat="1" applyFont="1" applyFill="1" applyBorder="1" applyAlignment="1"/>
    <xf numFmtId="3" fontId="8" fillId="4" borderId="21" xfId="0" applyNumberFormat="1" applyFont="1" applyFill="1" applyBorder="1" applyAlignment="1"/>
    <xf numFmtId="3" fontId="8" fillId="4" borderId="22" xfId="0" applyNumberFormat="1" applyFont="1" applyFill="1" applyBorder="1" applyAlignment="1"/>
    <xf numFmtId="3" fontId="8" fillId="4" borderId="21" xfId="0" applyNumberFormat="1" applyFont="1" applyFill="1" applyBorder="1" applyAlignment="1">
      <alignment vertical="center"/>
    </xf>
    <xf numFmtId="3" fontId="8" fillId="4" borderId="4" xfId="0" applyNumberFormat="1" applyFont="1" applyFill="1" applyBorder="1" applyAlignment="1">
      <alignment vertical="center"/>
    </xf>
    <xf numFmtId="4" fontId="1" fillId="0" borderId="23" xfId="0" applyNumberFormat="1" applyFont="1" applyFill="1" applyBorder="1" applyAlignment="1"/>
    <xf numFmtId="0" fontId="40" fillId="0" borderId="0" xfId="0" applyFont="1"/>
    <xf numFmtId="0" fontId="41" fillId="0" borderId="4" xfId="0" applyFont="1" applyFill="1" applyBorder="1" applyAlignment="1">
      <alignment horizontal="center"/>
    </xf>
    <xf numFmtId="0" fontId="41" fillId="0" borderId="4" xfId="0" applyFont="1" applyFill="1" applyBorder="1" applyAlignment="1">
      <alignment horizontal="center" wrapText="1"/>
    </xf>
    <xf numFmtId="0" fontId="40" fillId="0" borderId="0" xfId="0" applyFont="1" applyBorder="1" applyAlignment="1"/>
    <xf numFmtId="0" fontId="18" fillId="0" borderId="3" xfId="3" applyFont="1" applyBorder="1" applyAlignment="1">
      <alignment horizontal="center"/>
    </xf>
    <xf numFmtId="0" fontId="18" fillId="0" borderId="19" xfId="3" applyFont="1" applyBorder="1" applyAlignment="1">
      <alignment horizontal="center"/>
    </xf>
    <xf numFmtId="0" fontId="18" fillId="0" borderId="4" xfId="3" applyFont="1" applyFill="1" applyBorder="1" applyAlignment="1">
      <alignment horizontal="center"/>
    </xf>
    <xf numFmtId="0" fontId="0" fillId="0" borderId="44" xfId="0" applyBorder="1"/>
    <xf numFmtId="0" fontId="33" fillId="0" borderId="57" xfId="0" applyFont="1" applyBorder="1" applyAlignment="1">
      <alignment horizontal="center"/>
    </xf>
    <xf numFmtId="0" fontId="33" fillId="0" borderId="0" xfId="0" applyFont="1"/>
    <xf numFmtId="0" fontId="33" fillId="0" borderId="45" xfId="0" applyFont="1" applyBorder="1" applyAlignment="1">
      <alignment horizontal="center"/>
    </xf>
    <xf numFmtId="0" fontId="33" fillId="0" borderId="49" xfId="0" applyFont="1" applyBorder="1" applyAlignment="1">
      <alignment horizontal="center"/>
    </xf>
    <xf numFmtId="0" fontId="33" fillId="0" borderId="50" xfId="0" applyFont="1" applyBorder="1" applyAlignment="1">
      <alignment horizontal="left"/>
    </xf>
    <xf numFmtId="0" fontId="33" fillId="0" borderId="51" xfId="0" applyFont="1" applyBorder="1" applyAlignment="1">
      <alignment horizontal="left"/>
    </xf>
    <xf numFmtId="0" fontId="33" fillId="0" borderId="52" xfId="0" applyFont="1" applyBorder="1" applyAlignment="1">
      <alignment horizontal="left"/>
    </xf>
    <xf numFmtId="0" fontId="33" fillId="0" borderId="53" xfId="0" applyFont="1" applyBorder="1" applyAlignment="1">
      <alignment horizontal="center"/>
    </xf>
    <xf numFmtId="0" fontId="4" fillId="6" borderId="4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left" vertical="center" wrapText="1"/>
    </xf>
    <xf numFmtId="3" fontId="3" fillId="6" borderId="4" xfId="0" applyNumberFormat="1" applyFont="1" applyFill="1" applyBorder="1" applyAlignment="1">
      <alignment horizontal="right" vertical="center"/>
    </xf>
    <xf numFmtId="4" fontId="3" fillId="6" borderId="4" xfId="0" applyNumberFormat="1" applyFont="1" applyFill="1" applyBorder="1" applyAlignment="1">
      <alignment vertical="center"/>
    </xf>
    <xf numFmtId="49" fontId="3" fillId="6" borderId="4" xfId="0" applyNumberFormat="1" applyFont="1" applyFill="1" applyBorder="1" applyAlignment="1">
      <alignment horizontal="center" vertical="center" wrapText="1"/>
    </xf>
    <xf numFmtId="167" fontId="3" fillId="6" borderId="4" xfId="0" applyNumberFormat="1" applyFont="1" applyFill="1" applyBorder="1" applyAlignment="1">
      <alignment horizontal="left" vertical="center" wrapText="1"/>
    </xf>
    <xf numFmtId="4" fontId="3" fillId="6" borderId="4" xfId="0" applyNumberFormat="1" applyFont="1" applyFill="1" applyBorder="1"/>
    <xf numFmtId="0" fontId="18" fillId="6" borderId="4" xfId="3" applyFont="1" applyFill="1" applyBorder="1" applyAlignment="1">
      <alignment horizontal="center"/>
    </xf>
    <xf numFmtId="0" fontId="18" fillId="0" borderId="0" xfId="3" applyFont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1" fillId="0" borderId="4" xfId="3" applyFont="1" applyBorder="1" applyAlignment="1">
      <alignment wrapText="1"/>
    </xf>
    <xf numFmtId="0" fontId="0" fillId="0" borderId="0" xfId="0"/>
    <xf numFmtId="0" fontId="0" fillId="0" borderId="0" xfId="0"/>
    <xf numFmtId="0" fontId="7" fillId="0" borderId="0" xfId="3" applyFont="1" applyAlignment="1">
      <alignment horizontal="left"/>
    </xf>
    <xf numFmtId="0" fontId="9" fillId="6" borderId="42" xfId="3" applyFont="1" applyFill="1" applyBorder="1" applyAlignment="1">
      <alignment horizontal="left" vertical="center"/>
    </xf>
    <xf numFmtId="0" fontId="3" fillId="0" borderId="13" xfId="3" applyFont="1" applyBorder="1" applyAlignment="1">
      <alignment horizontal="right"/>
    </xf>
    <xf numFmtId="0" fontId="0" fillId="0" borderId="0" xfId="0"/>
    <xf numFmtId="0" fontId="33" fillId="0" borderId="50" xfId="0" applyFont="1" applyBorder="1" applyAlignment="1">
      <alignment horizontal="left"/>
    </xf>
    <xf numFmtId="0" fontId="0" fillId="0" borderId="0" xfId="0" applyBorder="1"/>
    <xf numFmtId="0" fontId="0" fillId="0" borderId="0" xfId="0" applyAlignment="1"/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13" fillId="7" borderId="0" xfId="0" applyFont="1" applyFill="1" applyAlignment="1">
      <alignment horizontal="center" wrapText="1"/>
    </xf>
    <xf numFmtId="0" fontId="0" fillId="0" borderId="0" xfId="0"/>
    <xf numFmtId="0" fontId="0" fillId="7" borderId="0" xfId="0" applyFill="1" applyAlignment="1"/>
    <xf numFmtId="0" fontId="9" fillId="0" borderId="0" xfId="0" applyFont="1" applyAlignment="1">
      <alignment horizontal="center" vertical="top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horizontal="center"/>
    </xf>
    <xf numFmtId="0" fontId="33" fillId="0" borderId="50" xfId="0" applyFont="1" applyBorder="1" applyAlignment="1">
      <alignment horizontal="left" wrapText="1"/>
    </xf>
    <xf numFmtId="0" fontId="33" fillId="0" borderId="51" xfId="0" applyFont="1" applyBorder="1" applyAlignment="1">
      <alignment horizontal="left"/>
    </xf>
    <xf numFmtId="0" fontId="33" fillId="0" borderId="52" xfId="0" applyFont="1" applyBorder="1" applyAlignment="1">
      <alignment horizontal="left"/>
    </xf>
    <xf numFmtId="0" fontId="33" fillId="0" borderId="53" xfId="0" applyFont="1" applyBorder="1" applyAlignment="1">
      <alignment horizontal="left"/>
    </xf>
    <xf numFmtId="0" fontId="33" fillId="0" borderId="50" xfId="0" applyFont="1" applyBorder="1" applyAlignment="1">
      <alignment horizontal="left"/>
    </xf>
    <xf numFmtId="0" fontId="3" fillId="6" borderId="8" xfId="0" applyFont="1" applyFill="1" applyBorder="1" applyAlignment="1">
      <alignment horizontal="left"/>
    </xf>
    <xf numFmtId="0" fontId="3" fillId="6" borderId="25" xfId="0" applyFont="1" applyFill="1" applyBorder="1" applyAlignment="1">
      <alignment horizontal="left"/>
    </xf>
    <xf numFmtId="0" fontId="3" fillId="6" borderId="9" xfId="0" applyFont="1" applyFill="1" applyBorder="1" applyAlignment="1">
      <alignment horizontal="left"/>
    </xf>
    <xf numFmtId="0" fontId="9" fillId="0" borderId="0" xfId="0" applyFont="1" applyFill="1" applyAlignment="1">
      <alignment horizontal="left"/>
    </xf>
    <xf numFmtId="0" fontId="33" fillId="0" borderId="54" xfId="0" applyFont="1" applyBorder="1" applyAlignment="1">
      <alignment horizontal="left"/>
    </xf>
    <xf numFmtId="0" fontId="33" fillId="0" borderId="55" xfId="0" applyFont="1" applyBorder="1" applyAlignment="1">
      <alignment horizontal="left"/>
    </xf>
    <xf numFmtId="0" fontId="33" fillId="0" borderId="56" xfId="0" applyFont="1" applyBorder="1" applyAlignment="1">
      <alignment horizontal="left"/>
    </xf>
    <xf numFmtId="0" fontId="33" fillId="0" borderId="46" xfId="0" applyFont="1" applyBorder="1" applyAlignment="1">
      <alignment horizontal="left"/>
    </xf>
    <xf numFmtId="0" fontId="33" fillId="0" borderId="47" xfId="0" applyFont="1" applyBorder="1" applyAlignment="1">
      <alignment horizontal="left"/>
    </xf>
    <xf numFmtId="0" fontId="33" fillId="0" borderId="48" xfId="0" applyFont="1" applyBorder="1" applyAlignment="1">
      <alignment horizontal="left"/>
    </xf>
    <xf numFmtId="0" fontId="33" fillId="0" borderId="58" xfId="0" applyFont="1" applyBorder="1" applyAlignment="1">
      <alignment horizontal="left"/>
    </xf>
    <xf numFmtId="0" fontId="33" fillId="0" borderId="59" xfId="0" applyFont="1" applyBorder="1" applyAlignment="1">
      <alignment horizontal="left"/>
    </xf>
    <xf numFmtId="0" fontId="33" fillId="0" borderId="60" xfId="0" applyFont="1" applyBorder="1" applyAlignment="1">
      <alignment horizontal="left"/>
    </xf>
    <xf numFmtId="0" fontId="1" fillId="0" borderId="0" xfId="0" applyFont="1" applyAlignment="1">
      <alignment horizontal="justify" vertical="top"/>
    </xf>
    <xf numFmtId="0" fontId="2" fillId="0" borderId="0" xfId="0" applyFont="1" applyAlignment="1">
      <alignment horizontal="justify" vertical="top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justify" wrapText="1"/>
    </xf>
    <xf numFmtId="0" fontId="0" fillId="0" borderId="0" xfId="0" applyAlignment="1">
      <alignment horizontal="justify" wrapText="1"/>
    </xf>
    <xf numFmtId="166" fontId="5" fillId="0" borderId="13" xfId="1" applyNumberFormat="1" applyFont="1" applyBorder="1" applyAlignment="1">
      <alignment horizontal="left" wrapText="1"/>
    </xf>
    <xf numFmtId="0" fontId="0" fillId="0" borderId="13" xfId="0" applyBorder="1" applyAlignment="1">
      <alignment wrapText="1"/>
    </xf>
    <xf numFmtId="0" fontId="12" fillId="0" borderId="31" xfId="0" applyFont="1" applyBorder="1" applyAlignment="1">
      <alignment horizontal="right" wrapText="1"/>
    </xf>
    <xf numFmtId="0" fontId="12" fillId="0" borderId="9" xfId="0" applyFont="1" applyBorder="1" applyAlignment="1">
      <alignment horizontal="right" wrapText="1"/>
    </xf>
    <xf numFmtId="0" fontId="12" fillId="6" borderId="12" xfId="0" applyFont="1" applyFill="1" applyBorder="1" applyAlignment="1">
      <alignment horizontal="right" wrapText="1"/>
    </xf>
    <xf numFmtId="0" fontId="12" fillId="6" borderId="32" xfId="0" applyFont="1" applyFill="1" applyBorder="1" applyAlignment="1">
      <alignment horizontal="right" wrapText="1"/>
    </xf>
    <xf numFmtId="3" fontId="5" fillId="0" borderId="13" xfId="3" applyNumberFormat="1" applyFont="1" applyBorder="1" applyAlignment="1">
      <alignment horizontal="left"/>
    </xf>
    <xf numFmtId="3" fontId="0" fillId="0" borderId="13" xfId="0" applyNumberFormat="1" applyBorder="1" applyAlignment="1"/>
    <xf numFmtId="0" fontId="5" fillId="0" borderId="0" xfId="3" applyFont="1" applyBorder="1" applyAlignment="1">
      <alignment horizontal="left"/>
    </xf>
    <xf numFmtId="0" fontId="7" fillId="0" borderId="0" xfId="3" applyFont="1" applyAlignment="1">
      <alignment horizontal="left"/>
    </xf>
    <xf numFmtId="0" fontId="0" fillId="0" borderId="0" xfId="0" applyFill="1" applyAlignment="1">
      <alignment horizontal="justify" vertical="top"/>
    </xf>
    <xf numFmtId="0" fontId="3" fillId="6" borderId="36" xfId="3" applyFont="1" applyFill="1" applyBorder="1" applyAlignment="1">
      <alignment horizontal="center" vertical="center" wrapText="1"/>
    </xf>
    <xf numFmtId="0" fontId="0" fillId="6" borderId="37" xfId="0" applyFill="1" applyBorder="1" applyAlignment="1">
      <alignment horizontal="center" vertical="center" wrapText="1"/>
    </xf>
    <xf numFmtId="0" fontId="0" fillId="6" borderId="34" xfId="0" applyFill="1" applyBorder="1" applyAlignment="1">
      <alignment horizontal="center" vertical="center" wrapText="1"/>
    </xf>
    <xf numFmtId="0" fontId="3" fillId="6" borderId="38" xfId="3" applyFont="1" applyFill="1" applyBorder="1" applyAlignment="1">
      <alignment horizontal="center" vertical="center" wrapText="1"/>
    </xf>
    <xf numFmtId="0" fontId="0" fillId="6" borderId="24" xfId="0" applyFill="1" applyBorder="1" applyAlignment="1">
      <alignment horizontal="center" vertical="center" wrapText="1"/>
    </xf>
    <xf numFmtId="0" fontId="3" fillId="6" borderId="39" xfId="3" applyFont="1" applyFill="1" applyBorder="1" applyAlignment="1">
      <alignment horizontal="center" vertical="center" textRotation="90" wrapText="1"/>
    </xf>
    <xf numFmtId="0" fontId="0" fillId="6" borderId="11" xfId="0" applyFill="1" applyBorder="1" applyAlignment="1">
      <alignment horizontal="center" vertical="center" textRotation="90" wrapText="1"/>
    </xf>
    <xf numFmtId="0" fontId="3" fillId="6" borderId="39" xfId="3" applyFont="1" applyFill="1" applyBorder="1" applyAlignment="1">
      <alignment horizontal="center" vertical="center"/>
    </xf>
    <xf numFmtId="0" fontId="0" fillId="6" borderId="11" xfId="0" applyFill="1" applyBorder="1" applyAlignment="1">
      <alignment horizontal="center" vertical="center"/>
    </xf>
    <xf numFmtId="4" fontId="3" fillId="6" borderId="40" xfId="3" applyNumberFormat="1" applyFont="1" applyFill="1" applyBorder="1" applyAlignment="1">
      <alignment horizontal="center" vertical="center" wrapText="1"/>
    </xf>
    <xf numFmtId="0" fontId="0" fillId="6" borderId="27" xfId="0" applyFill="1" applyBorder="1" applyAlignment="1">
      <alignment horizontal="center" vertical="center"/>
    </xf>
    <xf numFmtId="0" fontId="9" fillId="6" borderId="41" xfId="3" applyFont="1" applyFill="1" applyBorder="1" applyAlignment="1">
      <alignment horizontal="left" vertical="center"/>
    </xf>
    <xf numFmtId="0" fontId="9" fillId="6" borderId="42" xfId="3" applyFont="1" applyFill="1" applyBorder="1" applyAlignment="1">
      <alignment horizontal="left" vertical="center"/>
    </xf>
    <xf numFmtId="0" fontId="9" fillId="6" borderId="43" xfId="3" applyFont="1" applyFill="1" applyBorder="1" applyAlignment="1">
      <alignment horizontal="left" vertical="center"/>
    </xf>
    <xf numFmtId="0" fontId="9" fillId="0" borderId="36" xfId="3" applyFont="1" applyFill="1" applyBorder="1" applyAlignment="1" applyProtection="1">
      <alignment horizontal="center" vertical="center" wrapText="1"/>
      <protection locked="0"/>
    </xf>
    <xf numFmtId="0" fontId="14" fillId="0" borderId="37" xfId="0" applyFont="1" applyBorder="1" applyAlignment="1">
      <alignment horizontal="center" vertical="center" wrapText="1"/>
    </xf>
    <xf numFmtId="0" fontId="14" fillId="0" borderId="34" xfId="0" applyFont="1" applyBorder="1" applyAlignment="1">
      <alignment horizontal="center" vertical="center" wrapText="1"/>
    </xf>
    <xf numFmtId="0" fontId="31" fillId="0" borderId="38" xfId="3" applyFont="1" applyBorder="1" applyAlignment="1">
      <alignment horizontal="center" vertical="center" textRotation="90" wrapText="1"/>
    </xf>
    <xf numFmtId="0" fontId="0" fillId="0" borderId="24" xfId="0" applyBorder="1" applyAlignment="1">
      <alignment horizontal="center" vertical="center" textRotation="90" wrapText="1"/>
    </xf>
    <xf numFmtId="0" fontId="31" fillId="0" borderId="39" xfId="3" applyFont="1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 textRotation="90" wrapText="1"/>
    </xf>
    <xf numFmtId="0" fontId="31" fillId="0" borderId="39" xfId="3" applyFont="1" applyFill="1" applyBorder="1" applyAlignment="1">
      <alignment horizontal="center" vertical="center" textRotation="90" wrapText="1"/>
    </xf>
    <xf numFmtId="0" fontId="8" fillId="0" borderId="39" xfId="3" applyFont="1" applyBorder="1" applyAlignment="1">
      <alignment horizontal="center" vertical="center" textRotation="90" wrapText="1"/>
    </xf>
    <xf numFmtId="0" fontId="3" fillId="0" borderId="39" xfId="3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" fontId="32" fillId="0" borderId="40" xfId="3" applyNumberFormat="1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3" fillId="0" borderId="39" xfId="3" applyFont="1" applyBorder="1" applyAlignment="1">
      <alignment horizontal="center" vertical="center" textRotation="90" wrapText="1"/>
    </xf>
    <xf numFmtId="0" fontId="3" fillId="0" borderId="39" xfId="3" applyFont="1" applyFill="1" applyBorder="1" applyAlignment="1">
      <alignment horizontal="center" vertical="center" textRotation="90" wrapText="1"/>
    </xf>
    <xf numFmtId="0" fontId="8" fillId="0" borderId="39" xfId="3" applyFont="1" applyBorder="1" applyAlignment="1">
      <alignment horizontal="center" vertical="center" wrapText="1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14" fillId="0" borderId="0" xfId="0" applyFont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justify" vertical="top"/>
    </xf>
    <xf numFmtId="0" fontId="0" fillId="0" borderId="0" xfId="0" applyAlignment="1">
      <alignment horizontal="justify"/>
    </xf>
    <xf numFmtId="0" fontId="1" fillId="0" borderId="0" xfId="0" applyFont="1" applyAlignment="1">
      <alignment horizontal="right" wrapText="1"/>
    </xf>
    <xf numFmtId="0" fontId="0" fillId="0" borderId="0" xfId="0" applyAlignment="1">
      <alignment horizontal="right"/>
    </xf>
  </cellXfs>
  <cellStyles count="14">
    <cellStyle name="Comma_izvrsenje300903-s planom 2" xfId="1"/>
    <cellStyle name="Loše" xfId="2" builtinId="27"/>
    <cellStyle name="Normal_sablon1-230704" xfId="3"/>
    <cellStyle name="Normal_sablon1-230704 2" xfId="4"/>
    <cellStyle name="Normal_sablon1-230704 2 2 2" xfId="12"/>
    <cellStyle name="Obično" xfId="0" builtinId="0"/>
    <cellStyle name="Obično 2" xfId="7"/>
    <cellStyle name="Obično 2 2" xfId="11"/>
    <cellStyle name="Obično 3" xfId="9"/>
    <cellStyle name="Postotak" xfId="5" builtinId="5"/>
    <cellStyle name="Zarez 2" xfId="6"/>
    <cellStyle name="Zarez 2 2" xfId="8"/>
    <cellStyle name="Zarez 2 2 2" xfId="13"/>
    <cellStyle name="Zarez 2 3" xfId="1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190500</xdr:colOff>
      <xdr:row>0</xdr:row>
      <xdr:rowOff>105704</xdr:rowOff>
    </xdr:from>
    <xdr:to>
      <xdr:col>7</xdr:col>
      <xdr:colOff>495694</xdr:colOff>
      <xdr:row>7</xdr:row>
      <xdr:rowOff>91836</xdr:rowOff>
    </xdr:to>
    <xdr:pic>
      <xdr:nvPicPr>
        <xdr:cNvPr id="5" name="Slika 4" descr="logo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76700" y="105704"/>
          <a:ext cx="952894" cy="11196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0"/>
  <sheetViews>
    <sheetView tabSelected="1" zoomScaleNormal="100" workbookViewId="0">
      <selection activeCell="N112" sqref="N112"/>
    </sheetView>
  </sheetViews>
  <sheetFormatPr defaultRowHeight="12.75"/>
  <cols>
    <col min="1" max="14" width="9.7109375" customWidth="1"/>
  </cols>
  <sheetData>
    <row r="1" spans="1:14">
      <c r="A1" s="535"/>
      <c r="B1" s="535"/>
      <c r="C1" s="535"/>
      <c r="D1" s="535"/>
      <c r="E1" s="535"/>
      <c r="F1" s="535"/>
      <c r="G1" s="535"/>
      <c r="H1" s="535"/>
      <c r="I1" s="535"/>
    </row>
    <row r="2" spans="1:14" ht="12.75" customHeight="1">
      <c r="B2" s="406"/>
      <c r="C2" s="407"/>
      <c r="D2" s="536" t="s">
        <v>816</v>
      </c>
      <c r="E2" s="537"/>
      <c r="F2" s="537"/>
      <c r="I2" s="536" t="s">
        <v>817</v>
      </c>
      <c r="J2" s="542"/>
      <c r="K2" s="542"/>
    </row>
    <row r="3" spans="1:14">
      <c r="B3" s="407"/>
      <c r="C3" s="407"/>
      <c r="D3" s="537"/>
      <c r="E3" s="537"/>
      <c r="F3" s="537"/>
      <c r="I3" s="542"/>
      <c r="J3" s="542"/>
      <c r="K3" s="542"/>
    </row>
    <row r="4" spans="1:14">
      <c r="B4" s="407"/>
      <c r="C4" s="407"/>
      <c r="D4" s="537"/>
      <c r="E4" s="537"/>
      <c r="F4" s="537"/>
      <c r="I4" s="542"/>
      <c r="J4" s="542"/>
      <c r="K4" s="542"/>
    </row>
    <row r="5" spans="1:14">
      <c r="B5" s="407"/>
      <c r="C5" s="407"/>
      <c r="D5" s="537"/>
      <c r="E5" s="537"/>
      <c r="F5" s="537"/>
      <c r="I5" s="542"/>
      <c r="J5" s="542"/>
      <c r="K5" s="542"/>
    </row>
    <row r="6" spans="1:14">
      <c r="B6" s="407"/>
      <c r="C6" s="407"/>
      <c r="D6" s="537"/>
      <c r="E6" s="537"/>
      <c r="F6" s="537"/>
      <c r="I6" s="542"/>
      <c r="J6" s="542"/>
      <c r="K6" s="542"/>
    </row>
    <row r="7" spans="1:14">
      <c r="B7" s="407"/>
      <c r="C7" s="407"/>
      <c r="D7" s="537"/>
      <c r="E7" s="537"/>
      <c r="F7" s="537"/>
      <c r="I7" s="542"/>
      <c r="J7" s="542"/>
      <c r="K7" s="542"/>
    </row>
    <row r="8" spans="1:14" ht="13.5" thickBot="1">
      <c r="A8" s="507"/>
      <c r="B8" s="507"/>
      <c r="C8" s="507"/>
      <c r="D8" s="507"/>
      <c r="E8" s="507"/>
      <c r="F8" s="507"/>
      <c r="G8" s="507"/>
      <c r="H8" s="507"/>
      <c r="I8" s="507"/>
      <c r="J8" s="507"/>
      <c r="K8" s="507"/>
      <c r="L8" s="507"/>
      <c r="M8" s="507"/>
      <c r="N8" s="507"/>
    </row>
    <row r="9" spans="1:14" ht="13.5" thickTop="1"/>
    <row r="15" spans="1:14" ht="12.75" customHeight="1">
      <c r="A15" s="538" t="s">
        <v>815</v>
      </c>
      <c r="B15" s="539"/>
      <c r="C15" s="539"/>
      <c r="D15" s="539"/>
      <c r="E15" s="539"/>
      <c r="F15" s="539"/>
      <c r="G15" s="539"/>
      <c r="H15" s="539"/>
      <c r="I15" s="539"/>
      <c r="J15" s="539"/>
      <c r="K15" s="539"/>
      <c r="L15" s="540"/>
      <c r="M15" s="540"/>
      <c r="N15" s="540"/>
    </row>
    <row r="16" spans="1:14">
      <c r="A16" s="539"/>
      <c r="B16" s="539"/>
      <c r="C16" s="539"/>
      <c r="D16" s="539"/>
      <c r="E16" s="539"/>
      <c r="F16" s="539"/>
      <c r="G16" s="539"/>
      <c r="H16" s="539"/>
      <c r="I16" s="539"/>
      <c r="J16" s="539"/>
      <c r="K16" s="539"/>
      <c r="L16" s="540"/>
      <c r="M16" s="540"/>
      <c r="N16" s="540"/>
    </row>
    <row r="17" spans="1:14">
      <c r="A17" s="539"/>
      <c r="B17" s="539"/>
      <c r="C17" s="539"/>
      <c r="D17" s="539"/>
      <c r="E17" s="539"/>
      <c r="F17" s="539"/>
      <c r="G17" s="539"/>
      <c r="H17" s="539"/>
      <c r="I17" s="539"/>
      <c r="J17" s="539"/>
      <c r="K17" s="539"/>
      <c r="L17" s="540"/>
      <c r="M17" s="540"/>
      <c r="N17" s="540"/>
    </row>
    <row r="18" spans="1:14">
      <c r="A18" s="539"/>
      <c r="B18" s="539"/>
      <c r="C18" s="539"/>
      <c r="D18" s="539"/>
      <c r="E18" s="539"/>
      <c r="F18" s="539"/>
      <c r="G18" s="539"/>
      <c r="H18" s="539"/>
      <c r="I18" s="539"/>
      <c r="J18" s="539"/>
      <c r="K18" s="539"/>
      <c r="L18" s="540"/>
      <c r="M18" s="540"/>
      <c r="N18" s="540"/>
    </row>
    <row r="19" spans="1:14">
      <c r="A19" s="539"/>
      <c r="B19" s="539"/>
      <c r="C19" s="539"/>
      <c r="D19" s="539"/>
      <c r="E19" s="539"/>
      <c r="F19" s="539"/>
      <c r="G19" s="539"/>
      <c r="H19" s="539"/>
      <c r="I19" s="539"/>
      <c r="J19" s="539"/>
      <c r="K19" s="539"/>
      <c r="L19" s="540"/>
      <c r="M19" s="540"/>
      <c r="N19" s="540"/>
    </row>
    <row r="20" spans="1:14" ht="13.5" customHeight="1">
      <c r="A20" s="539"/>
      <c r="B20" s="539"/>
      <c r="C20" s="539"/>
      <c r="D20" s="539"/>
      <c r="E20" s="539"/>
      <c r="F20" s="539"/>
      <c r="G20" s="539"/>
      <c r="H20" s="539"/>
      <c r="I20" s="539"/>
      <c r="J20" s="539"/>
      <c r="K20" s="539"/>
      <c r="L20" s="540"/>
      <c r="M20" s="540"/>
      <c r="N20" s="540"/>
    </row>
    <row r="23" spans="1:14">
      <c r="A23" s="543" t="s">
        <v>819</v>
      </c>
      <c r="B23" s="543"/>
      <c r="C23" s="543"/>
      <c r="D23" s="543"/>
      <c r="E23" s="543"/>
      <c r="F23" s="543"/>
      <c r="G23" s="543"/>
      <c r="H23" s="543"/>
      <c r="I23" s="543"/>
      <c r="J23" s="543"/>
      <c r="K23" s="543"/>
      <c r="L23" s="543"/>
      <c r="M23" s="543"/>
      <c r="N23" s="543"/>
    </row>
    <row r="33" spans="1:14" s="445" customFormat="1"/>
    <row r="36" spans="1:14" s="445" customFormat="1"/>
    <row r="38" spans="1:14">
      <c r="A38" s="541" t="s">
        <v>818</v>
      </c>
      <c r="B38" s="535"/>
      <c r="C38" s="535"/>
      <c r="D38" s="535"/>
      <c r="E38" s="535"/>
      <c r="F38" s="535"/>
      <c r="G38" s="535"/>
      <c r="H38" s="535"/>
      <c r="I38" s="535"/>
      <c r="J38" s="535"/>
      <c r="K38" s="535"/>
      <c r="L38" s="535"/>
      <c r="M38" s="535"/>
      <c r="N38" s="535"/>
    </row>
    <row r="39" spans="1:14">
      <c r="A39" s="535"/>
      <c r="B39" s="535"/>
      <c r="C39" s="535"/>
      <c r="D39" s="535"/>
      <c r="E39" s="535"/>
      <c r="F39" s="535"/>
      <c r="G39" s="535"/>
      <c r="H39" s="535"/>
      <c r="I39" s="535"/>
      <c r="J39" s="535"/>
      <c r="K39" s="535"/>
      <c r="L39" s="535"/>
      <c r="M39" s="535"/>
      <c r="N39" s="535"/>
    </row>
    <row r="40" spans="1:14" ht="15.75">
      <c r="A40" s="77"/>
      <c r="B40" s="77"/>
      <c r="C40" s="77"/>
      <c r="D40" s="77"/>
      <c r="E40" s="77"/>
      <c r="F40" s="77"/>
      <c r="G40" s="77"/>
      <c r="H40" s="77"/>
      <c r="I40" s="77"/>
    </row>
  </sheetData>
  <mergeCells count="6">
    <mergeCell ref="A1:I1"/>
    <mergeCell ref="D2:F7"/>
    <mergeCell ref="A15:N20"/>
    <mergeCell ref="A38:N39"/>
    <mergeCell ref="I2:K7"/>
    <mergeCell ref="A23:N23"/>
  </mergeCells>
  <phoneticPr fontId="0" type="noConversion"/>
  <pageMargins left="0.6692913385826772" right="0.43307086614173229" top="0.5" bottom="0.76" header="0.51181102362204722" footer="0.51181102362204722"/>
  <pageSetup paperSize="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P96"/>
  <sheetViews>
    <sheetView zoomScaleNormal="100" workbookViewId="0">
      <selection activeCell="P22" sqref="P22"/>
    </sheetView>
  </sheetViews>
  <sheetFormatPr defaultRowHeight="12.75"/>
  <cols>
    <col min="1" max="1" width="9.140625" style="284"/>
    <col min="2" max="2" width="4.7109375" style="9" customWidth="1"/>
    <col min="3" max="3" width="5.42578125" style="9" customWidth="1"/>
    <col min="4" max="4" width="5" style="9" customWidth="1"/>
    <col min="5" max="5" width="8.7109375" style="17" customWidth="1"/>
    <col min="6" max="6" width="8.7109375" style="289" customWidth="1"/>
    <col min="7" max="7" width="50.7109375" style="9" customWidth="1"/>
    <col min="8" max="9" width="14.7109375" style="284" customWidth="1"/>
    <col min="10" max="10" width="15.7109375" style="9" customWidth="1"/>
    <col min="11" max="12" width="14.7109375" style="284" customWidth="1"/>
    <col min="13" max="13" width="15.7109375" style="284" customWidth="1"/>
    <col min="14" max="14" width="7.7109375" style="350" customWidth="1"/>
    <col min="15" max="16384" width="9.140625" style="9"/>
  </cols>
  <sheetData>
    <row r="1" spans="1:16" ht="13.5" thickBot="1"/>
    <row r="2" spans="1:16" s="376" customFormat="1" ht="20.100000000000001" customHeight="1" thickTop="1" thickBot="1">
      <c r="B2" s="590" t="s">
        <v>123</v>
      </c>
      <c r="C2" s="591"/>
      <c r="D2" s="591"/>
      <c r="E2" s="591"/>
      <c r="F2" s="591"/>
      <c r="G2" s="591"/>
      <c r="H2" s="591"/>
      <c r="I2" s="591"/>
      <c r="J2" s="591"/>
      <c r="K2" s="530"/>
      <c r="L2" s="530"/>
      <c r="M2" s="530"/>
      <c r="N2" s="379"/>
    </row>
    <row r="3" spans="1:16" s="1" customFormat="1" ht="8.1" customHeight="1" thickTop="1" thickBot="1">
      <c r="A3" s="281"/>
      <c r="E3" s="2"/>
      <c r="F3" s="282"/>
      <c r="G3" s="531"/>
      <c r="H3" s="92"/>
      <c r="I3" s="92"/>
      <c r="J3" s="92"/>
      <c r="K3" s="92"/>
      <c r="L3" s="92"/>
      <c r="M3" s="92"/>
      <c r="N3" s="344"/>
    </row>
    <row r="4" spans="1:16" s="1" customFormat="1" ht="39" customHeight="1">
      <c r="A4" s="281"/>
      <c r="B4" s="596" t="s">
        <v>78</v>
      </c>
      <c r="C4" s="606" t="s">
        <v>79</v>
      </c>
      <c r="D4" s="607" t="s">
        <v>110</v>
      </c>
      <c r="E4" s="608" t="s">
        <v>594</v>
      </c>
      <c r="F4" s="601" t="s">
        <v>653</v>
      </c>
      <c r="G4" s="602" t="s">
        <v>80</v>
      </c>
      <c r="H4" s="593" t="s">
        <v>647</v>
      </c>
      <c r="I4" s="594"/>
      <c r="J4" s="595"/>
      <c r="K4" s="593" t="s">
        <v>801</v>
      </c>
      <c r="L4" s="594"/>
      <c r="M4" s="595"/>
      <c r="N4" s="604" t="s">
        <v>805</v>
      </c>
    </row>
    <row r="5" spans="1:16" s="281" customFormat="1" ht="27" customHeight="1">
      <c r="B5" s="597"/>
      <c r="C5" s="599"/>
      <c r="D5" s="599"/>
      <c r="E5" s="603"/>
      <c r="F5" s="599"/>
      <c r="G5" s="603"/>
      <c r="H5" s="372" t="s">
        <v>705</v>
      </c>
      <c r="I5" s="372" t="s">
        <v>706</v>
      </c>
      <c r="J5" s="382" t="s">
        <v>413</v>
      </c>
      <c r="K5" s="372" t="s">
        <v>705</v>
      </c>
      <c r="L5" s="372" t="s">
        <v>706</v>
      </c>
      <c r="M5" s="382" t="s">
        <v>413</v>
      </c>
      <c r="N5" s="605"/>
    </row>
    <row r="6" spans="1:16" s="2" customFormat="1" ht="12.95" customHeight="1">
      <c r="A6" s="282"/>
      <c r="B6" s="504">
        <v>1</v>
      </c>
      <c r="C6" s="331">
        <v>2</v>
      </c>
      <c r="D6" s="331">
        <v>3</v>
      </c>
      <c r="E6" s="331">
        <v>4</v>
      </c>
      <c r="F6" s="331">
        <v>5</v>
      </c>
      <c r="G6" s="331">
        <v>6</v>
      </c>
      <c r="H6" s="331">
        <v>7</v>
      </c>
      <c r="I6" s="331">
        <v>8</v>
      </c>
      <c r="J6" s="523" t="s">
        <v>804</v>
      </c>
      <c r="K6" s="331">
        <v>10</v>
      </c>
      <c r="L6" s="331">
        <v>11</v>
      </c>
      <c r="M6" s="523" t="s">
        <v>707</v>
      </c>
      <c r="N6" s="505">
        <v>13</v>
      </c>
    </row>
    <row r="7" spans="1:16" s="2" customFormat="1" ht="12.95" customHeight="1">
      <c r="A7" s="282"/>
      <c r="B7" s="6" t="s">
        <v>119</v>
      </c>
      <c r="C7" s="7" t="s">
        <v>81</v>
      </c>
      <c r="D7" s="7" t="s">
        <v>124</v>
      </c>
      <c r="E7" s="5"/>
      <c r="F7" s="283"/>
      <c r="G7" s="5"/>
      <c r="H7" s="283"/>
      <c r="I7" s="283"/>
      <c r="J7" s="383"/>
      <c r="K7" s="283"/>
      <c r="L7" s="283"/>
      <c r="M7" s="383"/>
      <c r="N7" s="345"/>
    </row>
    <row r="8" spans="1:16" s="1" customFormat="1" ht="12.95" customHeight="1">
      <c r="A8" s="281"/>
      <c r="B8" s="12"/>
      <c r="C8" s="8"/>
      <c r="D8" s="8"/>
      <c r="E8" s="305">
        <v>611000</v>
      </c>
      <c r="F8" s="331"/>
      <c r="G8" s="8" t="s">
        <v>163</v>
      </c>
      <c r="H8" s="210">
        <f t="shared" ref="H8:M8" si="0">SUM(H9:H12)</f>
        <v>50850</v>
      </c>
      <c r="I8" s="210">
        <f t="shared" si="0"/>
        <v>0</v>
      </c>
      <c r="J8" s="384">
        <f t="shared" si="0"/>
        <v>50850</v>
      </c>
      <c r="K8" s="210">
        <f t="shared" si="0"/>
        <v>7933</v>
      </c>
      <c r="L8" s="210">
        <f t="shared" si="0"/>
        <v>0</v>
      </c>
      <c r="M8" s="384">
        <f t="shared" si="0"/>
        <v>7933</v>
      </c>
      <c r="N8" s="346">
        <f>IF(J8=0,"",M8/J8*100)</f>
        <v>15.6007866273353</v>
      </c>
    </row>
    <row r="9" spans="1:16" ht="12.95" customHeight="1">
      <c r="B9" s="10"/>
      <c r="C9" s="11"/>
      <c r="D9" s="11"/>
      <c r="E9" s="306">
        <v>611100</v>
      </c>
      <c r="F9" s="332"/>
      <c r="G9" s="18" t="s">
        <v>198</v>
      </c>
      <c r="H9" s="209">
        <f>30100+100+1*10*1430</f>
        <v>44500</v>
      </c>
      <c r="I9" s="209">
        <v>0</v>
      </c>
      <c r="J9" s="385">
        <f>SUM(H9:I9)</f>
        <v>44500</v>
      </c>
      <c r="K9" s="209">
        <v>7503</v>
      </c>
      <c r="L9" s="209">
        <v>0</v>
      </c>
      <c r="M9" s="385">
        <f>SUM(K9:L9)</f>
        <v>7503</v>
      </c>
      <c r="N9" s="347">
        <f t="shared" ref="N9:N66" si="1">IF(J9=0,"",M9/J9*100)</f>
        <v>16.860674157303372</v>
      </c>
    </row>
    <row r="10" spans="1:16" ht="12.95" customHeight="1">
      <c r="B10" s="10"/>
      <c r="C10" s="11"/>
      <c r="D10" s="11"/>
      <c r="E10" s="306">
        <v>611200</v>
      </c>
      <c r="F10" s="332"/>
      <c r="G10" s="11" t="s">
        <v>199</v>
      </c>
      <c r="H10" s="209">
        <f>2750+50+10*21*15+400</f>
        <v>6350</v>
      </c>
      <c r="I10" s="209">
        <v>0</v>
      </c>
      <c r="J10" s="385">
        <f t="shared" ref="J10:J11" si="2">SUM(H10:I10)</f>
        <v>6350</v>
      </c>
      <c r="K10" s="209">
        <v>430</v>
      </c>
      <c r="L10" s="209">
        <v>0</v>
      </c>
      <c r="M10" s="385">
        <f t="shared" ref="M10:M11" si="3">SUM(K10:L10)</f>
        <v>430</v>
      </c>
      <c r="N10" s="347">
        <f t="shared" si="1"/>
        <v>6.7716535433070861</v>
      </c>
    </row>
    <row r="11" spans="1:16" ht="12.95" customHeight="1">
      <c r="B11" s="10"/>
      <c r="C11" s="11"/>
      <c r="D11" s="11"/>
      <c r="E11" s="306">
        <v>611200</v>
      </c>
      <c r="F11" s="332"/>
      <c r="G11" s="189" t="s">
        <v>534</v>
      </c>
      <c r="H11" s="209">
        <v>0</v>
      </c>
      <c r="I11" s="209">
        <v>0</v>
      </c>
      <c r="J11" s="385">
        <f t="shared" si="2"/>
        <v>0</v>
      </c>
      <c r="K11" s="209">
        <v>0</v>
      </c>
      <c r="L11" s="209">
        <v>0</v>
      </c>
      <c r="M11" s="385">
        <f t="shared" si="3"/>
        <v>0</v>
      </c>
      <c r="N11" s="347" t="str">
        <f t="shared" si="1"/>
        <v/>
      </c>
      <c r="P11" s="56"/>
    </row>
    <row r="12" spans="1:16" ht="8.1" customHeight="1">
      <c r="B12" s="10"/>
      <c r="C12" s="11"/>
      <c r="D12" s="11"/>
      <c r="E12" s="306"/>
      <c r="F12" s="332"/>
      <c r="G12" s="18"/>
      <c r="H12" s="209"/>
      <c r="I12" s="209"/>
      <c r="J12" s="385"/>
      <c r="K12" s="209"/>
      <c r="L12" s="209"/>
      <c r="M12" s="385"/>
      <c r="N12" s="347" t="str">
        <f t="shared" si="1"/>
        <v/>
      </c>
    </row>
    <row r="13" spans="1:16" s="1" customFormat="1" ht="12.95" customHeight="1">
      <c r="A13" s="281"/>
      <c r="B13" s="12"/>
      <c r="C13" s="8"/>
      <c r="D13" s="8"/>
      <c r="E13" s="305">
        <v>612000</v>
      </c>
      <c r="F13" s="331"/>
      <c r="G13" s="8" t="s">
        <v>162</v>
      </c>
      <c r="H13" s="210">
        <f t="shared" ref="H13:M13" si="4">H14</f>
        <v>4800</v>
      </c>
      <c r="I13" s="210">
        <f t="shared" si="4"/>
        <v>0</v>
      </c>
      <c r="J13" s="384">
        <f t="shared" si="4"/>
        <v>4800</v>
      </c>
      <c r="K13" s="210">
        <f t="shared" si="4"/>
        <v>792</v>
      </c>
      <c r="L13" s="210">
        <f t="shared" si="4"/>
        <v>0</v>
      </c>
      <c r="M13" s="384">
        <f t="shared" si="4"/>
        <v>792</v>
      </c>
      <c r="N13" s="346">
        <f t="shared" si="1"/>
        <v>16.5</v>
      </c>
    </row>
    <row r="14" spans="1:16" ht="12.95" customHeight="1">
      <c r="B14" s="10"/>
      <c r="C14" s="11"/>
      <c r="D14" s="11"/>
      <c r="E14" s="306">
        <v>612100</v>
      </c>
      <c r="F14" s="332"/>
      <c r="G14" s="13" t="s">
        <v>83</v>
      </c>
      <c r="H14" s="209">
        <f>3180+20+1*10*160</f>
        <v>4800</v>
      </c>
      <c r="I14" s="209">
        <v>0</v>
      </c>
      <c r="J14" s="385">
        <f>SUM(H14:I14)</f>
        <v>4800</v>
      </c>
      <c r="K14" s="209">
        <v>792</v>
      </c>
      <c r="L14" s="209">
        <v>0</v>
      </c>
      <c r="M14" s="385">
        <f>SUM(K14:L14)</f>
        <v>792</v>
      </c>
      <c r="N14" s="347">
        <f t="shared" si="1"/>
        <v>16.5</v>
      </c>
    </row>
    <row r="15" spans="1:16" ht="8.1" customHeight="1">
      <c r="B15" s="10"/>
      <c r="C15" s="11"/>
      <c r="D15" s="11"/>
      <c r="E15" s="306"/>
      <c r="F15" s="332"/>
      <c r="G15" s="11"/>
      <c r="H15" s="279"/>
      <c r="I15" s="279"/>
      <c r="J15" s="386"/>
      <c r="K15" s="279"/>
      <c r="L15" s="279"/>
      <c r="M15" s="386"/>
      <c r="N15" s="347" t="str">
        <f t="shared" si="1"/>
        <v/>
      </c>
    </row>
    <row r="16" spans="1:16" s="1" customFormat="1" ht="12.95" customHeight="1">
      <c r="A16" s="281"/>
      <c r="B16" s="12"/>
      <c r="C16" s="8"/>
      <c r="D16" s="8"/>
      <c r="E16" s="305">
        <v>613000</v>
      </c>
      <c r="F16" s="331"/>
      <c r="G16" s="8" t="s">
        <v>164</v>
      </c>
      <c r="H16" s="293">
        <f t="shared" ref="H16:M16" si="5">SUM(H17:H26)</f>
        <v>3000</v>
      </c>
      <c r="I16" s="293">
        <f t="shared" si="5"/>
        <v>0</v>
      </c>
      <c r="J16" s="387">
        <f t="shared" si="5"/>
        <v>3000</v>
      </c>
      <c r="K16" s="293">
        <f t="shared" si="5"/>
        <v>744</v>
      </c>
      <c r="L16" s="293">
        <f t="shared" si="5"/>
        <v>0</v>
      </c>
      <c r="M16" s="387">
        <f t="shared" si="5"/>
        <v>744</v>
      </c>
      <c r="N16" s="346">
        <f t="shared" si="1"/>
        <v>24.8</v>
      </c>
    </row>
    <row r="17" spans="1:16" ht="12.95" customHeight="1">
      <c r="B17" s="10"/>
      <c r="C17" s="11"/>
      <c r="D17" s="11"/>
      <c r="E17" s="306">
        <v>613100</v>
      </c>
      <c r="F17" s="332"/>
      <c r="G17" s="11" t="s">
        <v>84</v>
      </c>
      <c r="H17" s="362">
        <v>1000</v>
      </c>
      <c r="I17" s="362">
        <v>0</v>
      </c>
      <c r="J17" s="385">
        <f t="shared" ref="J17:J26" si="6">SUM(H17:I17)</f>
        <v>1000</v>
      </c>
      <c r="K17" s="362">
        <v>0</v>
      </c>
      <c r="L17" s="362">
        <v>0</v>
      </c>
      <c r="M17" s="385">
        <f t="shared" ref="M17:M26" si="7">SUM(K17:L17)</f>
        <v>0</v>
      </c>
      <c r="N17" s="347">
        <f t="shared" si="1"/>
        <v>0</v>
      </c>
    </row>
    <row r="18" spans="1:16" ht="12.95" customHeight="1">
      <c r="B18" s="10"/>
      <c r="C18" s="11"/>
      <c r="D18" s="11"/>
      <c r="E18" s="306">
        <v>613200</v>
      </c>
      <c r="F18" s="332"/>
      <c r="G18" s="11" t="s">
        <v>85</v>
      </c>
      <c r="H18" s="362">
        <v>0</v>
      </c>
      <c r="I18" s="362">
        <v>0</v>
      </c>
      <c r="J18" s="385">
        <f t="shared" si="6"/>
        <v>0</v>
      </c>
      <c r="K18" s="362">
        <v>0</v>
      </c>
      <c r="L18" s="362">
        <v>0</v>
      </c>
      <c r="M18" s="385">
        <f t="shared" si="7"/>
        <v>0</v>
      </c>
      <c r="N18" s="347" t="str">
        <f t="shared" si="1"/>
        <v/>
      </c>
    </row>
    <row r="19" spans="1:16" ht="12.95" customHeight="1">
      <c r="B19" s="10"/>
      <c r="C19" s="11"/>
      <c r="D19" s="11"/>
      <c r="E19" s="306">
        <v>613300</v>
      </c>
      <c r="F19" s="332"/>
      <c r="G19" s="18" t="s">
        <v>200</v>
      </c>
      <c r="H19" s="362">
        <v>0</v>
      </c>
      <c r="I19" s="362">
        <v>0</v>
      </c>
      <c r="J19" s="385">
        <f t="shared" si="6"/>
        <v>0</v>
      </c>
      <c r="K19" s="362">
        <v>0</v>
      </c>
      <c r="L19" s="362">
        <v>0</v>
      </c>
      <c r="M19" s="385">
        <f t="shared" si="7"/>
        <v>0</v>
      </c>
      <c r="N19" s="347" t="str">
        <f t="shared" si="1"/>
        <v/>
      </c>
    </row>
    <row r="20" spans="1:16" ht="12.95" customHeight="1">
      <c r="B20" s="10"/>
      <c r="C20" s="11"/>
      <c r="D20" s="11"/>
      <c r="E20" s="306">
        <v>613400</v>
      </c>
      <c r="F20" s="332"/>
      <c r="G20" s="11" t="s">
        <v>165</v>
      </c>
      <c r="H20" s="362">
        <v>0</v>
      </c>
      <c r="I20" s="362">
        <v>0</v>
      </c>
      <c r="J20" s="385">
        <f t="shared" si="6"/>
        <v>0</v>
      </c>
      <c r="K20" s="362">
        <v>0</v>
      </c>
      <c r="L20" s="362">
        <v>0</v>
      </c>
      <c r="M20" s="385">
        <f t="shared" si="7"/>
        <v>0</v>
      </c>
      <c r="N20" s="347" t="str">
        <f t="shared" si="1"/>
        <v/>
      </c>
    </row>
    <row r="21" spans="1:16" ht="12.95" customHeight="1">
      <c r="B21" s="10"/>
      <c r="C21" s="11"/>
      <c r="D21" s="11"/>
      <c r="E21" s="306">
        <v>613500</v>
      </c>
      <c r="F21" s="332"/>
      <c r="G21" s="11" t="s">
        <v>86</v>
      </c>
      <c r="H21" s="362">
        <v>0</v>
      </c>
      <c r="I21" s="362">
        <v>0</v>
      </c>
      <c r="J21" s="385">
        <f t="shared" si="6"/>
        <v>0</v>
      </c>
      <c r="K21" s="362">
        <v>0</v>
      </c>
      <c r="L21" s="362">
        <v>0</v>
      </c>
      <c r="M21" s="385">
        <f t="shared" si="7"/>
        <v>0</v>
      </c>
      <c r="N21" s="347" t="str">
        <f t="shared" si="1"/>
        <v/>
      </c>
    </row>
    <row r="22" spans="1:16" ht="12.95" customHeight="1">
      <c r="B22" s="10"/>
      <c r="C22" s="11"/>
      <c r="D22" s="11"/>
      <c r="E22" s="306">
        <v>613600</v>
      </c>
      <c r="F22" s="332"/>
      <c r="G22" s="18" t="s">
        <v>201</v>
      </c>
      <c r="H22" s="362">
        <v>0</v>
      </c>
      <c r="I22" s="362">
        <v>0</v>
      </c>
      <c r="J22" s="385">
        <f t="shared" si="6"/>
        <v>0</v>
      </c>
      <c r="K22" s="362">
        <v>0</v>
      </c>
      <c r="L22" s="362">
        <v>0</v>
      </c>
      <c r="M22" s="385">
        <f t="shared" si="7"/>
        <v>0</v>
      </c>
      <c r="N22" s="347" t="str">
        <f t="shared" si="1"/>
        <v/>
      </c>
    </row>
    <row r="23" spans="1:16" ht="12.95" customHeight="1">
      <c r="B23" s="10"/>
      <c r="C23" s="11"/>
      <c r="D23" s="11"/>
      <c r="E23" s="306">
        <v>613700</v>
      </c>
      <c r="F23" s="332"/>
      <c r="G23" s="11" t="s">
        <v>87</v>
      </c>
      <c r="H23" s="362">
        <v>0</v>
      </c>
      <c r="I23" s="362">
        <v>0</v>
      </c>
      <c r="J23" s="385">
        <f t="shared" si="6"/>
        <v>0</v>
      </c>
      <c r="K23" s="362">
        <v>0</v>
      </c>
      <c r="L23" s="362">
        <v>0</v>
      </c>
      <c r="M23" s="385">
        <f t="shared" si="7"/>
        <v>0</v>
      </c>
      <c r="N23" s="347" t="str">
        <f t="shared" si="1"/>
        <v/>
      </c>
    </row>
    <row r="24" spans="1:16" ht="12.95" customHeight="1">
      <c r="B24" s="10"/>
      <c r="C24" s="11"/>
      <c r="D24" s="11"/>
      <c r="E24" s="306">
        <v>613800</v>
      </c>
      <c r="F24" s="332"/>
      <c r="G24" s="11" t="s">
        <v>166</v>
      </c>
      <c r="H24" s="362">
        <v>0</v>
      </c>
      <c r="I24" s="362">
        <v>0</v>
      </c>
      <c r="J24" s="385">
        <f t="shared" si="6"/>
        <v>0</v>
      </c>
      <c r="K24" s="362">
        <v>0</v>
      </c>
      <c r="L24" s="362">
        <v>0</v>
      </c>
      <c r="M24" s="385">
        <f t="shared" si="7"/>
        <v>0</v>
      </c>
      <c r="N24" s="347" t="str">
        <f t="shared" si="1"/>
        <v/>
      </c>
      <c r="P24" s="50"/>
    </row>
    <row r="25" spans="1:16" ht="12.95" customHeight="1">
      <c r="B25" s="10"/>
      <c r="C25" s="11"/>
      <c r="D25" s="11"/>
      <c r="E25" s="306">
        <v>613900</v>
      </c>
      <c r="F25" s="332"/>
      <c r="G25" s="11" t="s">
        <v>167</v>
      </c>
      <c r="H25" s="362">
        <v>2000</v>
      </c>
      <c r="I25" s="362">
        <v>0</v>
      </c>
      <c r="J25" s="385">
        <f t="shared" si="6"/>
        <v>2000</v>
      </c>
      <c r="K25" s="362">
        <v>744</v>
      </c>
      <c r="L25" s="362">
        <v>0</v>
      </c>
      <c r="M25" s="385">
        <f t="shared" si="7"/>
        <v>744</v>
      </c>
      <c r="N25" s="347">
        <f t="shared" si="1"/>
        <v>37.200000000000003</v>
      </c>
    </row>
    <row r="26" spans="1:16" ht="12.95" customHeight="1">
      <c r="B26" s="10"/>
      <c r="C26" s="11"/>
      <c r="D26" s="11"/>
      <c r="E26" s="306">
        <v>613900</v>
      </c>
      <c r="F26" s="332"/>
      <c r="G26" s="189" t="s">
        <v>535</v>
      </c>
      <c r="H26" s="363">
        <v>0</v>
      </c>
      <c r="I26" s="363">
        <v>0</v>
      </c>
      <c r="J26" s="385">
        <f t="shared" si="6"/>
        <v>0</v>
      </c>
      <c r="K26" s="363">
        <v>0</v>
      </c>
      <c r="L26" s="363">
        <v>0</v>
      </c>
      <c r="M26" s="385">
        <f t="shared" si="7"/>
        <v>0</v>
      </c>
      <c r="N26" s="347" t="str">
        <f t="shared" si="1"/>
        <v/>
      </c>
    </row>
    <row r="27" spans="1:16" s="1" customFormat="1" ht="8.1" customHeight="1">
      <c r="A27" s="281"/>
      <c r="B27" s="12"/>
      <c r="C27" s="8"/>
      <c r="D27" s="8"/>
      <c r="E27" s="316"/>
      <c r="F27" s="343"/>
      <c r="G27" s="8"/>
      <c r="H27" s="279"/>
      <c r="I27" s="279"/>
      <c r="J27" s="386"/>
      <c r="K27" s="279"/>
      <c r="L27" s="279"/>
      <c r="M27" s="386"/>
      <c r="N27" s="347" t="str">
        <f t="shared" si="1"/>
        <v/>
      </c>
    </row>
    <row r="28" spans="1:16" s="1" customFormat="1" ht="12.95" customHeight="1">
      <c r="A28" s="281"/>
      <c r="B28" s="12"/>
      <c r="C28" s="8"/>
      <c r="D28" s="8"/>
      <c r="E28" s="305">
        <v>821000</v>
      </c>
      <c r="F28" s="331"/>
      <c r="G28" s="8" t="s">
        <v>90</v>
      </c>
      <c r="H28" s="288">
        <f t="shared" ref="H28" si="8">SUM(H29:H30)</f>
        <v>1500</v>
      </c>
      <c r="I28" s="288">
        <f t="shared" ref="I28:K28" si="9">SUM(I29:I30)</f>
        <v>0</v>
      </c>
      <c r="J28" s="387">
        <f t="shared" si="9"/>
        <v>1500</v>
      </c>
      <c r="K28" s="288">
        <f t="shared" si="9"/>
        <v>0</v>
      </c>
      <c r="L28" s="288">
        <f t="shared" ref="L28:M28" si="10">SUM(L29:L30)</f>
        <v>0</v>
      </c>
      <c r="M28" s="387">
        <f t="shared" si="10"/>
        <v>0</v>
      </c>
      <c r="N28" s="346">
        <f t="shared" si="1"/>
        <v>0</v>
      </c>
    </row>
    <row r="29" spans="1:16" ht="12.95" customHeight="1">
      <c r="B29" s="10"/>
      <c r="C29" s="11"/>
      <c r="D29" s="11"/>
      <c r="E29" s="306">
        <v>821200</v>
      </c>
      <c r="F29" s="332"/>
      <c r="G29" s="11" t="s">
        <v>91</v>
      </c>
      <c r="H29" s="280">
        <v>0</v>
      </c>
      <c r="I29" s="280">
        <v>0</v>
      </c>
      <c r="J29" s="385">
        <f t="shared" ref="J29:J30" si="11">SUM(H29:I29)</f>
        <v>0</v>
      </c>
      <c r="K29" s="280">
        <v>0</v>
      </c>
      <c r="L29" s="280">
        <v>0</v>
      </c>
      <c r="M29" s="385">
        <f t="shared" ref="M29:M30" si="12">SUM(K29:L29)</f>
        <v>0</v>
      </c>
      <c r="N29" s="347" t="str">
        <f t="shared" si="1"/>
        <v/>
      </c>
    </row>
    <row r="30" spans="1:16" ht="12.95" customHeight="1">
      <c r="B30" s="10"/>
      <c r="C30" s="11"/>
      <c r="D30" s="11"/>
      <c r="E30" s="306">
        <v>821300</v>
      </c>
      <c r="F30" s="332"/>
      <c r="G30" s="11" t="s">
        <v>92</v>
      </c>
      <c r="H30" s="279">
        <v>1500</v>
      </c>
      <c r="I30" s="279">
        <v>0</v>
      </c>
      <c r="J30" s="385">
        <f t="shared" si="11"/>
        <v>1500</v>
      </c>
      <c r="K30" s="279">
        <v>0</v>
      </c>
      <c r="L30" s="279">
        <v>0</v>
      </c>
      <c r="M30" s="385">
        <f t="shared" si="12"/>
        <v>0</v>
      </c>
      <c r="N30" s="347">
        <f t="shared" si="1"/>
        <v>0</v>
      </c>
    </row>
    <row r="31" spans="1:16" ht="8.1" customHeight="1">
      <c r="B31" s="10"/>
      <c r="C31" s="11"/>
      <c r="D31" s="11"/>
      <c r="E31" s="306"/>
      <c r="F31" s="332"/>
      <c r="G31" s="11"/>
      <c r="H31" s="288"/>
      <c r="I31" s="288"/>
      <c r="J31" s="387"/>
      <c r="K31" s="288"/>
      <c r="L31" s="288"/>
      <c r="M31" s="387"/>
      <c r="N31" s="347" t="str">
        <f t="shared" si="1"/>
        <v/>
      </c>
    </row>
    <row r="32" spans="1:16" s="1" customFormat="1" ht="12.95" customHeight="1">
      <c r="A32" s="281"/>
      <c r="B32" s="12"/>
      <c r="C32" s="8"/>
      <c r="D32" s="8"/>
      <c r="E32" s="305"/>
      <c r="F32" s="331"/>
      <c r="G32" s="8" t="s">
        <v>93</v>
      </c>
      <c r="H32" s="288">
        <v>2</v>
      </c>
      <c r="I32" s="288"/>
      <c r="J32" s="387">
        <v>2</v>
      </c>
      <c r="K32" s="288">
        <v>1</v>
      </c>
      <c r="L32" s="288"/>
      <c r="M32" s="387">
        <v>1</v>
      </c>
      <c r="N32" s="347"/>
    </row>
    <row r="33" spans="1:14" s="1" customFormat="1" ht="12.95" customHeight="1">
      <c r="A33" s="281"/>
      <c r="B33" s="12"/>
      <c r="C33" s="8"/>
      <c r="D33" s="8"/>
      <c r="E33" s="305"/>
      <c r="F33" s="331"/>
      <c r="G33" s="8" t="s">
        <v>113</v>
      </c>
      <c r="H33" s="288">
        <f t="shared" ref="H33:M33" si="13">H8+H13+H16+H28</f>
        <v>60150</v>
      </c>
      <c r="I33" s="288">
        <f t="shared" si="13"/>
        <v>0</v>
      </c>
      <c r="J33" s="387">
        <f t="shared" si="13"/>
        <v>60150</v>
      </c>
      <c r="K33" s="288">
        <f t="shared" si="13"/>
        <v>9469</v>
      </c>
      <c r="L33" s="288">
        <f t="shared" si="13"/>
        <v>0</v>
      </c>
      <c r="M33" s="387">
        <f t="shared" si="13"/>
        <v>9469</v>
      </c>
      <c r="N33" s="346">
        <f t="shared" si="1"/>
        <v>15.742310889443059</v>
      </c>
    </row>
    <row r="34" spans="1:14" s="1" customFormat="1" ht="12.95" customHeight="1">
      <c r="A34" s="281"/>
      <c r="B34" s="12"/>
      <c r="C34" s="8"/>
      <c r="D34" s="8"/>
      <c r="E34" s="305"/>
      <c r="F34" s="331"/>
      <c r="G34" s="8" t="s">
        <v>94</v>
      </c>
      <c r="H34" s="288"/>
      <c r="I34" s="288"/>
      <c r="J34" s="387"/>
      <c r="K34" s="288"/>
      <c r="L34" s="288"/>
      <c r="M34" s="387"/>
      <c r="N34" s="347" t="str">
        <f t="shared" si="1"/>
        <v/>
      </c>
    </row>
    <row r="35" spans="1:14" s="1" customFormat="1" ht="12.95" customHeight="1">
      <c r="A35" s="281"/>
      <c r="B35" s="12"/>
      <c r="C35" s="8"/>
      <c r="D35" s="8"/>
      <c r="E35" s="305"/>
      <c r="F35" s="331"/>
      <c r="G35" s="8" t="s">
        <v>95</v>
      </c>
      <c r="H35" s="279"/>
      <c r="I35" s="279"/>
      <c r="J35" s="386"/>
      <c r="K35" s="279"/>
      <c r="L35" s="279"/>
      <c r="M35" s="386"/>
      <c r="N35" s="347" t="str">
        <f t="shared" si="1"/>
        <v/>
      </c>
    </row>
    <row r="36" spans="1:14" ht="8.1" customHeight="1" thickBot="1">
      <c r="B36" s="15"/>
      <c r="C36" s="16"/>
      <c r="D36" s="16"/>
      <c r="E36" s="307"/>
      <c r="F36" s="333"/>
      <c r="G36" s="16"/>
      <c r="H36" s="16"/>
      <c r="I36" s="16"/>
      <c r="J36" s="394"/>
      <c r="K36" s="16"/>
      <c r="L36" s="16"/>
      <c r="M36" s="394"/>
      <c r="N36" s="349" t="str">
        <f t="shared" si="1"/>
        <v/>
      </c>
    </row>
    <row r="37" spans="1:14" ht="12.95" customHeight="1">
      <c r="E37" s="308"/>
      <c r="F37" s="334"/>
      <c r="J37" s="391"/>
      <c r="M37" s="391"/>
      <c r="N37" s="350" t="str">
        <f t="shared" si="1"/>
        <v/>
      </c>
    </row>
    <row r="38" spans="1:14" ht="12.95" customHeight="1">
      <c r="B38" s="50"/>
      <c r="E38" s="308"/>
      <c r="F38" s="334"/>
      <c r="J38" s="391"/>
      <c r="M38" s="391"/>
      <c r="N38" s="350" t="str">
        <f t="shared" si="1"/>
        <v/>
      </c>
    </row>
    <row r="39" spans="1:14" ht="12.95" customHeight="1">
      <c r="E39" s="308"/>
      <c r="F39" s="334"/>
      <c r="J39" s="391"/>
      <c r="M39" s="391"/>
      <c r="N39" s="350" t="str">
        <f t="shared" si="1"/>
        <v/>
      </c>
    </row>
    <row r="40" spans="1:14" ht="12.95" customHeight="1">
      <c r="E40" s="308"/>
      <c r="F40" s="334"/>
      <c r="J40" s="391"/>
      <c r="M40" s="391"/>
      <c r="N40" s="350" t="str">
        <f t="shared" si="1"/>
        <v/>
      </c>
    </row>
    <row r="41" spans="1:14" ht="12.95" customHeight="1">
      <c r="E41" s="308"/>
      <c r="F41" s="334"/>
      <c r="J41" s="391"/>
      <c r="M41" s="391"/>
      <c r="N41" s="350" t="str">
        <f t="shared" si="1"/>
        <v/>
      </c>
    </row>
    <row r="42" spans="1:14" ht="12.95" customHeight="1">
      <c r="E42" s="308"/>
      <c r="F42" s="334"/>
      <c r="J42" s="391"/>
      <c r="M42" s="391"/>
      <c r="N42" s="350" t="str">
        <f t="shared" si="1"/>
        <v/>
      </c>
    </row>
    <row r="43" spans="1:14" ht="12.95" customHeight="1">
      <c r="E43" s="308"/>
      <c r="F43" s="334"/>
      <c r="J43" s="391"/>
      <c r="M43" s="391"/>
      <c r="N43" s="350" t="str">
        <f t="shared" si="1"/>
        <v/>
      </c>
    </row>
    <row r="44" spans="1:14" ht="12.95" customHeight="1">
      <c r="E44" s="308"/>
      <c r="F44" s="334"/>
      <c r="J44" s="391"/>
      <c r="M44" s="391"/>
      <c r="N44" s="350" t="str">
        <f t="shared" si="1"/>
        <v/>
      </c>
    </row>
    <row r="45" spans="1:14" ht="12.95" customHeight="1">
      <c r="E45" s="308"/>
      <c r="F45" s="334"/>
      <c r="J45" s="391"/>
      <c r="M45" s="391"/>
      <c r="N45" s="350" t="str">
        <f t="shared" si="1"/>
        <v/>
      </c>
    </row>
    <row r="46" spans="1:14" ht="12.95" customHeight="1">
      <c r="E46" s="308"/>
      <c r="F46" s="334"/>
      <c r="J46" s="391"/>
      <c r="M46" s="391"/>
      <c r="N46" s="350" t="str">
        <f t="shared" si="1"/>
        <v/>
      </c>
    </row>
    <row r="47" spans="1:14" ht="12.95" customHeight="1">
      <c r="E47" s="308"/>
      <c r="F47" s="334"/>
      <c r="J47" s="391"/>
      <c r="M47" s="391"/>
      <c r="N47" s="350" t="str">
        <f t="shared" si="1"/>
        <v/>
      </c>
    </row>
    <row r="48" spans="1:14" ht="12.95" customHeight="1">
      <c r="E48" s="308"/>
      <c r="F48" s="334"/>
      <c r="J48" s="391"/>
      <c r="M48" s="391"/>
      <c r="N48" s="350" t="str">
        <f t="shared" si="1"/>
        <v/>
      </c>
    </row>
    <row r="49" spans="5:14" ht="12.95" customHeight="1">
      <c r="E49" s="308"/>
      <c r="F49" s="334"/>
      <c r="J49" s="391"/>
      <c r="M49" s="391"/>
      <c r="N49" s="350" t="str">
        <f t="shared" si="1"/>
        <v/>
      </c>
    </row>
    <row r="50" spans="5:14" ht="12.95" customHeight="1">
      <c r="E50" s="308"/>
      <c r="F50" s="334"/>
      <c r="J50" s="391"/>
      <c r="M50" s="391"/>
      <c r="N50" s="350" t="str">
        <f t="shared" si="1"/>
        <v/>
      </c>
    </row>
    <row r="51" spans="5:14" ht="12.95" customHeight="1">
      <c r="E51" s="308"/>
      <c r="F51" s="334"/>
      <c r="J51" s="391"/>
      <c r="M51" s="391"/>
      <c r="N51" s="350" t="str">
        <f t="shared" si="1"/>
        <v/>
      </c>
    </row>
    <row r="52" spans="5:14" ht="12.95" customHeight="1">
      <c r="E52" s="308"/>
      <c r="F52" s="334"/>
      <c r="J52" s="391"/>
      <c r="M52" s="391"/>
      <c r="N52" s="350" t="str">
        <f t="shared" si="1"/>
        <v/>
      </c>
    </row>
    <row r="53" spans="5:14" ht="12.95" customHeight="1">
      <c r="E53" s="308"/>
      <c r="F53" s="334"/>
      <c r="J53" s="391"/>
      <c r="M53" s="391"/>
      <c r="N53" s="350" t="str">
        <f t="shared" si="1"/>
        <v/>
      </c>
    </row>
    <row r="54" spans="5:14" ht="12.95" customHeight="1">
      <c r="E54" s="308"/>
      <c r="F54" s="334"/>
      <c r="J54" s="391"/>
      <c r="M54" s="391"/>
      <c r="N54" s="350" t="str">
        <f t="shared" si="1"/>
        <v/>
      </c>
    </row>
    <row r="55" spans="5:14" ht="12.95" customHeight="1">
      <c r="E55" s="308"/>
      <c r="F55" s="334"/>
      <c r="J55" s="391"/>
      <c r="M55" s="391"/>
      <c r="N55" s="350" t="str">
        <f t="shared" si="1"/>
        <v/>
      </c>
    </row>
    <row r="56" spans="5:14" ht="12.95" customHeight="1">
      <c r="E56" s="308"/>
      <c r="F56" s="334"/>
      <c r="J56" s="391"/>
      <c r="M56" s="391"/>
      <c r="N56" s="350" t="str">
        <f t="shared" si="1"/>
        <v/>
      </c>
    </row>
    <row r="57" spans="5:14" ht="12.95" customHeight="1">
      <c r="E57" s="308"/>
      <c r="F57" s="334"/>
      <c r="J57" s="391"/>
      <c r="M57" s="391"/>
      <c r="N57" s="350" t="str">
        <f t="shared" si="1"/>
        <v/>
      </c>
    </row>
    <row r="58" spans="5:14" ht="12.95" customHeight="1">
      <c r="E58" s="308"/>
      <c r="F58" s="334"/>
      <c r="J58" s="391"/>
      <c r="M58" s="391"/>
      <c r="N58" s="350" t="str">
        <f t="shared" si="1"/>
        <v/>
      </c>
    </row>
    <row r="59" spans="5:14" ht="12.95" customHeight="1">
      <c r="E59" s="308"/>
      <c r="F59" s="334"/>
      <c r="J59" s="391"/>
      <c r="M59" s="391"/>
      <c r="N59" s="350" t="str">
        <f t="shared" si="1"/>
        <v/>
      </c>
    </row>
    <row r="60" spans="5:14" ht="17.100000000000001" customHeight="1">
      <c r="E60" s="308"/>
      <c r="F60" s="334"/>
      <c r="J60" s="391"/>
      <c r="M60" s="391"/>
      <c r="N60" s="350" t="str">
        <f t="shared" si="1"/>
        <v/>
      </c>
    </row>
    <row r="61" spans="5:14" ht="14.25">
      <c r="E61" s="308"/>
      <c r="F61" s="334"/>
      <c r="J61" s="391"/>
      <c r="M61" s="391"/>
      <c r="N61" s="350" t="str">
        <f t="shared" si="1"/>
        <v/>
      </c>
    </row>
    <row r="62" spans="5:14" ht="14.25">
      <c r="E62" s="308"/>
      <c r="F62" s="334"/>
      <c r="J62" s="391"/>
      <c r="M62" s="391"/>
      <c r="N62" s="350" t="str">
        <f t="shared" si="1"/>
        <v/>
      </c>
    </row>
    <row r="63" spans="5:14" ht="14.25">
      <c r="E63" s="308"/>
      <c r="F63" s="334"/>
      <c r="J63" s="391"/>
      <c r="M63" s="391"/>
      <c r="N63" s="350" t="str">
        <f t="shared" si="1"/>
        <v/>
      </c>
    </row>
    <row r="64" spans="5:14" ht="14.25">
      <c r="E64" s="308"/>
      <c r="F64" s="334"/>
      <c r="J64" s="391"/>
      <c r="M64" s="391"/>
      <c r="N64" s="350" t="str">
        <f t="shared" si="1"/>
        <v/>
      </c>
    </row>
    <row r="65" spans="5:14" ht="14.25">
      <c r="E65" s="308"/>
      <c r="F65" s="334"/>
      <c r="J65" s="391"/>
      <c r="M65" s="391"/>
      <c r="N65" s="350" t="str">
        <f t="shared" si="1"/>
        <v/>
      </c>
    </row>
    <row r="66" spans="5:14" ht="14.25">
      <c r="E66" s="308"/>
      <c r="F66" s="334"/>
      <c r="J66" s="391"/>
      <c r="M66" s="391"/>
      <c r="N66" s="350" t="str">
        <f t="shared" si="1"/>
        <v/>
      </c>
    </row>
    <row r="67" spans="5:14" ht="14.25">
      <c r="E67" s="308"/>
      <c r="F67" s="334"/>
      <c r="J67" s="391"/>
      <c r="M67" s="391"/>
    </row>
    <row r="68" spans="5:14" ht="14.25">
      <c r="E68" s="308"/>
      <c r="F68" s="334"/>
      <c r="J68" s="391"/>
      <c r="M68" s="391"/>
    </row>
    <row r="69" spans="5:14" ht="14.25">
      <c r="E69" s="308"/>
      <c r="F69" s="334"/>
      <c r="J69" s="391"/>
      <c r="M69" s="391"/>
    </row>
    <row r="70" spans="5:14" ht="14.25">
      <c r="E70" s="308"/>
      <c r="F70" s="334"/>
      <c r="J70" s="391"/>
      <c r="M70" s="391"/>
    </row>
    <row r="71" spans="5:14" ht="14.25">
      <c r="E71" s="308"/>
      <c r="F71" s="334"/>
      <c r="J71" s="391"/>
      <c r="M71" s="391"/>
    </row>
    <row r="72" spans="5:14" ht="14.25">
      <c r="E72" s="308"/>
      <c r="F72" s="334"/>
      <c r="J72" s="391"/>
      <c r="M72" s="391"/>
    </row>
    <row r="73" spans="5:14" ht="14.25">
      <c r="E73" s="308"/>
      <c r="F73" s="334"/>
      <c r="J73" s="391"/>
      <c r="M73" s="391"/>
    </row>
    <row r="74" spans="5:14" ht="14.25">
      <c r="E74" s="308"/>
      <c r="F74" s="308"/>
      <c r="J74" s="391"/>
      <c r="M74" s="391"/>
    </row>
    <row r="75" spans="5:14" ht="14.25">
      <c r="E75" s="308"/>
      <c r="F75" s="308"/>
      <c r="J75" s="391"/>
      <c r="M75" s="391"/>
    </row>
    <row r="76" spans="5:14" ht="14.25">
      <c r="E76" s="308"/>
      <c r="F76" s="308"/>
      <c r="J76" s="391"/>
      <c r="M76" s="391"/>
    </row>
    <row r="77" spans="5:14" ht="14.25">
      <c r="E77" s="308"/>
      <c r="F77" s="308"/>
      <c r="J77" s="391"/>
      <c r="M77" s="391"/>
    </row>
    <row r="78" spans="5:14" ht="14.25">
      <c r="E78" s="308"/>
      <c r="F78" s="308"/>
      <c r="J78" s="391"/>
      <c r="M78" s="391"/>
    </row>
    <row r="79" spans="5:14" ht="14.25">
      <c r="E79" s="308"/>
      <c r="F79" s="308"/>
      <c r="J79" s="391"/>
      <c r="M79" s="391"/>
    </row>
    <row r="80" spans="5:14" ht="14.25">
      <c r="E80" s="308"/>
      <c r="F80" s="308"/>
      <c r="J80" s="391"/>
      <c r="M80" s="391"/>
    </row>
    <row r="81" spans="5:13" ht="14.25">
      <c r="E81" s="308"/>
      <c r="F81" s="308"/>
      <c r="J81" s="391"/>
      <c r="M81" s="391"/>
    </row>
    <row r="82" spans="5:13" ht="14.25">
      <c r="E82" s="308"/>
      <c r="F82" s="308"/>
      <c r="J82" s="391"/>
      <c r="M82" s="391"/>
    </row>
    <row r="83" spans="5:13" ht="14.25">
      <c r="E83" s="308"/>
      <c r="F83" s="308"/>
      <c r="J83" s="391"/>
      <c r="M83" s="391"/>
    </row>
    <row r="84" spans="5:13" ht="14.25">
      <c r="E84" s="308"/>
      <c r="F84" s="308"/>
      <c r="J84" s="391"/>
      <c r="M84" s="391"/>
    </row>
    <row r="85" spans="5:13" ht="14.25">
      <c r="E85" s="308"/>
      <c r="F85" s="308"/>
      <c r="J85" s="391"/>
      <c r="M85" s="391"/>
    </row>
    <row r="86" spans="5:13" ht="14.25">
      <c r="E86" s="308"/>
      <c r="F86" s="308"/>
      <c r="J86" s="391"/>
      <c r="M86" s="391"/>
    </row>
    <row r="87" spans="5:13" ht="14.25">
      <c r="E87" s="308"/>
      <c r="F87" s="308"/>
      <c r="J87" s="391"/>
      <c r="M87" s="391"/>
    </row>
    <row r="88" spans="5:13" ht="14.25">
      <c r="E88" s="308"/>
      <c r="F88" s="308"/>
      <c r="J88" s="391"/>
      <c r="M88" s="391"/>
    </row>
    <row r="89" spans="5:13" ht="14.25">
      <c r="E89" s="308"/>
      <c r="F89" s="308"/>
      <c r="J89" s="391"/>
      <c r="M89" s="391"/>
    </row>
    <row r="90" spans="5:13" ht="14.25">
      <c r="E90" s="308"/>
      <c r="F90" s="308"/>
      <c r="J90" s="391"/>
      <c r="M90" s="391"/>
    </row>
    <row r="91" spans="5:13">
      <c r="F91" s="308"/>
    </row>
    <row r="92" spans="5:13">
      <c r="F92" s="308"/>
    </row>
    <row r="93" spans="5:13">
      <c r="F93" s="308"/>
    </row>
    <row r="94" spans="5:13">
      <c r="F94" s="308"/>
    </row>
    <row r="95" spans="5:13">
      <c r="F95" s="308"/>
    </row>
    <row r="96" spans="5:13">
      <c r="F96" s="308"/>
    </row>
  </sheetData>
  <mergeCells count="10">
    <mergeCell ref="N4:N5"/>
    <mergeCell ref="G4:G5"/>
    <mergeCell ref="B2:J2"/>
    <mergeCell ref="H4:J4"/>
    <mergeCell ref="B4:B5"/>
    <mergeCell ref="C4:C5"/>
    <mergeCell ref="D4:D5"/>
    <mergeCell ref="F4:F5"/>
    <mergeCell ref="E4:E5"/>
    <mergeCell ref="K4:M4"/>
  </mergeCells>
  <phoneticPr fontId="2" type="noConversion"/>
  <pageMargins left="0.78740157480314965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42"/>
  <dimension ref="A1:P96"/>
  <sheetViews>
    <sheetView zoomScaleNormal="100" workbookViewId="0">
      <selection activeCell="K45" sqref="K45"/>
    </sheetView>
  </sheetViews>
  <sheetFormatPr defaultRowHeight="12.75"/>
  <cols>
    <col min="1" max="1" width="9.140625" style="284"/>
    <col min="2" max="2" width="4.7109375" style="9" customWidth="1"/>
    <col min="3" max="3" width="5.140625" style="9" customWidth="1"/>
    <col min="4" max="4" width="5" style="9" customWidth="1"/>
    <col min="5" max="5" width="8.7109375" style="17" customWidth="1"/>
    <col min="6" max="6" width="8.7109375" style="289" customWidth="1"/>
    <col min="7" max="7" width="50.7109375" style="9" customWidth="1"/>
    <col min="8" max="9" width="14.7109375" style="284" customWidth="1"/>
    <col min="10" max="10" width="15.7109375" style="9" customWidth="1"/>
    <col min="11" max="12" width="14.7109375" style="284" customWidth="1"/>
    <col min="13" max="13" width="15.7109375" style="284" customWidth="1"/>
    <col min="14" max="14" width="7.7109375" style="350" customWidth="1"/>
    <col min="15" max="16384" width="9.140625" style="9"/>
  </cols>
  <sheetData>
    <row r="1" spans="1:16" ht="13.5" thickBot="1"/>
    <row r="2" spans="1:16" s="376" customFormat="1" ht="20.100000000000001" customHeight="1" thickTop="1" thickBot="1">
      <c r="B2" s="590" t="s">
        <v>160</v>
      </c>
      <c r="C2" s="591"/>
      <c r="D2" s="591"/>
      <c r="E2" s="591"/>
      <c r="F2" s="591"/>
      <c r="G2" s="591"/>
      <c r="H2" s="591"/>
      <c r="I2" s="591"/>
      <c r="J2" s="591"/>
      <c r="K2" s="530"/>
      <c r="L2" s="530"/>
      <c r="M2" s="530"/>
      <c r="N2" s="379"/>
    </row>
    <row r="3" spans="1:16" s="1" customFormat="1" ht="8.1" customHeight="1" thickTop="1" thickBot="1">
      <c r="A3" s="281"/>
      <c r="E3" s="2"/>
      <c r="F3" s="282"/>
      <c r="G3" s="531"/>
      <c r="H3" s="92"/>
      <c r="I3" s="92"/>
      <c r="J3" s="92"/>
      <c r="K3" s="92"/>
      <c r="L3" s="92"/>
      <c r="M3" s="92"/>
      <c r="N3" s="344"/>
    </row>
    <row r="4" spans="1:16" s="1" customFormat="1" ht="39" customHeight="1">
      <c r="A4" s="281"/>
      <c r="B4" s="596" t="s">
        <v>78</v>
      </c>
      <c r="C4" s="606" t="s">
        <v>79</v>
      </c>
      <c r="D4" s="607" t="s">
        <v>110</v>
      </c>
      <c r="E4" s="608" t="s">
        <v>594</v>
      </c>
      <c r="F4" s="601" t="s">
        <v>653</v>
      </c>
      <c r="G4" s="602" t="s">
        <v>80</v>
      </c>
      <c r="H4" s="593" t="s">
        <v>647</v>
      </c>
      <c r="I4" s="594"/>
      <c r="J4" s="595"/>
      <c r="K4" s="593" t="s">
        <v>801</v>
      </c>
      <c r="L4" s="594"/>
      <c r="M4" s="595"/>
      <c r="N4" s="604" t="s">
        <v>805</v>
      </c>
    </row>
    <row r="5" spans="1:16" s="281" customFormat="1" ht="27" customHeight="1">
      <c r="B5" s="597"/>
      <c r="C5" s="599"/>
      <c r="D5" s="599"/>
      <c r="E5" s="603"/>
      <c r="F5" s="599"/>
      <c r="G5" s="603"/>
      <c r="H5" s="372" t="s">
        <v>705</v>
      </c>
      <c r="I5" s="372" t="s">
        <v>706</v>
      </c>
      <c r="J5" s="382" t="s">
        <v>413</v>
      </c>
      <c r="K5" s="372" t="s">
        <v>705</v>
      </c>
      <c r="L5" s="372" t="s">
        <v>706</v>
      </c>
      <c r="M5" s="382" t="s">
        <v>413</v>
      </c>
      <c r="N5" s="605"/>
    </row>
    <row r="6" spans="1:16" s="2" customFormat="1" ht="12.95" customHeight="1">
      <c r="A6" s="282"/>
      <c r="B6" s="504">
        <v>1</v>
      </c>
      <c r="C6" s="331">
        <v>2</v>
      </c>
      <c r="D6" s="331">
        <v>3</v>
      </c>
      <c r="E6" s="331">
        <v>4</v>
      </c>
      <c r="F6" s="331">
        <v>5</v>
      </c>
      <c r="G6" s="331">
        <v>6</v>
      </c>
      <c r="H6" s="331">
        <v>7</v>
      </c>
      <c r="I6" s="331">
        <v>8</v>
      </c>
      <c r="J6" s="523" t="s">
        <v>804</v>
      </c>
      <c r="K6" s="331">
        <v>10</v>
      </c>
      <c r="L6" s="331">
        <v>11</v>
      </c>
      <c r="M6" s="523" t="s">
        <v>707</v>
      </c>
      <c r="N6" s="505">
        <v>13</v>
      </c>
    </row>
    <row r="7" spans="1:16" s="2" customFormat="1" ht="12.95" customHeight="1">
      <c r="A7" s="282"/>
      <c r="B7" s="6" t="s">
        <v>119</v>
      </c>
      <c r="C7" s="7" t="s">
        <v>81</v>
      </c>
      <c r="D7" s="7" t="s">
        <v>125</v>
      </c>
      <c r="E7" s="5"/>
      <c r="F7" s="283"/>
      <c r="G7" s="5"/>
      <c r="H7" s="283"/>
      <c r="I7" s="283"/>
      <c r="J7" s="383"/>
      <c r="K7" s="283"/>
      <c r="L7" s="283"/>
      <c r="M7" s="383"/>
      <c r="N7" s="345"/>
    </row>
    <row r="8" spans="1:16" s="1" customFormat="1" ht="12.95" customHeight="1">
      <c r="A8" s="281"/>
      <c r="B8" s="12"/>
      <c r="C8" s="8"/>
      <c r="D8" s="8"/>
      <c r="E8" s="305">
        <v>611000</v>
      </c>
      <c r="F8" s="331"/>
      <c r="G8" s="8" t="s">
        <v>163</v>
      </c>
      <c r="H8" s="210">
        <f t="shared" ref="H8:M8" si="0">SUM(H9:H12)</f>
        <v>75630</v>
      </c>
      <c r="I8" s="210">
        <f t="shared" si="0"/>
        <v>0</v>
      </c>
      <c r="J8" s="384">
        <f t="shared" si="0"/>
        <v>75630</v>
      </c>
      <c r="K8" s="210">
        <f t="shared" si="0"/>
        <v>18474</v>
      </c>
      <c r="L8" s="210">
        <f t="shared" si="0"/>
        <v>0</v>
      </c>
      <c r="M8" s="384">
        <f t="shared" si="0"/>
        <v>18474</v>
      </c>
      <c r="N8" s="346">
        <f>IF(J8=0,"",M8/J8*100)</f>
        <v>24.426814756049186</v>
      </c>
    </row>
    <row r="9" spans="1:16" ht="12.95" customHeight="1">
      <c r="B9" s="10"/>
      <c r="C9" s="11"/>
      <c r="D9" s="11"/>
      <c r="E9" s="306">
        <v>611100</v>
      </c>
      <c r="F9" s="332"/>
      <c r="G9" s="18" t="s">
        <v>198</v>
      </c>
      <c r="H9" s="209">
        <f>64800+250</f>
        <v>65050</v>
      </c>
      <c r="I9" s="209">
        <v>0</v>
      </c>
      <c r="J9" s="385">
        <f>SUM(H9:I9)</f>
        <v>65050</v>
      </c>
      <c r="K9" s="209">
        <v>16157</v>
      </c>
      <c r="L9" s="209">
        <v>0</v>
      </c>
      <c r="M9" s="385">
        <f>SUM(K9:L9)</f>
        <v>16157</v>
      </c>
      <c r="N9" s="347">
        <f t="shared" ref="N9:N66" si="1">IF(J9=0,"",M9/J9*100)</f>
        <v>24.837817063797079</v>
      </c>
      <c r="O9" s="57"/>
    </row>
    <row r="10" spans="1:16" ht="12.95" customHeight="1">
      <c r="B10" s="10"/>
      <c r="C10" s="11"/>
      <c r="D10" s="11"/>
      <c r="E10" s="306">
        <v>611200</v>
      </c>
      <c r="F10" s="332"/>
      <c r="G10" s="11" t="s">
        <v>199</v>
      </c>
      <c r="H10" s="209">
        <f>10480+100</f>
        <v>10580</v>
      </c>
      <c r="I10" s="209">
        <v>0</v>
      </c>
      <c r="J10" s="385">
        <f t="shared" ref="J10:J11" si="2">SUM(H10:I10)</f>
        <v>10580</v>
      </c>
      <c r="K10" s="209">
        <v>2317</v>
      </c>
      <c r="L10" s="209">
        <v>0</v>
      </c>
      <c r="M10" s="385">
        <f t="shared" ref="M10:M11" si="3">SUM(K10:L10)</f>
        <v>2317</v>
      </c>
      <c r="N10" s="347">
        <f t="shared" si="1"/>
        <v>21.899810964083173</v>
      </c>
      <c r="O10" s="59"/>
    </row>
    <row r="11" spans="1:16" ht="12.95" customHeight="1">
      <c r="B11" s="10"/>
      <c r="C11" s="11"/>
      <c r="D11" s="11"/>
      <c r="E11" s="306">
        <v>611200</v>
      </c>
      <c r="F11" s="332"/>
      <c r="G11" s="189" t="s">
        <v>534</v>
      </c>
      <c r="H11" s="209">
        <v>0</v>
      </c>
      <c r="I11" s="209">
        <v>0</v>
      </c>
      <c r="J11" s="385">
        <f t="shared" si="2"/>
        <v>0</v>
      </c>
      <c r="K11" s="209">
        <v>0</v>
      </c>
      <c r="L11" s="209">
        <v>0</v>
      </c>
      <c r="M11" s="385">
        <f t="shared" si="3"/>
        <v>0</v>
      </c>
      <c r="N11" s="347" t="str">
        <f t="shared" si="1"/>
        <v/>
      </c>
      <c r="P11" s="56"/>
    </row>
    <row r="12" spans="1:16" ht="8.1" customHeight="1">
      <c r="B12" s="10"/>
      <c r="C12" s="11"/>
      <c r="D12" s="11"/>
      <c r="E12" s="306"/>
      <c r="F12" s="332"/>
      <c r="G12" s="18"/>
      <c r="H12" s="209"/>
      <c r="I12" s="209"/>
      <c r="J12" s="385"/>
      <c r="K12" s="209"/>
      <c r="L12" s="209"/>
      <c r="M12" s="385"/>
      <c r="N12" s="347" t="str">
        <f t="shared" si="1"/>
        <v/>
      </c>
    </row>
    <row r="13" spans="1:16" s="1" customFormat="1" ht="12.95" customHeight="1">
      <c r="A13" s="281"/>
      <c r="B13" s="12"/>
      <c r="C13" s="8"/>
      <c r="D13" s="8"/>
      <c r="E13" s="305">
        <v>612000</v>
      </c>
      <c r="F13" s="331"/>
      <c r="G13" s="8" t="s">
        <v>162</v>
      </c>
      <c r="H13" s="210">
        <f t="shared" ref="H13:M13" si="4">H14</f>
        <v>6940</v>
      </c>
      <c r="I13" s="210">
        <f t="shared" si="4"/>
        <v>0</v>
      </c>
      <c r="J13" s="384">
        <f t="shared" si="4"/>
        <v>6940</v>
      </c>
      <c r="K13" s="210">
        <f t="shared" si="4"/>
        <v>1712</v>
      </c>
      <c r="L13" s="210">
        <f t="shared" si="4"/>
        <v>0</v>
      </c>
      <c r="M13" s="384">
        <f t="shared" si="4"/>
        <v>1712</v>
      </c>
      <c r="N13" s="346">
        <f t="shared" si="1"/>
        <v>24.668587896253602</v>
      </c>
    </row>
    <row r="14" spans="1:16" ht="12.95" customHeight="1">
      <c r="B14" s="10"/>
      <c r="C14" s="11"/>
      <c r="D14" s="11"/>
      <c r="E14" s="306">
        <v>612100</v>
      </c>
      <c r="F14" s="332"/>
      <c r="G14" s="13" t="s">
        <v>83</v>
      </c>
      <c r="H14" s="209">
        <f>6900+40</f>
        <v>6940</v>
      </c>
      <c r="I14" s="209">
        <v>0</v>
      </c>
      <c r="J14" s="385">
        <f>SUM(H14:I14)</f>
        <v>6940</v>
      </c>
      <c r="K14" s="209">
        <v>1712</v>
      </c>
      <c r="L14" s="209">
        <v>0</v>
      </c>
      <c r="M14" s="385">
        <f>SUM(K14:L14)</f>
        <v>1712</v>
      </c>
      <c r="N14" s="347">
        <f t="shared" si="1"/>
        <v>24.668587896253602</v>
      </c>
    </row>
    <row r="15" spans="1:16" ht="8.1" customHeight="1">
      <c r="B15" s="10"/>
      <c r="C15" s="11"/>
      <c r="D15" s="11"/>
      <c r="E15" s="306"/>
      <c r="F15" s="332"/>
      <c r="G15" s="11"/>
      <c r="H15" s="279"/>
      <c r="I15" s="279"/>
      <c r="J15" s="386"/>
      <c r="K15" s="279"/>
      <c r="L15" s="279"/>
      <c r="M15" s="386"/>
      <c r="N15" s="347" t="str">
        <f t="shared" si="1"/>
        <v/>
      </c>
    </row>
    <row r="16" spans="1:16" s="1" customFormat="1" ht="12.95" customHeight="1">
      <c r="A16" s="281"/>
      <c r="B16" s="12"/>
      <c r="C16" s="8"/>
      <c r="D16" s="8"/>
      <c r="E16" s="305">
        <v>613000</v>
      </c>
      <c r="F16" s="331"/>
      <c r="G16" s="8" t="s">
        <v>164</v>
      </c>
      <c r="H16" s="293">
        <f t="shared" ref="H16:M16" si="5">SUM(H17:H26)</f>
        <v>6300</v>
      </c>
      <c r="I16" s="293">
        <f t="shared" si="5"/>
        <v>0</v>
      </c>
      <c r="J16" s="387">
        <f t="shared" si="5"/>
        <v>6300</v>
      </c>
      <c r="K16" s="293">
        <f t="shared" si="5"/>
        <v>593</v>
      </c>
      <c r="L16" s="293">
        <f t="shared" si="5"/>
        <v>0</v>
      </c>
      <c r="M16" s="387">
        <f t="shared" si="5"/>
        <v>593</v>
      </c>
      <c r="N16" s="346">
        <f t="shared" si="1"/>
        <v>9.412698412698413</v>
      </c>
    </row>
    <row r="17" spans="1:14" ht="12.95" customHeight="1">
      <c r="B17" s="10"/>
      <c r="C17" s="11"/>
      <c r="D17" s="11"/>
      <c r="E17" s="306">
        <v>613100</v>
      </c>
      <c r="F17" s="332"/>
      <c r="G17" s="11" t="s">
        <v>84</v>
      </c>
      <c r="H17" s="364">
        <v>1500</v>
      </c>
      <c r="I17" s="364">
        <v>0</v>
      </c>
      <c r="J17" s="385">
        <f t="shared" ref="J17:J26" si="6">SUM(H17:I17)</f>
        <v>1500</v>
      </c>
      <c r="K17" s="364">
        <v>0</v>
      </c>
      <c r="L17" s="364">
        <v>0</v>
      </c>
      <c r="M17" s="385">
        <f t="shared" ref="M17:M26" si="7">SUM(K17:L17)</f>
        <v>0</v>
      </c>
      <c r="N17" s="347">
        <f t="shared" si="1"/>
        <v>0</v>
      </c>
    </row>
    <row r="18" spans="1:14" ht="12.95" customHeight="1">
      <c r="B18" s="10"/>
      <c r="C18" s="11"/>
      <c r="D18" s="11"/>
      <c r="E18" s="306">
        <v>613200</v>
      </c>
      <c r="F18" s="332"/>
      <c r="G18" s="11" t="s">
        <v>85</v>
      </c>
      <c r="H18" s="362">
        <v>0</v>
      </c>
      <c r="I18" s="362">
        <v>0</v>
      </c>
      <c r="J18" s="385">
        <f t="shared" si="6"/>
        <v>0</v>
      </c>
      <c r="K18" s="362">
        <v>0</v>
      </c>
      <c r="L18" s="362">
        <v>0</v>
      </c>
      <c r="M18" s="385">
        <f t="shared" si="7"/>
        <v>0</v>
      </c>
      <c r="N18" s="347" t="str">
        <f t="shared" si="1"/>
        <v/>
      </c>
    </row>
    <row r="19" spans="1:14" ht="12.95" customHeight="1">
      <c r="B19" s="10"/>
      <c r="C19" s="11"/>
      <c r="D19" s="11"/>
      <c r="E19" s="306">
        <v>613300</v>
      </c>
      <c r="F19" s="332"/>
      <c r="G19" s="18" t="s">
        <v>200</v>
      </c>
      <c r="H19" s="362">
        <v>2500</v>
      </c>
      <c r="I19" s="362">
        <v>0</v>
      </c>
      <c r="J19" s="385">
        <f t="shared" si="6"/>
        <v>2500</v>
      </c>
      <c r="K19" s="362">
        <v>429</v>
      </c>
      <c r="L19" s="362">
        <v>0</v>
      </c>
      <c r="M19" s="385">
        <f t="shared" si="7"/>
        <v>429</v>
      </c>
      <c r="N19" s="347">
        <f t="shared" si="1"/>
        <v>17.16</v>
      </c>
    </row>
    <row r="20" spans="1:14" ht="12.95" customHeight="1">
      <c r="B20" s="10"/>
      <c r="C20" s="11"/>
      <c r="D20" s="11"/>
      <c r="E20" s="306">
        <v>613400</v>
      </c>
      <c r="F20" s="332"/>
      <c r="G20" s="11" t="s">
        <v>165</v>
      </c>
      <c r="H20" s="364">
        <v>300</v>
      </c>
      <c r="I20" s="364">
        <v>0</v>
      </c>
      <c r="J20" s="385">
        <f t="shared" si="6"/>
        <v>300</v>
      </c>
      <c r="K20" s="364">
        <v>0</v>
      </c>
      <c r="L20" s="364">
        <v>0</v>
      </c>
      <c r="M20" s="385">
        <f t="shared" si="7"/>
        <v>0</v>
      </c>
      <c r="N20" s="347">
        <f t="shared" si="1"/>
        <v>0</v>
      </c>
    </row>
    <row r="21" spans="1:14" ht="12.95" customHeight="1">
      <c r="B21" s="10"/>
      <c r="C21" s="11"/>
      <c r="D21" s="11"/>
      <c r="E21" s="306">
        <v>613500</v>
      </c>
      <c r="F21" s="332"/>
      <c r="G21" s="11" t="s">
        <v>86</v>
      </c>
      <c r="H21" s="362">
        <v>0</v>
      </c>
      <c r="I21" s="362">
        <v>0</v>
      </c>
      <c r="J21" s="385">
        <f t="shared" si="6"/>
        <v>0</v>
      </c>
      <c r="K21" s="362">
        <v>0</v>
      </c>
      <c r="L21" s="362">
        <v>0</v>
      </c>
      <c r="M21" s="385">
        <f t="shared" si="7"/>
        <v>0</v>
      </c>
      <c r="N21" s="347" t="str">
        <f t="shared" si="1"/>
        <v/>
      </c>
    </row>
    <row r="22" spans="1:14" ht="12.95" customHeight="1">
      <c r="B22" s="10"/>
      <c r="C22" s="11"/>
      <c r="D22" s="11"/>
      <c r="E22" s="306">
        <v>613600</v>
      </c>
      <c r="F22" s="332"/>
      <c r="G22" s="18" t="s">
        <v>201</v>
      </c>
      <c r="H22" s="362">
        <v>0</v>
      </c>
      <c r="I22" s="362">
        <v>0</v>
      </c>
      <c r="J22" s="385">
        <f t="shared" si="6"/>
        <v>0</v>
      </c>
      <c r="K22" s="362">
        <v>0</v>
      </c>
      <c r="L22" s="362">
        <v>0</v>
      </c>
      <c r="M22" s="385">
        <f t="shared" si="7"/>
        <v>0</v>
      </c>
      <c r="N22" s="347" t="str">
        <f t="shared" si="1"/>
        <v/>
      </c>
    </row>
    <row r="23" spans="1:14" ht="12.95" customHeight="1">
      <c r="B23" s="10"/>
      <c r="C23" s="11"/>
      <c r="D23" s="11"/>
      <c r="E23" s="306">
        <v>613700</v>
      </c>
      <c r="F23" s="332"/>
      <c r="G23" s="11" t="s">
        <v>87</v>
      </c>
      <c r="H23" s="362">
        <v>0</v>
      </c>
      <c r="I23" s="362">
        <v>0</v>
      </c>
      <c r="J23" s="385">
        <f t="shared" si="6"/>
        <v>0</v>
      </c>
      <c r="K23" s="362">
        <v>0</v>
      </c>
      <c r="L23" s="362">
        <v>0</v>
      </c>
      <c r="M23" s="385">
        <f t="shared" si="7"/>
        <v>0</v>
      </c>
      <c r="N23" s="347" t="str">
        <f t="shared" si="1"/>
        <v/>
      </c>
    </row>
    <row r="24" spans="1:14" ht="12.95" customHeight="1">
      <c r="B24" s="10"/>
      <c r="C24" s="11"/>
      <c r="D24" s="11"/>
      <c r="E24" s="306">
        <v>613800</v>
      </c>
      <c r="F24" s="332"/>
      <c r="G24" s="11" t="s">
        <v>166</v>
      </c>
      <c r="H24" s="362">
        <v>0</v>
      </c>
      <c r="I24" s="362">
        <v>0</v>
      </c>
      <c r="J24" s="385">
        <f t="shared" si="6"/>
        <v>0</v>
      </c>
      <c r="K24" s="362">
        <v>0</v>
      </c>
      <c r="L24" s="362">
        <v>0</v>
      </c>
      <c r="M24" s="385">
        <f t="shared" si="7"/>
        <v>0</v>
      </c>
      <c r="N24" s="347" t="str">
        <f t="shared" si="1"/>
        <v/>
      </c>
    </row>
    <row r="25" spans="1:14" ht="12.95" customHeight="1">
      <c r="B25" s="10"/>
      <c r="C25" s="11"/>
      <c r="D25" s="11"/>
      <c r="E25" s="306">
        <v>613900</v>
      </c>
      <c r="F25" s="332"/>
      <c r="G25" s="11" t="s">
        <v>167</v>
      </c>
      <c r="H25" s="364">
        <v>2000</v>
      </c>
      <c r="I25" s="364">
        <v>0</v>
      </c>
      <c r="J25" s="385">
        <f t="shared" si="6"/>
        <v>2000</v>
      </c>
      <c r="K25" s="364">
        <v>164</v>
      </c>
      <c r="L25" s="364">
        <v>0</v>
      </c>
      <c r="M25" s="385">
        <f t="shared" si="7"/>
        <v>164</v>
      </c>
      <c r="N25" s="347">
        <f t="shared" si="1"/>
        <v>8.2000000000000011</v>
      </c>
    </row>
    <row r="26" spans="1:14" ht="12.95" customHeight="1">
      <c r="B26" s="10"/>
      <c r="C26" s="11"/>
      <c r="D26" s="11"/>
      <c r="E26" s="306">
        <v>613900</v>
      </c>
      <c r="F26" s="332"/>
      <c r="G26" s="189" t="s">
        <v>535</v>
      </c>
      <c r="H26" s="365">
        <v>0</v>
      </c>
      <c r="I26" s="365">
        <v>0</v>
      </c>
      <c r="J26" s="385">
        <f t="shared" si="6"/>
        <v>0</v>
      </c>
      <c r="K26" s="365">
        <v>0</v>
      </c>
      <c r="L26" s="365">
        <v>0</v>
      </c>
      <c r="M26" s="385">
        <f t="shared" si="7"/>
        <v>0</v>
      </c>
      <c r="N26" s="347" t="str">
        <f t="shared" si="1"/>
        <v/>
      </c>
    </row>
    <row r="27" spans="1:14" s="1" customFormat="1" ht="8.1" customHeight="1">
      <c r="A27" s="281"/>
      <c r="B27" s="12"/>
      <c r="C27" s="8"/>
      <c r="D27" s="8"/>
      <c r="E27" s="316"/>
      <c r="F27" s="343"/>
      <c r="G27" s="8"/>
      <c r="H27" s="280"/>
      <c r="I27" s="280"/>
      <c r="J27" s="386"/>
      <c r="K27" s="280"/>
      <c r="L27" s="280"/>
      <c r="M27" s="386"/>
      <c r="N27" s="347" t="str">
        <f t="shared" si="1"/>
        <v/>
      </c>
    </row>
    <row r="28" spans="1:14" s="1" customFormat="1" ht="12.95" customHeight="1">
      <c r="A28" s="281"/>
      <c r="B28" s="12"/>
      <c r="C28" s="8"/>
      <c r="D28" s="8"/>
      <c r="E28" s="305">
        <v>821000</v>
      </c>
      <c r="F28" s="331"/>
      <c r="G28" s="8" t="s">
        <v>90</v>
      </c>
      <c r="H28" s="295">
        <f t="shared" ref="H28:M28" si="8">SUM(H29:H30)</f>
        <v>1500</v>
      </c>
      <c r="I28" s="295">
        <f t="shared" si="8"/>
        <v>0</v>
      </c>
      <c r="J28" s="387">
        <f t="shared" si="8"/>
        <v>1500</v>
      </c>
      <c r="K28" s="295">
        <f t="shared" si="8"/>
        <v>0</v>
      </c>
      <c r="L28" s="295">
        <f t="shared" si="8"/>
        <v>0</v>
      </c>
      <c r="M28" s="387">
        <f t="shared" si="8"/>
        <v>0</v>
      </c>
      <c r="N28" s="346">
        <f t="shared" si="1"/>
        <v>0</v>
      </c>
    </row>
    <row r="29" spans="1:14" ht="12.95" customHeight="1">
      <c r="B29" s="10"/>
      <c r="C29" s="11"/>
      <c r="D29" s="11"/>
      <c r="E29" s="306">
        <v>821200</v>
      </c>
      <c r="F29" s="332"/>
      <c r="G29" s="11" t="s">
        <v>91</v>
      </c>
      <c r="H29" s="280">
        <v>0</v>
      </c>
      <c r="I29" s="280">
        <v>0</v>
      </c>
      <c r="J29" s="385">
        <f t="shared" ref="J29:J30" si="9">SUM(H29:I29)</f>
        <v>0</v>
      </c>
      <c r="K29" s="280">
        <v>0</v>
      </c>
      <c r="L29" s="280">
        <v>0</v>
      </c>
      <c r="M29" s="385">
        <f t="shared" ref="M29:M30" si="10">SUM(K29:L29)</f>
        <v>0</v>
      </c>
      <c r="N29" s="347" t="str">
        <f t="shared" si="1"/>
        <v/>
      </c>
    </row>
    <row r="30" spans="1:14" ht="12.95" customHeight="1">
      <c r="B30" s="10"/>
      <c r="C30" s="11"/>
      <c r="D30" s="11"/>
      <c r="E30" s="306">
        <v>821300</v>
      </c>
      <c r="F30" s="332"/>
      <c r="G30" s="11" t="s">
        <v>92</v>
      </c>
      <c r="H30" s="280">
        <v>1500</v>
      </c>
      <c r="I30" s="280">
        <v>0</v>
      </c>
      <c r="J30" s="385">
        <f t="shared" si="9"/>
        <v>1500</v>
      </c>
      <c r="K30" s="280">
        <v>0</v>
      </c>
      <c r="L30" s="280">
        <v>0</v>
      </c>
      <c r="M30" s="385">
        <f t="shared" si="10"/>
        <v>0</v>
      </c>
      <c r="N30" s="347">
        <f t="shared" si="1"/>
        <v>0</v>
      </c>
    </row>
    <row r="31" spans="1:14" ht="8.1" customHeight="1">
      <c r="B31" s="10"/>
      <c r="C31" s="11"/>
      <c r="D31" s="11"/>
      <c r="E31" s="306"/>
      <c r="F31" s="332"/>
      <c r="G31" s="11"/>
      <c r="H31" s="279"/>
      <c r="I31" s="279"/>
      <c r="J31" s="386"/>
      <c r="K31" s="279"/>
      <c r="L31" s="279"/>
      <c r="M31" s="386"/>
      <c r="N31" s="347" t="str">
        <f t="shared" si="1"/>
        <v/>
      </c>
    </row>
    <row r="32" spans="1:14" s="1" customFormat="1" ht="12.95" customHeight="1">
      <c r="A32" s="281"/>
      <c r="B32" s="12"/>
      <c r="C32" s="8"/>
      <c r="D32" s="8"/>
      <c r="E32" s="305"/>
      <c r="F32" s="331"/>
      <c r="G32" s="8" t="s">
        <v>93</v>
      </c>
      <c r="H32" s="295">
        <v>3</v>
      </c>
      <c r="I32" s="295"/>
      <c r="J32" s="387">
        <v>3</v>
      </c>
      <c r="K32" s="295">
        <v>3</v>
      </c>
      <c r="L32" s="295"/>
      <c r="M32" s="387">
        <v>3</v>
      </c>
      <c r="N32" s="347"/>
    </row>
    <row r="33" spans="1:14" s="1" customFormat="1" ht="12.95" customHeight="1">
      <c r="A33" s="281"/>
      <c r="B33" s="12"/>
      <c r="C33" s="8"/>
      <c r="D33" s="8"/>
      <c r="E33" s="305"/>
      <c r="F33" s="331"/>
      <c r="G33" s="8" t="s">
        <v>113</v>
      </c>
      <c r="H33" s="288">
        <f t="shared" ref="H33:M33" si="11">H8+H13+H16+H28</f>
        <v>90370</v>
      </c>
      <c r="I33" s="288">
        <f t="shared" si="11"/>
        <v>0</v>
      </c>
      <c r="J33" s="387">
        <f t="shared" si="11"/>
        <v>90370</v>
      </c>
      <c r="K33" s="288">
        <f t="shared" si="11"/>
        <v>20779</v>
      </c>
      <c r="L33" s="288">
        <f t="shared" si="11"/>
        <v>0</v>
      </c>
      <c r="M33" s="387">
        <f t="shared" si="11"/>
        <v>20779</v>
      </c>
      <c r="N33" s="346">
        <f t="shared" si="1"/>
        <v>22.993249972335953</v>
      </c>
    </row>
    <row r="34" spans="1:14" s="1" customFormat="1" ht="12.95" customHeight="1">
      <c r="A34" s="281"/>
      <c r="B34" s="12"/>
      <c r="C34" s="8"/>
      <c r="D34" s="8"/>
      <c r="E34" s="305"/>
      <c r="F34" s="331"/>
      <c r="G34" s="8" t="s">
        <v>94</v>
      </c>
      <c r="H34" s="288"/>
      <c r="I34" s="288"/>
      <c r="J34" s="387"/>
      <c r="K34" s="288"/>
      <c r="L34" s="288"/>
      <c r="M34" s="387"/>
      <c r="N34" s="347" t="str">
        <f t="shared" si="1"/>
        <v/>
      </c>
    </row>
    <row r="35" spans="1:14" s="1" customFormat="1" ht="12.95" customHeight="1">
      <c r="A35" s="281"/>
      <c r="B35" s="12"/>
      <c r="C35" s="8"/>
      <c r="D35" s="8"/>
      <c r="E35" s="305"/>
      <c r="F35" s="331"/>
      <c r="G35" s="8" t="s">
        <v>95</v>
      </c>
      <c r="H35" s="288"/>
      <c r="I35" s="288"/>
      <c r="J35" s="387"/>
      <c r="K35" s="288"/>
      <c r="L35" s="288"/>
      <c r="M35" s="387"/>
      <c r="N35" s="347" t="str">
        <f t="shared" si="1"/>
        <v/>
      </c>
    </row>
    <row r="36" spans="1:14" ht="8.1" customHeight="1" thickBot="1">
      <c r="B36" s="15"/>
      <c r="C36" s="16"/>
      <c r="D36" s="16"/>
      <c r="E36" s="307"/>
      <c r="F36" s="333"/>
      <c r="G36" s="16"/>
      <c r="H36" s="16"/>
      <c r="I36" s="16"/>
      <c r="J36" s="394"/>
      <c r="K36" s="16"/>
      <c r="L36" s="16"/>
      <c r="M36" s="394"/>
      <c r="N36" s="349" t="str">
        <f t="shared" si="1"/>
        <v/>
      </c>
    </row>
    <row r="37" spans="1:14" ht="12.95" customHeight="1">
      <c r="E37" s="308"/>
      <c r="F37" s="334"/>
      <c r="J37" s="391"/>
      <c r="M37" s="391"/>
      <c r="N37" s="350" t="str">
        <f t="shared" si="1"/>
        <v/>
      </c>
    </row>
    <row r="38" spans="1:14" ht="12.95" customHeight="1">
      <c r="B38" s="50"/>
      <c r="E38" s="308"/>
      <c r="F38" s="334"/>
      <c r="J38" s="391"/>
      <c r="M38" s="391"/>
      <c r="N38" s="350" t="str">
        <f t="shared" si="1"/>
        <v/>
      </c>
    </row>
    <row r="39" spans="1:14" ht="12.95" customHeight="1">
      <c r="B39" s="50"/>
      <c r="E39" s="308"/>
      <c r="F39" s="334"/>
      <c r="J39" s="391"/>
      <c r="M39" s="391"/>
      <c r="N39" s="350" t="str">
        <f t="shared" si="1"/>
        <v/>
      </c>
    </row>
    <row r="40" spans="1:14" ht="12.95" customHeight="1">
      <c r="B40" s="50"/>
      <c r="E40" s="308"/>
      <c r="F40" s="334"/>
      <c r="J40" s="391"/>
      <c r="M40" s="391"/>
      <c r="N40" s="350" t="str">
        <f t="shared" si="1"/>
        <v/>
      </c>
    </row>
    <row r="41" spans="1:14" ht="12.95" customHeight="1">
      <c r="B41" s="50"/>
      <c r="E41" s="308"/>
      <c r="F41" s="334"/>
      <c r="J41" s="391"/>
      <c r="M41" s="391"/>
      <c r="N41" s="350" t="str">
        <f t="shared" si="1"/>
        <v/>
      </c>
    </row>
    <row r="42" spans="1:14" ht="12.95" customHeight="1">
      <c r="E42" s="308"/>
      <c r="F42" s="334"/>
      <c r="J42" s="391"/>
      <c r="M42" s="391"/>
      <c r="N42" s="350" t="str">
        <f t="shared" si="1"/>
        <v/>
      </c>
    </row>
    <row r="43" spans="1:14" ht="12.95" customHeight="1">
      <c r="E43" s="308"/>
      <c r="F43" s="334"/>
      <c r="J43" s="391"/>
      <c r="M43" s="391"/>
      <c r="N43" s="350" t="str">
        <f t="shared" si="1"/>
        <v/>
      </c>
    </row>
    <row r="44" spans="1:14" ht="12.95" customHeight="1">
      <c r="E44" s="308"/>
      <c r="F44" s="334"/>
      <c r="J44" s="391"/>
      <c r="M44" s="391"/>
      <c r="N44" s="350" t="str">
        <f t="shared" si="1"/>
        <v/>
      </c>
    </row>
    <row r="45" spans="1:14" ht="12.95" customHeight="1">
      <c r="E45" s="308"/>
      <c r="F45" s="334"/>
      <c r="J45" s="391"/>
      <c r="M45" s="391"/>
      <c r="N45" s="350" t="str">
        <f t="shared" si="1"/>
        <v/>
      </c>
    </row>
    <row r="46" spans="1:14" ht="12.95" customHeight="1">
      <c r="E46" s="308"/>
      <c r="F46" s="334"/>
      <c r="J46" s="391"/>
      <c r="M46" s="391"/>
      <c r="N46" s="350" t="str">
        <f t="shared" si="1"/>
        <v/>
      </c>
    </row>
    <row r="47" spans="1:14" ht="12.95" customHeight="1">
      <c r="E47" s="308"/>
      <c r="F47" s="334"/>
      <c r="J47" s="391"/>
      <c r="M47" s="391"/>
      <c r="N47" s="350" t="str">
        <f t="shared" si="1"/>
        <v/>
      </c>
    </row>
    <row r="48" spans="1:14" ht="12.95" customHeight="1">
      <c r="E48" s="308"/>
      <c r="F48" s="334"/>
      <c r="J48" s="391"/>
      <c r="M48" s="391"/>
      <c r="N48" s="350" t="str">
        <f t="shared" si="1"/>
        <v/>
      </c>
    </row>
    <row r="49" spans="5:14" ht="12.95" customHeight="1">
      <c r="E49" s="308"/>
      <c r="F49" s="334"/>
      <c r="J49" s="391"/>
      <c r="M49" s="391"/>
      <c r="N49" s="350" t="str">
        <f t="shared" si="1"/>
        <v/>
      </c>
    </row>
    <row r="50" spans="5:14" ht="12.95" customHeight="1">
      <c r="E50" s="308"/>
      <c r="F50" s="334"/>
      <c r="J50" s="391"/>
      <c r="M50" s="391"/>
      <c r="N50" s="350" t="str">
        <f t="shared" si="1"/>
        <v/>
      </c>
    </row>
    <row r="51" spans="5:14" ht="12.95" customHeight="1">
      <c r="E51" s="308"/>
      <c r="F51" s="334"/>
      <c r="J51" s="391"/>
      <c r="M51" s="391"/>
      <c r="N51" s="350" t="str">
        <f t="shared" si="1"/>
        <v/>
      </c>
    </row>
    <row r="52" spans="5:14" ht="12.95" customHeight="1">
      <c r="E52" s="308"/>
      <c r="F52" s="334"/>
      <c r="J52" s="391"/>
      <c r="M52" s="391"/>
      <c r="N52" s="350" t="str">
        <f t="shared" si="1"/>
        <v/>
      </c>
    </row>
    <row r="53" spans="5:14" ht="12.95" customHeight="1">
      <c r="E53" s="308"/>
      <c r="F53" s="334"/>
      <c r="J53" s="391"/>
      <c r="M53" s="391"/>
      <c r="N53" s="350" t="str">
        <f t="shared" si="1"/>
        <v/>
      </c>
    </row>
    <row r="54" spans="5:14" ht="12.95" customHeight="1">
      <c r="E54" s="308"/>
      <c r="F54" s="334"/>
      <c r="J54" s="391"/>
      <c r="M54" s="391"/>
      <c r="N54" s="350" t="str">
        <f t="shared" si="1"/>
        <v/>
      </c>
    </row>
    <row r="55" spans="5:14" ht="12.95" customHeight="1">
      <c r="E55" s="308"/>
      <c r="F55" s="334"/>
      <c r="J55" s="391"/>
      <c r="M55" s="391"/>
      <c r="N55" s="350" t="str">
        <f t="shared" si="1"/>
        <v/>
      </c>
    </row>
    <row r="56" spans="5:14" ht="12.95" customHeight="1">
      <c r="E56" s="308"/>
      <c r="F56" s="334"/>
      <c r="J56" s="391"/>
      <c r="M56" s="391"/>
      <c r="N56" s="350" t="str">
        <f t="shared" si="1"/>
        <v/>
      </c>
    </row>
    <row r="57" spans="5:14" ht="12.95" customHeight="1">
      <c r="E57" s="308"/>
      <c r="F57" s="334"/>
      <c r="J57" s="391"/>
      <c r="M57" s="391"/>
      <c r="N57" s="350" t="str">
        <f t="shared" si="1"/>
        <v/>
      </c>
    </row>
    <row r="58" spans="5:14" ht="12.95" customHeight="1">
      <c r="E58" s="308"/>
      <c r="F58" s="334"/>
      <c r="J58" s="391"/>
      <c r="M58" s="391"/>
      <c r="N58" s="350" t="str">
        <f t="shared" si="1"/>
        <v/>
      </c>
    </row>
    <row r="59" spans="5:14" ht="12.95" customHeight="1">
      <c r="E59" s="308"/>
      <c r="F59" s="334"/>
      <c r="J59" s="391"/>
      <c r="M59" s="391"/>
      <c r="N59" s="350" t="str">
        <f t="shared" si="1"/>
        <v/>
      </c>
    </row>
    <row r="60" spans="5:14" ht="17.100000000000001" customHeight="1">
      <c r="E60" s="308"/>
      <c r="F60" s="334"/>
      <c r="J60" s="391"/>
      <c r="M60" s="391"/>
      <c r="N60" s="350" t="str">
        <f t="shared" si="1"/>
        <v/>
      </c>
    </row>
    <row r="61" spans="5:14" ht="14.25">
      <c r="E61" s="308"/>
      <c r="F61" s="334"/>
      <c r="J61" s="391"/>
      <c r="M61" s="391"/>
      <c r="N61" s="350" t="str">
        <f t="shared" si="1"/>
        <v/>
      </c>
    </row>
    <row r="62" spans="5:14" ht="14.25">
      <c r="E62" s="308"/>
      <c r="F62" s="334"/>
      <c r="J62" s="391"/>
      <c r="M62" s="391"/>
      <c r="N62" s="350" t="str">
        <f t="shared" si="1"/>
        <v/>
      </c>
    </row>
    <row r="63" spans="5:14" ht="14.25">
      <c r="E63" s="308"/>
      <c r="F63" s="334"/>
      <c r="J63" s="391"/>
      <c r="M63" s="391"/>
      <c r="N63" s="350" t="str">
        <f t="shared" si="1"/>
        <v/>
      </c>
    </row>
    <row r="64" spans="5:14" ht="14.25">
      <c r="E64" s="308"/>
      <c r="F64" s="334"/>
      <c r="J64" s="391"/>
      <c r="M64" s="391"/>
      <c r="N64" s="350" t="str">
        <f t="shared" si="1"/>
        <v/>
      </c>
    </row>
    <row r="65" spans="5:14" ht="14.25">
      <c r="E65" s="308"/>
      <c r="F65" s="334"/>
      <c r="J65" s="391"/>
      <c r="M65" s="391"/>
      <c r="N65" s="350" t="str">
        <f t="shared" si="1"/>
        <v/>
      </c>
    </row>
    <row r="66" spans="5:14" ht="14.25">
      <c r="E66" s="308"/>
      <c r="F66" s="334"/>
      <c r="J66" s="391"/>
      <c r="M66" s="391"/>
      <c r="N66" s="350" t="str">
        <f t="shared" si="1"/>
        <v/>
      </c>
    </row>
    <row r="67" spans="5:14" ht="14.25">
      <c r="E67" s="308"/>
      <c r="F67" s="334"/>
      <c r="J67" s="391"/>
      <c r="M67" s="391"/>
    </row>
    <row r="68" spans="5:14" ht="14.25">
      <c r="E68" s="308"/>
      <c r="F68" s="334"/>
      <c r="J68" s="391"/>
      <c r="M68" s="391"/>
    </row>
    <row r="69" spans="5:14" ht="14.25">
      <c r="E69" s="308"/>
      <c r="F69" s="334"/>
      <c r="J69" s="391"/>
      <c r="M69" s="391"/>
    </row>
    <row r="70" spans="5:14" ht="14.25">
      <c r="E70" s="308"/>
      <c r="F70" s="334"/>
      <c r="J70" s="391"/>
      <c r="M70" s="391"/>
    </row>
    <row r="71" spans="5:14" ht="14.25">
      <c r="E71" s="308"/>
      <c r="F71" s="334"/>
      <c r="J71" s="391"/>
      <c r="M71" s="391"/>
    </row>
    <row r="72" spans="5:14" ht="14.25">
      <c r="E72" s="308"/>
      <c r="F72" s="334"/>
      <c r="J72" s="391"/>
      <c r="M72" s="391"/>
    </row>
    <row r="73" spans="5:14" ht="14.25">
      <c r="E73" s="308"/>
      <c r="F73" s="334"/>
      <c r="J73" s="391"/>
      <c r="M73" s="391"/>
    </row>
    <row r="74" spans="5:14" ht="14.25">
      <c r="E74" s="308"/>
      <c r="F74" s="308"/>
      <c r="J74" s="391"/>
      <c r="M74" s="391"/>
    </row>
    <row r="75" spans="5:14" ht="14.25">
      <c r="E75" s="308"/>
      <c r="F75" s="308"/>
      <c r="J75" s="391"/>
      <c r="M75" s="391"/>
    </row>
    <row r="76" spans="5:14" ht="14.25">
      <c r="E76" s="308"/>
      <c r="F76" s="308"/>
      <c r="J76" s="391"/>
      <c r="M76" s="391"/>
    </row>
    <row r="77" spans="5:14" ht="14.25">
      <c r="E77" s="308"/>
      <c r="F77" s="308"/>
      <c r="J77" s="391"/>
      <c r="M77" s="391"/>
    </row>
    <row r="78" spans="5:14" ht="14.25">
      <c r="E78" s="308"/>
      <c r="F78" s="308"/>
      <c r="J78" s="391"/>
      <c r="M78" s="391"/>
    </row>
    <row r="79" spans="5:14" ht="14.25">
      <c r="E79" s="308"/>
      <c r="F79" s="308"/>
      <c r="J79" s="391"/>
      <c r="M79" s="391"/>
    </row>
    <row r="80" spans="5:14" ht="14.25">
      <c r="E80" s="308"/>
      <c r="F80" s="308"/>
      <c r="J80" s="391"/>
      <c r="M80" s="391"/>
    </row>
    <row r="81" spans="5:13" ht="14.25">
      <c r="E81" s="308"/>
      <c r="F81" s="308"/>
      <c r="J81" s="391"/>
      <c r="M81" s="391"/>
    </row>
    <row r="82" spans="5:13" ht="14.25">
      <c r="E82" s="308"/>
      <c r="F82" s="308"/>
      <c r="J82" s="391"/>
      <c r="M82" s="391"/>
    </row>
    <row r="83" spans="5:13" ht="14.25">
      <c r="E83" s="308"/>
      <c r="F83" s="308"/>
      <c r="J83" s="391"/>
      <c r="M83" s="391"/>
    </row>
    <row r="84" spans="5:13" ht="14.25">
      <c r="E84" s="308"/>
      <c r="F84" s="308"/>
      <c r="J84" s="391"/>
      <c r="M84" s="391"/>
    </row>
    <row r="85" spans="5:13" ht="14.25">
      <c r="E85" s="308"/>
      <c r="F85" s="308"/>
      <c r="J85" s="391"/>
      <c r="M85" s="391"/>
    </row>
    <row r="86" spans="5:13" ht="14.25">
      <c r="E86" s="308"/>
      <c r="F86" s="308"/>
      <c r="J86" s="391"/>
      <c r="M86" s="391"/>
    </row>
    <row r="87" spans="5:13" ht="14.25">
      <c r="E87" s="308"/>
      <c r="F87" s="308"/>
      <c r="J87" s="391"/>
      <c r="M87" s="391"/>
    </row>
    <row r="88" spans="5:13" ht="14.25">
      <c r="E88" s="308"/>
      <c r="F88" s="308"/>
      <c r="J88" s="391"/>
      <c r="M88" s="391"/>
    </row>
    <row r="89" spans="5:13" ht="14.25">
      <c r="E89" s="308"/>
      <c r="F89" s="308"/>
      <c r="J89" s="391"/>
      <c r="M89" s="391"/>
    </row>
    <row r="90" spans="5:13" ht="14.25">
      <c r="E90" s="308"/>
      <c r="F90" s="308"/>
      <c r="J90" s="391"/>
      <c r="M90" s="391"/>
    </row>
    <row r="91" spans="5:13">
      <c r="F91" s="308"/>
    </row>
    <row r="92" spans="5:13">
      <c r="F92" s="308"/>
    </row>
    <row r="93" spans="5:13">
      <c r="F93" s="308"/>
    </row>
    <row r="94" spans="5:13">
      <c r="F94" s="308"/>
    </row>
    <row r="95" spans="5:13">
      <c r="F95" s="308"/>
    </row>
    <row r="96" spans="5:13">
      <c r="F96" s="308"/>
    </row>
  </sheetData>
  <mergeCells count="10">
    <mergeCell ref="N4:N5"/>
    <mergeCell ref="G4:G5"/>
    <mergeCell ref="B2:J2"/>
    <mergeCell ref="H4:J4"/>
    <mergeCell ref="B4:B5"/>
    <mergeCell ref="C4:C5"/>
    <mergeCell ref="D4:D5"/>
    <mergeCell ref="F4:F5"/>
    <mergeCell ref="E4:E5"/>
    <mergeCell ref="K4:M4"/>
  </mergeCells>
  <phoneticPr fontId="2" type="noConversion"/>
  <pageMargins left="0.78740157480314965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46"/>
  <dimension ref="A1:P96"/>
  <sheetViews>
    <sheetView zoomScaleNormal="100" workbookViewId="0">
      <selection activeCell="K45" sqref="K45"/>
    </sheetView>
  </sheetViews>
  <sheetFormatPr defaultRowHeight="12.75"/>
  <cols>
    <col min="1" max="1" width="9.140625" style="284"/>
    <col min="2" max="2" width="4.7109375" style="9" customWidth="1"/>
    <col min="3" max="3" width="5.140625" style="9" customWidth="1"/>
    <col min="4" max="4" width="5" style="9" customWidth="1"/>
    <col min="5" max="5" width="8.7109375" style="17" customWidth="1"/>
    <col min="6" max="6" width="8.7109375" style="289" customWidth="1"/>
    <col min="7" max="7" width="50.7109375" style="9" customWidth="1"/>
    <col min="8" max="9" width="14.7109375" style="284" customWidth="1"/>
    <col min="10" max="10" width="15.7109375" style="9" customWidth="1"/>
    <col min="11" max="12" width="14.7109375" style="284" customWidth="1"/>
    <col min="13" max="13" width="15.7109375" style="284" customWidth="1"/>
    <col min="14" max="14" width="7.7109375" style="350" customWidth="1"/>
    <col min="15" max="16384" width="9.140625" style="9"/>
  </cols>
  <sheetData>
    <row r="1" spans="1:16" ht="13.5" thickBot="1"/>
    <row r="2" spans="1:16" s="98" customFormat="1" ht="20.100000000000001" customHeight="1" thickTop="1" thickBot="1">
      <c r="B2" s="590" t="s">
        <v>546</v>
      </c>
      <c r="C2" s="591"/>
      <c r="D2" s="591"/>
      <c r="E2" s="591"/>
      <c r="F2" s="591"/>
      <c r="G2" s="591"/>
      <c r="H2" s="591"/>
      <c r="I2" s="591"/>
      <c r="J2" s="591"/>
      <c r="K2" s="530"/>
      <c r="L2" s="530"/>
      <c r="M2" s="530"/>
      <c r="N2" s="379"/>
    </row>
    <row r="3" spans="1:16" s="1" customFormat="1" ht="8.1" customHeight="1" thickTop="1" thickBot="1">
      <c r="A3" s="281"/>
      <c r="E3" s="2"/>
      <c r="F3" s="282"/>
      <c r="G3" s="531"/>
      <c r="H3" s="92"/>
      <c r="I3" s="92"/>
      <c r="J3" s="92"/>
      <c r="K3" s="92"/>
      <c r="L3" s="92"/>
      <c r="M3" s="92"/>
      <c r="N3" s="344"/>
    </row>
    <row r="4" spans="1:16" s="1" customFormat="1" ht="39" customHeight="1">
      <c r="A4" s="281"/>
      <c r="B4" s="596" t="s">
        <v>78</v>
      </c>
      <c r="C4" s="606" t="s">
        <v>79</v>
      </c>
      <c r="D4" s="607" t="s">
        <v>110</v>
      </c>
      <c r="E4" s="608" t="s">
        <v>594</v>
      </c>
      <c r="F4" s="601" t="s">
        <v>653</v>
      </c>
      <c r="G4" s="602" t="s">
        <v>80</v>
      </c>
      <c r="H4" s="593" t="s">
        <v>647</v>
      </c>
      <c r="I4" s="594"/>
      <c r="J4" s="595"/>
      <c r="K4" s="593" t="s">
        <v>801</v>
      </c>
      <c r="L4" s="594"/>
      <c r="M4" s="595"/>
      <c r="N4" s="604" t="s">
        <v>805</v>
      </c>
    </row>
    <row r="5" spans="1:16" s="281" customFormat="1" ht="27" customHeight="1">
      <c r="B5" s="597"/>
      <c r="C5" s="599"/>
      <c r="D5" s="599"/>
      <c r="E5" s="603"/>
      <c r="F5" s="599"/>
      <c r="G5" s="603"/>
      <c r="H5" s="372" t="s">
        <v>705</v>
      </c>
      <c r="I5" s="372" t="s">
        <v>706</v>
      </c>
      <c r="J5" s="382" t="s">
        <v>413</v>
      </c>
      <c r="K5" s="372" t="s">
        <v>705</v>
      </c>
      <c r="L5" s="372" t="s">
        <v>706</v>
      </c>
      <c r="M5" s="382" t="s">
        <v>413</v>
      </c>
      <c r="N5" s="605"/>
    </row>
    <row r="6" spans="1:16" s="2" customFormat="1" ht="12.95" customHeight="1">
      <c r="A6" s="282"/>
      <c r="B6" s="504">
        <v>1</v>
      </c>
      <c r="C6" s="331">
        <v>2</v>
      </c>
      <c r="D6" s="331">
        <v>3</v>
      </c>
      <c r="E6" s="331">
        <v>4</v>
      </c>
      <c r="F6" s="331">
        <v>5</v>
      </c>
      <c r="G6" s="331">
        <v>6</v>
      </c>
      <c r="H6" s="331">
        <v>7</v>
      </c>
      <c r="I6" s="331">
        <v>8</v>
      </c>
      <c r="J6" s="523" t="s">
        <v>804</v>
      </c>
      <c r="K6" s="331">
        <v>10</v>
      </c>
      <c r="L6" s="331">
        <v>11</v>
      </c>
      <c r="M6" s="523" t="s">
        <v>707</v>
      </c>
      <c r="N6" s="505">
        <v>13</v>
      </c>
    </row>
    <row r="7" spans="1:16" s="2" customFormat="1" ht="12.95" customHeight="1">
      <c r="A7" s="282"/>
      <c r="B7" s="6" t="s">
        <v>119</v>
      </c>
      <c r="C7" s="7" t="s">
        <v>81</v>
      </c>
      <c r="D7" s="7" t="s">
        <v>146</v>
      </c>
      <c r="E7" s="5"/>
      <c r="F7" s="283"/>
      <c r="G7" s="5"/>
      <c r="H7" s="283"/>
      <c r="I7" s="283"/>
      <c r="J7" s="383"/>
      <c r="K7" s="283"/>
      <c r="L7" s="283"/>
      <c r="M7" s="383"/>
      <c r="N7" s="345"/>
    </row>
    <row r="8" spans="1:16" s="1" customFormat="1" ht="12.95" customHeight="1">
      <c r="A8" s="281"/>
      <c r="B8" s="12"/>
      <c r="C8" s="8"/>
      <c r="D8" s="8"/>
      <c r="E8" s="305">
        <v>611000</v>
      </c>
      <c r="F8" s="331"/>
      <c r="G8" s="8" t="s">
        <v>163</v>
      </c>
      <c r="H8" s="222">
        <f t="shared" ref="H8:M8" si="0">SUM(H9:H12)</f>
        <v>169880</v>
      </c>
      <c r="I8" s="222">
        <f t="shared" si="0"/>
        <v>0</v>
      </c>
      <c r="J8" s="384">
        <f t="shared" si="0"/>
        <v>169880</v>
      </c>
      <c r="K8" s="222">
        <f t="shared" si="0"/>
        <v>41621</v>
      </c>
      <c r="L8" s="222">
        <f t="shared" si="0"/>
        <v>0</v>
      </c>
      <c r="M8" s="384">
        <f t="shared" si="0"/>
        <v>41621</v>
      </c>
      <c r="N8" s="346">
        <f>IF(J8=0,"",M8/J8*100)</f>
        <v>24.500235460324934</v>
      </c>
    </row>
    <row r="9" spans="1:16" ht="12.95" customHeight="1">
      <c r="B9" s="10"/>
      <c r="C9" s="11"/>
      <c r="D9" s="11"/>
      <c r="E9" s="306">
        <v>611100</v>
      </c>
      <c r="F9" s="332"/>
      <c r="G9" s="18" t="s">
        <v>198</v>
      </c>
      <c r="H9" s="223">
        <f>132900+500</f>
        <v>133400</v>
      </c>
      <c r="I9" s="223">
        <v>0</v>
      </c>
      <c r="J9" s="385">
        <f>SUM(H9:I9)</f>
        <v>133400</v>
      </c>
      <c r="K9" s="223">
        <v>33200</v>
      </c>
      <c r="L9" s="223">
        <v>0</v>
      </c>
      <c r="M9" s="385">
        <f>SUM(K9:L9)</f>
        <v>33200</v>
      </c>
      <c r="N9" s="347">
        <f t="shared" ref="N9:N66" si="1">IF(J9=0,"",M9/J9*100)</f>
        <v>24.887556221889056</v>
      </c>
      <c r="O9" s="57"/>
    </row>
    <row r="10" spans="1:16" ht="12.95" customHeight="1">
      <c r="B10" s="10"/>
      <c r="C10" s="11"/>
      <c r="D10" s="11"/>
      <c r="E10" s="306">
        <v>611200</v>
      </c>
      <c r="F10" s="332"/>
      <c r="G10" s="11" t="s">
        <v>199</v>
      </c>
      <c r="H10" s="223">
        <f>36180+300</f>
        <v>36480</v>
      </c>
      <c r="I10" s="223">
        <v>0</v>
      </c>
      <c r="J10" s="385">
        <f t="shared" ref="J10:J11" si="2">SUM(H10:I10)</f>
        <v>36480</v>
      </c>
      <c r="K10" s="223">
        <v>8421</v>
      </c>
      <c r="L10" s="223">
        <v>0</v>
      </c>
      <c r="M10" s="385">
        <f t="shared" ref="M10:M11" si="3">SUM(K10:L10)</f>
        <v>8421</v>
      </c>
      <c r="N10" s="347">
        <f t="shared" si="1"/>
        <v>23.08388157894737</v>
      </c>
      <c r="O10" s="59"/>
    </row>
    <row r="11" spans="1:16" ht="12.95" customHeight="1">
      <c r="B11" s="10"/>
      <c r="C11" s="11"/>
      <c r="D11" s="11"/>
      <c r="E11" s="306">
        <v>611200</v>
      </c>
      <c r="F11" s="332"/>
      <c r="G11" s="189" t="s">
        <v>534</v>
      </c>
      <c r="H11" s="223">
        <v>0</v>
      </c>
      <c r="I11" s="223">
        <v>0</v>
      </c>
      <c r="J11" s="385">
        <f t="shared" si="2"/>
        <v>0</v>
      </c>
      <c r="K11" s="223">
        <v>0</v>
      </c>
      <c r="L11" s="223">
        <v>0</v>
      </c>
      <c r="M11" s="385">
        <f t="shared" si="3"/>
        <v>0</v>
      </c>
      <c r="N11" s="347" t="str">
        <f t="shared" si="1"/>
        <v/>
      </c>
      <c r="P11" s="56"/>
    </row>
    <row r="12" spans="1:16" ht="12.95" customHeight="1">
      <c r="B12" s="10"/>
      <c r="C12" s="11"/>
      <c r="D12" s="11"/>
      <c r="E12" s="306"/>
      <c r="F12" s="332"/>
      <c r="G12" s="18"/>
      <c r="H12" s="223"/>
      <c r="I12" s="223"/>
      <c r="J12" s="385"/>
      <c r="K12" s="223"/>
      <c r="L12" s="223"/>
      <c r="M12" s="385"/>
      <c r="N12" s="347" t="str">
        <f t="shared" si="1"/>
        <v/>
      </c>
    </row>
    <row r="13" spans="1:16" s="1" customFormat="1" ht="12.95" customHeight="1">
      <c r="A13" s="281"/>
      <c r="B13" s="12"/>
      <c r="C13" s="8"/>
      <c r="D13" s="8"/>
      <c r="E13" s="305">
        <v>612000</v>
      </c>
      <c r="F13" s="331"/>
      <c r="G13" s="8" t="s">
        <v>162</v>
      </c>
      <c r="H13" s="222">
        <f t="shared" ref="H13:M13" si="4">H14</f>
        <v>14260</v>
      </c>
      <c r="I13" s="222">
        <f t="shared" si="4"/>
        <v>0</v>
      </c>
      <c r="J13" s="384">
        <f t="shared" si="4"/>
        <v>14260</v>
      </c>
      <c r="K13" s="222">
        <f t="shared" si="4"/>
        <v>3522</v>
      </c>
      <c r="L13" s="222">
        <f t="shared" si="4"/>
        <v>0</v>
      </c>
      <c r="M13" s="384">
        <f t="shared" si="4"/>
        <v>3522</v>
      </c>
      <c r="N13" s="346">
        <f t="shared" si="1"/>
        <v>24.698457223001402</v>
      </c>
    </row>
    <row r="14" spans="1:16" ht="12.95" customHeight="1">
      <c r="B14" s="10"/>
      <c r="C14" s="11"/>
      <c r="D14" s="11"/>
      <c r="E14" s="306">
        <v>612100</v>
      </c>
      <c r="F14" s="332"/>
      <c r="G14" s="13" t="s">
        <v>83</v>
      </c>
      <c r="H14" s="223">
        <f>14180+80</f>
        <v>14260</v>
      </c>
      <c r="I14" s="223">
        <v>0</v>
      </c>
      <c r="J14" s="385">
        <f>SUM(H14:I14)</f>
        <v>14260</v>
      </c>
      <c r="K14" s="223">
        <v>3522</v>
      </c>
      <c r="L14" s="223">
        <v>0</v>
      </c>
      <c r="M14" s="385">
        <f>SUM(K14:L14)</f>
        <v>3522</v>
      </c>
      <c r="N14" s="347">
        <f t="shared" si="1"/>
        <v>24.698457223001402</v>
      </c>
    </row>
    <row r="15" spans="1:16" ht="12.95" customHeight="1">
      <c r="B15" s="10"/>
      <c r="C15" s="11"/>
      <c r="D15" s="11"/>
      <c r="E15" s="306"/>
      <c r="F15" s="332"/>
      <c r="G15" s="11"/>
      <c r="H15" s="279"/>
      <c r="I15" s="279"/>
      <c r="J15" s="386"/>
      <c r="K15" s="279"/>
      <c r="L15" s="279"/>
      <c r="M15" s="386"/>
      <c r="N15" s="347" t="str">
        <f t="shared" si="1"/>
        <v/>
      </c>
    </row>
    <row r="16" spans="1:16" s="1" customFormat="1" ht="12.95" customHeight="1">
      <c r="A16" s="281"/>
      <c r="B16" s="12"/>
      <c r="C16" s="8"/>
      <c r="D16" s="8"/>
      <c r="E16" s="305">
        <v>613000</v>
      </c>
      <c r="F16" s="331"/>
      <c r="G16" s="8" t="s">
        <v>164</v>
      </c>
      <c r="H16" s="293">
        <f t="shared" ref="H16:M16" si="5">SUM(H17:H26)</f>
        <v>11700</v>
      </c>
      <c r="I16" s="293">
        <f t="shared" si="5"/>
        <v>0</v>
      </c>
      <c r="J16" s="387">
        <f t="shared" si="5"/>
        <v>11700</v>
      </c>
      <c r="K16" s="293">
        <f t="shared" si="5"/>
        <v>682</v>
      </c>
      <c r="L16" s="293">
        <f t="shared" si="5"/>
        <v>0</v>
      </c>
      <c r="M16" s="387">
        <f t="shared" si="5"/>
        <v>682</v>
      </c>
      <c r="N16" s="346">
        <f t="shared" si="1"/>
        <v>5.8290598290598288</v>
      </c>
    </row>
    <row r="17" spans="1:14" ht="12.95" customHeight="1">
      <c r="B17" s="10"/>
      <c r="C17" s="11"/>
      <c r="D17" s="11"/>
      <c r="E17" s="306">
        <v>613100</v>
      </c>
      <c r="F17" s="332"/>
      <c r="G17" s="11" t="s">
        <v>84</v>
      </c>
      <c r="H17" s="364">
        <v>6000</v>
      </c>
      <c r="I17" s="364">
        <v>0</v>
      </c>
      <c r="J17" s="385">
        <f t="shared" ref="J17:J26" si="6">SUM(H17:I17)</f>
        <v>6000</v>
      </c>
      <c r="K17" s="364">
        <v>349</v>
      </c>
      <c r="L17" s="364">
        <v>0</v>
      </c>
      <c r="M17" s="385">
        <f t="shared" ref="M17:M26" si="7">SUM(K17:L17)</f>
        <v>349</v>
      </c>
      <c r="N17" s="347">
        <f t="shared" si="1"/>
        <v>5.8166666666666664</v>
      </c>
    </row>
    <row r="18" spans="1:14" ht="12.95" customHeight="1">
      <c r="B18" s="10"/>
      <c r="C18" s="11"/>
      <c r="D18" s="11"/>
      <c r="E18" s="306">
        <v>613200</v>
      </c>
      <c r="F18" s="332"/>
      <c r="G18" s="11" t="s">
        <v>85</v>
      </c>
      <c r="H18" s="362">
        <v>0</v>
      </c>
      <c r="I18" s="362">
        <v>0</v>
      </c>
      <c r="J18" s="385">
        <f t="shared" si="6"/>
        <v>0</v>
      </c>
      <c r="K18" s="362">
        <v>0</v>
      </c>
      <c r="L18" s="362">
        <v>0</v>
      </c>
      <c r="M18" s="385">
        <f t="shared" si="7"/>
        <v>0</v>
      </c>
      <c r="N18" s="347" t="str">
        <f t="shared" si="1"/>
        <v/>
      </c>
    </row>
    <row r="19" spans="1:14" ht="12.95" customHeight="1">
      <c r="B19" s="10"/>
      <c r="C19" s="11"/>
      <c r="D19" s="11"/>
      <c r="E19" s="306">
        <v>613300</v>
      </c>
      <c r="F19" s="332"/>
      <c r="G19" s="18" t="s">
        <v>200</v>
      </c>
      <c r="H19" s="362">
        <v>1000</v>
      </c>
      <c r="I19" s="362">
        <v>0</v>
      </c>
      <c r="J19" s="385">
        <f t="shared" si="6"/>
        <v>1000</v>
      </c>
      <c r="K19" s="362">
        <v>225</v>
      </c>
      <c r="L19" s="362">
        <v>0</v>
      </c>
      <c r="M19" s="385">
        <f t="shared" si="7"/>
        <v>225</v>
      </c>
      <c r="N19" s="347">
        <f t="shared" si="1"/>
        <v>22.5</v>
      </c>
    </row>
    <row r="20" spans="1:14" ht="12.95" customHeight="1">
      <c r="B20" s="10"/>
      <c r="C20" s="11"/>
      <c r="D20" s="11"/>
      <c r="E20" s="306">
        <v>613400</v>
      </c>
      <c r="F20" s="332"/>
      <c r="G20" s="11" t="s">
        <v>165</v>
      </c>
      <c r="H20" s="364">
        <v>1000</v>
      </c>
      <c r="I20" s="364">
        <v>0</v>
      </c>
      <c r="J20" s="385">
        <f t="shared" si="6"/>
        <v>1000</v>
      </c>
      <c r="K20" s="364">
        <v>0</v>
      </c>
      <c r="L20" s="364">
        <v>0</v>
      </c>
      <c r="M20" s="385">
        <f t="shared" si="7"/>
        <v>0</v>
      </c>
      <c r="N20" s="347">
        <f t="shared" si="1"/>
        <v>0</v>
      </c>
    </row>
    <row r="21" spans="1:14" ht="12.95" customHeight="1">
      <c r="B21" s="10"/>
      <c r="C21" s="11"/>
      <c r="D21" s="11"/>
      <c r="E21" s="306">
        <v>613500</v>
      </c>
      <c r="F21" s="332"/>
      <c r="G21" s="11" t="s">
        <v>86</v>
      </c>
      <c r="H21" s="362">
        <v>0</v>
      </c>
      <c r="I21" s="362">
        <v>0</v>
      </c>
      <c r="J21" s="385">
        <f t="shared" si="6"/>
        <v>0</v>
      </c>
      <c r="K21" s="362">
        <v>0</v>
      </c>
      <c r="L21" s="362">
        <v>0</v>
      </c>
      <c r="M21" s="385">
        <f t="shared" si="7"/>
        <v>0</v>
      </c>
      <c r="N21" s="347" t="str">
        <f t="shared" si="1"/>
        <v/>
      </c>
    </row>
    <row r="22" spans="1:14" ht="12.95" customHeight="1">
      <c r="B22" s="10"/>
      <c r="C22" s="11"/>
      <c r="D22" s="11"/>
      <c r="E22" s="306">
        <v>613600</v>
      </c>
      <c r="F22" s="332"/>
      <c r="G22" s="18" t="s">
        <v>201</v>
      </c>
      <c r="H22" s="362">
        <v>0</v>
      </c>
      <c r="I22" s="362">
        <v>0</v>
      </c>
      <c r="J22" s="385">
        <f t="shared" si="6"/>
        <v>0</v>
      </c>
      <c r="K22" s="362">
        <v>0</v>
      </c>
      <c r="L22" s="362">
        <v>0</v>
      </c>
      <c r="M22" s="385">
        <f t="shared" si="7"/>
        <v>0</v>
      </c>
      <c r="N22" s="347" t="str">
        <f t="shared" si="1"/>
        <v/>
      </c>
    </row>
    <row r="23" spans="1:14" ht="12.95" customHeight="1">
      <c r="B23" s="10"/>
      <c r="C23" s="11"/>
      <c r="D23" s="11"/>
      <c r="E23" s="306">
        <v>613700</v>
      </c>
      <c r="F23" s="332"/>
      <c r="G23" s="11" t="s">
        <v>87</v>
      </c>
      <c r="H23" s="362">
        <v>1200</v>
      </c>
      <c r="I23" s="362">
        <v>0</v>
      </c>
      <c r="J23" s="385">
        <f t="shared" si="6"/>
        <v>1200</v>
      </c>
      <c r="K23" s="362">
        <v>0</v>
      </c>
      <c r="L23" s="362">
        <v>0</v>
      </c>
      <c r="M23" s="385">
        <f t="shared" si="7"/>
        <v>0</v>
      </c>
      <c r="N23" s="347">
        <f t="shared" si="1"/>
        <v>0</v>
      </c>
    </row>
    <row r="24" spans="1:14" ht="12.95" customHeight="1">
      <c r="B24" s="10"/>
      <c r="C24" s="11"/>
      <c r="D24" s="11"/>
      <c r="E24" s="306">
        <v>613800</v>
      </c>
      <c r="F24" s="332"/>
      <c r="G24" s="11" t="s">
        <v>166</v>
      </c>
      <c r="H24" s="362">
        <v>0</v>
      </c>
      <c r="I24" s="362">
        <v>0</v>
      </c>
      <c r="J24" s="385">
        <f t="shared" si="6"/>
        <v>0</v>
      </c>
      <c r="K24" s="362">
        <v>0</v>
      </c>
      <c r="L24" s="362">
        <v>0</v>
      </c>
      <c r="M24" s="385">
        <f t="shared" si="7"/>
        <v>0</v>
      </c>
      <c r="N24" s="347" t="str">
        <f t="shared" si="1"/>
        <v/>
      </c>
    </row>
    <row r="25" spans="1:14" ht="12.95" customHeight="1">
      <c r="B25" s="10"/>
      <c r="C25" s="11"/>
      <c r="D25" s="11"/>
      <c r="E25" s="306">
        <v>613900</v>
      </c>
      <c r="F25" s="332"/>
      <c r="G25" s="11" t="s">
        <v>167</v>
      </c>
      <c r="H25" s="364">
        <v>2500</v>
      </c>
      <c r="I25" s="364">
        <v>0</v>
      </c>
      <c r="J25" s="385">
        <f t="shared" si="6"/>
        <v>2500</v>
      </c>
      <c r="K25" s="364">
        <v>108</v>
      </c>
      <c r="L25" s="364">
        <v>0</v>
      </c>
      <c r="M25" s="385">
        <f t="shared" si="7"/>
        <v>108</v>
      </c>
      <c r="N25" s="347">
        <f t="shared" si="1"/>
        <v>4.32</v>
      </c>
    </row>
    <row r="26" spans="1:14" ht="12.95" customHeight="1">
      <c r="B26" s="10"/>
      <c r="C26" s="11"/>
      <c r="D26" s="11"/>
      <c r="E26" s="306">
        <v>613900</v>
      </c>
      <c r="F26" s="332"/>
      <c r="G26" s="189" t="s">
        <v>535</v>
      </c>
      <c r="H26" s="365">
        <v>0</v>
      </c>
      <c r="I26" s="365">
        <v>0</v>
      </c>
      <c r="J26" s="385">
        <f t="shared" si="6"/>
        <v>0</v>
      </c>
      <c r="K26" s="365">
        <v>0</v>
      </c>
      <c r="L26" s="365">
        <v>0</v>
      </c>
      <c r="M26" s="385">
        <f t="shared" si="7"/>
        <v>0</v>
      </c>
      <c r="N26" s="347" t="str">
        <f t="shared" si="1"/>
        <v/>
      </c>
    </row>
    <row r="27" spans="1:14" s="1" customFormat="1" ht="12.95" customHeight="1">
      <c r="A27" s="281"/>
      <c r="B27" s="12"/>
      <c r="C27" s="8"/>
      <c r="D27" s="8"/>
      <c r="E27" s="316"/>
      <c r="F27" s="343"/>
      <c r="G27" s="8"/>
      <c r="H27" s="280"/>
      <c r="I27" s="280"/>
      <c r="J27" s="386"/>
      <c r="K27" s="280"/>
      <c r="L27" s="280"/>
      <c r="M27" s="386"/>
      <c r="N27" s="347" t="str">
        <f t="shared" si="1"/>
        <v/>
      </c>
    </row>
    <row r="28" spans="1:14" s="1" customFormat="1" ht="12.95" customHeight="1">
      <c r="A28" s="281"/>
      <c r="B28" s="12"/>
      <c r="C28" s="8"/>
      <c r="D28" s="8"/>
      <c r="E28" s="305">
        <v>821000</v>
      </c>
      <c r="F28" s="331"/>
      <c r="G28" s="8" t="s">
        <v>90</v>
      </c>
      <c r="H28" s="295">
        <f t="shared" ref="H28:M28" si="8">SUM(H29:H30)</f>
        <v>1000</v>
      </c>
      <c r="I28" s="295">
        <f t="shared" si="8"/>
        <v>0</v>
      </c>
      <c r="J28" s="387">
        <f t="shared" si="8"/>
        <v>1000</v>
      </c>
      <c r="K28" s="295">
        <f t="shared" si="8"/>
        <v>0</v>
      </c>
      <c r="L28" s="295">
        <f t="shared" si="8"/>
        <v>0</v>
      </c>
      <c r="M28" s="387">
        <f t="shared" si="8"/>
        <v>0</v>
      </c>
      <c r="N28" s="346">
        <f t="shared" si="1"/>
        <v>0</v>
      </c>
    </row>
    <row r="29" spans="1:14" ht="12.95" customHeight="1">
      <c r="B29" s="10"/>
      <c r="C29" s="11"/>
      <c r="D29" s="11"/>
      <c r="E29" s="306">
        <v>821200</v>
      </c>
      <c r="F29" s="332"/>
      <c r="G29" s="11" t="s">
        <v>91</v>
      </c>
      <c r="H29" s="280">
        <v>0</v>
      </c>
      <c r="I29" s="280">
        <v>0</v>
      </c>
      <c r="J29" s="385">
        <f t="shared" ref="J29:J30" si="9">SUM(H29:I29)</f>
        <v>0</v>
      </c>
      <c r="K29" s="280">
        <v>0</v>
      </c>
      <c r="L29" s="280">
        <v>0</v>
      </c>
      <c r="M29" s="385">
        <f t="shared" ref="M29:M30" si="10">SUM(K29:L29)</f>
        <v>0</v>
      </c>
      <c r="N29" s="347" t="str">
        <f t="shared" si="1"/>
        <v/>
      </c>
    </row>
    <row r="30" spans="1:14" ht="12.95" customHeight="1">
      <c r="B30" s="10"/>
      <c r="C30" s="11"/>
      <c r="D30" s="11"/>
      <c r="E30" s="306">
        <v>821300</v>
      </c>
      <c r="F30" s="332"/>
      <c r="G30" s="11" t="s">
        <v>92</v>
      </c>
      <c r="H30" s="280">
        <v>1000</v>
      </c>
      <c r="I30" s="280">
        <v>0</v>
      </c>
      <c r="J30" s="385">
        <f t="shared" si="9"/>
        <v>1000</v>
      </c>
      <c r="K30" s="280">
        <v>0</v>
      </c>
      <c r="L30" s="280">
        <v>0</v>
      </c>
      <c r="M30" s="385">
        <f t="shared" si="10"/>
        <v>0</v>
      </c>
      <c r="N30" s="347">
        <f t="shared" si="1"/>
        <v>0</v>
      </c>
    </row>
    <row r="31" spans="1:14" ht="12.95" customHeight="1">
      <c r="B31" s="10"/>
      <c r="C31" s="11"/>
      <c r="D31" s="11"/>
      <c r="E31" s="306"/>
      <c r="F31" s="332"/>
      <c r="G31" s="11"/>
      <c r="H31" s="279"/>
      <c r="I31" s="279"/>
      <c r="J31" s="386"/>
      <c r="K31" s="279"/>
      <c r="L31" s="279"/>
      <c r="M31" s="386"/>
      <c r="N31" s="347" t="str">
        <f t="shared" si="1"/>
        <v/>
      </c>
    </row>
    <row r="32" spans="1:14" s="1" customFormat="1" ht="12.95" customHeight="1">
      <c r="A32" s="281"/>
      <c r="B32" s="12"/>
      <c r="C32" s="8"/>
      <c r="D32" s="8"/>
      <c r="E32" s="305"/>
      <c r="F32" s="331"/>
      <c r="G32" s="8" t="s">
        <v>93</v>
      </c>
      <c r="H32" s="295">
        <v>7</v>
      </c>
      <c r="I32" s="295"/>
      <c r="J32" s="387">
        <v>7</v>
      </c>
      <c r="K32" s="295">
        <v>7</v>
      </c>
      <c r="L32" s="295"/>
      <c r="M32" s="387">
        <v>7</v>
      </c>
      <c r="N32" s="347"/>
    </row>
    <row r="33" spans="1:14" s="1" customFormat="1" ht="12.95" customHeight="1">
      <c r="A33" s="281"/>
      <c r="B33" s="12"/>
      <c r="C33" s="8"/>
      <c r="D33" s="8"/>
      <c r="E33" s="305"/>
      <c r="F33" s="331"/>
      <c r="G33" s="8" t="s">
        <v>113</v>
      </c>
      <c r="H33" s="288">
        <f t="shared" ref="H33:M33" si="11">H8+H13+H16+H28</f>
        <v>196840</v>
      </c>
      <c r="I33" s="288">
        <f t="shared" si="11"/>
        <v>0</v>
      </c>
      <c r="J33" s="387">
        <f t="shared" si="11"/>
        <v>196840</v>
      </c>
      <c r="K33" s="288">
        <f t="shared" si="11"/>
        <v>45825</v>
      </c>
      <c r="L33" s="288">
        <f t="shared" si="11"/>
        <v>0</v>
      </c>
      <c r="M33" s="387">
        <f t="shared" si="11"/>
        <v>45825</v>
      </c>
      <c r="N33" s="346">
        <f t="shared" si="1"/>
        <v>23.280329201381832</v>
      </c>
    </row>
    <row r="34" spans="1:14" s="1" customFormat="1" ht="12.95" customHeight="1">
      <c r="A34" s="281"/>
      <c r="B34" s="12"/>
      <c r="C34" s="8"/>
      <c r="D34" s="8"/>
      <c r="E34" s="305"/>
      <c r="F34" s="331"/>
      <c r="G34" s="8" t="s">
        <v>94</v>
      </c>
      <c r="H34" s="288">
        <f>H33+'6'!H33+'5'!H33+'4'!H36+'3'!H56</f>
        <v>2719070</v>
      </c>
      <c r="I34" s="288">
        <f>I33+'6'!I33+'5'!I33+'4'!I36+'3'!I56</f>
        <v>0</v>
      </c>
      <c r="J34" s="387">
        <f>J33+'6'!J33+'5'!J33+'4'!J36+'3'!J56</f>
        <v>2719070</v>
      </c>
      <c r="K34" s="288">
        <f>K33+'6'!K33+'5'!K33+'4'!K36+'3'!K56</f>
        <v>365116</v>
      </c>
      <c r="L34" s="288">
        <f>L33+'6'!L33+'5'!L33+'4'!L36+'3'!L56</f>
        <v>0</v>
      </c>
      <c r="M34" s="387">
        <f>M33+'6'!M33+'5'!M33+'4'!M36+'3'!M56</f>
        <v>365116</v>
      </c>
      <c r="N34" s="346">
        <f t="shared" si="1"/>
        <v>13.427973535068977</v>
      </c>
    </row>
    <row r="35" spans="1:14" s="1" customFormat="1" ht="12.95" customHeight="1">
      <c r="A35" s="281"/>
      <c r="B35" s="12"/>
      <c r="C35" s="8"/>
      <c r="D35" s="8"/>
      <c r="E35" s="305"/>
      <c r="F35" s="331"/>
      <c r="G35" s="8" t="s">
        <v>95</v>
      </c>
      <c r="H35" s="288">
        <f t="shared" ref="H35:M35" si="12">H34</f>
        <v>2719070</v>
      </c>
      <c r="I35" s="288">
        <f t="shared" si="12"/>
        <v>0</v>
      </c>
      <c r="J35" s="387">
        <f t="shared" si="12"/>
        <v>2719070</v>
      </c>
      <c r="K35" s="288">
        <f t="shared" si="12"/>
        <v>365116</v>
      </c>
      <c r="L35" s="288">
        <f t="shared" si="12"/>
        <v>0</v>
      </c>
      <c r="M35" s="387">
        <f t="shared" si="12"/>
        <v>365116</v>
      </c>
      <c r="N35" s="346">
        <f t="shared" si="1"/>
        <v>13.427973535068977</v>
      </c>
    </row>
    <row r="36" spans="1:14" ht="12.95" customHeight="1" thickBot="1">
      <c r="B36" s="15"/>
      <c r="C36" s="16"/>
      <c r="D36" s="16"/>
      <c r="E36" s="307"/>
      <c r="F36" s="333"/>
      <c r="G36" s="16"/>
      <c r="H36" s="16"/>
      <c r="I36" s="16"/>
      <c r="J36" s="394"/>
      <c r="K36" s="16"/>
      <c r="L36" s="16"/>
      <c r="M36" s="394"/>
      <c r="N36" s="349" t="str">
        <f t="shared" si="1"/>
        <v/>
      </c>
    </row>
    <row r="37" spans="1:14" ht="12.95" customHeight="1">
      <c r="E37" s="308"/>
      <c r="F37" s="334"/>
      <c r="J37" s="391"/>
      <c r="M37" s="391"/>
      <c r="N37" s="350" t="str">
        <f t="shared" si="1"/>
        <v/>
      </c>
    </row>
    <row r="38" spans="1:14" ht="12.95" customHeight="1">
      <c r="B38" s="50"/>
      <c r="E38" s="308"/>
      <c r="F38" s="334"/>
      <c r="J38" s="391"/>
      <c r="M38" s="391"/>
      <c r="N38" s="350" t="str">
        <f t="shared" si="1"/>
        <v/>
      </c>
    </row>
    <row r="39" spans="1:14" ht="12.95" customHeight="1">
      <c r="B39" s="50"/>
      <c r="E39" s="308"/>
      <c r="F39" s="334"/>
      <c r="J39" s="391"/>
      <c r="M39" s="391"/>
      <c r="N39" s="350" t="str">
        <f t="shared" si="1"/>
        <v/>
      </c>
    </row>
    <row r="40" spans="1:14" ht="12.95" customHeight="1">
      <c r="B40" s="50"/>
      <c r="E40" s="308"/>
      <c r="F40" s="334"/>
      <c r="J40" s="391"/>
      <c r="M40" s="391"/>
      <c r="N40" s="350" t="str">
        <f t="shared" si="1"/>
        <v/>
      </c>
    </row>
    <row r="41" spans="1:14" ht="12.95" customHeight="1">
      <c r="B41" s="50"/>
      <c r="E41" s="308"/>
      <c r="F41" s="334"/>
      <c r="J41" s="391"/>
      <c r="M41" s="391"/>
      <c r="N41" s="350" t="str">
        <f t="shared" si="1"/>
        <v/>
      </c>
    </row>
    <row r="42" spans="1:14" ht="12.95" customHeight="1">
      <c r="E42" s="308"/>
      <c r="F42" s="334"/>
      <c r="J42" s="391"/>
      <c r="M42" s="391"/>
      <c r="N42" s="350" t="str">
        <f t="shared" si="1"/>
        <v/>
      </c>
    </row>
    <row r="43" spans="1:14" ht="12.95" customHeight="1">
      <c r="E43" s="308"/>
      <c r="F43" s="334"/>
      <c r="J43" s="391"/>
      <c r="M43" s="391"/>
      <c r="N43" s="350" t="str">
        <f t="shared" si="1"/>
        <v/>
      </c>
    </row>
    <row r="44" spans="1:14" ht="12.95" customHeight="1">
      <c r="E44" s="308"/>
      <c r="F44" s="334"/>
      <c r="J44" s="391"/>
      <c r="M44" s="391"/>
      <c r="N44" s="350" t="str">
        <f t="shared" si="1"/>
        <v/>
      </c>
    </row>
    <row r="45" spans="1:14" ht="12.95" customHeight="1">
      <c r="E45" s="308"/>
      <c r="F45" s="334"/>
      <c r="J45" s="391"/>
      <c r="M45" s="391"/>
      <c r="N45" s="350" t="str">
        <f t="shared" si="1"/>
        <v/>
      </c>
    </row>
    <row r="46" spans="1:14" ht="12.95" customHeight="1">
      <c r="E46" s="308"/>
      <c r="F46" s="334"/>
      <c r="J46" s="391"/>
      <c r="M46" s="391"/>
      <c r="N46" s="350" t="str">
        <f t="shared" si="1"/>
        <v/>
      </c>
    </row>
    <row r="47" spans="1:14" ht="12.95" customHeight="1">
      <c r="E47" s="308"/>
      <c r="F47" s="334"/>
      <c r="J47" s="391"/>
      <c r="M47" s="391"/>
      <c r="N47" s="350" t="str">
        <f t="shared" si="1"/>
        <v/>
      </c>
    </row>
    <row r="48" spans="1:14" ht="12.95" customHeight="1">
      <c r="E48" s="308"/>
      <c r="F48" s="334"/>
      <c r="J48" s="391"/>
      <c r="M48" s="391"/>
      <c r="N48" s="350" t="str">
        <f t="shared" si="1"/>
        <v/>
      </c>
    </row>
    <row r="49" spans="5:14" ht="12.95" customHeight="1">
      <c r="E49" s="308"/>
      <c r="F49" s="334"/>
      <c r="J49" s="391"/>
      <c r="M49" s="391"/>
      <c r="N49" s="350" t="str">
        <f t="shared" si="1"/>
        <v/>
      </c>
    </row>
    <row r="50" spans="5:14" ht="12.95" customHeight="1">
      <c r="E50" s="308"/>
      <c r="F50" s="334"/>
      <c r="J50" s="391"/>
      <c r="M50" s="391"/>
      <c r="N50" s="350" t="str">
        <f t="shared" si="1"/>
        <v/>
      </c>
    </row>
    <row r="51" spans="5:14" ht="12.95" customHeight="1">
      <c r="E51" s="308"/>
      <c r="F51" s="334"/>
      <c r="J51" s="391"/>
      <c r="M51" s="391"/>
      <c r="N51" s="350" t="str">
        <f t="shared" si="1"/>
        <v/>
      </c>
    </row>
    <row r="52" spans="5:14" ht="12.95" customHeight="1">
      <c r="E52" s="308"/>
      <c r="F52" s="334"/>
      <c r="J52" s="391"/>
      <c r="M52" s="391"/>
      <c r="N52" s="350" t="str">
        <f t="shared" si="1"/>
        <v/>
      </c>
    </row>
    <row r="53" spans="5:14" ht="12.95" customHeight="1">
      <c r="E53" s="308"/>
      <c r="F53" s="334"/>
      <c r="J53" s="391"/>
      <c r="M53" s="391"/>
      <c r="N53" s="350" t="str">
        <f t="shared" si="1"/>
        <v/>
      </c>
    </row>
    <row r="54" spans="5:14" ht="12.95" customHeight="1">
      <c r="E54" s="308"/>
      <c r="F54" s="334"/>
      <c r="J54" s="391"/>
      <c r="M54" s="391"/>
      <c r="N54" s="350" t="str">
        <f t="shared" si="1"/>
        <v/>
      </c>
    </row>
    <row r="55" spans="5:14" ht="12.95" customHeight="1">
      <c r="E55" s="308"/>
      <c r="F55" s="334"/>
      <c r="J55" s="391"/>
      <c r="M55" s="391"/>
      <c r="N55" s="350" t="str">
        <f t="shared" si="1"/>
        <v/>
      </c>
    </row>
    <row r="56" spans="5:14" ht="12.95" customHeight="1">
      <c r="E56" s="308"/>
      <c r="F56" s="334"/>
      <c r="J56" s="391"/>
      <c r="M56" s="391"/>
      <c r="N56" s="350" t="str">
        <f t="shared" si="1"/>
        <v/>
      </c>
    </row>
    <row r="57" spans="5:14" ht="12.95" customHeight="1">
      <c r="E57" s="308"/>
      <c r="F57" s="334"/>
      <c r="J57" s="391"/>
      <c r="M57" s="391"/>
      <c r="N57" s="350" t="str">
        <f t="shared" si="1"/>
        <v/>
      </c>
    </row>
    <row r="58" spans="5:14" ht="12.95" customHeight="1">
      <c r="E58" s="308"/>
      <c r="F58" s="334"/>
      <c r="J58" s="391"/>
      <c r="M58" s="391"/>
      <c r="N58" s="350" t="str">
        <f t="shared" si="1"/>
        <v/>
      </c>
    </row>
    <row r="59" spans="5:14" ht="12.95" customHeight="1">
      <c r="E59" s="308"/>
      <c r="F59" s="334"/>
      <c r="J59" s="391"/>
      <c r="M59" s="391"/>
      <c r="N59" s="350" t="str">
        <f t="shared" si="1"/>
        <v/>
      </c>
    </row>
    <row r="60" spans="5:14" ht="17.100000000000001" customHeight="1">
      <c r="E60" s="308"/>
      <c r="F60" s="334"/>
      <c r="J60" s="391"/>
      <c r="M60" s="391"/>
      <c r="N60" s="350" t="str">
        <f t="shared" si="1"/>
        <v/>
      </c>
    </row>
    <row r="61" spans="5:14" ht="14.25">
      <c r="E61" s="308"/>
      <c r="F61" s="334"/>
      <c r="J61" s="391"/>
      <c r="M61" s="391"/>
      <c r="N61" s="350" t="str">
        <f t="shared" si="1"/>
        <v/>
      </c>
    </row>
    <row r="62" spans="5:14" ht="14.25">
      <c r="E62" s="308"/>
      <c r="F62" s="334"/>
      <c r="J62" s="391"/>
      <c r="M62" s="391"/>
      <c r="N62" s="350" t="str">
        <f t="shared" si="1"/>
        <v/>
      </c>
    </row>
    <row r="63" spans="5:14" ht="14.25">
      <c r="E63" s="308"/>
      <c r="F63" s="334"/>
      <c r="J63" s="391"/>
      <c r="M63" s="391"/>
      <c r="N63" s="350" t="str">
        <f t="shared" si="1"/>
        <v/>
      </c>
    </row>
    <row r="64" spans="5:14" ht="14.25">
      <c r="E64" s="308"/>
      <c r="F64" s="334"/>
      <c r="J64" s="391"/>
      <c r="M64" s="391"/>
      <c r="N64" s="350" t="str">
        <f t="shared" si="1"/>
        <v/>
      </c>
    </row>
    <row r="65" spans="5:14" ht="14.25">
      <c r="E65" s="308"/>
      <c r="F65" s="334"/>
      <c r="J65" s="391"/>
      <c r="M65" s="391"/>
      <c r="N65" s="350" t="str">
        <f t="shared" si="1"/>
        <v/>
      </c>
    </row>
    <row r="66" spans="5:14" ht="14.25">
      <c r="E66" s="308"/>
      <c r="F66" s="334"/>
      <c r="J66" s="391"/>
      <c r="M66" s="391"/>
      <c r="N66" s="350" t="str">
        <f t="shared" si="1"/>
        <v/>
      </c>
    </row>
    <row r="67" spans="5:14" ht="14.25">
      <c r="E67" s="308"/>
      <c r="F67" s="334"/>
      <c r="J67" s="391"/>
      <c r="M67" s="391"/>
    </row>
    <row r="68" spans="5:14" ht="14.25">
      <c r="E68" s="308"/>
      <c r="F68" s="334"/>
      <c r="J68" s="391"/>
      <c r="M68" s="391"/>
    </row>
    <row r="69" spans="5:14" ht="14.25">
      <c r="E69" s="308"/>
      <c r="F69" s="334"/>
      <c r="J69" s="391"/>
      <c r="M69" s="391"/>
    </row>
    <row r="70" spans="5:14" ht="14.25">
      <c r="E70" s="308"/>
      <c r="F70" s="334"/>
      <c r="J70" s="391"/>
      <c r="M70" s="391"/>
    </row>
    <row r="71" spans="5:14" ht="14.25">
      <c r="E71" s="308"/>
      <c r="F71" s="334"/>
      <c r="J71" s="391"/>
      <c r="M71" s="391"/>
    </row>
    <row r="72" spans="5:14" ht="14.25">
      <c r="E72" s="308"/>
      <c r="F72" s="334"/>
      <c r="J72" s="391"/>
      <c r="M72" s="391"/>
    </row>
    <row r="73" spans="5:14" ht="14.25">
      <c r="E73" s="308"/>
      <c r="F73" s="334"/>
      <c r="J73" s="391"/>
      <c r="M73" s="391"/>
    </row>
    <row r="74" spans="5:14" ht="14.25">
      <c r="E74" s="308"/>
      <c r="F74" s="308"/>
      <c r="J74" s="391"/>
      <c r="M74" s="391"/>
    </row>
    <row r="75" spans="5:14" ht="14.25">
      <c r="E75" s="308"/>
      <c r="F75" s="308"/>
      <c r="J75" s="391"/>
      <c r="M75" s="391"/>
    </row>
    <row r="76" spans="5:14" ht="14.25">
      <c r="E76" s="308"/>
      <c r="F76" s="308"/>
      <c r="J76" s="391"/>
      <c r="M76" s="391"/>
    </row>
    <row r="77" spans="5:14" ht="14.25">
      <c r="E77" s="308"/>
      <c r="F77" s="308"/>
      <c r="J77" s="391"/>
      <c r="M77" s="391"/>
    </row>
    <row r="78" spans="5:14" ht="14.25">
      <c r="E78" s="308"/>
      <c r="F78" s="308"/>
      <c r="J78" s="391"/>
      <c r="M78" s="391"/>
    </row>
    <row r="79" spans="5:14" ht="14.25">
      <c r="E79" s="308"/>
      <c r="F79" s="308"/>
      <c r="J79" s="391"/>
      <c r="M79" s="391"/>
    </row>
    <row r="80" spans="5:14" ht="14.25">
      <c r="E80" s="308"/>
      <c r="F80" s="308"/>
      <c r="J80" s="391"/>
      <c r="M80" s="391"/>
    </row>
    <row r="81" spans="5:13" ht="14.25">
      <c r="E81" s="308"/>
      <c r="F81" s="308"/>
      <c r="J81" s="391"/>
      <c r="M81" s="391"/>
    </row>
    <row r="82" spans="5:13" ht="14.25">
      <c r="E82" s="308"/>
      <c r="F82" s="308"/>
      <c r="J82" s="391"/>
      <c r="M82" s="391"/>
    </row>
    <row r="83" spans="5:13" ht="14.25">
      <c r="E83" s="308"/>
      <c r="F83" s="308"/>
      <c r="J83" s="391"/>
      <c r="M83" s="391"/>
    </row>
    <row r="84" spans="5:13" ht="14.25">
      <c r="E84" s="308"/>
      <c r="F84" s="308"/>
      <c r="J84" s="391"/>
      <c r="M84" s="391"/>
    </row>
    <row r="85" spans="5:13" ht="14.25">
      <c r="E85" s="308"/>
      <c r="F85" s="308"/>
      <c r="J85" s="391"/>
      <c r="M85" s="391"/>
    </row>
    <row r="86" spans="5:13" ht="14.25">
      <c r="E86" s="308"/>
      <c r="F86" s="308"/>
      <c r="J86" s="391"/>
      <c r="M86" s="391"/>
    </row>
    <row r="87" spans="5:13" ht="14.25">
      <c r="E87" s="308"/>
      <c r="F87" s="308"/>
      <c r="J87" s="391"/>
      <c r="M87" s="391"/>
    </row>
    <row r="88" spans="5:13" ht="14.25">
      <c r="E88" s="308"/>
      <c r="F88" s="308"/>
      <c r="J88" s="391"/>
      <c r="M88" s="391"/>
    </row>
    <row r="89" spans="5:13" ht="14.25">
      <c r="E89" s="308"/>
      <c r="F89" s="308"/>
      <c r="J89" s="391"/>
      <c r="M89" s="391"/>
    </row>
    <row r="90" spans="5:13" ht="14.25">
      <c r="E90" s="308"/>
      <c r="F90" s="308"/>
      <c r="J90" s="391"/>
      <c r="M90" s="391"/>
    </row>
    <row r="91" spans="5:13">
      <c r="F91" s="308"/>
    </row>
    <row r="92" spans="5:13">
      <c r="F92" s="308"/>
    </row>
    <row r="93" spans="5:13">
      <c r="F93" s="308"/>
    </row>
    <row r="94" spans="5:13">
      <c r="F94" s="308"/>
    </row>
    <row r="95" spans="5:13">
      <c r="F95" s="308"/>
    </row>
    <row r="96" spans="5:13">
      <c r="F96" s="308"/>
    </row>
  </sheetData>
  <mergeCells count="10">
    <mergeCell ref="N4:N5"/>
    <mergeCell ref="G4:G5"/>
    <mergeCell ref="B2:J2"/>
    <mergeCell ref="H4:J4"/>
    <mergeCell ref="B4:B5"/>
    <mergeCell ref="C4:C5"/>
    <mergeCell ref="D4:D5"/>
    <mergeCell ref="F4:F5"/>
    <mergeCell ref="E4:E5"/>
    <mergeCell ref="K4:M4"/>
  </mergeCells>
  <phoneticPr fontId="2" type="noConversion"/>
  <pageMargins left="0.78740157480314965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1"/>
  <dimension ref="A1:Q96"/>
  <sheetViews>
    <sheetView zoomScaleNormal="100" workbookViewId="0">
      <selection activeCell="K45" sqref="K45"/>
    </sheetView>
  </sheetViews>
  <sheetFormatPr defaultRowHeight="12.75"/>
  <cols>
    <col min="1" max="1" width="9.140625" style="284"/>
    <col min="2" max="2" width="4.7109375" style="9" customWidth="1"/>
    <col min="3" max="3" width="5.140625" style="9" customWidth="1"/>
    <col min="4" max="4" width="5" style="9" customWidth="1"/>
    <col min="5" max="5" width="8.7109375" style="17" customWidth="1"/>
    <col min="6" max="6" width="8.7109375" style="289" customWidth="1"/>
    <col min="7" max="7" width="50.7109375" style="9" customWidth="1"/>
    <col min="8" max="9" width="14.7109375" style="284" customWidth="1"/>
    <col min="10" max="10" width="15.7109375" style="9" customWidth="1"/>
    <col min="11" max="12" width="14.7109375" style="284" customWidth="1"/>
    <col min="13" max="13" width="15.7109375" style="284" customWidth="1"/>
    <col min="14" max="14" width="7.7109375" style="350" customWidth="1"/>
    <col min="15" max="16384" width="9.140625" style="9"/>
  </cols>
  <sheetData>
    <row r="1" spans="1:17" ht="13.5" thickBot="1"/>
    <row r="2" spans="1:17" s="376" customFormat="1" ht="20.100000000000001" customHeight="1" thickTop="1" thickBot="1">
      <c r="B2" s="590" t="s">
        <v>126</v>
      </c>
      <c r="C2" s="591"/>
      <c r="D2" s="591"/>
      <c r="E2" s="591"/>
      <c r="F2" s="591"/>
      <c r="G2" s="591"/>
      <c r="H2" s="591"/>
      <c r="I2" s="591"/>
      <c r="J2" s="591"/>
      <c r="K2" s="530"/>
      <c r="L2" s="530"/>
      <c r="M2" s="530"/>
      <c r="N2" s="379"/>
    </row>
    <row r="3" spans="1:17" s="1" customFormat="1" ht="8.1" customHeight="1" thickTop="1" thickBot="1">
      <c r="A3" s="281"/>
      <c r="E3" s="2"/>
      <c r="F3" s="282"/>
      <c r="G3" s="531"/>
      <c r="H3" s="92"/>
      <c r="I3" s="92"/>
      <c r="J3" s="92"/>
      <c r="K3" s="92"/>
      <c r="L3" s="92"/>
      <c r="M3" s="92"/>
      <c r="N3" s="344"/>
    </row>
    <row r="4" spans="1:17" s="1" customFormat="1" ht="39" customHeight="1">
      <c r="A4" s="281"/>
      <c r="B4" s="596" t="s">
        <v>78</v>
      </c>
      <c r="C4" s="606" t="s">
        <v>79</v>
      </c>
      <c r="D4" s="607" t="s">
        <v>110</v>
      </c>
      <c r="E4" s="608" t="s">
        <v>594</v>
      </c>
      <c r="F4" s="601" t="s">
        <v>653</v>
      </c>
      <c r="G4" s="602" t="s">
        <v>80</v>
      </c>
      <c r="H4" s="593" t="s">
        <v>647</v>
      </c>
      <c r="I4" s="594"/>
      <c r="J4" s="595"/>
      <c r="K4" s="593" t="s">
        <v>801</v>
      </c>
      <c r="L4" s="594"/>
      <c r="M4" s="595"/>
      <c r="N4" s="604" t="s">
        <v>805</v>
      </c>
    </row>
    <row r="5" spans="1:17" s="281" customFormat="1" ht="27" customHeight="1">
      <c r="B5" s="597"/>
      <c r="C5" s="599"/>
      <c r="D5" s="599"/>
      <c r="E5" s="603"/>
      <c r="F5" s="599"/>
      <c r="G5" s="603"/>
      <c r="H5" s="372" t="s">
        <v>705</v>
      </c>
      <c r="I5" s="372" t="s">
        <v>706</v>
      </c>
      <c r="J5" s="382" t="s">
        <v>413</v>
      </c>
      <c r="K5" s="372" t="s">
        <v>705</v>
      </c>
      <c r="L5" s="372" t="s">
        <v>706</v>
      </c>
      <c r="M5" s="382" t="s">
        <v>413</v>
      </c>
      <c r="N5" s="605"/>
    </row>
    <row r="6" spans="1:17" s="2" customFormat="1" ht="12.95" customHeight="1">
      <c r="A6" s="282"/>
      <c r="B6" s="504">
        <v>1</v>
      </c>
      <c r="C6" s="331">
        <v>2</v>
      </c>
      <c r="D6" s="331">
        <v>3</v>
      </c>
      <c r="E6" s="331">
        <v>4</v>
      </c>
      <c r="F6" s="331">
        <v>5</v>
      </c>
      <c r="G6" s="331">
        <v>6</v>
      </c>
      <c r="H6" s="331">
        <v>7</v>
      </c>
      <c r="I6" s="331">
        <v>8</v>
      </c>
      <c r="J6" s="523" t="s">
        <v>804</v>
      </c>
      <c r="K6" s="331">
        <v>10</v>
      </c>
      <c r="L6" s="331">
        <v>11</v>
      </c>
      <c r="M6" s="523" t="s">
        <v>707</v>
      </c>
      <c r="N6" s="505">
        <v>13</v>
      </c>
    </row>
    <row r="7" spans="1:17" s="2" customFormat="1" ht="12.95" customHeight="1">
      <c r="A7" s="282"/>
      <c r="B7" s="6" t="s">
        <v>127</v>
      </c>
      <c r="C7" s="7" t="s">
        <v>81</v>
      </c>
      <c r="D7" s="7" t="s">
        <v>82</v>
      </c>
      <c r="E7" s="5"/>
      <c r="F7" s="283"/>
      <c r="G7" s="5"/>
      <c r="H7" s="283"/>
      <c r="I7" s="283"/>
      <c r="J7" s="383"/>
      <c r="K7" s="283"/>
      <c r="L7" s="283"/>
      <c r="M7" s="383"/>
      <c r="N7" s="345"/>
    </row>
    <row r="8" spans="1:17" s="1" customFormat="1" ht="12.95" customHeight="1">
      <c r="A8" s="281"/>
      <c r="B8" s="12"/>
      <c r="C8" s="8"/>
      <c r="D8" s="8"/>
      <c r="E8" s="305">
        <v>611000</v>
      </c>
      <c r="F8" s="331"/>
      <c r="G8" s="8" t="s">
        <v>163</v>
      </c>
      <c r="H8" s="210">
        <f t="shared" ref="H8:M8" si="0">SUM(H9:H12)</f>
        <v>276000</v>
      </c>
      <c r="I8" s="210">
        <f t="shared" si="0"/>
        <v>0</v>
      </c>
      <c r="J8" s="384">
        <f t="shared" si="0"/>
        <v>276000</v>
      </c>
      <c r="K8" s="210">
        <f t="shared" si="0"/>
        <v>69380</v>
      </c>
      <c r="L8" s="210">
        <f t="shared" si="0"/>
        <v>0</v>
      </c>
      <c r="M8" s="384">
        <f t="shared" si="0"/>
        <v>69380</v>
      </c>
      <c r="N8" s="346">
        <f>IF(J8=0,"",M8/J8*100)</f>
        <v>25.137681159420289</v>
      </c>
    </row>
    <row r="9" spans="1:17" ht="12.95" customHeight="1">
      <c r="B9" s="10"/>
      <c r="C9" s="11"/>
      <c r="D9" s="11"/>
      <c r="E9" s="306">
        <v>611100</v>
      </c>
      <c r="F9" s="332"/>
      <c r="G9" s="18" t="s">
        <v>198</v>
      </c>
      <c r="H9" s="209">
        <f>216200+1000</f>
        <v>217200</v>
      </c>
      <c r="I9" s="209">
        <v>0</v>
      </c>
      <c r="J9" s="385">
        <f>SUM(H9:I9)</f>
        <v>217200</v>
      </c>
      <c r="K9" s="209">
        <v>54041</v>
      </c>
      <c r="L9" s="209">
        <v>0</v>
      </c>
      <c r="M9" s="385">
        <f>SUM(K9:L9)</f>
        <v>54041</v>
      </c>
      <c r="N9" s="347">
        <f t="shared" ref="N9:N66" si="1">IF(J9=0,"",M9/J9*100)</f>
        <v>24.880755064456721</v>
      </c>
      <c r="O9" s="50"/>
    </row>
    <row r="10" spans="1:17" ht="12.95" customHeight="1">
      <c r="B10" s="10"/>
      <c r="C10" s="11"/>
      <c r="D10" s="11"/>
      <c r="E10" s="306">
        <v>611200</v>
      </c>
      <c r="F10" s="332"/>
      <c r="G10" s="11" t="s">
        <v>199</v>
      </c>
      <c r="H10" s="209">
        <f>58000+800</f>
        <v>58800</v>
      </c>
      <c r="I10" s="209">
        <v>0</v>
      </c>
      <c r="J10" s="385">
        <f t="shared" ref="J10:J11" si="2">SUM(H10:I10)</f>
        <v>58800</v>
      </c>
      <c r="K10" s="209">
        <v>15339</v>
      </c>
      <c r="L10" s="209">
        <v>0</v>
      </c>
      <c r="M10" s="385">
        <f t="shared" ref="M10:M11" si="3">SUM(K10:L10)</f>
        <v>15339</v>
      </c>
      <c r="N10" s="347">
        <f t="shared" si="1"/>
        <v>26.086734693877549</v>
      </c>
    </row>
    <row r="11" spans="1:17" ht="12.95" customHeight="1">
      <c r="B11" s="10"/>
      <c r="C11" s="11"/>
      <c r="D11" s="11"/>
      <c r="E11" s="306">
        <v>611200</v>
      </c>
      <c r="F11" s="332"/>
      <c r="G11" s="189" t="s">
        <v>534</v>
      </c>
      <c r="H11" s="209">
        <v>0</v>
      </c>
      <c r="I11" s="209">
        <v>0</v>
      </c>
      <c r="J11" s="385">
        <f t="shared" si="2"/>
        <v>0</v>
      </c>
      <c r="K11" s="209">
        <v>0</v>
      </c>
      <c r="L11" s="209">
        <v>0</v>
      </c>
      <c r="M11" s="385">
        <f t="shared" si="3"/>
        <v>0</v>
      </c>
      <c r="N11" s="347" t="str">
        <f t="shared" si="1"/>
        <v/>
      </c>
      <c r="P11" s="56"/>
    </row>
    <row r="12" spans="1:17" ht="12.95" customHeight="1">
      <c r="B12" s="10"/>
      <c r="C12" s="11"/>
      <c r="D12" s="11"/>
      <c r="E12" s="306"/>
      <c r="F12" s="332"/>
      <c r="G12" s="18"/>
      <c r="H12" s="209"/>
      <c r="I12" s="209"/>
      <c r="J12" s="385"/>
      <c r="K12" s="209"/>
      <c r="L12" s="209"/>
      <c r="M12" s="385"/>
      <c r="N12" s="347" t="str">
        <f t="shared" si="1"/>
        <v/>
      </c>
      <c r="P12" s="50"/>
    </row>
    <row r="13" spans="1:17" s="1" customFormat="1" ht="12.95" customHeight="1">
      <c r="A13" s="281"/>
      <c r="B13" s="12"/>
      <c r="C13" s="8"/>
      <c r="D13" s="8"/>
      <c r="E13" s="305">
        <v>612000</v>
      </c>
      <c r="F13" s="331"/>
      <c r="G13" s="8" t="s">
        <v>162</v>
      </c>
      <c r="H13" s="210">
        <f t="shared" ref="H13:M13" si="4">H14</f>
        <v>23250</v>
      </c>
      <c r="I13" s="210">
        <f t="shared" si="4"/>
        <v>0</v>
      </c>
      <c r="J13" s="384">
        <f t="shared" si="4"/>
        <v>23250</v>
      </c>
      <c r="K13" s="210">
        <f t="shared" si="4"/>
        <v>5755</v>
      </c>
      <c r="L13" s="210">
        <f t="shared" si="4"/>
        <v>0</v>
      </c>
      <c r="M13" s="384">
        <f t="shared" si="4"/>
        <v>5755</v>
      </c>
      <c r="N13" s="346">
        <f t="shared" si="1"/>
        <v>24.752688172043012</v>
      </c>
      <c r="P13" s="60"/>
      <c r="Q13" s="60"/>
    </row>
    <row r="14" spans="1:17" ht="12.95" customHeight="1">
      <c r="B14" s="10"/>
      <c r="C14" s="11"/>
      <c r="D14" s="11"/>
      <c r="E14" s="306">
        <v>612100</v>
      </c>
      <c r="F14" s="332"/>
      <c r="G14" s="13" t="s">
        <v>83</v>
      </c>
      <c r="H14" s="209">
        <f>23100+150</f>
        <v>23250</v>
      </c>
      <c r="I14" s="209">
        <v>0</v>
      </c>
      <c r="J14" s="385">
        <f>SUM(H14:I14)</f>
        <v>23250</v>
      </c>
      <c r="K14" s="209">
        <v>5755</v>
      </c>
      <c r="L14" s="209">
        <v>0</v>
      </c>
      <c r="M14" s="385">
        <f>SUM(K14:L14)</f>
        <v>5755</v>
      </c>
      <c r="N14" s="347">
        <f t="shared" si="1"/>
        <v>24.752688172043012</v>
      </c>
    </row>
    <row r="15" spans="1:17" ht="12.95" customHeight="1">
      <c r="B15" s="10"/>
      <c r="C15" s="11"/>
      <c r="D15" s="11"/>
      <c r="E15" s="306"/>
      <c r="F15" s="332"/>
      <c r="G15" s="11"/>
      <c r="H15" s="280"/>
      <c r="I15" s="280"/>
      <c r="J15" s="386"/>
      <c r="K15" s="280"/>
      <c r="L15" s="280"/>
      <c r="M15" s="386"/>
      <c r="N15" s="347" t="str">
        <f t="shared" si="1"/>
        <v/>
      </c>
    </row>
    <row r="16" spans="1:17" s="1" customFormat="1" ht="12.95" customHeight="1">
      <c r="A16" s="281"/>
      <c r="B16" s="12"/>
      <c r="C16" s="8"/>
      <c r="D16" s="8"/>
      <c r="E16" s="305">
        <v>613000</v>
      </c>
      <c r="F16" s="331"/>
      <c r="G16" s="8" t="s">
        <v>164</v>
      </c>
      <c r="H16" s="293">
        <f t="shared" ref="H16:M16" si="5">SUM(H17:H26)</f>
        <v>401500</v>
      </c>
      <c r="I16" s="293">
        <f t="shared" si="5"/>
        <v>0</v>
      </c>
      <c r="J16" s="387">
        <f t="shared" si="5"/>
        <v>401500</v>
      </c>
      <c r="K16" s="293">
        <f t="shared" si="5"/>
        <v>110719</v>
      </c>
      <c r="L16" s="293">
        <f t="shared" si="5"/>
        <v>0</v>
      </c>
      <c r="M16" s="387">
        <f t="shared" si="5"/>
        <v>110719</v>
      </c>
      <c r="N16" s="346">
        <f t="shared" si="1"/>
        <v>27.576338729763389</v>
      </c>
    </row>
    <row r="17" spans="1:15" ht="12.95" customHeight="1">
      <c r="B17" s="10"/>
      <c r="C17" s="11"/>
      <c r="D17" s="11"/>
      <c r="E17" s="306">
        <v>613100</v>
      </c>
      <c r="F17" s="332"/>
      <c r="G17" s="11" t="s">
        <v>84</v>
      </c>
      <c r="H17" s="364">
        <v>8500</v>
      </c>
      <c r="I17" s="364">
        <v>0</v>
      </c>
      <c r="J17" s="385">
        <f t="shared" ref="J17:J26" si="6">SUM(H17:I17)</f>
        <v>8500</v>
      </c>
      <c r="K17" s="364">
        <v>2170</v>
      </c>
      <c r="L17" s="364">
        <v>0</v>
      </c>
      <c r="M17" s="385">
        <f t="shared" ref="M17:M26" si="7">SUM(K17:L17)</f>
        <v>2170</v>
      </c>
      <c r="N17" s="347">
        <f t="shared" si="1"/>
        <v>25.529411764705884</v>
      </c>
    </row>
    <row r="18" spans="1:15" ht="12.95" customHeight="1">
      <c r="B18" s="10"/>
      <c r="C18" s="11"/>
      <c r="D18" s="11"/>
      <c r="E18" s="306">
        <v>613200</v>
      </c>
      <c r="F18" s="332"/>
      <c r="G18" s="11" t="s">
        <v>85</v>
      </c>
      <c r="H18" s="362">
        <v>95000</v>
      </c>
      <c r="I18" s="362">
        <v>0</v>
      </c>
      <c r="J18" s="385">
        <f t="shared" si="6"/>
        <v>95000</v>
      </c>
      <c r="K18" s="362">
        <v>30721</v>
      </c>
      <c r="L18" s="362">
        <v>0</v>
      </c>
      <c r="M18" s="385">
        <f t="shared" si="7"/>
        <v>30721</v>
      </c>
      <c r="N18" s="347">
        <f t="shared" si="1"/>
        <v>32.337894736842102</v>
      </c>
    </row>
    <row r="19" spans="1:15" ht="12.95" customHeight="1">
      <c r="B19" s="10"/>
      <c r="C19" s="11"/>
      <c r="D19" s="11"/>
      <c r="E19" s="306">
        <v>613300</v>
      </c>
      <c r="F19" s="332"/>
      <c r="G19" s="18" t="s">
        <v>200</v>
      </c>
      <c r="H19" s="362">
        <v>41500</v>
      </c>
      <c r="I19" s="362">
        <v>0</v>
      </c>
      <c r="J19" s="385">
        <f t="shared" si="6"/>
        <v>41500</v>
      </c>
      <c r="K19" s="362">
        <v>9813</v>
      </c>
      <c r="L19" s="362">
        <v>0</v>
      </c>
      <c r="M19" s="385">
        <f t="shared" si="7"/>
        <v>9813</v>
      </c>
      <c r="N19" s="347">
        <f t="shared" si="1"/>
        <v>23.64578313253012</v>
      </c>
    </row>
    <row r="20" spans="1:15" ht="12.95" customHeight="1">
      <c r="B20" s="10"/>
      <c r="C20" s="11"/>
      <c r="D20" s="11"/>
      <c r="E20" s="306">
        <v>613400</v>
      </c>
      <c r="F20" s="332"/>
      <c r="G20" s="11" t="s">
        <v>165</v>
      </c>
      <c r="H20" s="362">
        <v>84000</v>
      </c>
      <c r="I20" s="362">
        <v>0</v>
      </c>
      <c r="J20" s="385">
        <f t="shared" si="6"/>
        <v>84000</v>
      </c>
      <c r="K20" s="362">
        <v>24400</v>
      </c>
      <c r="L20" s="362">
        <v>0</v>
      </c>
      <c r="M20" s="385">
        <f t="shared" si="7"/>
        <v>24400</v>
      </c>
      <c r="N20" s="347">
        <f t="shared" si="1"/>
        <v>29.047619047619051</v>
      </c>
    </row>
    <row r="21" spans="1:15" ht="12.95" customHeight="1">
      <c r="B21" s="10"/>
      <c r="C21" s="11"/>
      <c r="D21" s="11"/>
      <c r="E21" s="306">
        <v>613500</v>
      </c>
      <c r="F21" s="332"/>
      <c r="G21" s="11" t="s">
        <v>86</v>
      </c>
      <c r="H21" s="362">
        <v>61000</v>
      </c>
      <c r="I21" s="362">
        <v>0</v>
      </c>
      <c r="J21" s="385">
        <f t="shared" si="6"/>
        <v>61000</v>
      </c>
      <c r="K21" s="362">
        <v>15023</v>
      </c>
      <c r="L21" s="362">
        <v>0</v>
      </c>
      <c r="M21" s="385">
        <f t="shared" si="7"/>
        <v>15023</v>
      </c>
      <c r="N21" s="347">
        <f t="shared" si="1"/>
        <v>24.627868852459017</v>
      </c>
    </row>
    <row r="22" spans="1:15" ht="12.95" customHeight="1">
      <c r="B22" s="10"/>
      <c r="C22" s="11"/>
      <c r="D22" s="11"/>
      <c r="E22" s="306">
        <v>613600</v>
      </c>
      <c r="F22" s="332"/>
      <c r="G22" s="18" t="s">
        <v>201</v>
      </c>
      <c r="H22" s="362">
        <v>0</v>
      </c>
      <c r="I22" s="362">
        <v>0</v>
      </c>
      <c r="J22" s="385">
        <f t="shared" si="6"/>
        <v>0</v>
      </c>
      <c r="K22" s="362">
        <v>0</v>
      </c>
      <c r="L22" s="362">
        <v>0</v>
      </c>
      <c r="M22" s="385">
        <f t="shared" si="7"/>
        <v>0</v>
      </c>
      <c r="N22" s="347" t="str">
        <f t="shared" si="1"/>
        <v/>
      </c>
    </row>
    <row r="23" spans="1:15" ht="12.95" customHeight="1">
      <c r="B23" s="10"/>
      <c r="C23" s="11"/>
      <c r="D23" s="11"/>
      <c r="E23" s="306">
        <v>613700</v>
      </c>
      <c r="F23" s="332"/>
      <c r="G23" s="11" t="s">
        <v>87</v>
      </c>
      <c r="H23" s="362">
        <v>41000</v>
      </c>
      <c r="I23" s="362">
        <v>0</v>
      </c>
      <c r="J23" s="385">
        <f t="shared" si="6"/>
        <v>41000</v>
      </c>
      <c r="K23" s="362">
        <v>10761</v>
      </c>
      <c r="L23" s="362">
        <v>0</v>
      </c>
      <c r="M23" s="385">
        <f t="shared" si="7"/>
        <v>10761</v>
      </c>
      <c r="N23" s="347">
        <f t="shared" si="1"/>
        <v>26.246341463414634</v>
      </c>
    </row>
    <row r="24" spans="1:15" ht="12.95" customHeight="1">
      <c r="B24" s="10"/>
      <c r="C24" s="11"/>
      <c r="D24" s="11"/>
      <c r="E24" s="306">
        <v>613800</v>
      </c>
      <c r="F24" s="332"/>
      <c r="G24" s="11" t="s">
        <v>166</v>
      </c>
      <c r="H24" s="362">
        <v>5500</v>
      </c>
      <c r="I24" s="362">
        <v>0</v>
      </c>
      <c r="J24" s="385">
        <f t="shared" si="6"/>
        <v>5500</v>
      </c>
      <c r="K24" s="362">
        <v>1368</v>
      </c>
      <c r="L24" s="362">
        <v>0</v>
      </c>
      <c r="M24" s="385">
        <f t="shared" si="7"/>
        <v>1368</v>
      </c>
      <c r="N24" s="347">
        <f t="shared" si="1"/>
        <v>24.872727272727271</v>
      </c>
      <c r="O24" s="50"/>
    </row>
    <row r="25" spans="1:15" ht="12.95" customHeight="1">
      <c r="B25" s="10"/>
      <c r="C25" s="11"/>
      <c r="D25" s="11"/>
      <c r="E25" s="306">
        <v>613900</v>
      </c>
      <c r="F25" s="332"/>
      <c r="G25" s="11" t="s">
        <v>167</v>
      </c>
      <c r="H25" s="364">
        <v>65000</v>
      </c>
      <c r="I25" s="364">
        <v>0</v>
      </c>
      <c r="J25" s="385">
        <f t="shared" si="6"/>
        <v>65000</v>
      </c>
      <c r="K25" s="364">
        <v>16463</v>
      </c>
      <c r="L25" s="364">
        <v>0</v>
      </c>
      <c r="M25" s="385">
        <f t="shared" si="7"/>
        <v>16463</v>
      </c>
      <c r="N25" s="347">
        <f t="shared" si="1"/>
        <v>25.327692307692306</v>
      </c>
    </row>
    <row r="26" spans="1:15" ht="12.95" customHeight="1">
      <c r="B26" s="10"/>
      <c r="C26" s="11"/>
      <c r="D26" s="11"/>
      <c r="E26" s="306">
        <v>613900</v>
      </c>
      <c r="F26" s="332"/>
      <c r="G26" s="189" t="s">
        <v>535</v>
      </c>
      <c r="H26" s="363">
        <v>0</v>
      </c>
      <c r="I26" s="363">
        <v>0</v>
      </c>
      <c r="J26" s="385">
        <f t="shared" si="6"/>
        <v>0</v>
      </c>
      <c r="K26" s="363">
        <v>0</v>
      </c>
      <c r="L26" s="363">
        <v>0</v>
      </c>
      <c r="M26" s="385">
        <f t="shared" si="7"/>
        <v>0</v>
      </c>
      <c r="N26" s="347" t="str">
        <f t="shared" si="1"/>
        <v/>
      </c>
    </row>
    <row r="27" spans="1:15" s="1" customFormat="1" ht="12.95" customHeight="1">
      <c r="A27" s="281"/>
      <c r="B27" s="12"/>
      <c r="C27" s="8"/>
      <c r="D27" s="8"/>
      <c r="E27" s="316"/>
      <c r="F27" s="343"/>
      <c r="G27" s="8"/>
      <c r="H27" s="279"/>
      <c r="I27" s="279"/>
      <c r="J27" s="386"/>
      <c r="K27" s="279"/>
      <c r="L27" s="279"/>
      <c r="M27" s="386"/>
      <c r="N27" s="347" t="str">
        <f t="shared" si="1"/>
        <v/>
      </c>
    </row>
    <row r="28" spans="1:15" s="1" customFormat="1" ht="12.95" customHeight="1">
      <c r="A28" s="281"/>
      <c r="B28" s="12"/>
      <c r="C28" s="8"/>
      <c r="D28" s="8"/>
      <c r="E28" s="305">
        <v>821000</v>
      </c>
      <c r="F28" s="331"/>
      <c r="G28" s="8" t="s">
        <v>90</v>
      </c>
      <c r="H28" s="288">
        <f t="shared" ref="H28:M28" si="8">SUM(H29:H30)</f>
        <v>80000</v>
      </c>
      <c r="I28" s="288">
        <f t="shared" si="8"/>
        <v>0</v>
      </c>
      <c r="J28" s="387">
        <f t="shared" si="8"/>
        <v>80000</v>
      </c>
      <c r="K28" s="288">
        <f t="shared" si="8"/>
        <v>74489</v>
      </c>
      <c r="L28" s="288">
        <f t="shared" si="8"/>
        <v>0</v>
      </c>
      <c r="M28" s="387">
        <f t="shared" si="8"/>
        <v>74489</v>
      </c>
      <c r="N28" s="346">
        <f t="shared" si="1"/>
        <v>93.111249999999998</v>
      </c>
    </row>
    <row r="29" spans="1:15" ht="12.95" customHeight="1">
      <c r="B29" s="10"/>
      <c r="C29" s="11"/>
      <c r="D29" s="11"/>
      <c r="E29" s="306">
        <v>821200</v>
      </c>
      <c r="F29" s="332"/>
      <c r="G29" s="11" t="s">
        <v>91</v>
      </c>
      <c r="H29" s="280">
        <v>0</v>
      </c>
      <c r="I29" s="280">
        <v>0</v>
      </c>
      <c r="J29" s="385">
        <f t="shared" ref="J29:J30" si="9">SUM(H29:I29)</f>
        <v>0</v>
      </c>
      <c r="K29" s="280">
        <v>0</v>
      </c>
      <c r="L29" s="280">
        <v>0</v>
      </c>
      <c r="M29" s="385">
        <f t="shared" ref="M29:M30" si="10">SUM(K29:L29)</f>
        <v>0</v>
      </c>
      <c r="N29" s="347" t="str">
        <f t="shared" si="1"/>
        <v/>
      </c>
    </row>
    <row r="30" spans="1:15" ht="12.95" customHeight="1">
      <c r="B30" s="10"/>
      <c r="C30" s="11"/>
      <c r="D30" s="11"/>
      <c r="E30" s="306">
        <v>821300</v>
      </c>
      <c r="F30" s="332"/>
      <c r="G30" s="11" t="s">
        <v>92</v>
      </c>
      <c r="H30" s="280">
        <v>80000</v>
      </c>
      <c r="I30" s="280">
        <v>0</v>
      </c>
      <c r="J30" s="385">
        <f t="shared" si="9"/>
        <v>80000</v>
      </c>
      <c r="K30" s="280">
        <v>74489</v>
      </c>
      <c r="L30" s="280">
        <v>0</v>
      </c>
      <c r="M30" s="385">
        <f t="shared" si="10"/>
        <v>74489</v>
      </c>
      <c r="N30" s="347">
        <f t="shared" si="1"/>
        <v>93.111249999999998</v>
      </c>
    </row>
    <row r="31" spans="1:15" ht="12.95" customHeight="1">
      <c r="B31" s="10"/>
      <c r="C31" s="11"/>
      <c r="D31" s="11"/>
      <c r="E31" s="306"/>
      <c r="F31" s="332"/>
      <c r="G31" s="11"/>
      <c r="H31" s="288"/>
      <c r="I31" s="288"/>
      <c r="J31" s="387"/>
      <c r="K31" s="288"/>
      <c r="L31" s="288"/>
      <c r="M31" s="387"/>
      <c r="N31" s="347" t="str">
        <f t="shared" si="1"/>
        <v/>
      </c>
    </row>
    <row r="32" spans="1:15" s="1" customFormat="1" ht="12.95" customHeight="1">
      <c r="A32" s="281"/>
      <c r="B32" s="12"/>
      <c r="C32" s="8"/>
      <c r="D32" s="8"/>
      <c r="E32" s="305"/>
      <c r="F32" s="331"/>
      <c r="G32" s="8" t="s">
        <v>93</v>
      </c>
      <c r="H32" s="295">
        <v>16</v>
      </c>
      <c r="I32" s="295"/>
      <c r="J32" s="387">
        <v>16</v>
      </c>
      <c r="K32" s="295">
        <v>16</v>
      </c>
      <c r="L32" s="295"/>
      <c r="M32" s="387">
        <v>16</v>
      </c>
      <c r="N32" s="347"/>
    </row>
    <row r="33" spans="1:14" s="1" customFormat="1" ht="12.95" customHeight="1">
      <c r="A33" s="281"/>
      <c r="B33" s="12"/>
      <c r="C33" s="8"/>
      <c r="D33" s="8"/>
      <c r="E33" s="305"/>
      <c r="F33" s="331"/>
      <c r="G33" s="8" t="s">
        <v>113</v>
      </c>
      <c r="H33" s="288">
        <f t="shared" ref="H33:M33" si="11">H8+H13+H16+H28</f>
        <v>780750</v>
      </c>
      <c r="I33" s="288">
        <f t="shared" si="11"/>
        <v>0</v>
      </c>
      <c r="J33" s="387">
        <f t="shared" si="11"/>
        <v>780750</v>
      </c>
      <c r="K33" s="288">
        <f t="shared" si="11"/>
        <v>260343</v>
      </c>
      <c r="L33" s="288">
        <f t="shared" si="11"/>
        <v>0</v>
      </c>
      <c r="M33" s="387">
        <f t="shared" si="11"/>
        <v>260343</v>
      </c>
      <c r="N33" s="346">
        <f t="shared" si="1"/>
        <v>33.345244956772333</v>
      </c>
    </row>
    <row r="34" spans="1:14" s="1" customFormat="1" ht="12.95" customHeight="1">
      <c r="A34" s="281"/>
      <c r="B34" s="12"/>
      <c r="C34" s="8"/>
      <c r="D34" s="8"/>
      <c r="E34" s="305"/>
      <c r="F34" s="331"/>
      <c r="G34" s="8" t="s">
        <v>94</v>
      </c>
      <c r="H34" s="288">
        <f t="shared" ref="H34:J35" si="12">H33</f>
        <v>780750</v>
      </c>
      <c r="I34" s="288">
        <f t="shared" si="12"/>
        <v>0</v>
      </c>
      <c r="J34" s="387">
        <f t="shared" si="12"/>
        <v>780750</v>
      </c>
      <c r="K34" s="288">
        <f t="shared" ref="K34:M34" si="13">K33</f>
        <v>260343</v>
      </c>
      <c r="L34" s="288">
        <f t="shared" si="13"/>
        <v>0</v>
      </c>
      <c r="M34" s="387">
        <f t="shared" si="13"/>
        <v>260343</v>
      </c>
      <c r="N34" s="346">
        <f t="shared" si="1"/>
        <v>33.345244956772333</v>
      </c>
    </row>
    <row r="35" spans="1:14" s="1" customFormat="1" ht="12.95" customHeight="1">
      <c r="A35" s="281"/>
      <c r="B35" s="12"/>
      <c r="C35" s="8"/>
      <c r="D35" s="8"/>
      <c r="E35" s="305"/>
      <c r="F35" s="331"/>
      <c r="G35" s="8" t="s">
        <v>95</v>
      </c>
      <c r="H35" s="288">
        <f t="shared" si="12"/>
        <v>780750</v>
      </c>
      <c r="I35" s="288">
        <f t="shared" si="12"/>
        <v>0</v>
      </c>
      <c r="J35" s="387">
        <f t="shared" si="12"/>
        <v>780750</v>
      </c>
      <c r="K35" s="288">
        <f t="shared" ref="K35:M35" si="14">K34</f>
        <v>260343</v>
      </c>
      <c r="L35" s="288">
        <f t="shared" si="14"/>
        <v>0</v>
      </c>
      <c r="M35" s="387">
        <f t="shared" si="14"/>
        <v>260343</v>
      </c>
      <c r="N35" s="346">
        <f t="shared" si="1"/>
        <v>33.345244956772333</v>
      </c>
    </row>
    <row r="36" spans="1:14" ht="12.95" customHeight="1" thickBot="1">
      <c r="B36" s="15"/>
      <c r="C36" s="16"/>
      <c r="D36" s="16"/>
      <c r="E36" s="307"/>
      <c r="F36" s="333"/>
      <c r="G36" s="16"/>
      <c r="H36" s="16"/>
      <c r="I36" s="16"/>
      <c r="J36" s="394"/>
      <c r="K36" s="16"/>
      <c r="L36" s="16"/>
      <c r="M36" s="394"/>
      <c r="N36" s="349" t="str">
        <f t="shared" si="1"/>
        <v/>
      </c>
    </row>
    <row r="37" spans="1:14" ht="12.95" customHeight="1">
      <c r="E37" s="308"/>
      <c r="F37" s="334"/>
      <c r="J37" s="391"/>
      <c r="M37" s="391"/>
      <c r="N37" s="350" t="str">
        <f t="shared" si="1"/>
        <v/>
      </c>
    </row>
    <row r="38" spans="1:14" ht="12.95" customHeight="1">
      <c r="B38" s="50"/>
      <c r="E38" s="308"/>
      <c r="F38" s="334"/>
      <c r="J38" s="391"/>
      <c r="M38" s="391"/>
      <c r="N38" s="350" t="str">
        <f t="shared" si="1"/>
        <v/>
      </c>
    </row>
    <row r="39" spans="1:14" ht="12.95" customHeight="1">
      <c r="B39" s="50"/>
      <c r="E39" s="308"/>
      <c r="F39" s="334"/>
      <c r="J39" s="391"/>
      <c r="M39" s="391"/>
      <c r="N39" s="350" t="str">
        <f t="shared" si="1"/>
        <v/>
      </c>
    </row>
    <row r="40" spans="1:14" ht="12.95" customHeight="1">
      <c r="B40" s="50"/>
      <c r="E40" s="308"/>
      <c r="F40" s="334"/>
      <c r="J40" s="391"/>
      <c r="M40" s="391"/>
      <c r="N40" s="350" t="str">
        <f t="shared" si="1"/>
        <v/>
      </c>
    </row>
    <row r="41" spans="1:14" ht="12.95" customHeight="1">
      <c r="B41" s="50"/>
      <c r="E41" s="308"/>
      <c r="F41" s="334"/>
      <c r="J41" s="391"/>
      <c r="M41" s="391"/>
      <c r="N41" s="350" t="str">
        <f t="shared" si="1"/>
        <v/>
      </c>
    </row>
    <row r="42" spans="1:14" ht="12.95" customHeight="1">
      <c r="E42" s="308"/>
      <c r="F42" s="334"/>
      <c r="J42" s="391"/>
      <c r="M42" s="391"/>
      <c r="N42" s="350" t="str">
        <f t="shared" si="1"/>
        <v/>
      </c>
    </row>
    <row r="43" spans="1:14" ht="12.95" customHeight="1">
      <c r="E43" s="308"/>
      <c r="F43" s="334"/>
      <c r="J43" s="391"/>
      <c r="M43" s="391"/>
      <c r="N43" s="350" t="str">
        <f t="shared" si="1"/>
        <v/>
      </c>
    </row>
    <row r="44" spans="1:14" ht="12.95" customHeight="1">
      <c r="E44" s="308"/>
      <c r="F44" s="334"/>
      <c r="J44" s="391"/>
      <c r="M44" s="391"/>
      <c r="N44" s="350" t="str">
        <f t="shared" si="1"/>
        <v/>
      </c>
    </row>
    <row r="45" spans="1:14" ht="12.95" customHeight="1">
      <c r="E45" s="308"/>
      <c r="F45" s="334"/>
      <c r="J45" s="391"/>
      <c r="M45" s="391"/>
      <c r="N45" s="350" t="str">
        <f t="shared" si="1"/>
        <v/>
      </c>
    </row>
    <row r="46" spans="1:14" ht="12.95" customHeight="1">
      <c r="E46" s="308"/>
      <c r="F46" s="334"/>
      <c r="J46" s="391"/>
      <c r="M46" s="391"/>
      <c r="N46" s="350" t="str">
        <f t="shared" si="1"/>
        <v/>
      </c>
    </row>
    <row r="47" spans="1:14" ht="12.95" customHeight="1">
      <c r="E47" s="308"/>
      <c r="F47" s="334"/>
      <c r="J47" s="391"/>
      <c r="M47" s="391"/>
      <c r="N47" s="350" t="str">
        <f t="shared" si="1"/>
        <v/>
      </c>
    </row>
    <row r="48" spans="1:14" ht="12.95" customHeight="1">
      <c r="E48" s="308"/>
      <c r="F48" s="334"/>
      <c r="J48" s="391"/>
      <c r="M48" s="391"/>
      <c r="N48" s="350" t="str">
        <f t="shared" si="1"/>
        <v/>
      </c>
    </row>
    <row r="49" spans="5:14" ht="12.95" customHeight="1">
      <c r="E49" s="308"/>
      <c r="F49" s="334"/>
      <c r="J49" s="391"/>
      <c r="M49" s="391"/>
      <c r="N49" s="350" t="str">
        <f t="shared" si="1"/>
        <v/>
      </c>
    </row>
    <row r="50" spans="5:14" ht="12.95" customHeight="1">
      <c r="E50" s="308"/>
      <c r="F50" s="334"/>
      <c r="J50" s="391"/>
      <c r="M50" s="391"/>
      <c r="N50" s="350" t="str">
        <f t="shared" si="1"/>
        <v/>
      </c>
    </row>
    <row r="51" spans="5:14" ht="12.95" customHeight="1">
      <c r="E51" s="308"/>
      <c r="F51" s="334"/>
      <c r="J51" s="391"/>
      <c r="M51" s="391"/>
      <c r="N51" s="350" t="str">
        <f t="shared" si="1"/>
        <v/>
      </c>
    </row>
    <row r="52" spans="5:14" ht="12.95" customHeight="1">
      <c r="E52" s="308"/>
      <c r="F52" s="334"/>
      <c r="J52" s="391"/>
      <c r="M52" s="391"/>
      <c r="N52" s="350" t="str">
        <f t="shared" si="1"/>
        <v/>
      </c>
    </row>
    <row r="53" spans="5:14" ht="12.95" customHeight="1">
      <c r="E53" s="308"/>
      <c r="F53" s="334"/>
      <c r="J53" s="391"/>
      <c r="M53" s="391"/>
      <c r="N53" s="350" t="str">
        <f t="shared" si="1"/>
        <v/>
      </c>
    </row>
    <row r="54" spans="5:14" ht="12.95" customHeight="1">
      <c r="E54" s="308"/>
      <c r="F54" s="334"/>
      <c r="J54" s="391"/>
      <c r="M54" s="391"/>
      <c r="N54" s="350" t="str">
        <f t="shared" si="1"/>
        <v/>
      </c>
    </row>
    <row r="55" spans="5:14" ht="12.95" customHeight="1">
      <c r="E55" s="308"/>
      <c r="F55" s="334"/>
      <c r="J55" s="391"/>
      <c r="M55" s="391"/>
      <c r="N55" s="350" t="str">
        <f t="shared" si="1"/>
        <v/>
      </c>
    </row>
    <row r="56" spans="5:14" ht="12.95" customHeight="1">
      <c r="E56" s="308"/>
      <c r="F56" s="334"/>
      <c r="J56" s="391"/>
      <c r="M56" s="391"/>
      <c r="N56" s="350" t="str">
        <f t="shared" si="1"/>
        <v/>
      </c>
    </row>
    <row r="57" spans="5:14" ht="12.95" customHeight="1">
      <c r="E57" s="308"/>
      <c r="F57" s="334"/>
      <c r="J57" s="391"/>
      <c r="M57" s="391"/>
      <c r="N57" s="350" t="str">
        <f t="shared" si="1"/>
        <v/>
      </c>
    </row>
    <row r="58" spans="5:14" ht="12.95" customHeight="1">
      <c r="E58" s="308"/>
      <c r="F58" s="334"/>
      <c r="J58" s="391"/>
      <c r="M58" s="391"/>
      <c r="N58" s="350" t="str">
        <f t="shared" si="1"/>
        <v/>
      </c>
    </row>
    <row r="59" spans="5:14" ht="12.95" customHeight="1">
      <c r="E59" s="308"/>
      <c r="F59" s="334"/>
      <c r="J59" s="391"/>
      <c r="M59" s="391"/>
      <c r="N59" s="350" t="str">
        <f t="shared" si="1"/>
        <v/>
      </c>
    </row>
    <row r="60" spans="5:14" ht="17.100000000000001" customHeight="1">
      <c r="E60" s="308"/>
      <c r="F60" s="334"/>
      <c r="J60" s="391"/>
      <c r="M60" s="391"/>
      <c r="N60" s="350" t="str">
        <f t="shared" si="1"/>
        <v/>
      </c>
    </row>
    <row r="61" spans="5:14" ht="14.25">
      <c r="E61" s="308"/>
      <c r="F61" s="334"/>
      <c r="J61" s="391"/>
      <c r="M61" s="391"/>
      <c r="N61" s="350" t="str">
        <f t="shared" si="1"/>
        <v/>
      </c>
    </row>
    <row r="62" spans="5:14" ht="14.25">
      <c r="E62" s="308"/>
      <c r="F62" s="334"/>
      <c r="J62" s="391"/>
      <c r="M62" s="391"/>
      <c r="N62" s="350" t="str">
        <f t="shared" si="1"/>
        <v/>
      </c>
    </row>
    <row r="63" spans="5:14" ht="14.25">
      <c r="E63" s="308"/>
      <c r="F63" s="334"/>
      <c r="J63" s="391"/>
      <c r="M63" s="391"/>
      <c r="N63" s="350" t="str">
        <f t="shared" si="1"/>
        <v/>
      </c>
    </row>
    <row r="64" spans="5:14" ht="14.25">
      <c r="E64" s="308"/>
      <c r="F64" s="334"/>
      <c r="J64" s="391"/>
      <c r="M64" s="391"/>
      <c r="N64" s="350" t="str">
        <f t="shared" si="1"/>
        <v/>
      </c>
    </row>
    <row r="65" spans="5:14" ht="14.25">
      <c r="E65" s="308"/>
      <c r="F65" s="334"/>
      <c r="J65" s="391"/>
      <c r="M65" s="391"/>
      <c r="N65" s="350" t="str">
        <f t="shared" si="1"/>
        <v/>
      </c>
    </row>
    <row r="66" spans="5:14" ht="14.25">
      <c r="E66" s="308"/>
      <c r="F66" s="334"/>
      <c r="J66" s="391"/>
      <c r="M66" s="391"/>
      <c r="N66" s="350" t="str">
        <f t="shared" si="1"/>
        <v/>
      </c>
    </row>
    <row r="67" spans="5:14" ht="14.25">
      <c r="E67" s="308"/>
      <c r="F67" s="334"/>
      <c r="J67" s="391"/>
      <c r="M67" s="391"/>
    </row>
    <row r="68" spans="5:14" ht="14.25">
      <c r="E68" s="308"/>
      <c r="F68" s="334"/>
      <c r="J68" s="391"/>
      <c r="M68" s="391"/>
    </row>
    <row r="69" spans="5:14" ht="14.25">
      <c r="E69" s="308"/>
      <c r="F69" s="334"/>
      <c r="J69" s="391"/>
      <c r="M69" s="391"/>
    </row>
    <row r="70" spans="5:14" ht="14.25">
      <c r="E70" s="308"/>
      <c r="F70" s="334"/>
      <c r="J70" s="391"/>
      <c r="M70" s="391"/>
    </row>
    <row r="71" spans="5:14" ht="14.25">
      <c r="E71" s="308"/>
      <c r="F71" s="334"/>
      <c r="J71" s="391"/>
      <c r="M71" s="391"/>
    </row>
    <row r="72" spans="5:14" ht="14.25">
      <c r="E72" s="308"/>
      <c r="F72" s="334"/>
      <c r="J72" s="391"/>
      <c r="M72" s="391"/>
    </row>
    <row r="73" spans="5:14" ht="14.25">
      <c r="E73" s="308"/>
      <c r="F73" s="334"/>
      <c r="J73" s="391"/>
      <c r="M73" s="391"/>
    </row>
    <row r="74" spans="5:14" ht="14.25">
      <c r="E74" s="308"/>
      <c r="F74" s="308"/>
      <c r="J74" s="391"/>
      <c r="M74" s="391"/>
    </row>
    <row r="75" spans="5:14" ht="14.25">
      <c r="E75" s="308"/>
      <c r="F75" s="308"/>
      <c r="J75" s="391"/>
      <c r="M75" s="391"/>
    </row>
    <row r="76" spans="5:14" ht="14.25">
      <c r="E76" s="308"/>
      <c r="F76" s="308"/>
      <c r="J76" s="391"/>
      <c r="M76" s="391"/>
    </row>
    <row r="77" spans="5:14" ht="14.25">
      <c r="E77" s="308"/>
      <c r="F77" s="308"/>
      <c r="J77" s="391"/>
      <c r="M77" s="391"/>
    </row>
    <row r="78" spans="5:14" ht="14.25">
      <c r="E78" s="308"/>
      <c r="F78" s="308"/>
      <c r="J78" s="391"/>
      <c r="M78" s="391"/>
    </row>
    <row r="79" spans="5:14" ht="14.25">
      <c r="E79" s="308"/>
      <c r="F79" s="308"/>
      <c r="J79" s="391"/>
      <c r="M79" s="391"/>
    </row>
    <row r="80" spans="5:14" ht="14.25">
      <c r="E80" s="308"/>
      <c r="F80" s="308"/>
      <c r="J80" s="391"/>
      <c r="M80" s="391"/>
    </row>
    <row r="81" spans="5:13" ht="14.25">
      <c r="E81" s="308"/>
      <c r="F81" s="308"/>
      <c r="J81" s="391"/>
      <c r="M81" s="391"/>
    </row>
    <row r="82" spans="5:13" ht="14.25">
      <c r="E82" s="308"/>
      <c r="F82" s="308"/>
      <c r="J82" s="391"/>
      <c r="M82" s="391"/>
    </row>
    <row r="83" spans="5:13" ht="14.25">
      <c r="E83" s="308"/>
      <c r="F83" s="308"/>
      <c r="J83" s="391"/>
      <c r="M83" s="391"/>
    </row>
    <row r="84" spans="5:13" ht="14.25">
      <c r="E84" s="308"/>
      <c r="F84" s="308"/>
      <c r="J84" s="391"/>
      <c r="M84" s="391"/>
    </row>
    <row r="85" spans="5:13" ht="14.25">
      <c r="E85" s="308"/>
      <c r="F85" s="308"/>
      <c r="J85" s="391"/>
      <c r="M85" s="391"/>
    </row>
    <row r="86" spans="5:13" ht="14.25">
      <c r="E86" s="308"/>
      <c r="F86" s="308"/>
      <c r="J86" s="391"/>
      <c r="M86" s="391"/>
    </row>
    <row r="87" spans="5:13" ht="14.25">
      <c r="E87" s="308"/>
      <c r="F87" s="308"/>
      <c r="J87" s="391"/>
      <c r="M87" s="391"/>
    </row>
    <row r="88" spans="5:13" ht="14.25">
      <c r="E88" s="308"/>
      <c r="F88" s="308"/>
      <c r="J88" s="391"/>
      <c r="M88" s="391"/>
    </row>
    <row r="89" spans="5:13" ht="14.25">
      <c r="E89" s="308"/>
      <c r="F89" s="308"/>
      <c r="J89" s="391"/>
      <c r="M89" s="391"/>
    </row>
    <row r="90" spans="5:13" ht="14.25">
      <c r="E90" s="308"/>
      <c r="F90" s="308"/>
      <c r="J90" s="391"/>
      <c r="M90" s="391"/>
    </row>
    <row r="91" spans="5:13">
      <c r="F91" s="308"/>
    </row>
    <row r="92" spans="5:13">
      <c r="F92" s="308"/>
    </row>
    <row r="93" spans="5:13">
      <c r="F93" s="308"/>
    </row>
    <row r="94" spans="5:13">
      <c r="F94" s="308"/>
    </row>
    <row r="95" spans="5:13">
      <c r="F95" s="308"/>
    </row>
    <row r="96" spans="5:13">
      <c r="F96" s="308"/>
    </row>
  </sheetData>
  <mergeCells count="10">
    <mergeCell ref="N4:N5"/>
    <mergeCell ref="G4:G5"/>
    <mergeCell ref="B2:J2"/>
    <mergeCell ref="H4:J4"/>
    <mergeCell ref="B4:B5"/>
    <mergeCell ref="C4:C5"/>
    <mergeCell ref="D4:D5"/>
    <mergeCell ref="F4:F5"/>
    <mergeCell ref="E4:E5"/>
    <mergeCell ref="K4:M4"/>
  </mergeCells>
  <phoneticPr fontId="2" type="noConversion"/>
  <pageMargins left="0.78740157480314965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2"/>
  <dimension ref="A1:P96"/>
  <sheetViews>
    <sheetView zoomScaleNormal="100" workbookViewId="0">
      <selection activeCell="K45" sqref="K45"/>
    </sheetView>
  </sheetViews>
  <sheetFormatPr defaultRowHeight="12.75"/>
  <cols>
    <col min="1" max="1" width="9.140625" style="284"/>
    <col min="2" max="2" width="4.7109375" style="9" customWidth="1"/>
    <col min="3" max="3" width="5.140625" style="9" customWidth="1"/>
    <col min="4" max="4" width="5" style="9" customWidth="1"/>
    <col min="5" max="5" width="8.7109375" style="17" customWidth="1"/>
    <col min="6" max="6" width="8.7109375" style="289" customWidth="1"/>
    <col min="7" max="7" width="50.7109375" style="9" customWidth="1"/>
    <col min="8" max="9" width="14.7109375" style="284" customWidth="1"/>
    <col min="10" max="10" width="15.7109375" style="9" customWidth="1"/>
    <col min="11" max="12" width="14.7109375" style="284" customWidth="1"/>
    <col min="13" max="13" width="15.7109375" style="284" customWidth="1"/>
    <col min="14" max="14" width="7.7109375" style="350" customWidth="1"/>
    <col min="15" max="15" width="9.140625" style="9"/>
    <col min="16" max="16" width="9.5703125" style="9" bestFit="1" customWidth="1"/>
    <col min="17" max="16384" width="9.140625" style="9"/>
  </cols>
  <sheetData>
    <row r="1" spans="1:16" ht="13.5" thickBot="1"/>
    <row r="2" spans="1:16" s="98" customFormat="1" ht="20.100000000000001" customHeight="1" thickTop="1" thickBot="1">
      <c r="A2" s="376"/>
      <c r="B2" s="590" t="s">
        <v>128</v>
      </c>
      <c r="C2" s="591"/>
      <c r="D2" s="591"/>
      <c r="E2" s="591"/>
      <c r="F2" s="591"/>
      <c r="G2" s="591"/>
      <c r="H2" s="591"/>
      <c r="I2" s="591"/>
      <c r="J2" s="591"/>
      <c r="K2" s="530"/>
      <c r="L2" s="530"/>
      <c r="M2" s="530"/>
      <c r="N2" s="379"/>
    </row>
    <row r="3" spans="1:16" s="1" customFormat="1" ht="8.1" customHeight="1" thickTop="1" thickBot="1">
      <c r="A3" s="281"/>
      <c r="E3" s="2"/>
      <c r="F3" s="282"/>
      <c r="G3" s="531"/>
      <c r="H3" s="92"/>
      <c r="I3" s="92"/>
      <c r="J3" s="92"/>
      <c r="K3" s="92"/>
      <c r="L3" s="92"/>
      <c r="M3" s="92"/>
      <c r="N3" s="344"/>
    </row>
    <row r="4" spans="1:16" s="1" customFormat="1" ht="39" customHeight="1">
      <c r="A4" s="281"/>
      <c r="B4" s="596" t="s">
        <v>78</v>
      </c>
      <c r="C4" s="606" t="s">
        <v>79</v>
      </c>
      <c r="D4" s="607" t="s">
        <v>110</v>
      </c>
      <c r="E4" s="608" t="s">
        <v>594</v>
      </c>
      <c r="F4" s="601" t="s">
        <v>653</v>
      </c>
      <c r="G4" s="602" t="s">
        <v>80</v>
      </c>
      <c r="H4" s="593" t="s">
        <v>647</v>
      </c>
      <c r="I4" s="594"/>
      <c r="J4" s="595"/>
      <c r="K4" s="593" t="s">
        <v>801</v>
      </c>
      <c r="L4" s="594"/>
      <c r="M4" s="595"/>
      <c r="N4" s="604" t="s">
        <v>805</v>
      </c>
    </row>
    <row r="5" spans="1:16" s="281" customFormat="1" ht="27" customHeight="1">
      <c r="B5" s="597"/>
      <c r="C5" s="599"/>
      <c r="D5" s="599"/>
      <c r="E5" s="603"/>
      <c r="F5" s="599"/>
      <c r="G5" s="603"/>
      <c r="H5" s="372" t="s">
        <v>705</v>
      </c>
      <c r="I5" s="372" t="s">
        <v>706</v>
      </c>
      <c r="J5" s="382" t="s">
        <v>413</v>
      </c>
      <c r="K5" s="372" t="s">
        <v>705</v>
      </c>
      <c r="L5" s="372" t="s">
        <v>706</v>
      </c>
      <c r="M5" s="382" t="s">
        <v>413</v>
      </c>
      <c r="N5" s="605"/>
    </row>
    <row r="6" spans="1:16" s="2" customFormat="1" ht="12.95" customHeight="1">
      <c r="A6" s="282"/>
      <c r="B6" s="504">
        <v>1</v>
      </c>
      <c r="C6" s="331">
        <v>2</v>
      </c>
      <c r="D6" s="331">
        <v>3</v>
      </c>
      <c r="E6" s="331">
        <v>4</v>
      </c>
      <c r="F6" s="331">
        <v>5</v>
      </c>
      <c r="G6" s="331">
        <v>6</v>
      </c>
      <c r="H6" s="331">
        <v>7</v>
      </c>
      <c r="I6" s="331">
        <v>8</v>
      </c>
      <c r="J6" s="523" t="s">
        <v>804</v>
      </c>
      <c r="K6" s="331">
        <v>10</v>
      </c>
      <c r="L6" s="331">
        <v>11</v>
      </c>
      <c r="M6" s="523" t="s">
        <v>707</v>
      </c>
      <c r="N6" s="505">
        <v>13</v>
      </c>
    </row>
    <row r="7" spans="1:16" s="2" customFormat="1" ht="12.95" customHeight="1">
      <c r="A7" s="282"/>
      <c r="B7" s="6" t="s">
        <v>129</v>
      </c>
      <c r="C7" s="7" t="s">
        <v>81</v>
      </c>
      <c r="D7" s="7" t="s">
        <v>82</v>
      </c>
      <c r="E7" s="5"/>
      <c r="F7" s="283"/>
      <c r="G7" s="5"/>
      <c r="H7" s="283"/>
      <c r="I7" s="283"/>
      <c r="J7" s="383"/>
      <c r="K7" s="283"/>
      <c r="L7" s="283"/>
      <c r="M7" s="383"/>
      <c r="N7" s="345"/>
    </row>
    <row r="8" spans="1:16" s="1" customFormat="1" ht="12.95" customHeight="1">
      <c r="A8" s="281"/>
      <c r="B8" s="12"/>
      <c r="C8" s="8"/>
      <c r="D8" s="8"/>
      <c r="E8" s="305">
        <v>611000</v>
      </c>
      <c r="F8" s="331"/>
      <c r="G8" s="8" t="s">
        <v>163</v>
      </c>
      <c r="H8" s="210">
        <f t="shared" ref="H8:M8" si="0">SUM(H9:H12)</f>
        <v>4844890</v>
      </c>
      <c r="I8" s="210">
        <f t="shared" si="0"/>
        <v>0</v>
      </c>
      <c r="J8" s="384">
        <f t="shared" si="0"/>
        <v>4844890</v>
      </c>
      <c r="K8" s="210">
        <f t="shared" si="0"/>
        <v>1162686</v>
      </c>
      <c r="L8" s="210">
        <f t="shared" si="0"/>
        <v>0</v>
      </c>
      <c r="M8" s="384">
        <f t="shared" si="0"/>
        <v>1162686</v>
      </c>
      <c r="N8" s="346">
        <f>IF(J8=0,"",M8/J8*100)</f>
        <v>23.998191909413833</v>
      </c>
      <c r="P8" s="58"/>
    </row>
    <row r="9" spans="1:16" ht="12.95" customHeight="1">
      <c r="B9" s="10"/>
      <c r="C9" s="11"/>
      <c r="D9" s="11"/>
      <c r="E9" s="306">
        <v>611100</v>
      </c>
      <c r="F9" s="332"/>
      <c r="G9" s="18" t="s">
        <v>198</v>
      </c>
      <c r="H9" s="209">
        <f>3854000+8400+7*12*1200+4380+14*500+10*2*1200+2*6*1650</f>
        <v>4018380</v>
      </c>
      <c r="I9" s="209">
        <v>0</v>
      </c>
      <c r="J9" s="385">
        <f>SUM(H9:I9)</f>
        <v>4018380</v>
      </c>
      <c r="K9" s="209">
        <v>987341</v>
      </c>
      <c r="L9" s="209">
        <v>0</v>
      </c>
      <c r="M9" s="385">
        <f>SUM(K9:L9)</f>
        <v>987341</v>
      </c>
      <c r="N9" s="347">
        <f t="shared" ref="N9:N66" si="1">IF(J9=0,"",M9/J9*100)</f>
        <v>24.570622987373021</v>
      </c>
      <c r="O9" s="70"/>
    </row>
    <row r="10" spans="1:16" ht="12.95" customHeight="1">
      <c r="B10" s="10"/>
      <c r="C10" s="11"/>
      <c r="D10" s="11"/>
      <c r="E10" s="306">
        <v>611200</v>
      </c>
      <c r="F10" s="332"/>
      <c r="G10" s="11" t="s">
        <v>199</v>
      </c>
      <c r="H10" s="209">
        <f>762500+3400+7*4100+11750+14*900+12*2*21*15</f>
        <v>826510</v>
      </c>
      <c r="I10" s="209">
        <v>0</v>
      </c>
      <c r="J10" s="385">
        <f t="shared" ref="J10:J11" si="2">SUM(H10:I10)</f>
        <v>826510</v>
      </c>
      <c r="K10" s="209">
        <v>175345</v>
      </c>
      <c r="L10" s="209">
        <v>0</v>
      </c>
      <c r="M10" s="385">
        <f t="shared" ref="M10:M11" si="3">SUM(K10:L10)</f>
        <v>175345</v>
      </c>
      <c r="N10" s="347">
        <f t="shared" si="1"/>
        <v>21.21510931507181</v>
      </c>
      <c r="O10" s="71"/>
    </row>
    <row r="11" spans="1:16" ht="12.95" customHeight="1">
      <c r="B11" s="10"/>
      <c r="C11" s="11"/>
      <c r="D11" s="11"/>
      <c r="E11" s="306">
        <v>611200</v>
      </c>
      <c r="F11" s="332"/>
      <c r="G11" s="189" t="s">
        <v>534</v>
      </c>
      <c r="H11" s="209">
        <v>0</v>
      </c>
      <c r="I11" s="209">
        <v>0</v>
      </c>
      <c r="J11" s="385">
        <f t="shared" si="2"/>
        <v>0</v>
      </c>
      <c r="K11" s="209">
        <v>0</v>
      </c>
      <c r="L11" s="209">
        <v>0</v>
      </c>
      <c r="M11" s="385">
        <f t="shared" si="3"/>
        <v>0</v>
      </c>
      <c r="N11" s="347" t="str">
        <f t="shared" si="1"/>
        <v/>
      </c>
      <c r="P11" s="56"/>
    </row>
    <row r="12" spans="1:16" ht="12.95" customHeight="1">
      <c r="B12" s="10"/>
      <c r="C12" s="11"/>
      <c r="D12" s="11"/>
      <c r="E12" s="306"/>
      <c r="F12" s="332"/>
      <c r="G12" s="18"/>
      <c r="H12" s="209"/>
      <c r="I12" s="209"/>
      <c r="J12" s="385"/>
      <c r="K12" s="209"/>
      <c r="L12" s="209"/>
      <c r="M12" s="385"/>
      <c r="N12" s="347" t="str">
        <f t="shared" si="1"/>
        <v/>
      </c>
      <c r="O12" s="71"/>
    </row>
    <row r="13" spans="1:16" s="1" customFormat="1" ht="12.95" customHeight="1">
      <c r="A13" s="281"/>
      <c r="B13" s="12"/>
      <c r="C13" s="8"/>
      <c r="D13" s="8"/>
      <c r="E13" s="305">
        <v>612000</v>
      </c>
      <c r="F13" s="331"/>
      <c r="G13" s="8" t="s">
        <v>162</v>
      </c>
      <c r="H13" s="210">
        <f t="shared" ref="H13:M13" si="4">H14</f>
        <v>626380</v>
      </c>
      <c r="I13" s="210">
        <f t="shared" si="4"/>
        <v>0</v>
      </c>
      <c r="J13" s="384">
        <f t="shared" si="4"/>
        <v>626380</v>
      </c>
      <c r="K13" s="210">
        <f t="shared" si="4"/>
        <v>152366</v>
      </c>
      <c r="L13" s="210">
        <f t="shared" si="4"/>
        <v>0</v>
      </c>
      <c r="M13" s="384">
        <f t="shared" si="4"/>
        <v>152366</v>
      </c>
      <c r="N13" s="346">
        <f t="shared" si="1"/>
        <v>24.324850729589066</v>
      </c>
      <c r="O13" s="72"/>
    </row>
    <row r="14" spans="1:16" ht="12.95" customHeight="1">
      <c r="B14" s="10"/>
      <c r="C14" s="11"/>
      <c r="D14" s="11"/>
      <c r="E14" s="306">
        <v>612100</v>
      </c>
      <c r="F14" s="332"/>
      <c r="G14" s="13" t="s">
        <v>83</v>
      </c>
      <c r="H14" s="209">
        <f>601000+1000+7*200*12+14*70+10*2*180+2*6*250</f>
        <v>626380</v>
      </c>
      <c r="I14" s="209">
        <v>0</v>
      </c>
      <c r="J14" s="385">
        <f>SUM(H14:I14)</f>
        <v>626380</v>
      </c>
      <c r="K14" s="209">
        <v>152366</v>
      </c>
      <c r="L14" s="209">
        <v>0</v>
      </c>
      <c r="M14" s="385">
        <f>SUM(K14:L14)</f>
        <v>152366</v>
      </c>
      <c r="N14" s="347">
        <f t="shared" si="1"/>
        <v>24.324850729589066</v>
      </c>
      <c r="O14" s="70"/>
    </row>
    <row r="15" spans="1:16" ht="12.95" customHeight="1">
      <c r="B15" s="10"/>
      <c r="C15" s="11"/>
      <c r="D15" s="11"/>
      <c r="E15" s="306"/>
      <c r="F15" s="332"/>
      <c r="G15" s="18"/>
      <c r="H15" s="280"/>
      <c r="I15" s="280"/>
      <c r="J15" s="386"/>
      <c r="K15" s="280"/>
      <c r="L15" s="280"/>
      <c r="M15" s="386"/>
      <c r="N15" s="347" t="str">
        <f t="shared" si="1"/>
        <v/>
      </c>
      <c r="O15" s="71"/>
    </row>
    <row r="16" spans="1:16" s="1" customFormat="1" ht="12.95" customHeight="1">
      <c r="A16" s="281"/>
      <c r="B16" s="12"/>
      <c r="C16" s="8"/>
      <c r="D16" s="8"/>
      <c r="E16" s="305">
        <v>613000</v>
      </c>
      <c r="F16" s="331"/>
      <c r="G16" s="8" t="s">
        <v>164</v>
      </c>
      <c r="H16" s="295">
        <f t="shared" ref="H16:M16" si="5">SUM(H17:H26)</f>
        <v>797400</v>
      </c>
      <c r="I16" s="295">
        <f t="shared" si="5"/>
        <v>0</v>
      </c>
      <c r="J16" s="387">
        <f t="shared" si="5"/>
        <v>797400</v>
      </c>
      <c r="K16" s="295">
        <f t="shared" si="5"/>
        <v>161242</v>
      </c>
      <c r="L16" s="295">
        <f t="shared" si="5"/>
        <v>0</v>
      </c>
      <c r="M16" s="387">
        <f t="shared" si="5"/>
        <v>161242</v>
      </c>
      <c r="N16" s="346">
        <f t="shared" si="1"/>
        <v>20.220968146476046</v>
      </c>
    </row>
    <row r="17" spans="1:15" ht="12.95" customHeight="1">
      <c r="B17" s="10"/>
      <c r="C17" s="11"/>
      <c r="D17" s="11"/>
      <c r="E17" s="306">
        <v>613100</v>
      </c>
      <c r="F17" s="332"/>
      <c r="G17" s="11" t="s">
        <v>84</v>
      </c>
      <c r="H17" s="364">
        <v>12900</v>
      </c>
      <c r="I17" s="364">
        <v>0</v>
      </c>
      <c r="J17" s="385">
        <f t="shared" ref="J17:J26" si="6">SUM(H17:I17)</f>
        <v>12900</v>
      </c>
      <c r="K17" s="364">
        <v>3619</v>
      </c>
      <c r="L17" s="364">
        <v>0</v>
      </c>
      <c r="M17" s="385">
        <f t="shared" ref="M17:M26" si="7">SUM(K17:L17)</f>
        <v>3619</v>
      </c>
      <c r="N17" s="347">
        <f t="shared" si="1"/>
        <v>28.054263565891475</v>
      </c>
    </row>
    <row r="18" spans="1:15" ht="12.95" customHeight="1">
      <c r="B18" s="10"/>
      <c r="C18" s="11"/>
      <c r="D18" s="11"/>
      <c r="E18" s="306">
        <v>613200</v>
      </c>
      <c r="F18" s="332"/>
      <c r="G18" s="11" t="s">
        <v>85</v>
      </c>
      <c r="H18" s="364">
        <v>83000</v>
      </c>
      <c r="I18" s="364">
        <v>0</v>
      </c>
      <c r="J18" s="385">
        <f t="shared" si="6"/>
        <v>83000</v>
      </c>
      <c r="K18" s="364">
        <v>29763</v>
      </c>
      <c r="L18" s="364">
        <v>0</v>
      </c>
      <c r="M18" s="385">
        <f t="shared" si="7"/>
        <v>29763</v>
      </c>
      <c r="N18" s="347">
        <f t="shared" si="1"/>
        <v>35.859036144578319</v>
      </c>
    </row>
    <row r="19" spans="1:15" ht="12.95" customHeight="1">
      <c r="B19" s="10"/>
      <c r="C19" s="11"/>
      <c r="D19" s="11"/>
      <c r="E19" s="306">
        <v>613300</v>
      </c>
      <c r="F19" s="332"/>
      <c r="G19" s="18" t="s">
        <v>200</v>
      </c>
      <c r="H19" s="364">
        <v>92000</v>
      </c>
      <c r="I19" s="364">
        <v>0</v>
      </c>
      <c r="J19" s="385">
        <f t="shared" si="6"/>
        <v>92000</v>
      </c>
      <c r="K19" s="364">
        <v>26487</v>
      </c>
      <c r="L19" s="364">
        <v>0</v>
      </c>
      <c r="M19" s="385">
        <f t="shared" si="7"/>
        <v>26487</v>
      </c>
      <c r="N19" s="347">
        <f t="shared" si="1"/>
        <v>28.790217391304346</v>
      </c>
    </row>
    <row r="20" spans="1:15" ht="12.95" customHeight="1">
      <c r="B20" s="10"/>
      <c r="C20" s="11"/>
      <c r="D20" s="11"/>
      <c r="E20" s="306">
        <v>613400</v>
      </c>
      <c r="F20" s="332"/>
      <c r="G20" s="11" t="s">
        <v>165</v>
      </c>
      <c r="H20" s="364">
        <v>200000</v>
      </c>
      <c r="I20" s="364">
        <v>0</v>
      </c>
      <c r="J20" s="385">
        <f t="shared" si="6"/>
        <v>200000</v>
      </c>
      <c r="K20" s="364">
        <v>13088</v>
      </c>
      <c r="L20" s="364">
        <v>0</v>
      </c>
      <c r="M20" s="385">
        <f t="shared" si="7"/>
        <v>13088</v>
      </c>
      <c r="N20" s="347">
        <f t="shared" si="1"/>
        <v>6.5439999999999996</v>
      </c>
    </row>
    <row r="21" spans="1:15" ht="12.95" customHeight="1">
      <c r="B21" s="10"/>
      <c r="C21" s="11"/>
      <c r="D21" s="11"/>
      <c r="E21" s="306">
        <v>613500</v>
      </c>
      <c r="F21" s="332"/>
      <c r="G21" s="11" t="s">
        <v>86</v>
      </c>
      <c r="H21" s="364">
        <v>100000</v>
      </c>
      <c r="I21" s="364">
        <v>0</v>
      </c>
      <c r="J21" s="385">
        <f t="shared" si="6"/>
        <v>100000</v>
      </c>
      <c r="K21" s="364">
        <v>25063</v>
      </c>
      <c r="L21" s="364">
        <v>0</v>
      </c>
      <c r="M21" s="385">
        <f t="shared" si="7"/>
        <v>25063</v>
      </c>
      <c r="N21" s="347">
        <f t="shared" si="1"/>
        <v>25.063000000000002</v>
      </c>
    </row>
    <row r="22" spans="1:15" ht="12.95" customHeight="1">
      <c r="B22" s="10"/>
      <c r="C22" s="11"/>
      <c r="D22" s="11"/>
      <c r="E22" s="306">
        <v>613600</v>
      </c>
      <c r="F22" s="332"/>
      <c r="G22" s="18" t="s">
        <v>201</v>
      </c>
      <c r="H22" s="364">
        <v>33000</v>
      </c>
      <c r="I22" s="364">
        <v>0</v>
      </c>
      <c r="J22" s="385">
        <f t="shared" si="6"/>
        <v>33000</v>
      </c>
      <c r="K22" s="364">
        <v>6000</v>
      </c>
      <c r="L22" s="364">
        <v>0</v>
      </c>
      <c r="M22" s="385">
        <f t="shared" si="7"/>
        <v>6000</v>
      </c>
      <c r="N22" s="347">
        <f t="shared" si="1"/>
        <v>18.181818181818183</v>
      </c>
    </row>
    <row r="23" spans="1:15" ht="12.95" customHeight="1">
      <c r="B23" s="10"/>
      <c r="C23" s="11"/>
      <c r="D23" s="11"/>
      <c r="E23" s="306">
        <v>613700</v>
      </c>
      <c r="F23" s="332"/>
      <c r="G23" s="11" t="s">
        <v>87</v>
      </c>
      <c r="H23" s="364">
        <v>80000</v>
      </c>
      <c r="I23" s="364">
        <v>0</v>
      </c>
      <c r="J23" s="385">
        <f t="shared" si="6"/>
        <v>80000</v>
      </c>
      <c r="K23" s="364">
        <v>22680</v>
      </c>
      <c r="L23" s="364">
        <v>0</v>
      </c>
      <c r="M23" s="385">
        <f t="shared" si="7"/>
        <v>22680</v>
      </c>
      <c r="N23" s="347">
        <f t="shared" si="1"/>
        <v>28.349999999999998</v>
      </c>
    </row>
    <row r="24" spans="1:15" ht="12.95" customHeight="1">
      <c r="B24" s="10"/>
      <c r="C24" s="11"/>
      <c r="D24" s="11"/>
      <c r="E24" s="306">
        <v>613800</v>
      </c>
      <c r="F24" s="332"/>
      <c r="G24" s="11" t="s">
        <v>166</v>
      </c>
      <c r="H24" s="364">
        <v>16500</v>
      </c>
      <c r="I24" s="364">
        <v>0</v>
      </c>
      <c r="J24" s="385">
        <f t="shared" si="6"/>
        <v>16500</v>
      </c>
      <c r="K24" s="364">
        <v>4873</v>
      </c>
      <c r="L24" s="364">
        <v>0</v>
      </c>
      <c r="M24" s="385">
        <f t="shared" si="7"/>
        <v>4873</v>
      </c>
      <c r="N24" s="347">
        <f t="shared" si="1"/>
        <v>29.533333333333335</v>
      </c>
    </row>
    <row r="25" spans="1:15" ht="12.95" customHeight="1">
      <c r="B25" s="10"/>
      <c r="C25" s="11"/>
      <c r="D25" s="11"/>
      <c r="E25" s="306">
        <v>613900</v>
      </c>
      <c r="F25" s="332"/>
      <c r="G25" s="11" t="s">
        <v>167</v>
      </c>
      <c r="H25" s="364">
        <v>180000</v>
      </c>
      <c r="I25" s="364">
        <v>0</v>
      </c>
      <c r="J25" s="385">
        <f t="shared" si="6"/>
        <v>180000</v>
      </c>
      <c r="K25" s="364">
        <v>29669</v>
      </c>
      <c r="L25" s="364">
        <v>0</v>
      </c>
      <c r="M25" s="385">
        <f t="shared" si="7"/>
        <v>29669</v>
      </c>
      <c r="N25" s="347">
        <f t="shared" si="1"/>
        <v>16.482777777777777</v>
      </c>
    </row>
    <row r="26" spans="1:15" ht="12.95" customHeight="1">
      <c r="B26" s="10"/>
      <c r="C26" s="11"/>
      <c r="D26" s="11"/>
      <c r="E26" s="306">
        <v>613900</v>
      </c>
      <c r="F26" s="332"/>
      <c r="G26" s="189" t="s">
        <v>535</v>
      </c>
      <c r="H26" s="365">
        <v>0</v>
      </c>
      <c r="I26" s="365">
        <v>0</v>
      </c>
      <c r="J26" s="385">
        <f t="shared" si="6"/>
        <v>0</v>
      </c>
      <c r="K26" s="365">
        <v>0</v>
      </c>
      <c r="L26" s="365">
        <v>0</v>
      </c>
      <c r="M26" s="385">
        <f t="shared" si="7"/>
        <v>0</v>
      </c>
      <c r="N26" s="347" t="str">
        <f t="shared" si="1"/>
        <v/>
      </c>
      <c r="O26" s="57"/>
    </row>
    <row r="27" spans="1:15" s="1" customFormat="1" ht="12.95" customHeight="1">
      <c r="A27" s="281"/>
      <c r="B27" s="12"/>
      <c r="C27" s="8"/>
      <c r="D27" s="8"/>
      <c r="E27" s="316"/>
      <c r="F27" s="343"/>
      <c r="G27" s="8"/>
      <c r="H27" s="280"/>
      <c r="I27" s="280"/>
      <c r="J27" s="386"/>
      <c r="K27" s="280"/>
      <c r="L27" s="280"/>
      <c r="M27" s="386"/>
      <c r="N27" s="347" t="str">
        <f t="shared" si="1"/>
        <v/>
      </c>
    </row>
    <row r="28" spans="1:15" s="1" customFormat="1" ht="12.95" customHeight="1">
      <c r="A28" s="281"/>
      <c r="B28" s="12"/>
      <c r="C28" s="8"/>
      <c r="D28" s="8"/>
      <c r="E28" s="305">
        <v>821000</v>
      </c>
      <c r="F28" s="331"/>
      <c r="G28" s="8" t="s">
        <v>90</v>
      </c>
      <c r="H28" s="295">
        <f t="shared" ref="H28:M28" si="8">SUM(H29:H30)</f>
        <v>40000</v>
      </c>
      <c r="I28" s="295">
        <f t="shared" si="8"/>
        <v>0</v>
      </c>
      <c r="J28" s="387">
        <f t="shared" si="8"/>
        <v>40000</v>
      </c>
      <c r="K28" s="295">
        <f t="shared" si="8"/>
        <v>283</v>
      </c>
      <c r="L28" s="295">
        <f t="shared" si="8"/>
        <v>0</v>
      </c>
      <c r="M28" s="387">
        <f t="shared" si="8"/>
        <v>283</v>
      </c>
      <c r="N28" s="346">
        <f t="shared" si="1"/>
        <v>0.70750000000000002</v>
      </c>
    </row>
    <row r="29" spans="1:15" ht="12.95" customHeight="1">
      <c r="B29" s="10"/>
      <c r="C29" s="11"/>
      <c r="D29" s="11"/>
      <c r="E29" s="306">
        <v>821200</v>
      </c>
      <c r="F29" s="332"/>
      <c r="G29" s="11" t="s">
        <v>91</v>
      </c>
      <c r="H29" s="280">
        <v>0</v>
      </c>
      <c r="I29" s="280">
        <v>0</v>
      </c>
      <c r="J29" s="385">
        <f t="shared" ref="J29:J30" si="9">SUM(H29:I29)</f>
        <v>0</v>
      </c>
      <c r="K29" s="280">
        <v>0</v>
      </c>
      <c r="L29" s="280">
        <v>0</v>
      </c>
      <c r="M29" s="385">
        <f t="shared" ref="M29:M30" si="10">SUM(K29:L29)</f>
        <v>0</v>
      </c>
      <c r="N29" s="347" t="str">
        <f t="shared" si="1"/>
        <v/>
      </c>
    </row>
    <row r="30" spans="1:15" ht="12.95" customHeight="1">
      <c r="B30" s="10"/>
      <c r="C30" s="11"/>
      <c r="D30" s="11"/>
      <c r="E30" s="306">
        <v>821300</v>
      </c>
      <c r="F30" s="332"/>
      <c r="G30" s="11" t="s">
        <v>92</v>
      </c>
      <c r="H30" s="280">
        <v>40000</v>
      </c>
      <c r="I30" s="280">
        <v>0</v>
      </c>
      <c r="J30" s="385">
        <f t="shared" si="9"/>
        <v>40000</v>
      </c>
      <c r="K30" s="280">
        <v>283</v>
      </c>
      <c r="L30" s="280">
        <v>0</v>
      </c>
      <c r="M30" s="385">
        <f t="shared" si="10"/>
        <v>283</v>
      </c>
      <c r="N30" s="347">
        <f t="shared" si="1"/>
        <v>0.70750000000000002</v>
      </c>
    </row>
    <row r="31" spans="1:15" ht="12.95" customHeight="1">
      <c r="B31" s="10"/>
      <c r="C31" s="11"/>
      <c r="D31" s="11"/>
      <c r="E31" s="306"/>
      <c r="F31" s="332"/>
      <c r="G31" s="11"/>
      <c r="H31" s="288"/>
      <c r="I31" s="288"/>
      <c r="J31" s="387"/>
      <c r="K31" s="288"/>
      <c r="L31" s="288"/>
      <c r="M31" s="387"/>
      <c r="N31" s="347" t="str">
        <f t="shared" si="1"/>
        <v/>
      </c>
    </row>
    <row r="32" spans="1:15" s="1" customFormat="1" ht="12.95" customHeight="1">
      <c r="A32" s="281"/>
      <c r="B32" s="12"/>
      <c r="C32" s="8"/>
      <c r="D32" s="8"/>
      <c r="E32" s="305"/>
      <c r="F32" s="331"/>
      <c r="G32" s="8" t="s">
        <v>93</v>
      </c>
      <c r="H32" s="295">
        <v>218</v>
      </c>
      <c r="I32" s="295"/>
      <c r="J32" s="387">
        <v>218</v>
      </c>
      <c r="K32" s="295">
        <v>205</v>
      </c>
      <c r="L32" s="295"/>
      <c r="M32" s="387">
        <v>205</v>
      </c>
      <c r="N32" s="347"/>
    </row>
    <row r="33" spans="1:14" s="1" customFormat="1" ht="12.95" customHeight="1">
      <c r="A33" s="281"/>
      <c r="B33" s="12"/>
      <c r="C33" s="8"/>
      <c r="D33" s="8"/>
      <c r="E33" s="305"/>
      <c r="F33" s="331"/>
      <c r="G33" s="8" t="s">
        <v>113</v>
      </c>
      <c r="H33" s="288">
        <f t="shared" ref="H33:M33" si="11">H8+H13+H16+H28</f>
        <v>6308670</v>
      </c>
      <c r="I33" s="288">
        <f t="shared" si="11"/>
        <v>0</v>
      </c>
      <c r="J33" s="387">
        <f t="shared" si="11"/>
        <v>6308670</v>
      </c>
      <c r="K33" s="288">
        <f t="shared" si="11"/>
        <v>1476577</v>
      </c>
      <c r="L33" s="288">
        <f t="shared" si="11"/>
        <v>0</v>
      </c>
      <c r="M33" s="387">
        <f t="shared" si="11"/>
        <v>1476577</v>
      </c>
      <c r="N33" s="346">
        <f t="shared" si="1"/>
        <v>23.40551970542127</v>
      </c>
    </row>
    <row r="34" spans="1:14" s="1" customFormat="1" ht="12.95" customHeight="1">
      <c r="A34" s="281"/>
      <c r="B34" s="12"/>
      <c r="C34" s="8"/>
      <c r="D34" s="8"/>
      <c r="E34" s="305"/>
      <c r="F34" s="331"/>
      <c r="G34" s="8" t="s">
        <v>94</v>
      </c>
      <c r="H34" s="288">
        <f t="shared" ref="H34:J35" si="12">H33</f>
        <v>6308670</v>
      </c>
      <c r="I34" s="288">
        <f t="shared" si="12"/>
        <v>0</v>
      </c>
      <c r="J34" s="387">
        <f t="shared" si="12"/>
        <v>6308670</v>
      </c>
      <c r="K34" s="288">
        <f t="shared" ref="K34:M34" si="13">K33</f>
        <v>1476577</v>
      </c>
      <c r="L34" s="288">
        <f t="shared" si="13"/>
        <v>0</v>
      </c>
      <c r="M34" s="387">
        <f t="shared" si="13"/>
        <v>1476577</v>
      </c>
      <c r="N34" s="346">
        <f t="shared" si="1"/>
        <v>23.40551970542127</v>
      </c>
    </row>
    <row r="35" spans="1:14" s="1" customFormat="1" ht="12.95" customHeight="1">
      <c r="A35" s="281"/>
      <c r="B35" s="12"/>
      <c r="C35" s="8"/>
      <c r="D35" s="8"/>
      <c r="E35" s="305"/>
      <c r="F35" s="331"/>
      <c r="G35" s="8" t="s">
        <v>95</v>
      </c>
      <c r="H35" s="288">
        <f t="shared" si="12"/>
        <v>6308670</v>
      </c>
      <c r="I35" s="288">
        <f t="shared" si="12"/>
        <v>0</v>
      </c>
      <c r="J35" s="387">
        <f t="shared" si="12"/>
        <v>6308670</v>
      </c>
      <c r="K35" s="288">
        <f t="shared" ref="K35:M35" si="14">K34</f>
        <v>1476577</v>
      </c>
      <c r="L35" s="288">
        <f t="shared" si="14"/>
        <v>0</v>
      </c>
      <c r="M35" s="387">
        <f t="shared" si="14"/>
        <v>1476577</v>
      </c>
      <c r="N35" s="346">
        <f t="shared" si="1"/>
        <v>23.40551970542127</v>
      </c>
    </row>
    <row r="36" spans="1:14" ht="12.95" customHeight="1" thickBot="1">
      <c r="B36" s="15"/>
      <c r="C36" s="16"/>
      <c r="D36" s="16"/>
      <c r="E36" s="307"/>
      <c r="F36" s="333"/>
      <c r="G36" s="16"/>
      <c r="H36" s="16"/>
      <c r="I36" s="16"/>
      <c r="J36" s="394"/>
      <c r="K36" s="16"/>
      <c r="L36" s="16"/>
      <c r="M36" s="394"/>
      <c r="N36" s="349" t="str">
        <f t="shared" si="1"/>
        <v/>
      </c>
    </row>
    <row r="37" spans="1:14" ht="12.95" customHeight="1">
      <c r="E37" s="308"/>
      <c r="F37" s="334"/>
      <c r="J37" s="391"/>
      <c r="M37" s="391"/>
      <c r="N37" s="350" t="str">
        <f t="shared" si="1"/>
        <v/>
      </c>
    </row>
    <row r="38" spans="1:14" ht="12.95" customHeight="1">
      <c r="B38" s="50"/>
      <c r="E38" s="308"/>
      <c r="F38" s="334"/>
      <c r="J38" s="391"/>
      <c r="M38" s="391"/>
      <c r="N38" s="350" t="str">
        <f t="shared" si="1"/>
        <v/>
      </c>
    </row>
    <row r="39" spans="1:14" ht="12.95" customHeight="1">
      <c r="B39" s="50"/>
      <c r="E39" s="308"/>
      <c r="F39" s="334"/>
      <c r="J39" s="391"/>
      <c r="M39" s="391"/>
      <c r="N39" s="350" t="str">
        <f t="shared" si="1"/>
        <v/>
      </c>
    </row>
    <row r="40" spans="1:14" ht="12.95" customHeight="1">
      <c r="B40" s="50"/>
      <c r="E40" s="308"/>
      <c r="F40" s="334"/>
      <c r="J40" s="391"/>
      <c r="M40" s="391"/>
      <c r="N40" s="350" t="str">
        <f t="shared" si="1"/>
        <v/>
      </c>
    </row>
    <row r="41" spans="1:14" ht="12.95" customHeight="1">
      <c r="B41" s="50"/>
      <c r="E41" s="308"/>
      <c r="F41" s="334"/>
      <c r="J41" s="391"/>
      <c r="M41" s="391"/>
      <c r="N41" s="350" t="str">
        <f t="shared" si="1"/>
        <v/>
      </c>
    </row>
    <row r="42" spans="1:14" ht="12.95" customHeight="1">
      <c r="B42" s="50"/>
      <c r="E42" s="308"/>
      <c r="F42" s="334"/>
      <c r="J42" s="391"/>
      <c r="M42" s="391"/>
      <c r="N42" s="350" t="str">
        <f t="shared" si="1"/>
        <v/>
      </c>
    </row>
    <row r="43" spans="1:14" ht="12.95" customHeight="1">
      <c r="B43" s="50"/>
      <c r="E43" s="308"/>
      <c r="F43" s="334"/>
      <c r="J43" s="391"/>
      <c r="M43" s="391"/>
      <c r="N43" s="350" t="str">
        <f t="shared" si="1"/>
        <v/>
      </c>
    </row>
    <row r="44" spans="1:14" ht="12.95" customHeight="1">
      <c r="E44" s="308"/>
      <c r="F44" s="334"/>
      <c r="J44" s="391"/>
      <c r="M44" s="391"/>
      <c r="N44" s="350" t="str">
        <f t="shared" si="1"/>
        <v/>
      </c>
    </row>
    <row r="45" spans="1:14" ht="12.95" customHeight="1">
      <c r="E45" s="308"/>
      <c r="F45" s="334"/>
      <c r="J45" s="391"/>
      <c r="M45" s="391"/>
      <c r="N45" s="350" t="str">
        <f t="shared" si="1"/>
        <v/>
      </c>
    </row>
    <row r="46" spans="1:14" ht="12.95" customHeight="1">
      <c r="E46" s="308"/>
      <c r="F46" s="334"/>
      <c r="J46" s="391"/>
      <c r="M46" s="391"/>
      <c r="N46" s="350" t="str">
        <f t="shared" si="1"/>
        <v/>
      </c>
    </row>
    <row r="47" spans="1:14" ht="12.95" customHeight="1">
      <c r="E47" s="308"/>
      <c r="F47" s="334"/>
      <c r="J47" s="391"/>
      <c r="M47" s="391"/>
      <c r="N47" s="350" t="str">
        <f t="shared" si="1"/>
        <v/>
      </c>
    </row>
    <row r="48" spans="1:14" ht="12.95" customHeight="1">
      <c r="E48" s="308"/>
      <c r="F48" s="334"/>
      <c r="J48" s="391"/>
      <c r="M48" s="391"/>
      <c r="N48" s="350" t="str">
        <f t="shared" si="1"/>
        <v/>
      </c>
    </row>
    <row r="49" spans="5:14" ht="12.95" customHeight="1">
      <c r="E49" s="308"/>
      <c r="F49" s="334"/>
      <c r="J49" s="391"/>
      <c r="M49" s="391"/>
      <c r="N49" s="350" t="str">
        <f t="shared" si="1"/>
        <v/>
      </c>
    </row>
    <row r="50" spans="5:14" ht="12.95" customHeight="1">
      <c r="E50" s="308"/>
      <c r="F50" s="334"/>
      <c r="J50" s="391"/>
      <c r="M50" s="391"/>
      <c r="N50" s="350" t="str">
        <f t="shared" si="1"/>
        <v/>
      </c>
    </row>
    <row r="51" spans="5:14" ht="12.95" customHeight="1">
      <c r="E51" s="308"/>
      <c r="F51" s="334"/>
      <c r="J51" s="391"/>
      <c r="M51" s="391"/>
      <c r="N51" s="350" t="str">
        <f t="shared" si="1"/>
        <v/>
      </c>
    </row>
    <row r="52" spans="5:14" ht="12.95" customHeight="1">
      <c r="E52" s="308"/>
      <c r="F52" s="334"/>
      <c r="J52" s="391"/>
      <c r="M52" s="391"/>
      <c r="N52" s="350" t="str">
        <f t="shared" si="1"/>
        <v/>
      </c>
    </row>
    <row r="53" spans="5:14" ht="12.95" customHeight="1">
      <c r="E53" s="308"/>
      <c r="F53" s="334"/>
      <c r="J53" s="391"/>
      <c r="M53" s="391"/>
      <c r="N53" s="350" t="str">
        <f t="shared" si="1"/>
        <v/>
      </c>
    </row>
    <row r="54" spans="5:14" ht="12.95" customHeight="1">
      <c r="E54" s="308"/>
      <c r="F54" s="334"/>
      <c r="J54" s="391"/>
      <c r="M54" s="391"/>
      <c r="N54" s="350" t="str">
        <f t="shared" si="1"/>
        <v/>
      </c>
    </row>
    <row r="55" spans="5:14" ht="12.95" customHeight="1">
      <c r="E55" s="308"/>
      <c r="F55" s="334"/>
      <c r="J55" s="391"/>
      <c r="M55" s="391"/>
      <c r="N55" s="350" t="str">
        <f t="shared" si="1"/>
        <v/>
      </c>
    </row>
    <row r="56" spans="5:14" ht="12.95" customHeight="1">
      <c r="E56" s="308"/>
      <c r="F56" s="334"/>
      <c r="J56" s="391"/>
      <c r="M56" s="391"/>
      <c r="N56" s="350" t="str">
        <f t="shared" si="1"/>
        <v/>
      </c>
    </row>
    <row r="57" spans="5:14" ht="12.95" customHeight="1">
      <c r="E57" s="308"/>
      <c r="F57" s="334"/>
      <c r="J57" s="391"/>
      <c r="M57" s="391"/>
      <c r="N57" s="350" t="str">
        <f t="shared" si="1"/>
        <v/>
      </c>
    </row>
    <row r="58" spans="5:14" ht="12.95" customHeight="1">
      <c r="E58" s="308"/>
      <c r="F58" s="334"/>
      <c r="J58" s="391"/>
      <c r="M58" s="391"/>
      <c r="N58" s="350" t="str">
        <f t="shared" si="1"/>
        <v/>
      </c>
    </row>
    <row r="59" spans="5:14" ht="12.95" customHeight="1">
      <c r="E59" s="308"/>
      <c r="F59" s="334"/>
      <c r="J59" s="391"/>
      <c r="M59" s="391"/>
      <c r="N59" s="350" t="str">
        <f t="shared" si="1"/>
        <v/>
      </c>
    </row>
    <row r="60" spans="5:14" ht="17.100000000000001" customHeight="1">
      <c r="E60" s="308"/>
      <c r="F60" s="334"/>
      <c r="J60" s="391"/>
      <c r="M60" s="391"/>
      <c r="N60" s="350" t="str">
        <f t="shared" si="1"/>
        <v/>
      </c>
    </row>
    <row r="61" spans="5:14" ht="14.25">
      <c r="E61" s="308"/>
      <c r="F61" s="334"/>
      <c r="J61" s="391"/>
      <c r="M61" s="391"/>
      <c r="N61" s="350" t="str">
        <f t="shared" si="1"/>
        <v/>
      </c>
    </row>
    <row r="62" spans="5:14" ht="14.25">
      <c r="E62" s="308"/>
      <c r="F62" s="334"/>
      <c r="J62" s="391"/>
      <c r="M62" s="391"/>
      <c r="N62" s="350" t="str">
        <f t="shared" si="1"/>
        <v/>
      </c>
    </row>
    <row r="63" spans="5:14" ht="14.25">
      <c r="E63" s="308"/>
      <c r="F63" s="334"/>
      <c r="J63" s="391"/>
      <c r="M63" s="391"/>
      <c r="N63" s="350" t="str">
        <f t="shared" si="1"/>
        <v/>
      </c>
    </row>
    <row r="64" spans="5:14" ht="14.25">
      <c r="E64" s="308"/>
      <c r="F64" s="334"/>
      <c r="J64" s="391"/>
      <c r="M64" s="391"/>
      <c r="N64" s="350" t="str">
        <f t="shared" si="1"/>
        <v/>
      </c>
    </row>
    <row r="65" spans="5:14" ht="14.25">
      <c r="E65" s="308"/>
      <c r="F65" s="334"/>
      <c r="J65" s="391"/>
      <c r="M65" s="391"/>
      <c r="N65" s="350" t="str">
        <f t="shared" si="1"/>
        <v/>
      </c>
    </row>
    <row r="66" spans="5:14" ht="14.25">
      <c r="E66" s="308"/>
      <c r="F66" s="334"/>
      <c r="J66" s="391"/>
      <c r="M66" s="391"/>
      <c r="N66" s="350" t="str">
        <f t="shared" si="1"/>
        <v/>
      </c>
    </row>
    <row r="67" spans="5:14" ht="14.25">
      <c r="E67" s="308"/>
      <c r="F67" s="334"/>
      <c r="J67" s="391"/>
      <c r="M67" s="391"/>
    </row>
    <row r="68" spans="5:14" ht="14.25">
      <c r="E68" s="308"/>
      <c r="F68" s="334"/>
      <c r="J68" s="391"/>
      <c r="M68" s="391"/>
    </row>
    <row r="69" spans="5:14" ht="14.25">
      <c r="E69" s="308"/>
      <c r="F69" s="334"/>
      <c r="J69" s="391"/>
      <c r="M69" s="391"/>
    </row>
    <row r="70" spans="5:14" ht="14.25">
      <c r="E70" s="308"/>
      <c r="F70" s="334"/>
      <c r="J70" s="391"/>
      <c r="M70" s="391"/>
    </row>
    <row r="71" spans="5:14" ht="14.25">
      <c r="E71" s="308"/>
      <c r="F71" s="334"/>
      <c r="J71" s="391"/>
      <c r="M71" s="391"/>
    </row>
    <row r="72" spans="5:14" ht="14.25">
      <c r="E72" s="308"/>
      <c r="F72" s="334"/>
      <c r="J72" s="391"/>
      <c r="M72" s="391"/>
    </row>
    <row r="73" spans="5:14" ht="14.25">
      <c r="E73" s="308"/>
      <c r="F73" s="334"/>
      <c r="J73" s="391"/>
      <c r="M73" s="391"/>
    </row>
    <row r="74" spans="5:14" ht="14.25">
      <c r="E74" s="308"/>
      <c r="F74" s="308"/>
      <c r="J74" s="391"/>
      <c r="M74" s="391"/>
    </row>
    <row r="75" spans="5:14" ht="14.25">
      <c r="E75" s="308"/>
      <c r="F75" s="308"/>
      <c r="J75" s="391"/>
      <c r="M75" s="391"/>
    </row>
    <row r="76" spans="5:14" ht="14.25">
      <c r="E76" s="308"/>
      <c r="F76" s="308"/>
      <c r="J76" s="391"/>
      <c r="M76" s="391"/>
    </row>
    <row r="77" spans="5:14" ht="14.25">
      <c r="E77" s="308"/>
      <c r="F77" s="308"/>
      <c r="J77" s="391"/>
      <c r="M77" s="391"/>
    </row>
    <row r="78" spans="5:14" ht="14.25">
      <c r="E78" s="308"/>
      <c r="F78" s="308"/>
      <c r="J78" s="391"/>
      <c r="M78" s="391"/>
    </row>
    <row r="79" spans="5:14" ht="14.25">
      <c r="E79" s="308"/>
      <c r="F79" s="308"/>
      <c r="J79" s="391"/>
      <c r="M79" s="391"/>
    </row>
    <row r="80" spans="5:14" ht="14.25">
      <c r="E80" s="308"/>
      <c r="F80" s="308"/>
      <c r="J80" s="391"/>
      <c r="M80" s="391"/>
    </row>
    <row r="81" spans="5:13" ht="14.25">
      <c r="E81" s="308"/>
      <c r="F81" s="308"/>
      <c r="J81" s="391"/>
      <c r="M81" s="391"/>
    </row>
    <row r="82" spans="5:13" ht="14.25">
      <c r="E82" s="308"/>
      <c r="F82" s="308"/>
      <c r="J82" s="391"/>
      <c r="M82" s="391"/>
    </row>
    <row r="83" spans="5:13" ht="14.25">
      <c r="E83" s="308"/>
      <c r="F83" s="308"/>
      <c r="J83" s="391"/>
      <c r="M83" s="391"/>
    </row>
    <row r="84" spans="5:13" ht="14.25">
      <c r="E84" s="308"/>
      <c r="F84" s="308"/>
      <c r="J84" s="391"/>
      <c r="M84" s="391"/>
    </row>
    <row r="85" spans="5:13" ht="14.25">
      <c r="E85" s="308"/>
      <c r="F85" s="308"/>
      <c r="J85" s="391"/>
      <c r="M85" s="391"/>
    </row>
    <row r="86" spans="5:13" ht="14.25">
      <c r="E86" s="308"/>
      <c r="F86" s="308"/>
      <c r="J86" s="391"/>
      <c r="M86" s="391"/>
    </row>
    <row r="87" spans="5:13" ht="14.25">
      <c r="E87" s="308"/>
      <c r="F87" s="308"/>
      <c r="J87" s="391"/>
      <c r="M87" s="391"/>
    </row>
    <row r="88" spans="5:13" ht="14.25">
      <c r="E88" s="308"/>
      <c r="F88" s="308"/>
      <c r="J88" s="391"/>
      <c r="M88" s="391"/>
    </row>
    <row r="89" spans="5:13" ht="14.25">
      <c r="E89" s="308"/>
      <c r="F89" s="308"/>
      <c r="J89" s="391"/>
      <c r="M89" s="391"/>
    </row>
    <row r="90" spans="5:13" ht="14.25">
      <c r="E90" s="308"/>
      <c r="F90" s="308"/>
      <c r="J90" s="391"/>
      <c r="M90" s="391"/>
    </row>
    <row r="91" spans="5:13">
      <c r="F91" s="308"/>
    </row>
    <row r="92" spans="5:13">
      <c r="F92" s="308"/>
    </row>
    <row r="93" spans="5:13">
      <c r="F93" s="308"/>
    </row>
    <row r="94" spans="5:13">
      <c r="F94" s="308"/>
    </row>
    <row r="95" spans="5:13">
      <c r="F95" s="308"/>
    </row>
    <row r="96" spans="5:13">
      <c r="F96" s="308"/>
    </row>
  </sheetData>
  <mergeCells count="10">
    <mergeCell ref="N4:N5"/>
    <mergeCell ref="G4:G5"/>
    <mergeCell ref="B2:J2"/>
    <mergeCell ref="H4:J4"/>
    <mergeCell ref="B4:B5"/>
    <mergeCell ref="C4:C5"/>
    <mergeCell ref="D4:D5"/>
    <mergeCell ref="F4:F5"/>
    <mergeCell ref="E4:E5"/>
    <mergeCell ref="K4:M4"/>
  </mergeCells>
  <phoneticPr fontId="2" type="noConversion"/>
  <pageMargins left="0.78740157480314965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3"/>
  <dimension ref="A1:P96"/>
  <sheetViews>
    <sheetView zoomScaleNormal="100" workbookViewId="0">
      <selection activeCell="K45" sqref="K45"/>
    </sheetView>
  </sheetViews>
  <sheetFormatPr defaultRowHeight="12.75"/>
  <cols>
    <col min="1" max="1" width="9.140625" style="284"/>
    <col min="2" max="2" width="4.7109375" style="9" customWidth="1"/>
    <col min="3" max="3" width="5.140625" style="9" customWidth="1"/>
    <col min="4" max="4" width="5" style="9" customWidth="1"/>
    <col min="5" max="5" width="8.7109375" style="17" customWidth="1"/>
    <col min="6" max="6" width="8.7109375" style="289" customWidth="1"/>
    <col min="7" max="7" width="50.7109375" style="9" customWidth="1"/>
    <col min="8" max="9" width="14.7109375" style="57" customWidth="1"/>
    <col min="10" max="10" width="15.7109375" style="57" customWidth="1"/>
    <col min="11" max="12" width="14.7109375" style="57" customWidth="1"/>
    <col min="13" max="13" width="15.7109375" style="57" customWidth="1"/>
    <col min="14" max="14" width="7.7109375" style="350" customWidth="1"/>
    <col min="15" max="16384" width="9.140625" style="9"/>
  </cols>
  <sheetData>
    <row r="1" spans="1:16" ht="13.5" thickBot="1"/>
    <row r="2" spans="1:16" s="376" customFormat="1" ht="20.100000000000001" customHeight="1" thickTop="1" thickBot="1">
      <c r="B2" s="590" t="s">
        <v>130</v>
      </c>
      <c r="C2" s="591"/>
      <c r="D2" s="591"/>
      <c r="E2" s="591"/>
      <c r="F2" s="591"/>
      <c r="G2" s="591"/>
      <c r="H2" s="377"/>
      <c r="I2" s="377"/>
      <c r="J2" s="377"/>
      <c r="K2" s="377"/>
      <c r="L2" s="377"/>
      <c r="M2" s="377"/>
      <c r="N2" s="380"/>
    </row>
    <row r="3" spans="1:16" s="1" customFormat="1" ht="8.1" customHeight="1" thickTop="1" thickBot="1">
      <c r="A3" s="281"/>
      <c r="E3" s="2"/>
      <c r="F3" s="282"/>
      <c r="G3" s="531"/>
      <c r="H3" s="92"/>
      <c r="I3" s="92"/>
      <c r="J3" s="92"/>
      <c r="K3" s="92"/>
      <c r="L3" s="92"/>
      <c r="M3" s="92"/>
      <c r="N3" s="344"/>
    </row>
    <row r="4" spans="1:16" s="1" customFormat="1" ht="39" customHeight="1">
      <c r="A4" s="281"/>
      <c r="B4" s="596" t="s">
        <v>78</v>
      </c>
      <c r="C4" s="606" t="s">
        <v>79</v>
      </c>
      <c r="D4" s="607" t="s">
        <v>110</v>
      </c>
      <c r="E4" s="608" t="s">
        <v>594</v>
      </c>
      <c r="F4" s="601" t="s">
        <v>653</v>
      </c>
      <c r="G4" s="602" t="s">
        <v>80</v>
      </c>
      <c r="H4" s="593" t="s">
        <v>647</v>
      </c>
      <c r="I4" s="594"/>
      <c r="J4" s="595"/>
      <c r="K4" s="593" t="s">
        <v>801</v>
      </c>
      <c r="L4" s="594"/>
      <c r="M4" s="595"/>
      <c r="N4" s="604" t="s">
        <v>805</v>
      </c>
    </row>
    <row r="5" spans="1:16" s="281" customFormat="1" ht="27" customHeight="1">
      <c r="B5" s="597"/>
      <c r="C5" s="599"/>
      <c r="D5" s="599"/>
      <c r="E5" s="603"/>
      <c r="F5" s="599"/>
      <c r="G5" s="603"/>
      <c r="H5" s="372" t="s">
        <v>705</v>
      </c>
      <c r="I5" s="372" t="s">
        <v>706</v>
      </c>
      <c r="J5" s="382" t="s">
        <v>413</v>
      </c>
      <c r="K5" s="372" t="s">
        <v>705</v>
      </c>
      <c r="L5" s="372" t="s">
        <v>706</v>
      </c>
      <c r="M5" s="382" t="s">
        <v>413</v>
      </c>
      <c r="N5" s="605"/>
    </row>
    <row r="6" spans="1:16" s="2" customFormat="1" ht="12.95" customHeight="1">
      <c r="A6" s="282"/>
      <c r="B6" s="504">
        <v>1</v>
      </c>
      <c r="C6" s="331">
        <v>2</v>
      </c>
      <c r="D6" s="331">
        <v>3</v>
      </c>
      <c r="E6" s="331">
        <v>4</v>
      </c>
      <c r="F6" s="331">
        <v>5</v>
      </c>
      <c r="G6" s="331">
        <v>6</v>
      </c>
      <c r="H6" s="331">
        <v>7</v>
      </c>
      <c r="I6" s="331">
        <v>8</v>
      </c>
      <c r="J6" s="523" t="s">
        <v>804</v>
      </c>
      <c r="K6" s="331">
        <v>10</v>
      </c>
      <c r="L6" s="331">
        <v>11</v>
      </c>
      <c r="M6" s="523" t="s">
        <v>707</v>
      </c>
      <c r="N6" s="505">
        <v>13</v>
      </c>
    </row>
    <row r="7" spans="1:16" s="2" customFormat="1" ht="12.95" customHeight="1">
      <c r="A7" s="282"/>
      <c r="B7" s="6" t="s">
        <v>131</v>
      </c>
      <c r="C7" s="7" t="s">
        <v>81</v>
      </c>
      <c r="D7" s="7" t="s">
        <v>82</v>
      </c>
      <c r="E7" s="5"/>
      <c r="F7" s="283"/>
      <c r="G7" s="5"/>
      <c r="H7" s="86"/>
      <c r="I7" s="86"/>
      <c r="J7" s="392"/>
      <c r="K7" s="86"/>
      <c r="L7" s="86"/>
      <c r="M7" s="392"/>
      <c r="N7" s="345"/>
    </row>
    <row r="8" spans="1:16" s="1" customFormat="1" ht="12.95" customHeight="1">
      <c r="A8" s="281"/>
      <c r="B8" s="12"/>
      <c r="C8" s="8"/>
      <c r="D8" s="8"/>
      <c r="E8" s="305">
        <v>611000</v>
      </c>
      <c r="F8" s="331"/>
      <c r="G8" s="8" t="s">
        <v>163</v>
      </c>
      <c r="H8" s="210">
        <f t="shared" ref="H8:M8" si="0">SUM(H9:H12)</f>
        <v>94470</v>
      </c>
      <c r="I8" s="210">
        <f t="shared" si="0"/>
        <v>0</v>
      </c>
      <c r="J8" s="384">
        <f t="shared" si="0"/>
        <v>94470</v>
      </c>
      <c r="K8" s="210">
        <f t="shared" si="0"/>
        <v>19242</v>
      </c>
      <c r="L8" s="210">
        <f t="shared" si="0"/>
        <v>0</v>
      </c>
      <c r="M8" s="384">
        <f t="shared" si="0"/>
        <v>19242</v>
      </c>
      <c r="N8" s="346">
        <f>IF(J8=0,"",M8/J8*100)</f>
        <v>20.368370911400444</v>
      </c>
    </row>
    <row r="9" spans="1:16" ht="12.95" customHeight="1">
      <c r="B9" s="10"/>
      <c r="C9" s="11"/>
      <c r="D9" s="11"/>
      <c r="E9" s="306">
        <v>611100</v>
      </c>
      <c r="F9" s="332"/>
      <c r="G9" s="18" t="s">
        <v>198</v>
      </c>
      <c r="H9" s="212">
        <f>69170+200+1*10*1150</f>
        <v>80870</v>
      </c>
      <c r="I9" s="212">
        <v>0</v>
      </c>
      <c r="J9" s="385">
        <f>SUM(H9:I9)</f>
        <v>80870</v>
      </c>
      <c r="K9" s="212">
        <v>16942</v>
      </c>
      <c r="L9" s="212">
        <v>0</v>
      </c>
      <c r="M9" s="385">
        <f>SUM(K9:L9)</f>
        <v>16942</v>
      </c>
      <c r="N9" s="347">
        <f t="shared" ref="N9:N66" si="1">IF(J9=0,"",M9/J9*100)</f>
        <v>20.949672313589712</v>
      </c>
    </row>
    <row r="10" spans="1:16" ht="12.95" customHeight="1">
      <c r="B10" s="10"/>
      <c r="C10" s="11"/>
      <c r="D10" s="11"/>
      <c r="E10" s="306">
        <v>611200</v>
      </c>
      <c r="F10" s="332"/>
      <c r="G10" s="11" t="s">
        <v>199</v>
      </c>
      <c r="H10" s="212">
        <f>10300+150+10*21*15</f>
        <v>13600</v>
      </c>
      <c r="I10" s="212">
        <v>0</v>
      </c>
      <c r="J10" s="385">
        <f t="shared" ref="J10:J11" si="2">SUM(H10:I10)</f>
        <v>13600</v>
      </c>
      <c r="K10" s="212">
        <v>2300</v>
      </c>
      <c r="L10" s="212">
        <v>0</v>
      </c>
      <c r="M10" s="385">
        <f t="shared" ref="M10:M11" si="3">SUM(K10:L10)</f>
        <v>2300</v>
      </c>
      <c r="N10" s="347">
        <f t="shared" si="1"/>
        <v>16.911764705882355</v>
      </c>
    </row>
    <row r="11" spans="1:16" ht="12.95" customHeight="1">
      <c r="B11" s="10"/>
      <c r="C11" s="11"/>
      <c r="D11" s="11"/>
      <c r="E11" s="306">
        <v>611200</v>
      </c>
      <c r="F11" s="332"/>
      <c r="G11" s="189" t="s">
        <v>534</v>
      </c>
      <c r="H11" s="209">
        <v>0</v>
      </c>
      <c r="I11" s="209">
        <v>0</v>
      </c>
      <c r="J11" s="385">
        <f t="shared" si="2"/>
        <v>0</v>
      </c>
      <c r="K11" s="209">
        <v>0</v>
      </c>
      <c r="L11" s="209">
        <v>0</v>
      </c>
      <c r="M11" s="385">
        <f t="shared" si="3"/>
        <v>0</v>
      </c>
      <c r="N11" s="347" t="str">
        <f t="shared" si="1"/>
        <v/>
      </c>
      <c r="P11" s="56"/>
    </row>
    <row r="12" spans="1:16" ht="12.95" customHeight="1">
      <c r="B12" s="10"/>
      <c r="C12" s="11"/>
      <c r="D12" s="11"/>
      <c r="E12" s="306"/>
      <c r="F12" s="332"/>
      <c r="G12" s="18"/>
      <c r="H12" s="212"/>
      <c r="I12" s="212"/>
      <c r="J12" s="385"/>
      <c r="K12" s="212"/>
      <c r="L12" s="212"/>
      <c r="M12" s="385"/>
      <c r="N12" s="347" t="str">
        <f t="shared" si="1"/>
        <v/>
      </c>
    </row>
    <row r="13" spans="1:16" s="1" customFormat="1" ht="12.95" customHeight="1">
      <c r="A13" s="281"/>
      <c r="B13" s="12"/>
      <c r="C13" s="8"/>
      <c r="D13" s="8"/>
      <c r="E13" s="305">
        <v>612000</v>
      </c>
      <c r="F13" s="331"/>
      <c r="G13" s="8" t="s">
        <v>162</v>
      </c>
      <c r="H13" s="210">
        <f t="shared" ref="H13:M13" si="4">H14</f>
        <v>8720</v>
      </c>
      <c r="I13" s="210">
        <f t="shared" si="4"/>
        <v>0</v>
      </c>
      <c r="J13" s="384">
        <f t="shared" si="4"/>
        <v>8720</v>
      </c>
      <c r="K13" s="210">
        <f t="shared" si="4"/>
        <v>1795</v>
      </c>
      <c r="L13" s="210">
        <f t="shared" si="4"/>
        <v>0</v>
      </c>
      <c r="M13" s="384">
        <f t="shared" si="4"/>
        <v>1795</v>
      </c>
      <c r="N13" s="346">
        <f t="shared" si="1"/>
        <v>20.584862385321102</v>
      </c>
    </row>
    <row r="14" spans="1:16" ht="12.95" customHeight="1">
      <c r="B14" s="10"/>
      <c r="C14" s="11"/>
      <c r="D14" s="11"/>
      <c r="E14" s="306">
        <v>612100</v>
      </c>
      <c r="F14" s="332"/>
      <c r="G14" s="13" t="s">
        <v>83</v>
      </c>
      <c r="H14" s="212">
        <f>7380+40+1*10*130</f>
        <v>8720</v>
      </c>
      <c r="I14" s="212">
        <v>0</v>
      </c>
      <c r="J14" s="385">
        <f>SUM(H14:I14)</f>
        <v>8720</v>
      </c>
      <c r="K14" s="212">
        <v>1795</v>
      </c>
      <c r="L14" s="212">
        <v>0</v>
      </c>
      <c r="M14" s="385">
        <f>SUM(K14:L14)</f>
        <v>1795</v>
      </c>
      <c r="N14" s="347">
        <f t="shared" si="1"/>
        <v>20.584862385321102</v>
      </c>
    </row>
    <row r="15" spans="1:16" ht="12.95" customHeight="1">
      <c r="B15" s="10"/>
      <c r="C15" s="11"/>
      <c r="D15" s="11"/>
      <c r="E15" s="306"/>
      <c r="F15" s="332"/>
      <c r="G15" s="11"/>
      <c r="H15" s="291"/>
      <c r="I15" s="291"/>
      <c r="J15" s="386"/>
      <c r="K15" s="291"/>
      <c r="L15" s="291"/>
      <c r="M15" s="386"/>
      <c r="N15" s="347" t="str">
        <f t="shared" si="1"/>
        <v/>
      </c>
    </row>
    <row r="16" spans="1:16" s="1" customFormat="1" ht="12.95" customHeight="1">
      <c r="A16" s="281"/>
      <c r="B16" s="12"/>
      <c r="C16" s="8"/>
      <c r="D16" s="8"/>
      <c r="E16" s="305">
        <v>613000</v>
      </c>
      <c r="F16" s="331"/>
      <c r="G16" s="8" t="s">
        <v>164</v>
      </c>
      <c r="H16" s="293">
        <f t="shared" ref="H16:M16" si="5">SUM(H17:H26)</f>
        <v>79300</v>
      </c>
      <c r="I16" s="293">
        <f t="shared" si="5"/>
        <v>0</v>
      </c>
      <c r="J16" s="387">
        <f t="shared" si="5"/>
        <v>79300</v>
      </c>
      <c r="K16" s="293">
        <f t="shared" si="5"/>
        <v>16589</v>
      </c>
      <c r="L16" s="293">
        <f t="shared" si="5"/>
        <v>0</v>
      </c>
      <c r="M16" s="387">
        <f t="shared" si="5"/>
        <v>16589</v>
      </c>
      <c r="N16" s="346">
        <f t="shared" si="1"/>
        <v>20.919293820933166</v>
      </c>
    </row>
    <row r="17" spans="1:14" ht="12.95" customHeight="1">
      <c r="B17" s="10"/>
      <c r="C17" s="11"/>
      <c r="D17" s="11"/>
      <c r="E17" s="306">
        <v>613100</v>
      </c>
      <c r="F17" s="332"/>
      <c r="G17" s="11" t="s">
        <v>84</v>
      </c>
      <c r="H17" s="280">
        <v>3500</v>
      </c>
      <c r="I17" s="280">
        <v>0</v>
      </c>
      <c r="J17" s="385">
        <f t="shared" ref="J17:J26" si="6">SUM(H17:I17)</f>
        <v>3500</v>
      </c>
      <c r="K17" s="280">
        <v>2100</v>
      </c>
      <c r="L17" s="280">
        <v>0</v>
      </c>
      <c r="M17" s="385">
        <f t="shared" ref="M17:M26" si="7">SUM(K17:L17)</f>
        <v>2100</v>
      </c>
      <c r="N17" s="347">
        <f t="shared" si="1"/>
        <v>60</v>
      </c>
    </row>
    <row r="18" spans="1:14" ht="12.95" customHeight="1">
      <c r="B18" s="10"/>
      <c r="C18" s="11"/>
      <c r="D18" s="11"/>
      <c r="E18" s="306">
        <v>613200</v>
      </c>
      <c r="F18" s="332"/>
      <c r="G18" s="11" t="s">
        <v>85</v>
      </c>
      <c r="H18" s="280">
        <v>0</v>
      </c>
      <c r="I18" s="280">
        <v>0</v>
      </c>
      <c r="J18" s="385">
        <f t="shared" si="6"/>
        <v>0</v>
      </c>
      <c r="K18" s="280">
        <v>0</v>
      </c>
      <c r="L18" s="280">
        <v>0</v>
      </c>
      <c r="M18" s="385">
        <f t="shared" si="7"/>
        <v>0</v>
      </c>
      <c r="N18" s="347" t="str">
        <f t="shared" si="1"/>
        <v/>
      </c>
    </row>
    <row r="19" spans="1:14" ht="12.95" customHeight="1">
      <c r="B19" s="10"/>
      <c r="C19" s="11"/>
      <c r="D19" s="11"/>
      <c r="E19" s="306">
        <v>613300</v>
      </c>
      <c r="F19" s="332"/>
      <c r="G19" s="18" t="s">
        <v>200</v>
      </c>
      <c r="H19" s="280">
        <v>2800</v>
      </c>
      <c r="I19" s="280">
        <v>0</v>
      </c>
      <c r="J19" s="385">
        <f t="shared" si="6"/>
        <v>2800</v>
      </c>
      <c r="K19" s="280">
        <v>603</v>
      </c>
      <c r="L19" s="280">
        <v>0</v>
      </c>
      <c r="M19" s="385">
        <f t="shared" si="7"/>
        <v>603</v>
      </c>
      <c r="N19" s="347">
        <f t="shared" si="1"/>
        <v>21.535714285714285</v>
      </c>
    </row>
    <row r="20" spans="1:14" ht="12.95" customHeight="1">
      <c r="B20" s="10"/>
      <c r="C20" s="11"/>
      <c r="D20" s="11"/>
      <c r="E20" s="306">
        <v>613400</v>
      </c>
      <c r="F20" s="332"/>
      <c r="G20" s="11" t="s">
        <v>165</v>
      </c>
      <c r="H20" s="280">
        <v>2000</v>
      </c>
      <c r="I20" s="280">
        <v>0</v>
      </c>
      <c r="J20" s="385">
        <f t="shared" si="6"/>
        <v>2000</v>
      </c>
      <c r="K20" s="280">
        <v>1845</v>
      </c>
      <c r="L20" s="280">
        <v>0</v>
      </c>
      <c r="M20" s="385">
        <f t="shared" si="7"/>
        <v>1845</v>
      </c>
      <c r="N20" s="347">
        <f t="shared" si="1"/>
        <v>92.25</v>
      </c>
    </row>
    <row r="21" spans="1:14" ht="12.95" customHeight="1">
      <c r="B21" s="10"/>
      <c r="C21" s="11"/>
      <c r="D21" s="11"/>
      <c r="E21" s="306">
        <v>613500</v>
      </c>
      <c r="F21" s="332"/>
      <c r="G21" s="11" t="s">
        <v>86</v>
      </c>
      <c r="H21" s="280">
        <v>0</v>
      </c>
      <c r="I21" s="280">
        <v>0</v>
      </c>
      <c r="J21" s="385">
        <f t="shared" si="6"/>
        <v>0</v>
      </c>
      <c r="K21" s="280">
        <v>0</v>
      </c>
      <c r="L21" s="280">
        <v>0</v>
      </c>
      <c r="M21" s="385">
        <f t="shared" si="7"/>
        <v>0</v>
      </c>
      <c r="N21" s="347" t="str">
        <f t="shared" si="1"/>
        <v/>
      </c>
    </row>
    <row r="22" spans="1:14" ht="12.95" customHeight="1">
      <c r="B22" s="10"/>
      <c r="C22" s="11"/>
      <c r="D22" s="11"/>
      <c r="E22" s="306">
        <v>613600</v>
      </c>
      <c r="F22" s="332"/>
      <c r="G22" s="18" t="s">
        <v>201</v>
      </c>
      <c r="H22" s="280">
        <v>0</v>
      </c>
      <c r="I22" s="280">
        <v>0</v>
      </c>
      <c r="J22" s="385">
        <f t="shared" si="6"/>
        <v>0</v>
      </c>
      <c r="K22" s="280">
        <v>0</v>
      </c>
      <c r="L22" s="280">
        <v>0</v>
      </c>
      <c r="M22" s="385">
        <f t="shared" si="7"/>
        <v>0</v>
      </c>
      <c r="N22" s="347" t="str">
        <f t="shared" si="1"/>
        <v/>
      </c>
    </row>
    <row r="23" spans="1:14" ht="12.95" customHeight="1">
      <c r="B23" s="10"/>
      <c r="C23" s="11"/>
      <c r="D23" s="11"/>
      <c r="E23" s="306">
        <v>613700</v>
      </c>
      <c r="F23" s="332"/>
      <c r="G23" s="11" t="s">
        <v>87</v>
      </c>
      <c r="H23" s="280">
        <v>1000</v>
      </c>
      <c r="I23" s="280">
        <v>0</v>
      </c>
      <c r="J23" s="385">
        <f t="shared" si="6"/>
        <v>1000</v>
      </c>
      <c r="K23" s="280">
        <v>47</v>
      </c>
      <c r="L23" s="280">
        <v>0</v>
      </c>
      <c r="M23" s="385">
        <f t="shared" si="7"/>
        <v>47</v>
      </c>
      <c r="N23" s="347">
        <f t="shared" si="1"/>
        <v>4.7</v>
      </c>
    </row>
    <row r="24" spans="1:14" ht="12.95" customHeight="1">
      <c r="B24" s="10"/>
      <c r="C24" s="11"/>
      <c r="D24" s="11"/>
      <c r="E24" s="306">
        <v>613800</v>
      </c>
      <c r="F24" s="332"/>
      <c r="G24" s="11" t="s">
        <v>166</v>
      </c>
      <c r="H24" s="280">
        <v>0</v>
      </c>
      <c r="I24" s="280">
        <v>0</v>
      </c>
      <c r="J24" s="385">
        <f t="shared" si="6"/>
        <v>0</v>
      </c>
      <c r="K24" s="280">
        <v>0</v>
      </c>
      <c r="L24" s="280">
        <v>0</v>
      </c>
      <c r="M24" s="385">
        <f t="shared" si="7"/>
        <v>0</v>
      </c>
      <c r="N24" s="347" t="str">
        <f t="shared" si="1"/>
        <v/>
      </c>
    </row>
    <row r="25" spans="1:14" ht="12.95" customHeight="1">
      <c r="B25" s="10"/>
      <c r="C25" s="11"/>
      <c r="D25" s="11"/>
      <c r="E25" s="306">
        <v>613900</v>
      </c>
      <c r="F25" s="332"/>
      <c r="G25" s="11" t="s">
        <v>167</v>
      </c>
      <c r="H25" s="280">
        <v>70000</v>
      </c>
      <c r="I25" s="280">
        <v>0</v>
      </c>
      <c r="J25" s="385">
        <f t="shared" si="6"/>
        <v>70000</v>
      </c>
      <c r="K25" s="280">
        <v>11994</v>
      </c>
      <c r="L25" s="280">
        <v>0</v>
      </c>
      <c r="M25" s="385">
        <f t="shared" si="7"/>
        <v>11994</v>
      </c>
      <c r="N25" s="347">
        <f t="shared" si="1"/>
        <v>17.134285714285713</v>
      </c>
    </row>
    <row r="26" spans="1:14" ht="12.95" customHeight="1">
      <c r="B26" s="10"/>
      <c r="C26" s="11"/>
      <c r="D26" s="11"/>
      <c r="E26" s="306">
        <v>613900</v>
      </c>
      <c r="F26" s="332"/>
      <c r="G26" s="189" t="s">
        <v>535</v>
      </c>
      <c r="H26" s="87">
        <v>0</v>
      </c>
      <c r="I26" s="87">
        <v>0</v>
      </c>
      <c r="J26" s="385">
        <f t="shared" si="6"/>
        <v>0</v>
      </c>
      <c r="K26" s="87">
        <v>0</v>
      </c>
      <c r="L26" s="87">
        <v>0</v>
      </c>
      <c r="M26" s="385">
        <f t="shared" si="7"/>
        <v>0</v>
      </c>
      <c r="N26" s="347" t="str">
        <f t="shared" si="1"/>
        <v/>
      </c>
    </row>
    <row r="27" spans="1:14" s="1" customFormat="1" ht="12.95" customHeight="1">
      <c r="A27" s="281"/>
      <c r="B27" s="12"/>
      <c r="C27" s="8"/>
      <c r="D27" s="8"/>
      <c r="E27" s="316"/>
      <c r="F27" s="343"/>
      <c r="G27" s="8"/>
      <c r="H27" s="291"/>
      <c r="I27" s="291"/>
      <c r="J27" s="386"/>
      <c r="K27" s="291"/>
      <c r="L27" s="291"/>
      <c r="M27" s="386"/>
      <c r="N27" s="347" t="str">
        <f t="shared" si="1"/>
        <v/>
      </c>
    </row>
    <row r="28" spans="1:14" s="1" customFormat="1" ht="12.95" customHeight="1">
      <c r="A28" s="281"/>
      <c r="B28" s="12"/>
      <c r="C28" s="8"/>
      <c r="D28" s="8"/>
      <c r="E28" s="305">
        <v>821000</v>
      </c>
      <c r="F28" s="331"/>
      <c r="G28" s="8" t="s">
        <v>90</v>
      </c>
      <c r="H28" s="288">
        <f t="shared" ref="H28:M28" si="8">SUM(H29:H30)</f>
        <v>0</v>
      </c>
      <c r="I28" s="288">
        <f t="shared" si="8"/>
        <v>0</v>
      </c>
      <c r="J28" s="387">
        <f t="shared" si="8"/>
        <v>0</v>
      </c>
      <c r="K28" s="288">
        <f t="shared" si="8"/>
        <v>0</v>
      </c>
      <c r="L28" s="288">
        <f t="shared" si="8"/>
        <v>0</v>
      </c>
      <c r="M28" s="387">
        <f t="shared" si="8"/>
        <v>0</v>
      </c>
      <c r="N28" s="346" t="str">
        <f t="shared" si="1"/>
        <v/>
      </c>
    </row>
    <row r="29" spans="1:14" ht="12.95" customHeight="1">
      <c r="B29" s="10"/>
      <c r="C29" s="11"/>
      <c r="D29" s="11"/>
      <c r="E29" s="306">
        <v>821200</v>
      </c>
      <c r="F29" s="332"/>
      <c r="G29" s="11" t="s">
        <v>91</v>
      </c>
      <c r="H29" s="291">
        <v>0</v>
      </c>
      <c r="I29" s="291">
        <v>0</v>
      </c>
      <c r="J29" s="385">
        <f t="shared" ref="J29:J30" si="9">SUM(H29:I29)</f>
        <v>0</v>
      </c>
      <c r="K29" s="291">
        <v>0</v>
      </c>
      <c r="L29" s="291">
        <v>0</v>
      </c>
      <c r="M29" s="385">
        <f t="shared" ref="M29:M30" si="10">SUM(K29:L29)</f>
        <v>0</v>
      </c>
      <c r="N29" s="347" t="str">
        <f t="shared" si="1"/>
        <v/>
      </c>
    </row>
    <row r="30" spans="1:14" ht="12.95" customHeight="1">
      <c r="B30" s="10"/>
      <c r="C30" s="11"/>
      <c r="D30" s="11"/>
      <c r="E30" s="306">
        <v>821300</v>
      </c>
      <c r="F30" s="332"/>
      <c r="G30" s="11" t="s">
        <v>92</v>
      </c>
      <c r="H30" s="291">
        <v>0</v>
      </c>
      <c r="I30" s="291">
        <v>0</v>
      </c>
      <c r="J30" s="385">
        <f t="shared" si="9"/>
        <v>0</v>
      </c>
      <c r="K30" s="291">
        <v>0</v>
      </c>
      <c r="L30" s="291">
        <v>0</v>
      </c>
      <c r="M30" s="385">
        <f t="shared" si="10"/>
        <v>0</v>
      </c>
      <c r="N30" s="347" t="str">
        <f t="shared" si="1"/>
        <v/>
      </c>
    </row>
    <row r="31" spans="1:14" ht="12.95" customHeight="1">
      <c r="B31" s="10"/>
      <c r="C31" s="11"/>
      <c r="D31" s="11"/>
      <c r="E31" s="306"/>
      <c r="F31" s="332"/>
      <c r="G31" s="11"/>
      <c r="H31" s="291"/>
      <c r="I31" s="291"/>
      <c r="J31" s="386"/>
      <c r="K31" s="291"/>
      <c r="L31" s="291"/>
      <c r="M31" s="386"/>
      <c r="N31" s="347" t="str">
        <f t="shared" si="1"/>
        <v/>
      </c>
    </row>
    <row r="32" spans="1:14" s="1" customFormat="1" ht="12.95" customHeight="1">
      <c r="A32" s="281"/>
      <c r="B32" s="12"/>
      <c r="C32" s="8"/>
      <c r="D32" s="8"/>
      <c r="E32" s="305"/>
      <c r="F32" s="331"/>
      <c r="G32" s="8" t="s">
        <v>93</v>
      </c>
      <c r="H32" s="288">
        <v>4</v>
      </c>
      <c r="I32" s="288"/>
      <c r="J32" s="387">
        <v>4</v>
      </c>
      <c r="K32" s="288">
        <v>3</v>
      </c>
      <c r="L32" s="288"/>
      <c r="M32" s="387">
        <v>3</v>
      </c>
      <c r="N32" s="347"/>
    </row>
    <row r="33" spans="1:14" s="1" customFormat="1" ht="12.95" customHeight="1">
      <c r="A33" s="281"/>
      <c r="B33" s="12"/>
      <c r="C33" s="8"/>
      <c r="D33" s="8"/>
      <c r="E33" s="305"/>
      <c r="F33" s="331"/>
      <c r="G33" s="8" t="s">
        <v>113</v>
      </c>
      <c r="H33" s="288">
        <f t="shared" ref="H33:M33" si="11">H8+H13+H16+H28</f>
        <v>182490</v>
      </c>
      <c r="I33" s="288">
        <f t="shared" si="11"/>
        <v>0</v>
      </c>
      <c r="J33" s="387">
        <f t="shared" si="11"/>
        <v>182490</v>
      </c>
      <c r="K33" s="288">
        <f t="shared" si="11"/>
        <v>37626</v>
      </c>
      <c r="L33" s="288">
        <f t="shared" si="11"/>
        <v>0</v>
      </c>
      <c r="M33" s="387">
        <f t="shared" si="11"/>
        <v>37626</v>
      </c>
      <c r="N33" s="346">
        <f t="shared" si="1"/>
        <v>20.618116061154034</v>
      </c>
    </row>
    <row r="34" spans="1:14" s="1" customFormat="1" ht="12.95" customHeight="1">
      <c r="A34" s="281"/>
      <c r="B34" s="12"/>
      <c r="C34" s="8"/>
      <c r="D34" s="8"/>
      <c r="E34" s="305"/>
      <c r="F34" s="331"/>
      <c r="G34" s="8" t="s">
        <v>94</v>
      </c>
      <c r="H34" s="288"/>
      <c r="I34" s="288"/>
      <c r="J34" s="387"/>
      <c r="K34" s="288"/>
      <c r="L34" s="288"/>
      <c r="M34" s="387"/>
      <c r="N34" s="347" t="str">
        <f t="shared" si="1"/>
        <v/>
      </c>
    </row>
    <row r="35" spans="1:14" s="1" customFormat="1" ht="12.95" customHeight="1">
      <c r="A35" s="281"/>
      <c r="B35" s="12"/>
      <c r="C35" s="8"/>
      <c r="D35" s="8"/>
      <c r="E35" s="305"/>
      <c r="F35" s="331"/>
      <c r="G35" s="8" t="s">
        <v>95</v>
      </c>
      <c r="H35" s="279"/>
      <c r="I35" s="279"/>
      <c r="J35" s="386"/>
      <c r="K35" s="279"/>
      <c r="L35" s="279"/>
      <c r="M35" s="386"/>
      <c r="N35" s="347" t="str">
        <f t="shared" si="1"/>
        <v/>
      </c>
    </row>
    <row r="36" spans="1:14" ht="12.95" customHeight="1" thickBot="1">
      <c r="B36" s="15"/>
      <c r="C36" s="16"/>
      <c r="D36" s="16"/>
      <c r="E36" s="307"/>
      <c r="F36" s="333"/>
      <c r="G36" s="16"/>
      <c r="H36" s="27"/>
      <c r="I36" s="27"/>
      <c r="J36" s="390"/>
      <c r="K36" s="27"/>
      <c r="L36" s="27"/>
      <c r="M36" s="390"/>
      <c r="N36" s="349" t="str">
        <f t="shared" si="1"/>
        <v/>
      </c>
    </row>
    <row r="37" spans="1:14" ht="12.95" customHeight="1">
      <c r="E37" s="308"/>
      <c r="F37" s="334"/>
      <c r="J37" s="393"/>
      <c r="M37" s="393"/>
      <c r="N37" s="350" t="str">
        <f t="shared" si="1"/>
        <v/>
      </c>
    </row>
    <row r="38" spans="1:14" ht="12.95" customHeight="1">
      <c r="E38" s="308"/>
      <c r="F38" s="334"/>
      <c r="J38" s="393"/>
      <c r="M38" s="393"/>
      <c r="N38" s="350" t="str">
        <f t="shared" si="1"/>
        <v/>
      </c>
    </row>
    <row r="39" spans="1:14" ht="12.95" customHeight="1">
      <c r="E39" s="308"/>
      <c r="F39" s="334"/>
      <c r="J39" s="393"/>
      <c r="M39" s="393"/>
      <c r="N39" s="350" t="str">
        <f t="shared" si="1"/>
        <v/>
      </c>
    </row>
    <row r="40" spans="1:14" ht="12.95" customHeight="1">
      <c r="E40" s="308"/>
      <c r="F40" s="334"/>
      <c r="J40" s="393"/>
      <c r="M40" s="393"/>
      <c r="N40" s="350" t="str">
        <f t="shared" si="1"/>
        <v/>
      </c>
    </row>
    <row r="41" spans="1:14" ht="12.95" customHeight="1">
      <c r="E41" s="308"/>
      <c r="F41" s="334"/>
      <c r="J41" s="393"/>
      <c r="M41" s="393"/>
      <c r="N41" s="350" t="str">
        <f t="shared" si="1"/>
        <v/>
      </c>
    </row>
    <row r="42" spans="1:14" ht="12.95" customHeight="1">
      <c r="E42" s="308"/>
      <c r="F42" s="334"/>
      <c r="J42" s="393"/>
      <c r="M42" s="393"/>
      <c r="N42" s="350" t="str">
        <f t="shared" si="1"/>
        <v/>
      </c>
    </row>
    <row r="43" spans="1:14" ht="12.95" customHeight="1">
      <c r="E43" s="308"/>
      <c r="F43" s="334"/>
      <c r="J43" s="393"/>
      <c r="M43" s="393"/>
      <c r="N43" s="350" t="str">
        <f t="shared" si="1"/>
        <v/>
      </c>
    </row>
    <row r="44" spans="1:14" ht="12.95" customHeight="1">
      <c r="E44" s="308"/>
      <c r="F44" s="334"/>
      <c r="J44" s="393"/>
      <c r="M44" s="393"/>
      <c r="N44" s="350" t="str">
        <f t="shared" si="1"/>
        <v/>
      </c>
    </row>
    <row r="45" spans="1:14" ht="12.95" customHeight="1">
      <c r="E45" s="308"/>
      <c r="F45" s="334"/>
      <c r="J45" s="393"/>
      <c r="M45" s="393"/>
      <c r="N45" s="350" t="str">
        <f t="shared" si="1"/>
        <v/>
      </c>
    </row>
    <row r="46" spans="1:14" ht="12.95" customHeight="1">
      <c r="E46" s="308"/>
      <c r="F46" s="334"/>
      <c r="J46" s="393"/>
      <c r="M46" s="393"/>
      <c r="N46" s="350" t="str">
        <f t="shared" si="1"/>
        <v/>
      </c>
    </row>
    <row r="47" spans="1:14" ht="12.95" customHeight="1">
      <c r="E47" s="308"/>
      <c r="F47" s="334"/>
      <c r="J47" s="393"/>
      <c r="M47" s="393"/>
      <c r="N47" s="350" t="str">
        <f t="shared" si="1"/>
        <v/>
      </c>
    </row>
    <row r="48" spans="1:14" ht="12.95" customHeight="1">
      <c r="E48" s="308"/>
      <c r="F48" s="334"/>
      <c r="J48" s="393"/>
      <c r="M48" s="393"/>
      <c r="N48" s="350" t="str">
        <f t="shared" si="1"/>
        <v/>
      </c>
    </row>
    <row r="49" spans="5:14" ht="12.95" customHeight="1">
      <c r="E49" s="308"/>
      <c r="F49" s="334"/>
      <c r="J49" s="393"/>
      <c r="M49" s="393"/>
      <c r="N49" s="350" t="str">
        <f t="shared" si="1"/>
        <v/>
      </c>
    </row>
    <row r="50" spans="5:14" ht="12.95" customHeight="1">
      <c r="E50" s="308"/>
      <c r="F50" s="334"/>
      <c r="J50" s="393"/>
      <c r="M50" s="393"/>
      <c r="N50" s="350" t="str">
        <f t="shared" si="1"/>
        <v/>
      </c>
    </row>
    <row r="51" spans="5:14" ht="12.95" customHeight="1">
      <c r="E51" s="308"/>
      <c r="F51" s="334"/>
      <c r="J51" s="393"/>
      <c r="M51" s="393"/>
      <c r="N51" s="350" t="str">
        <f t="shared" si="1"/>
        <v/>
      </c>
    </row>
    <row r="52" spans="5:14" ht="12.95" customHeight="1">
      <c r="E52" s="308"/>
      <c r="F52" s="334"/>
      <c r="J52" s="393"/>
      <c r="M52" s="393"/>
      <c r="N52" s="350" t="str">
        <f t="shared" si="1"/>
        <v/>
      </c>
    </row>
    <row r="53" spans="5:14" ht="12.95" customHeight="1">
      <c r="E53" s="308"/>
      <c r="F53" s="334"/>
      <c r="J53" s="393"/>
      <c r="M53" s="393"/>
      <c r="N53" s="350" t="str">
        <f t="shared" si="1"/>
        <v/>
      </c>
    </row>
    <row r="54" spans="5:14" ht="12.95" customHeight="1">
      <c r="E54" s="308"/>
      <c r="F54" s="334"/>
      <c r="J54" s="393"/>
      <c r="M54" s="393"/>
      <c r="N54" s="350" t="str">
        <f t="shared" si="1"/>
        <v/>
      </c>
    </row>
    <row r="55" spans="5:14" ht="12.95" customHeight="1">
      <c r="E55" s="308"/>
      <c r="F55" s="334"/>
      <c r="J55" s="393"/>
      <c r="M55" s="393"/>
      <c r="N55" s="350" t="str">
        <f t="shared" si="1"/>
        <v/>
      </c>
    </row>
    <row r="56" spans="5:14" ht="12.95" customHeight="1">
      <c r="E56" s="308"/>
      <c r="F56" s="334"/>
      <c r="J56" s="393"/>
      <c r="M56" s="393"/>
      <c r="N56" s="350" t="str">
        <f t="shared" si="1"/>
        <v/>
      </c>
    </row>
    <row r="57" spans="5:14" ht="12.95" customHeight="1">
      <c r="E57" s="308"/>
      <c r="F57" s="334"/>
      <c r="J57" s="393"/>
      <c r="M57" s="393"/>
      <c r="N57" s="350" t="str">
        <f t="shared" si="1"/>
        <v/>
      </c>
    </row>
    <row r="58" spans="5:14" ht="12.95" customHeight="1">
      <c r="E58" s="308"/>
      <c r="F58" s="334"/>
      <c r="J58" s="393"/>
      <c r="M58" s="393"/>
      <c r="N58" s="350" t="str">
        <f t="shared" si="1"/>
        <v/>
      </c>
    </row>
    <row r="59" spans="5:14" ht="12.95" customHeight="1">
      <c r="E59" s="308"/>
      <c r="F59" s="334"/>
      <c r="J59" s="393"/>
      <c r="M59" s="393"/>
      <c r="N59" s="350" t="str">
        <f t="shared" si="1"/>
        <v/>
      </c>
    </row>
    <row r="60" spans="5:14" ht="17.100000000000001" customHeight="1">
      <c r="E60" s="308"/>
      <c r="F60" s="334"/>
      <c r="J60" s="393"/>
      <c r="M60" s="393"/>
      <c r="N60" s="350" t="str">
        <f t="shared" si="1"/>
        <v/>
      </c>
    </row>
    <row r="61" spans="5:14" ht="14.25">
      <c r="E61" s="308"/>
      <c r="F61" s="334"/>
      <c r="J61" s="393"/>
      <c r="M61" s="393"/>
      <c r="N61" s="350" t="str">
        <f t="shared" si="1"/>
        <v/>
      </c>
    </row>
    <row r="62" spans="5:14" ht="14.25">
      <c r="E62" s="308"/>
      <c r="F62" s="334"/>
      <c r="J62" s="393"/>
      <c r="M62" s="393"/>
      <c r="N62" s="350" t="str">
        <f t="shared" si="1"/>
        <v/>
      </c>
    </row>
    <row r="63" spans="5:14" ht="14.25">
      <c r="E63" s="308"/>
      <c r="F63" s="334"/>
      <c r="J63" s="393"/>
      <c r="M63" s="393"/>
      <c r="N63" s="350" t="str">
        <f t="shared" si="1"/>
        <v/>
      </c>
    </row>
    <row r="64" spans="5:14" ht="14.25">
      <c r="E64" s="308"/>
      <c r="F64" s="334"/>
      <c r="J64" s="393"/>
      <c r="M64" s="393"/>
      <c r="N64" s="350" t="str">
        <f t="shared" si="1"/>
        <v/>
      </c>
    </row>
    <row r="65" spans="5:14" ht="14.25">
      <c r="E65" s="308"/>
      <c r="F65" s="334"/>
      <c r="J65" s="393"/>
      <c r="M65" s="393"/>
      <c r="N65" s="350" t="str">
        <f t="shared" si="1"/>
        <v/>
      </c>
    </row>
    <row r="66" spans="5:14" ht="14.25">
      <c r="E66" s="308"/>
      <c r="F66" s="334"/>
      <c r="J66" s="393"/>
      <c r="M66" s="393"/>
      <c r="N66" s="350" t="str">
        <f t="shared" si="1"/>
        <v/>
      </c>
    </row>
    <row r="67" spans="5:14" ht="14.25">
      <c r="E67" s="308"/>
      <c r="F67" s="334"/>
      <c r="J67" s="393"/>
      <c r="M67" s="393"/>
    </row>
    <row r="68" spans="5:14" ht="14.25">
      <c r="E68" s="308"/>
      <c r="F68" s="334"/>
      <c r="J68" s="393"/>
      <c r="M68" s="393"/>
    </row>
    <row r="69" spans="5:14" ht="14.25">
      <c r="E69" s="308"/>
      <c r="F69" s="334"/>
      <c r="J69" s="393"/>
      <c r="M69" s="393"/>
    </row>
    <row r="70" spans="5:14" ht="14.25">
      <c r="E70" s="308"/>
      <c r="F70" s="334"/>
      <c r="J70" s="393"/>
      <c r="M70" s="393"/>
    </row>
    <row r="71" spans="5:14" ht="14.25">
      <c r="E71" s="308"/>
      <c r="F71" s="334"/>
      <c r="J71" s="393"/>
      <c r="M71" s="393"/>
    </row>
    <row r="72" spans="5:14" ht="14.25">
      <c r="E72" s="308"/>
      <c r="F72" s="334"/>
      <c r="J72" s="393"/>
      <c r="M72" s="393"/>
    </row>
    <row r="73" spans="5:14" ht="14.25">
      <c r="E73" s="308"/>
      <c r="F73" s="334"/>
      <c r="J73" s="393"/>
      <c r="M73" s="393"/>
    </row>
    <row r="74" spans="5:14" ht="14.25">
      <c r="E74" s="308"/>
      <c r="F74" s="308"/>
      <c r="J74" s="393"/>
      <c r="M74" s="393"/>
    </row>
    <row r="75" spans="5:14" ht="14.25">
      <c r="E75" s="308"/>
      <c r="F75" s="308"/>
      <c r="J75" s="393"/>
      <c r="M75" s="393"/>
    </row>
    <row r="76" spans="5:14" ht="14.25">
      <c r="E76" s="308"/>
      <c r="F76" s="308"/>
      <c r="J76" s="393"/>
      <c r="M76" s="393"/>
    </row>
    <row r="77" spans="5:14" ht="14.25">
      <c r="E77" s="308"/>
      <c r="F77" s="308"/>
      <c r="J77" s="393"/>
      <c r="M77" s="393"/>
    </row>
    <row r="78" spans="5:14" ht="14.25">
      <c r="E78" s="308"/>
      <c r="F78" s="308"/>
      <c r="J78" s="393"/>
      <c r="M78" s="393"/>
    </row>
    <row r="79" spans="5:14" ht="14.25">
      <c r="E79" s="308"/>
      <c r="F79" s="308"/>
      <c r="J79" s="393"/>
      <c r="M79" s="393"/>
    </row>
    <row r="80" spans="5:14" ht="14.25">
      <c r="E80" s="308"/>
      <c r="F80" s="308"/>
      <c r="J80" s="393"/>
      <c r="M80" s="393"/>
    </row>
    <row r="81" spans="5:13" ht="14.25">
      <c r="E81" s="308"/>
      <c r="F81" s="308"/>
      <c r="J81" s="393"/>
      <c r="M81" s="393"/>
    </row>
    <row r="82" spans="5:13" ht="14.25">
      <c r="E82" s="308"/>
      <c r="F82" s="308"/>
      <c r="J82" s="393"/>
      <c r="M82" s="393"/>
    </row>
    <row r="83" spans="5:13" ht="14.25">
      <c r="E83" s="308"/>
      <c r="F83" s="308"/>
      <c r="J83" s="393"/>
      <c r="M83" s="393"/>
    </row>
    <row r="84" spans="5:13" ht="14.25">
      <c r="E84" s="308"/>
      <c r="F84" s="308"/>
      <c r="J84" s="393"/>
      <c r="M84" s="393"/>
    </row>
    <row r="85" spans="5:13" ht="14.25">
      <c r="E85" s="308"/>
      <c r="F85" s="308"/>
      <c r="J85" s="393"/>
      <c r="M85" s="393"/>
    </row>
    <row r="86" spans="5:13" ht="14.25">
      <c r="E86" s="308"/>
      <c r="F86" s="308"/>
      <c r="J86" s="393"/>
      <c r="M86" s="393"/>
    </row>
    <row r="87" spans="5:13" ht="14.25">
      <c r="E87" s="308"/>
      <c r="F87" s="308"/>
      <c r="J87" s="393"/>
      <c r="M87" s="393"/>
    </row>
    <row r="88" spans="5:13" ht="14.25">
      <c r="E88" s="308"/>
      <c r="F88" s="308"/>
      <c r="J88" s="393"/>
      <c r="M88" s="393"/>
    </row>
    <row r="89" spans="5:13" ht="14.25">
      <c r="E89" s="308"/>
      <c r="F89" s="308"/>
      <c r="J89" s="393"/>
      <c r="M89" s="393"/>
    </row>
    <row r="90" spans="5:13" ht="14.25">
      <c r="E90" s="308"/>
      <c r="F90" s="308"/>
      <c r="J90" s="393"/>
      <c r="M90" s="393"/>
    </row>
    <row r="91" spans="5:13">
      <c r="F91" s="308"/>
    </row>
    <row r="92" spans="5:13">
      <c r="F92" s="308"/>
    </row>
    <row r="93" spans="5:13">
      <c r="F93" s="308"/>
    </row>
    <row r="94" spans="5:13">
      <c r="F94" s="308"/>
    </row>
    <row r="95" spans="5:13">
      <c r="F95" s="308"/>
    </row>
    <row r="96" spans="5:13">
      <c r="F96" s="308"/>
    </row>
  </sheetData>
  <mergeCells count="10">
    <mergeCell ref="N4:N5"/>
    <mergeCell ref="G4:G5"/>
    <mergeCell ref="B2:G2"/>
    <mergeCell ref="H4:J4"/>
    <mergeCell ref="B4:B5"/>
    <mergeCell ref="C4:C5"/>
    <mergeCell ref="D4:D5"/>
    <mergeCell ref="F4:F5"/>
    <mergeCell ref="E4:E5"/>
    <mergeCell ref="K4:M4"/>
  </mergeCells>
  <phoneticPr fontId="2" type="noConversion"/>
  <pageMargins left="0.78740157480314965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4"/>
  <dimension ref="A1:R96"/>
  <sheetViews>
    <sheetView zoomScaleNormal="100" workbookViewId="0">
      <selection activeCell="K45" sqref="K45"/>
    </sheetView>
  </sheetViews>
  <sheetFormatPr defaultRowHeight="12.75"/>
  <cols>
    <col min="1" max="1" width="9.140625" style="284"/>
    <col min="2" max="2" width="4.7109375" style="9" customWidth="1"/>
    <col min="3" max="3" width="5.140625" style="9" customWidth="1"/>
    <col min="4" max="4" width="5" style="9" customWidth="1"/>
    <col min="5" max="5" width="8.7109375" style="17" customWidth="1"/>
    <col min="6" max="6" width="8.7109375" style="289" customWidth="1"/>
    <col min="7" max="7" width="50.7109375" style="9" customWidth="1"/>
    <col min="8" max="9" width="14.7109375" style="57" customWidth="1"/>
    <col min="10" max="10" width="15.7109375" style="57" customWidth="1"/>
    <col min="11" max="12" width="14.7109375" style="57" customWidth="1"/>
    <col min="13" max="13" width="15.7109375" style="57" customWidth="1"/>
    <col min="14" max="14" width="7.7109375" style="350" customWidth="1"/>
    <col min="15" max="16384" width="9.140625" style="9"/>
  </cols>
  <sheetData>
    <row r="1" spans="1:18" ht="13.5" thickBot="1"/>
    <row r="2" spans="1:18" s="376" customFormat="1" ht="20.100000000000001" customHeight="1" thickTop="1" thickBot="1">
      <c r="B2" s="590" t="s">
        <v>195</v>
      </c>
      <c r="C2" s="591"/>
      <c r="D2" s="591"/>
      <c r="E2" s="591"/>
      <c r="F2" s="591"/>
      <c r="G2" s="591"/>
      <c r="H2" s="377"/>
      <c r="I2" s="377"/>
      <c r="J2" s="377"/>
      <c r="K2" s="377"/>
      <c r="L2" s="377"/>
      <c r="M2" s="377"/>
      <c r="N2" s="380"/>
    </row>
    <row r="3" spans="1:18" s="1" customFormat="1" ht="8.1" customHeight="1" thickTop="1" thickBot="1">
      <c r="A3" s="281"/>
      <c r="E3" s="2"/>
      <c r="F3" s="282"/>
      <c r="G3" s="531"/>
      <c r="H3" s="92"/>
      <c r="I3" s="92"/>
      <c r="J3" s="92"/>
      <c r="K3" s="92"/>
      <c r="L3" s="92"/>
      <c r="M3" s="92"/>
      <c r="N3" s="344"/>
    </row>
    <row r="4" spans="1:18" s="1" customFormat="1" ht="39" customHeight="1">
      <c r="A4" s="281"/>
      <c r="B4" s="596" t="s">
        <v>78</v>
      </c>
      <c r="C4" s="606" t="s">
        <v>79</v>
      </c>
      <c r="D4" s="607" t="s">
        <v>110</v>
      </c>
      <c r="E4" s="608" t="s">
        <v>594</v>
      </c>
      <c r="F4" s="601" t="s">
        <v>653</v>
      </c>
      <c r="G4" s="602" t="s">
        <v>80</v>
      </c>
      <c r="H4" s="593" t="s">
        <v>647</v>
      </c>
      <c r="I4" s="594"/>
      <c r="J4" s="595"/>
      <c r="K4" s="593" t="s">
        <v>801</v>
      </c>
      <c r="L4" s="594"/>
      <c r="M4" s="595"/>
      <c r="N4" s="604" t="s">
        <v>805</v>
      </c>
    </row>
    <row r="5" spans="1:18" s="281" customFormat="1" ht="27" customHeight="1">
      <c r="B5" s="597"/>
      <c r="C5" s="599"/>
      <c r="D5" s="599"/>
      <c r="E5" s="603"/>
      <c r="F5" s="599"/>
      <c r="G5" s="603"/>
      <c r="H5" s="372" t="s">
        <v>705</v>
      </c>
      <c r="I5" s="372" t="s">
        <v>706</v>
      </c>
      <c r="J5" s="382" t="s">
        <v>413</v>
      </c>
      <c r="K5" s="372" t="s">
        <v>705</v>
      </c>
      <c r="L5" s="372" t="s">
        <v>706</v>
      </c>
      <c r="M5" s="382" t="s">
        <v>413</v>
      </c>
      <c r="N5" s="605"/>
    </row>
    <row r="6" spans="1:18" s="2" customFormat="1" ht="12.95" customHeight="1">
      <c r="A6" s="282"/>
      <c r="B6" s="504">
        <v>1</v>
      </c>
      <c r="C6" s="331">
        <v>2</v>
      </c>
      <c r="D6" s="331">
        <v>3</v>
      </c>
      <c r="E6" s="331">
        <v>4</v>
      </c>
      <c r="F6" s="331">
        <v>5</v>
      </c>
      <c r="G6" s="331">
        <v>6</v>
      </c>
      <c r="H6" s="331">
        <v>7</v>
      </c>
      <c r="I6" s="331">
        <v>8</v>
      </c>
      <c r="J6" s="523" t="s">
        <v>804</v>
      </c>
      <c r="K6" s="331">
        <v>10</v>
      </c>
      <c r="L6" s="331">
        <v>11</v>
      </c>
      <c r="M6" s="523" t="s">
        <v>707</v>
      </c>
      <c r="N6" s="505">
        <v>13</v>
      </c>
    </row>
    <row r="7" spans="1:18" s="2" customFormat="1" ht="12.95" customHeight="1">
      <c r="A7" s="282"/>
      <c r="B7" s="6" t="s">
        <v>131</v>
      </c>
      <c r="C7" s="7" t="s">
        <v>132</v>
      </c>
      <c r="D7" s="7" t="s">
        <v>124</v>
      </c>
      <c r="E7" s="5"/>
      <c r="F7" s="283"/>
      <c r="G7" s="5"/>
      <c r="H7" s="86"/>
      <c r="I7" s="86"/>
      <c r="J7" s="392"/>
      <c r="K7" s="86"/>
      <c r="L7" s="86"/>
      <c r="M7" s="392"/>
      <c r="N7" s="345"/>
    </row>
    <row r="8" spans="1:18" s="1" customFormat="1" ht="12.95" customHeight="1">
      <c r="A8" s="281"/>
      <c r="B8" s="12"/>
      <c r="C8" s="8"/>
      <c r="D8" s="8"/>
      <c r="E8" s="305">
        <v>611000</v>
      </c>
      <c r="F8" s="331"/>
      <c r="G8" s="8" t="s">
        <v>163</v>
      </c>
      <c r="H8" s="222">
        <f t="shared" ref="H8:M8" si="0">SUM(H9:H12)</f>
        <v>1148430</v>
      </c>
      <c r="I8" s="222">
        <f t="shared" si="0"/>
        <v>0</v>
      </c>
      <c r="J8" s="384">
        <f t="shared" si="0"/>
        <v>1148430</v>
      </c>
      <c r="K8" s="222">
        <f t="shared" si="0"/>
        <v>279756</v>
      </c>
      <c r="L8" s="222">
        <f t="shared" si="0"/>
        <v>0</v>
      </c>
      <c r="M8" s="384">
        <f t="shared" si="0"/>
        <v>279756</v>
      </c>
      <c r="N8" s="346">
        <f>IF(J8=0,"",M8/J8*100)</f>
        <v>24.359865207282986</v>
      </c>
    </row>
    <row r="9" spans="1:18" ht="12.95" customHeight="1">
      <c r="B9" s="10"/>
      <c r="C9" s="11"/>
      <c r="D9" s="11"/>
      <c r="E9" s="306">
        <v>611100</v>
      </c>
      <c r="F9" s="332"/>
      <c r="G9" s="18" t="s">
        <v>198</v>
      </c>
      <c r="H9" s="224">
        <f>965330+2800+6*500</f>
        <v>971130</v>
      </c>
      <c r="I9" s="224">
        <v>0</v>
      </c>
      <c r="J9" s="385">
        <f>SUM(H9:I9)</f>
        <v>971130</v>
      </c>
      <c r="K9" s="224">
        <v>243768</v>
      </c>
      <c r="L9" s="224">
        <v>0</v>
      </c>
      <c r="M9" s="385">
        <f>SUM(K9:L9)</f>
        <v>243768</v>
      </c>
      <c r="N9" s="347">
        <f t="shared" ref="N9:N66" si="1">IF(J9=0,"",M9/J9*100)</f>
        <v>25.101479719502024</v>
      </c>
    </row>
    <row r="10" spans="1:18" ht="12.95" customHeight="1">
      <c r="B10" s="10"/>
      <c r="C10" s="11"/>
      <c r="D10" s="11"/>
      <c r="E10" s="306">
        <v>611200</v>
      </c>
      <c r="F10" s="332"/>
      <c r="G10" s="11" t="s">
        <v>199</v>
      </c>
      <c r="H10" s="224">
        <f>170200+1700+6*900</f>
        <v>177300</v>
      </c>
      <c r="I10" s="224">
        <v>0</v>
      </c>
      <c r="J10" s="385">
        <f t="shared" ref="J10:J11" si="2">SUM(H10:I10)</f>
        <v>177300</v>
      </c>
      <c r="K10" s="224">
        <v>35988</v>
      </c>
      <c r="L10" s="224">
        <v>0</v>
      </c>
      <c r="M10" s="385">
        <f t="shared" ref="M10:M11" si="3">SUM(K10:L10)</f>
        <v>35988</v>
      </c>
      <c r="N10" s="347">
        <f t="shared" si="1"/>
        <v>20.297800338409473</v>
      </c>
    </row>
    <row r="11" spans="1:18" ht="12.95" customHeight="1">
      <c r="B11" s="10"/>
      <c r="C11" s="11"/>
      <c r="D11" s="11"/>
      <c r="E11" s="306">
        <v>611200</v>
      </c>
      <c r="F11" s="332"/>
      <c r="G11" s="189" t="s">
        <v>534</v>
      </c>
      <c r="H11" s="223">
        <v>0</v>
      </c>
      <c r="I11" s="223">
        <v>0</v>
      </c>
      <c r="J11" s="385">
        <f t="shared" si="2"/>
        <v>0</v>
      </c>
      <c r="K11" s="223">
        <v>0</v>
      </c>
      <c r="L11" s="223">
        <v>0</v>
      </c>
      <c r="M11" s="385">
        <f t="shared" si="3"/>
        <v>0</v>
      </c>
      <c r="N11" s="347" t="str">
        <f t="shared" si="1"/>
        <v/>
      </c>
      <c r="P11" s="56"/>
    </row>
    <row r="12" spans="1:18" ht="12.95" customHeight="1">
      <c r="B12" s="10"/>
      <c r="C12" s="11"/>
      <c r="D12" s="11"/>
      <c r="E12" s="306"/>
      <c r="F12" s="332"/>
      <c r="G12" s="18"/>
      <c r="H12" s="224"/>
      <c r="I12" s="224"/>
      <c r="J12" s="385"/>
      <c r="K12" s="224"/>
      <c r="L12" s="224"/>
      <c r="M12" s="385"/>
      <c r="N12" s="347" t="str">
        <f t="shared" si="1"/>
        <v/>
      </c>
    </row>
    <row r="13" spans="1:18" s="1" customFormat="1" ht="12.95" customHeight="1">
      <c r="A13" s="281"/>
      <c r="B13" s="12"/>
      <c r="C13" s="8"/>
      <c r="D13" s="8"/>
      <c r="E13" s="305">
        <v>612000</v>
      </c>
      <c r="F13" s="331"/>
      <c r="G13" s="8" t="s">
        <v>162</v>
      </c>
      <c r="H13" s="222">
        <f t="shared" ref="H13:M13" si="4">H14</f>
        <v>105400</v>
      </c>
      <c r="I13" s="222">
        <f t="shared" si="4"/>
        <v>0</v>
      </c>
      <c r="J13" s="384">
        <f t="shared" si="4"/>
        <v>105400</v>
      </c>
      <c r="K13" s="222">
        <f t="shared" si="4"/>
        <v>25810</v>
      </c>
      <c r="L13" s="222">
        <f t="shared" si="4"/>
        <v>0</v>
      </c>
      <c r="M13" s="384">
        <f t="shared" si="4"/>
        <v>25810</v>
      </c>
      <c r="N13" s="346">
        <f t="shared" si="1"/>
        <v>24.487666034155598</v>
      </c>
    </row>
    <row r="14" spans="1:18" ht="12.95" customHeight="1">
      <c r="B14" s="10"/>
      <c r="C14" s="11"/>
      <c r="D14" s="11"/>
      <c r="E14" s="306">
        <v>612100</v>
      </c>
      <c r="F14" s="332"/>
      <c r="G14" s="13" t="s">
        <v>83</v>
      </c>
      <c r="H14" s="224">
        <f>104480+500+6*70</f>
        <v>105400</v>
      </c>
      <c r="I14" s="224">
        <v>0</v>
      </c>
      <c r="J14" s="385">
        <f>SUM(H14:I14)</f>
        <v>105400</v>
      </c>
      <c r="K14" s="224">
        <v>25810</v>
      </c>
      <c r="L14" s="224">
        <v>0</v>
      </c>
      <c r="M14" s="385">
        <f>SUM(K14:L14)</f>
        <v>25810</v>
      </c>
      <c r="N14" s="347">
        <f t="shared" si="1"/>
        <v>24.487666034155598</v>
      </c>
    </row>
    <row r="15" spans="1:18" ht="12.95" customHeight="1">
      <c r="B15" s="10"/>
      <c r="C15" s="11"/>
      <c r="D15" s="11"/>
      <c r="E15" s="306"/>
      <c r="F15" s="332"/>
      <c r="G15" s="11"/>
      <c r="H15" s="291"/>
      <c r="I15" s="291"/>
      <c r="J15" s="386"/>
      <c r="K15" s="291"/>
      <c r="L15" s="291"/>
      <c r="M15" s="386"/>
      <c r="N15" s="347" t="str">
        <f t="shared" si="1"/>
        <v/>
      </c>
      <c r="R15" s="57"/>
    </row>
    <row r="16" spans="1:18" s="1" customFormat="1" ht="12.95" customHeight="1">
      <c r="A16" s="281"/>
      <c r="B16" s="12"/>
      <c r="C16" s="8"/>
      <c r="D16" s="8"/>
      <c r="E16" s="305">
        <v>613000</v>
      </c>
      <c r="F16" s="331"/>
      <c r="G16" s="8" t="s">
        <v>164</v>
      </c>
      <c r="H16" s="293">
        <f t="shared" ref="H16:M16" si="5">SUM(H17:H26)</f>
        <v>323300</v>
      </c>
      <c r="I16" s="293">
        <f t="shared" si="5"/>
        <v>0</v>
      </c>
      <c r="J16" s="387">
        <f t="shared" si="5"/>
        <v>323300</v>
      </c>
      <c r="K16" s="293">
        <f t="shared" si="5"/>
        <v>55254</v>
      </c>
      <c r="L16" s="293">
        <f t="shared" si="5"/>
        <v>0</v>
      </c>
      <c r="M16" s="387">
        <f t="shared" si="5"/>
        <v>55254</v>
      </c>
      <c r="N16" s="346">
        <f t="shared" si="1"/>
        <v>17.090627899783485</v>
      </c>
    </row>
    <row r="17" spans="1:15" ht="12.95" customHeight="1">
      <c r="B17" s="10"/>
      <c r="C17" s="11"/>
      <c r="D17" s="11"/>
      <c r="E17" s="306">
        <v>613100</v>
      </c>
      <c r="F17" s="332"/>
      <c r="G17" s="11" t="s">
        <v>84</v>
      </c>
      <c r="H17" s="363">
        <v>6500</v>
      </c>
      <c r="I17" s="363">
        <v>0</v>
      </c>
      <c r="J17" s="385">
        <f t="shared" ref="J17:J26" si="6">SUM(H17:I17)</f>
        <v>6500</v>
      </c>
      <c r="K17" s="363">
        <v>828</v>
      </c>
      <c r="L17" s="363">
        <v>0</v>
      </c>
      <c r="M17" s="385">
        <f t="shared" ref="M17:M26" si="7">SUM(K17:L17)</f>
        <v>828</v>
      </c>
      <c r="N17" s="347">
        <f t="shared" si="1"/>
        <v>12.738461538461538</v>
      </c>
    </row>
    <row r="18" spans="1:15" ht="12.95" customHeight="1">
      <c r="B18" s="10"/>
      <c r="C18" s="11"/>
      <c r="D18" s="11"/>
      <c r="E18" s="306">
        <v>613200</v>
      </c>
      <c r="F18" s="332"/>
      <c r="G18" s="11" t="s">
        <v>85</v>
      </c>
      <c r="H18" s="363">
        <v>18000</v>
      </c>
      <c r="I18" s="363">
        <v>0</v>
      </c>
      <c r="J18" s="385">
        <f t="shared" si="6"/>
        <v>18000</v>
      </c>
      <c r="K18" s="363">
        <v>4157</v>
      </c>
      <c r="L18" s="363">
        <v>0</v>
      </c>
      <c r="M18" s="385">
        <f t="shared" si="7"/>
        <v>4157</v>
      </c>
      <c r="N18" s="347">
        <f t="shared" si="1"/>
        <v>23.094444444444445</v>
      </c>
    </row>
    <row r="19" spans="1:15" ht="12.95" customHeight="1">
      <c r="B19" s="10"/>
      <c r="C19" s="11"/>
      <c r="D19" s="11"/>
      <c r="E19" s="306">
        <v>613300</v>
      </c>
      <c r="F19" s="332"/>
      <c r="G19" s="18" t="s">
        <v>200</v>
      </c>
      <c r="H19" s="363">
        <v>125000</v>
      </c>
      <c r="I19" s="363">
        <v>0</v>
      </c>
      <c r="J19" s="385">
        <f t="shared" si="6"/>
        <v>125000</v>
      </c>
      <c r="K19" s="363">
        <v>23604</v>
      </c>
      <c r="L19" s="363">
        <v>0</v>
      </c>
      <c r="M19" s="385">
        <f t="shared" si="7"/>
        <v>23604</v>
      </c>
      <c r="N19" s="347">
        <f t="shared" si="1"/>
        <v>18.883199999999999</v>
      </c>
    </row>
    <row r="20" spans="1:15" ht="12.95" customHeight="1">
      <c r="B20" s="10"/>
      <c r="C20" s="11"/>
      <c r="D20" s="11"/>
      <c r="E20" s="306">
        <v>613400</v>
      </c>
      <c r="F20" s="332"/>
      <c r="G20" s="11" t="s">
        <v>165</v>
      </c>
      <c r="H20" s="365">
        <v>35000</v>
      </c>
      <c r="I20" s="365">
        <v>0</v>
      </c>
      <c r="J20" s="385">
        <f t="shared" si="6"/>
        <v>35000</v>
      </c>
      <c r="K20" s="365">
        <v>10519</v>
      </c>
      <c r="L20" s="365">
        <v>0</v>
      </c>
      <c r="M20" s="385">
        <f t="shared" si="7"/>
        <v>10519</v>
      </c>
      <c r="N20" s="347">
        <f t="shared" si="1"/>
        <v>30.054285714285715</v>
      </c>
      <c r="O20" s="50"/>
    </row>
    <row r="21" spans="1:15" ht="12.95" customHeight="1">
      <c r="B21" s="10"/>
      <c r="C21" s="11"/>
      <c r="D21" s="11"/>
      <c r="E21" s="306">
        <v>613500</v>
      </c>
      <c r="F21" s="332"/>
      <c r="G21" s="11" t="s">
        <v>86</v>
      </c>
      <c r="H21" s="363">
        <v>15000</v>
      </c>
      <c r="I21" s="363">
        <v>0</v>
      </c>
      <c r="J21" s="385">
        <f t="shared" si="6"/>
        <v>15000</v>
      </c>
      <c r="K21" s="363">
        <v>2967</v>
      </c>
      <c r="L21" s="363">
        <v>0</v>
      </c>
      <c r="M21" s="385">
        <f t="shared" si="7"/>
        <v>2967</v>
      </c>
      <c r="N21" s="347">
        <f t="shared" si="1"/>
        <v>19.78</v>
      </c>
    </row>
    <row r="22" spans="1:15" ht="12.95" customHeight="1">
      <c r="B22" s="10"/>
      <c r="C22" s="11"/>
      <c r="D22" s="11"/>
      <c r="E22" s="306">
        <v>613600</v>
      </c>
      <c r="F22" s="332"/>
      <c r="G22" s="18" t="s">
        <v>201</v>
      </c>
      <c r="H22" s="365">
        <v>0</v>
      </c>
      <c r="I22" s="365">
        <v>0</v>
      </c>
      <c r="J22" s="385">
        <f t="shared" si="6"/>
        <v>0</v>
      </c>
      <c r="K22" s="365">
        <v>0</v>
      </c>
      <c r="L22" s="365">
        <v>0</v>
      </c>
      <c r="M22" s="385">
        <f t="shared" si="7"/>
        <v>0</v>
      </c>
      <c r="N22" s="347" t="str">
        <f t="shared" si="1"/>
        <v/>
      </c>
    </row>
    <row r="23" spans="1:15" ht="12.95" customHeight="1">
      <c r="B23" s="10"/>
      <c r="C23" s="11"/>
      <c r="D23" s="11"/>
      <c r="E23" s="306">
        <v>613700</v>
      </c>
      <c r="F23" s="332"/>
      <c r="G23" s="11" t="s">
        <v>87</v>
      </c>
      <c r="H23" s="365">
        <v>10800</v>
      </c>
      <c r="I23" s="365">
        <v>0</v>
      </c>
      <c r="J23" s="385">
        <f t="shared" si="6"/>
        <v>10800</v>
      </c>
      <c r="K23" s="365">
        <v>1026</v>
      </c>
      <c r="L23" s="365">
        <v>0</v>
      </c>
      <c r="M23" s="385">
        <f t="shared" si="7"/>
        <v>1026</v>
      </c>
      <c r="N23" s="347">
        <f t="shared" si="1"/>
        <v>9.5</v>
      </c>
    </row>
    <row r="24" spans="1:15" ht="12.95" customHeight="1">
      <c r="B24" s="10"/>
      <c r="C24" s="11"/>
      <c r="D24" s="11"/>
      <c r="E24" s="306">
        <v>613800</v>
      </c>
      <c r="F24" s="332"/>
      <c r="G24" s="11" t="s">
        <v>166</v>
      </c>
      <c r="H24" s="365">
        <v>3000</v>
      </c>
      <c r="I24" s="365">
        <v>0</v>
      </c>
      <c r="J24" s="385">
        <f t="shared" si="6"/>
        <v>3000</v>
      </c>
      <c r="K24" s="365">
        <v>0</v>
      </c>
      <c r="L24" s="365">
        <v>0</v>
      </c>
      <c r="M24" s="385">
        <f t="shared" si="7"/>
        <v>0</v>
      </c>
      <c r="N24" s="347">
        <f t="shared" si="1"/>
        <v>0</v>
      </c>
    </row>
    <row r="25" spans="1:15" ht="12.95" customHeight="1">
      <c r="B25" s="10"/>
      <c r="C25" s="11"/>
      <c r="D25" s="11"/>
      <c r="E25" s="306">
        <v>613900</v>
      </c>
      <c r="F25" s="332"/>
      <c r="G25" s="11" t="s">
        <v>167</v>
      </c>
      <c r="H25" s="365">
        <v>110000</v>
      </c>
      <c r="I25" s="365">
        <v>0</v>
      </c>
      <c r="J25" s="385">
        <f t="shared" si="6"/>
        <v>110000</v>
      </c>
      <c r="K25" s="365">
        <v>12153</v>
      </c>
      <c r="L25" s="365">
        <v>0</v>
      </c>
      <c r="M25" s="385">
        <f t="shared" si="7"/>
        <v>12153</v>
      </c>
      <c r="N25" s="347">
        <f t="shared" si="1"/>
        <v>11.048181818181819</v>
      </c>
      <c r="O25" s="68"/>
    </row>
    <row r="26" spans="1:15" ht="12.95" customHeight="1">
      <c r="B26" s="10"/>
      <c r="C26" s="11"/>
      <c r="D26" s="11"/>
      <c r="E26" s="306">
        <v>613900</v>
      </c>
      <c r="F26" s="332"/>
      <c r="G26" s="189" t="s">
        <v>535</v>
      </c>
      <c r="H26" s="365">
        <v>0</v>
      </c>
      <c r="I26" s="365">
        <v>0</v>
      </c>
      <c r="J26" s="385">
        <f t="shared" si="6"/>
        <v>0</v>
      </c>
      <c r="K26" s="365">
        <v>0</v>
      </c>
      <c r="L26" s="365">
        <v>0</v>
      </c>
      <c r="M26" s="385">
        <f t="shared" si="7"/>
        <v>0</v>
      </c>
      <c r="N26" s="347" t="str">
        <f t="shared" si="1"/>
        <v/>
      </c>
    </row>
    <row r="27" spans="1:15" s="1" customFormat="1" ht="12.95" customHeight="1">
      <c r="A27" s="281"/>
      <c r="B27" s="12"/>
      <c r="C27" s="8"/>
      <c r="D27" s="8"/>
      <c r="E27" s="316"/>
      <c r="F27" s="343"/>
      <c r="G27" s="8"/>
      <c r="H27" s="296"/>
      <c r="I27" s="296"/>
      <c r="J27" s="386"/>
      <c r="K27" s="296"/>
      <c r="L27" s="296"/>
      <c r="M27" s="386"/>
      <c r="N27" s="347" t="str">
        <f t="shared" si="1"/>
        <v/>
      </c>
    </row>
    <row r="28" spans="1:15" ht="12.95" customHeight="1">
      <c r="B28" s="10"/>
      <c r="C28" s="11"/>
      <c r="D28" s="11"/>
      <c r="E28" s="306"/>
      <c r="F28" s="332"/>
      <c r="G28" s="11"/>
      <c r="H28" s="295"/>
      <c r="I28" s="295"/>
      <c r="J28" s="387"/>
      <c r="K28" s="295"/>
      <c r="L28" s="295"/>
      <c r="M28" s="387"/>
      <c r="N28" s="347" t="str">
        <f t="shared" si="1"/>
        <v/>
      </c>
    </row>
    <row r="29" spans="1:15" s="1" customFormat="1" ht="12.95" customHeight="1">
      <c r="A29" s="281"/>
      <c r="B29" s="12"/>
      <c r="C29" s="8"/>
      <c r="D29" s="8"/>
      <c r="E29" s="305">
        <v>821000</v>
      </c>
      <c r="F29" s="331"/>
      <c r="G29" s="8" t="s">
        <v>90</v>
      </c>
      <c r="H29" s="295">
        <f t="shared" ref="H29:M29" si="8">H30+H31</f>
        <v>25000</v>
      </c>
      <c r="I29" s="295">
        <f t="shared" si="8"/>
        <v>0</v>
      </c>
      <c r="J29" s="387">
        <f t="shared" si="8"/>
        <v>25000</v>
      </c>
      <c r="K29" s="295">
        <f t="shared" si="8"/>
        <v>19890</v>
      </c>
      <c r="L29" s="295">
        <f t="shared" si="8"/>
        <v>0</v>
      </c>
      <c r="M29" s="387">
        <f t="shared" si="8"/>
        <v>19890</v>
      </c>
      <c r="N29" s="346">
        <f t="shared" si="1"/>
        <v>79.56</v>
      </c>
    </row>
    <row r="30" spans="1:15" ht="12.95" customHeight="1">
      <c r="B30" s="10"/>
      <c r="C30" s="11"/>
      <c r="D30" s="11"/>
      <c r="E30" s="306">
        <v>821200</v>
      </c>
      <c r="F30" s="332"/>
      <c r="G30" s="11" t="s">
        <v>91</v>
      </c>
      <c r="H30" s="296">
        <v>0</v>
      </c>
      <c r="I30" s="296">
        <v>0</v>
      </c>
      <c r="J30" s="385">
        <f t="shared" ref="J30:J31" si="9">SUM(H30:I30)</f>
        <v>0</v>
      </c>
      <c r="K30" s="296">
        <v>0</v>
      </c>
      <c r="L30" s="296">
        <v>0</v>
      </c>
      <c r="M30" s="385">
        <f t="shared" ref="M30:M31" si="10">SUM(K30:L30)</f>
        <v>0</v>
      </c>
      <c r="N30" s="347" t="str">
        <f t="shared" si="1"/>
        <v/>
      </c>
    </row>
    <row r="31" spans="1:15" ht="12.95" customHeight="1">
      <c r="B31" s="10"/>
      <c r="C31" s="11"/>
      <c r="D31" s="11"/>
      <c r="E31" s="306">
        <v>821300</v>
      </c>
      <c r="F31" s="332"/>
      <c r="G31" s="11" t="s">
        <v>92</v>
      </c>
      <c r="H31" s="296">
        <v>25000</v>
      </c>
      <c r="I31" s="296">
        <v>0</v>
      </c>
      <c r="J31" s="385">
        <f t="shared" si="9"/>
        <v>25000</v>
      </c>
      <c r="K31" s="296">
        <v>19890</v>
      </c>
      <c r="L31" s="296">
        <v>0</v>
      </c>
      <c r="M31" s="385">
        <f t="shared" si="10"/>
        <v>19890</v>
      </c>
      <c r="N31" s="347">
        <f t="shared" si="1"/>
        <v>79.56</v>
      </c>
    </row>
    <row r="32" spans="1:15" ht="12.95" customHeight="1">
      <c r="B32" s="10"/>
      <c r="C32" s="11"/>
      <c r="D32" s="11"/>
      <c r="E32" s="306"/>
      <c r="F32" s="332"/>
      <c r="G32" s="11"/>
      <c r="H32" s="291"/>
      <c r="I32" s="291"/>
      <c r="J32" s="386"/>
      <c r="K32" s="291"/>
      <c r="L32" s="291"/>
      <c r="M32" s="386"/>
      <c r="N32" s="347" t="str">
        <f t="shared" si="1"/>
        <v/>
      </c>
    </row>
    <row r="33" spans="1:14" s="1" customFormat="1" ht="12.95" customHeight="1">
      <c r="A33" s="281"/>
      <c r="B33" s="12"/>
      <c r="C33" s="8"/>
      <c r="D33" s="8"/>
      <c r="E33" s="305"/>
      <c r="F33" s="331"/>
      <c r="G33" s="8" t="s">
        <v>93</v>
      </c>
      <c r="H33" s="297">
        <v>44</v>
      </c>
      <c r="I33" s="297"/>
      <c r="J33" s="389">
        <v>44</v>
      </c>
      <c r="K33" s="297">
        <v>43</v>
      </c>
      <c r="L33" s="297"/>
      <c r="M33" s="389">
        <v>43</v>
      </c>
      <c r="N33" s="347"/>
    </row>
    <row r="34" spans="1:14" s="1" customFormat="1" ht="12.95" customHeight="1">
      <c r="A34" s="281"/>
      <c r="B34" s="12"/>
      <c r="C34" s="8"/>
      <c r="D34" s="8"/>
      <c r="E34" s="305"/>
      <c r="F34" s="331"/>
      <c r="G34" s="8" t="s">
        <v>113</v>
      </c>
      <c r="H34" s="288">
        <f t="shared" ref="H34:M34" si="11">H8+H13+H16+H29</f>
        <v>1602130</v>
      </c>
      <c r="I34" s="288">
        <f t="shared" si="11"/>
        <v>0</v>
      </c>
      <c r="J34" s="387">
        <f t="shared" si="11"/>
        <v>1602130</v>
      </c>
      <c r="K34" s="288">
        <f t="shared" si="11"/>
        <v>380710</v>
      </c>
      <c r="L34" s="288">
        <f t="shared" si="11"/>
        <v>0</v>
      </c>
      <c r="M34" s="387">
        <f t="shared" si="11"/>
        <v>380710</v>
      </c>
      <c r="N34" s="346">
        <f t="shared" si="1"/>
        <v>23.762740851241784</v>
      </c>
    </row>
    <row r="35" spans="1:14" s="1" customFormat="1" ht="12.95" customHeight="1">
      <c r="A35" s="281"/>
      <c r="B35" s="12"/>
      <c r="C35" s="8"/>
      <c r="D35" s="8"/>
      <c r="E35" s="305"/>
      <c r="F35" s="331"/>
      <c r="G35" s="8" t="s">
        <v>94</v>
      </c>
      <c r="H35" s="288">
        <f t="shared" ref="H35:M35" si="12">H34</f>
        <v>1602130</v>
      </c>
      <c r="I35" s="288">
        <f t="shared" si="12"/>
        <v>0</v>
      </c>
      <c r="J35" s="387">
        <f t="shared" si="12"/>
        <v>1602130</v>
      </c>
      <c r="K35" s="288">
        <f t="shared" si="12"/>
        <v>380710</v>
      </c>
      <c r="L35" s="288">
        <f t="shared" si="12"/>
        <v>0</v>
      </c>
      <c r="M35" s="387">
        <f t="shared" si="12"/>
        <v>380710</v>
      </c>
      <c r="N35" s="346">
        <f t="shared" si="1"/>
        <v>23.762740851241784</v>
      </c>
    </row>
    <row r="36" spans="1:14" s="1" customFormat="1" ht="12.95" customHeight="1">
      <c r="A36" s="281"/>
      <c r="B36" s="12"/>
      <c r="C36" s="8"/>
      <c r="D36" s="8"/>
      <c r="E36" s="305"/>
      <c r="F36" s="331"/>
      <c r="G36" s="8" t="s">
        <v>95</v>
      </c>
      <c r="H36" s="279"/>
      <c r="I36" s="279"/>
      <c r="J36" s="386"/>
      <c r="K36" s="279"/>
      <c r="L36" s="279"/>
      <c r="M36" s="386"/>
      <c r="N36" s="348" t="str">
        <f t="shared" si="1"/>
        <v/>
      </c>
    </row>
    <row r="37" spans="1:14" ht="12.95" customHeight="1" thickBot="1">
      <c r="B37" s="15"/>
      <c r="C37" s="16"/>
      <c r="D37" s="16"/>
      <c r="E37" s="307"/>
      <c r="F37" s="333"/>
      <c r="G37" s="16"/>
      <c r="H37" s="27"/>
      <c r="I37" s="27"/>
      <c r="J37" s="390"/>
      <c r="K37" s="27"/>
      <c r="L37" s="27"/>
      <c r="M37" s="390"/>
      <c r="N37" s="349" t="str">
        <f t="shared" si="1"/>
        <v/>
      </c>
    </row>
    <row r="38" spans="1:14" ht="12.95" customHeight="1">
      <c r="E38" s="308"/>
      <c r="F38" s="334"/>
      <c r="J38" s="393"/>
      <c r="M38" s="393"/>
      <c r="N38" s="350" t="str">
        <f t="shared" si="1"/>
        <v/>
      </c>
    </row>
    <row r="39" spans="1:14" ht="12.95" customHeight="1">
      <c r="B39" s="50"/>
      <c r="E39" s="308"/>
      <c r="F39" s="334"/>
      <c r="J39" s="393"/>
      <c r="M39" s="393"/>
      <c r="N39" s="350" t="str">
        <f t="shared" si="1"/>
        <v/>
      </c>
    </row>
    <row r="40" spans="1:14" ht="12.95" customHeight="1">
      <c r="B40" s="50"/>
      <c r="E40" s="308"/>
      <c r="F40" s="334"/>
      <c r="J40" s="393"/>
      <c r="M40" s="393"/>
      <c r="N40" s="350" t="str">
        <f t="shared" si="1"/>
        <v/>
      </c>
    </row>
    <row r="41" spans="1:14" ht="12.95" customHeight="1">
      <c r="B41" s="50"/>
      <c r="E41" s="308"/>
      <c r="F41" s="334"/>
      <c r="J41" s="393"/>
      <c r="M41" s="393"/>
      <c r="N41" s="350" t="str">
        <f t="shared" si="1"/>
        <v/>
      </c>
    </row>
    <row r="42" spans="1:14" ht="12.95" customHeight="1">
      <c r="B42" s="50"/>
      <c r="E42" s="308"/>
      <c r="F42" s="334"/>
      <c r="J42" s="393"/>
      <c r="M42" s="393"/>
      <c r="N42" s="350" t="str">
        <f t="shared" si="1"/>
        <v/>
      </c>
    </row>
    <row r="43" spans="1:14" ht="12.95" customHeight="1">
      <c r="B43" s="50"/>
      <c r="E43" s="308"/>
      <c r="F43" s="334"/>
      <c r="J43" s="393"/>
      <c r="M43" s="393"/>
      <c r="N43" s="350" t="str">
        <f t="shared" si="1"/>
        <v/>
      </c>
    </row>
    <row r="44" spans="1:14" ht="12.95" customHeight="1">
      <c r="B44" s="50"/>
      <c r="E44" s="308"/>
      <c r="F44" s="334"/>
      <c r="J44" s="393"/>
      <c r="M44" s="393"/>
      <c r="N44" s="350" t="str">
        <f t="shared" si="1"/>
        <v/>
      </c>
    </row>
    <row r="45" spans="1:14" ht="12.95" customHeight="1">
      <c r="B45" s="50"/>
      <c r="E45" s="308"/>
      <c r="F45" s="334"/>
      <c r="J45" s="393"/>
      <c r="M45" s="393"/>
      <c r="N45" s="350" t="str">
        <f t="shared" si="1"/>
        <v/>
      </c>
    </row>
    <row r="46" spans="1:14" ht="12.95" customHeight="1">
      <c r="E46" s="308"/>
      <c r="F46" s="334"/>
      <c r="J46" s="393"/>
      <c r="M46" s="393"/>
      <c r="N46" s="350" t="str">
        <f t="shared" si="1"/>
        <v/>
      </c>
    </row>
    <row r="47" spans="1:14" ht="12.95" customHeight="1">
      <c r="E47" s="308"/>
      <c r="F47" s="334"/>
      <c r="J47" s="393"/>
      <c r="M47" s="393"/>
      <c r="N47" s="350" t="str">
        <f t="shared" si="1"/>
        <v/>
      </c>
    </row>
    <row r="48" spans="1:14" ht="12.95" customHeight="1">
      <c r="E48" s="308"/>
      <c r="F48" s="334"/>
      <c r="J48" s="393"/>
      <c r="M48" s="393"/>
      <c r="N48" s="350" t="str">
        <f t="shared" si="1"/>
        <v/>
      </c>
    </row>
    <row r="49" spans="5:14" ht="12.95" customHeight="1">
      <c r="E49" s="308"/>
      <c r="F49" s="334"/>
      <c r="J49" s="393"/>
      <c r="M49" s="393"/>
      <c r="N49" s="350" t="str">
        <f t="shared" si="1"/>
        <v/>
      </c>
    </row>
    <row r="50" spans="5:14" ht="12.95" customHeight="1">
      <c r="E50" s="308"/>
      <c r="F50" s="334"/>
      <c r="J50" s="393"/>
      <c r="M50" s="393"/>
      <c r="N50" s="350" t="str">
        <f t="shared" si="1"/>
        <v/>
      </c>
    </row>
    <row r="51" spans="5:14" ht="12.95" customHeight="1">
      <c r="E51" s="308"/>
      <c r="F51" s="334"/>
      <c r="J51" s="393"/>
      <c r="M51" s="393"/>
      <c r="N51" s="350" t="str">
        <f t="shared" si="1"/>
        <v/>
      </c>
    </row>
    <row r="52" spans="5:14" ht="12.95" customHeight="1">
      <c r="E52" s="308"/>
      <c r="F52" s="334"/>
      <c r="J52" s="393"/>
      <c r="M52" s="393"/>
      <c r="N52" s="350" t="str">
        <f t="shared" si="1"/>
        <v/>
      </c>
    </row>
    <row r="53" spans="5:14" ht="12.95" customHeight="1">
      <c r="E53" s="308"/>
      <c r="F53" s="334"/>
      <c r="J53" s="393"/>
      <c r="M53" s="393"/>
      <c r="N53" s="350" t="str">
        <f t="shared" si="1"/>
        <v/>
      </c>
    </row>
    <row r="54" spans="5:14" ht="12.95" customHeight="1">
      <c r="E54" s="308"/>
      <c r="F54" s="334"/>
      <c r="J54" s="393"/>
      <c r="M54" s="393"/>
      <c r="N54" s="350" t="str">
        <f t="shared" si="1"/>
        <v/>
      </c>
    </row>
    <row r="55" spans="5:14" ht="12.95" customHeight="1">
      <c r="E55" s="308"/>
      <c r="F55" s="334"/>
      <c r="J55" s="393"/>
      <c r="M55" s="393"/>
      <c r="N55" s="350" t="str">
        <f t="shared" si="1"/>
        <v/>
      </c>
    </row>
    <row r="56" spans="5:14" ht="12.95" customHeight="1">
      <c r="E56" s="308"/>
      <c r="F56" s="334"/>
      <c r="J56" s="393"/>
      <c r="M56" s="393"/>
      <c r="N56" s="350" t="str">
        <f t="shared" si="1"/>
        <v/>
      </c>
    </row>
    <row r="57" spans="5:14" ht="12.95" customHeight="1">
      <c r="E57" s="308"/>
      <c r="F57" s="334"/>
      <c r="J57" s="393"/>
      <c r="M57" s="393"/>
      <c r="N57" s="350" t="str">
        <f t="shared" si="1"/>
        <v/>
      </c>
    </row>
    <row r="58" spans="5:14" ht="12.95" customHeight="1">
      <c r="E58" s="308"/>
      <c r="F58" s="334"/>
      <c r="J58" s="393"/>
      <c r="M58" s="393"/>
      <c r="N58" s="350" t="str">
        <f t="shared" si="1"/>
        <v/>
      </c>
    </row>
    <row r="59" spans="5:14" ht="12.95" customHeight="1">
      <c r="E59" s="308"/>
      <c r="F59" s="334"/>
      <c r="J59" s="393"/>
      <c r="M59" s="393"/>
      <c r="N59" s="350" t="str">
        <f t="shared" si="1"/>
        <v/>
      </c>
    </row>
    <row r="60" spans="5:14" ht="17.100000000000001" customHeight="1">
      <c r="E60" s="308"/>
      <c r="F60" s="334"/>
      <c r="J60" s="393"/>
      <c r="M60" s="393"/>
      <c r="N60" s="350" t="str">
        <f t="shared" si="1"/>
        <v/>
      </c>
    </row>
    <row r="61" spans="5:14" ht="14.25">
      <c r="E61" s="308"/>
      <c r="F61" s="334"/>
      <c r="J61" s="393"/>
      <c r="M61" s="393"/>
      <c r="N61" s="350" t="str">
        <f t="shared" si="1"/>
        <v/>
      </c>
    </row>
    <row r="62" spans="5:14" ht="14.25">
      <c r="E62" s="308"/>
      <c r="F62" s="334"/>
      <c r="J62" s="393"/>
      <c r="M62" s="393"/>
      <c r="N62" s="350" t="str">
        <f t="shared" si="1"/>
        <v/>
      </c>
    </row>
    <row r="63" spans="5:14" ht="14.25">
      <c r="E63" s="308"/>
      <c r="F63" s="334"/>
      <c r="J63" s="393"/>
      <c r="M63" s="393"/>
      <c r="N63" s="350" t="str">
        <f t="shared" si="1"/>
        <v/>
      </c>
    </row>
    <row r="64" spans="5:14" ht="14.25">
      <c r="E64" s="308"/>
      <c r="F64" s="334"/>
      <c r="J64" s="393"/>
      <c r="M64" s="393"/>
      <c r="N64" s="350" t="str">
        <f t="shared" si="1"/>
        <v/>
      </c>
    </row>
    <row r="65" spans="5:14" ht="14.25">
      <c r="E65" s="308"/>
      <c r="F65" s="334"/>
      <c r="J65" s="393"/>
      <c r="M65" s="393"/>
      <c r="N65" s="350" t="str">
        <f t="shared" si="1"/>
        <v/>
      </c>
    </row>
    <row r="66" spans="5:14" ht="14.25">
      <c r="E66" s="308"/>
      <c r="F66" s="334"/>
      <c r="J66" s="393"/>
      <c r="M66" s="393"/>
      <c r="N66" s="350" t="str">
        <f t="shared" si="1"/>
        <v/>
      </c>
    </row>
    <row r="67" spans="5:14" ht="14.25">
      <c r="E67" s="308"/>
      <c r="F67" s="334"/>
      <c r="J67" s="393"/>
      <c r="M67" s="393"/>
    </row>
    <row r="68" spans="5:14" ht="14.25">
      <c r="E68" s="308"/>
      <c r="F68" s="334"/>
      <c r="J68" s="393"/>
      <c r="M68" s="393"/>
    </row>
    <row r="69" spans="5:14" ht="14.25">
      <c r="E69" s="308"/>
      <c r="F69" s="334"/>
      <c r="J69" s="393"/>
      <c r="M69" s="393"/>
    </row>
    <row r="70" spans="5:14" ht="14.25">
      <c r="E70" s="308"/>
      <c r="F70" s="334"/>
      <c r="J70" s="393"/>
      <c r="M70" s="393"/>
    </row>
    <row r="71" spans="5:14" ht="14.25">
      <c r="E71" s="308"/>
      <c r="F71" s="334"/>
      <c r="J71" s="393"/>
      <c r="M71" s="393"/>
    </row>
    <row r="72" spans="5:14" ht="14.25">
      <c r="E72" s="308"/>
      <c r="F72" s="334"/>
      <c r="J72" s="393"/>
      <c r="M72" s="393"/>
    </row>
    <row r="73" spans="5:14" ht="14.25">
      <c r="E73" s="308"/>
      <c r="F73" s="334"/>
      <c r="J73" s="393"/>
      <c r="M73" s="393"/>
    </row>
    <row r="74" spans="5:14" ht="14.25">
      <c r="E74" s="308"/>
      <c r="F74" s="308"/>
      <c r="J74" s="393"/>
      <c r="M74" s="393"/>
    </row>
    <row r="75" spans="5:14" ht="14.25">
      <c r="E75" s="308"/>
      <c r="F75" s="308"/>
      <c r="J75" s="393"/>
      <c r="M75" s="393"/>
    </row>
    <row r="76" spans="5:14" ht="14.25">
      <c r="E76" s="308"/>
      <c r="F76" s="308"/>
      <c r="J76" s="393"/>
      <c r="M76" s="393"/>
    </row>
    <row r="77" spans="5:14" ht="14.25">
      <c r="E77" s="308"/>
      <c r="F77" s="308"/>
      <c r="J77" s="393"/>
      <c r="M77" s="393"/>
    </row>
    <row r="78" spans="5:14" ht="14.25">
      <c r="E78" s="308"/>
      <c r="F78" s="308"/>
      <c r="J78" s="393"/>
      <c r="M78" s="393"/>
    </row>
    <row r="79" spans="5:14" ht="14.25">
      <c r="E79" s="308"/>
      <c r="F79" s="308"/>
      <c r="J79" s="393"/>
      <c r="M79" s="393"/>
    </row>
    <row r="80" spans="5:14" ht="14.25">
      <c r="E80" s="308"/>
      <c r="F80" s="308"/>
      <c r="J80" s="393"/>
      <c r="M80" s="393"/>
    </row>
    <row r="81" spans="5:13" ht="14.25">
      <c r="E81" s="308"/>
      <c r="F81" s="308"/>
      <c r="J81" s="393"/>
      <c r="M81" s="393"/>
    </row>
    <row r="82" spans="5:13" ht="14.25">
      <c r="E82" s="308"/>
      <c r="F82" s="308"/>
      <c r="J82" s="393"/>
      <c r="M82" s="393"/>
    </row>
    <row r="83" spans="5:13" ht="14.25">
      <c r="E83" s="308"/>
      <c r="F83" s="308"/>
      <c r="J83" s="393"/>
      <c r="M83" s="393"/>
    </row>
    <row r="84" spans="5:13" ht="14.25">
      <c r="E84" s="308"/>
      <c r="F84" s="308"/>
      <c r="J84" s="393"/>
      <c r="M84" s="393"/>
    </row>
    <row r="85" spans="5:13" ht="14.25">
      <c r="E85" s="308"/>
      <c r="F85" s="308"/>
      <c r="J85" s="393"/>
      <c r="M85" s="393"/>
    </row>
    <row r="86" spans="5:13" ht="14.25">
      <c r="E86" s="308"/>
      <c r="F86" s="308"/>
      <c r="J86" s="393"/>
      <c r="M86" s="393"/>
    </row>
    <row r="87" spans="5:13" ht="14.25">
      <c r="E87" s="308"/>
      <c r="F87" s="308"/>
      <c r="J87" s="393"/>
      <c r="M87" s="393"/>
    </row>
    <row r="88" spans="5:13" ht="14.25">
      <c r="E88" s="308"/>
      <c r="F88" s="308"/>
      <c r="J88" s="393"/>
      <c r="M88" s="393"/>
    </row>
    <row r="89" spans="5:13" ht="14.25">
      <c r="E89" s="308"/>
      <c r="F89" s="308"/>
      <c r="J89" s="393"/>
      <c r="M89" s="393"/>
    </row>
    <row r="90" spans="5:13" ht="14.25">
      <c r="E90" s="308"/>
      <c r="F90" s="308"/>
      <c r="J90" s="393"/>
      <c r="M90" s="393"/>
    </row>
    <row r="91" spans="5:13">
      <c r="F91" s="308"/>
    </row>
    <row r="92" spans="5:13">
      <c r="F92" s="308"/>
    </row>
    <row r="93" spans="5:13">
      <c r="F93" s="308"/>
    </row>
    <row r="94" spans="5:13">
      <c r="F94" s="308"/>
    </row>
    <row r="95" spans="5:13">
      <c r="F95" s="308"/>
    </row>
    <row r="96" spans="5:13">
      <c r="F96" s="308"/>
    </row>
  </sheetData>
  <mergeCells count="10">
    <mergeCell ref="N4:N5"/>
    <mergeCell ref="G4:G5"/>
    <mergeCell ref="B2:G2"/>
    <mergeCell ref="H4:J4"/>
    <mergeCell ref="B4:B5"/>
    <mergeCell ref="C4:C5"/>
    <mergeCell ref="D4:D5"/>
    <mergeCell ref="F4:F5"/>
    <mergeCell ref="E4:E5"/>
    <mergeCell ref="K4:M4"/>
  </mergeCells>
  <phoneticPr fontId="2" type="noConversion"/>
  <pageMargins left="0.78740157480314965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7"/>
  <dimension ref="A1:P96"/>
  <sheetViews>
    <sheetView zoomScaleNormal="100" workbookViewId="0">
      <selection activeCell="K45" sqref="K45"/>
    </sheetView>
  </sheetViews>
  <sheetFormatPr defaultRowHeight="12.75"/>
  <cols>
    <col min="1" max="1" width="9.140625" style="284"/>
    <col min="2" max="2" width="4.7109375" style="9" customWidth="1"/>
    <col min="3" max="3" width="5.140625" style="9" customWidth="1"/>
    <col min="4" max="4" width="5" style="9" customWidth="1"/>
    <col min="5" max="5" width="8.7109375" style="17" customWidth="1"/>
    <col min="6" max="6" width="8.7109375" style="289" customWidth="1"/>
    <col min="7" max="7" width="50.7109375" style="9" customWidth="1"/>
    <col min="8" max="9" width="14.7109375" style="57" customWidth="1"/>
    <col min="10" max="10" width="15.7109375" style="57" customWidth="1"/>
    <col min="11" max="12" width="14.7109375" style="57" customWidth="1"/>
    <col min="13" max="13" width="15.7109375" style="57" customWidth="1"/>
    <col min="14" max="14" width="7.7109375" style="350" customWidth="1"/>
    <col min="15" max="16384" width="9.140625" style="9"/>
  </cols>
  <sheetData>
    <row r="1" spans="1:16" ht="13.5" thickBot="1"/>
    <row r="2" spans="1:16" s="376" customFormat="1" ht="20.100000000000001" customHeight="1" thickTop="1" thickBot="1">
      <c r="B2" s="590" t="s">
        <v>217</v>
      </c>
      <c r="C2" s="591"/>
      <c r="D2" s="591"/>
      <c r="E2" s="591"/>
      <c r="F2" s="591"/>
      <c r="G2" s="591"/>
      <c r="H2" s="377"/>
      <c r="I2" s="377"/>
      <c r="J2" s="377"/>
      <c r="K2" s="377"/>
      <c r="L2" s="377"/>
      <c r="M2" s="377"/>
      <c r="N2" s="380"/>
    </row>
    <row r="3" spans="1:16" s="1" customFormat="1" ht="8.1" customHeight="1" thickTop="1" thickBot="1">
      <c r="A3" s="281"/>
      <c r="E3" s="2"/>
      <c r="F3" s="282"/>
      <c r="G3" s="531"/>
      <c r="H3" s="92"/>
      <c r="I3" s="92"/>
      <c r="J3" s="92"/>
      <c r="K3" s="92"/>
      <c r="L3" s="92"/>
      <c r="M3" s="92"/>
      <c r="N3" s="344"/>
    </row>
    <row r="4" spans="1:16" s="1" customFormat="1" ht="39" customHeight="1">
      <c r="A4" s="281"/>
      <c r="B4" s="596" t="s">
        <v>78</v>
      </c>
      <c r="C4" s="606" t="s">
        <v>79</v>
      </c>
      <c r="D4" s="607" t="s">
        <v>110</v>
      </c>
      <c r="E4" s="608" t="s">
        <v>594</v>
      </c>
      <c r="F4" s="601" t="s">
        <v>653</v>
      </c>
      <c r="G4" s="602" t="s">
        <v>80</v>
      </c>
      <c r="H4" s="593" t="s">
        <v>647</v>
      </c>
      <c r="I4" s="594"/>
      <c r="J4" s="595"/>
      <c r="K4" s="593" t="s">
        <v>801</v>
      </c>
      <c r="L4" s="594"/>
      <c r="M4" s="595"/>
      <c r="N4" s="604" t="s">
        <v>805</v>
      </c>
    </row>
    <row r="5" spans="1:16" s="281" customFormat="1" ht="27" customHeight="1">
      <c r="B5" s="597"/>
      <c r="C5" s="599"/>
      <c r="D5" s="599"/>
      <c r="E5" s="603"/>
      <c r="F5" s="599"/>
      <c r="G5" s="603"/>
      <c r="H5" s="372" t="s">
        <v>705</v>
      </c>
      <c r="I5" s="372" t="s">
        <v>706</v>
      </c>
      <c r="J5" s="382" t="s">
        <v>413</v>
      </c>
      <c r="K5" s="372" t="s">
        <v>705</v>
      </c>
      <c r="L5" s="372" t="s">
        <v>706</v>
      </c>
      <c r="M5" s="382" t="s">
        <v>413</v>
      </c>
      <c r="N5" s="605"/>
    </row>
    <row r="6" spans="1:16" s="2" customFormat="1" ht="12.95" customHeight="1">
      <c r="A6" s="282"/>
      <c r="B6" s="504">
        <v>1</v>
      </c>
      <c r="C6" s="331">
        <v>2</v>
      </c>
      <c r="D6" s="331">
        <v>3</v>
      </c>
      <c r="E6" s="331">
        <v>4</v>
      </c>
      <c r="F6" s="331">
        <v>5</v>
      </c>
      <c r="G6" s="331">
        <v>6</v>
      </c>
      <c r="H6" s="331">
        <v>7</v>
      </c>
      <c r="I6" s="331">
        <v>8</v>
      </c>
      <c r="J6" s="523" t="s">
        <v>804</v>
      </c>
      <c r="K6" s="331">
        <v>10</v>
      </c>
      <c r="L6" s="331">
        <v>11</v>
      </c>
      <c r="M6" s="523" t="s">
        <v>707</v>
      </c>
      <c r="N6" s="505">
        <v>13</v>
      </c>
    </row>
    <row r="7" spans="1:16" s="2" customFormat="1" ht="12.95" customHeight="1">
      <c r="A7" s="282"/>
      <c r="B7" s="6" t="s">
        <v>131</v>
      </c>
      <c r="C7" s="7" t="s">
        <v>133</v>
      </c>
      <c r="D7" s="7" t="s">
        <v>82</v>
      </c>
      <c r="E7" s="5"/>
      <c r="F7" s="283"/>
      <c r="G7" s="5"/>
      <c r="H7" s="86"/>
      <c r="I7" s="86"/>
      <c r="J7" s="392"/>
      <c r="K7" s="86"/>
      <c r="L7" s="86"/>
      <c r="M7" s="392"/>
      <c r="N7" s="345"/>
    </row>
    <row r="8" spans="1:16" s="1" customFormat="1" ht="12.95" customHeight="1">
      <c r="A8" s="281"/>
      <c r="B8" s="12"/>
      <c r="C8" s="8"/>
      <c r="D8" s="8"/>
      <c r="E8" s="305">
        <v>611000</v>
      </c>
      <c r="F8" s="331"/>
      <c r="G8" s="8" t="s">
        <v>163</v>
      </c>
      <c r="H8" s="210">
        <f t="shared" ref="H8:M8" si="0">SUM(H9:H12)</f>
        <v>43660</v>
      </c>
      <c r="I8" s="210">
        <f t="shared" si="0"/>
        <v>0</v>
      </c>
      <c r="J8" s="384">
        <f t="shared" si="0"/>
        <v>43660</v>
      </c>
      <c r="K8" s="210">
        <f t="shared" si="0"/>
        <v>8071</v>
      </c>
      <c r="L8" s="210">
        <f t="shared" si="0"/>
        <v>0</v>
      </c>
      <c r="M8" s="384">
        <f t="shared" si="0"/>
        <v>8071</v>
      </c>
      <c r="N8" s="346">
        <f>IF(J8=0,"",M8/J8*100)</f>
        <v>18.486028401282638</v>
      </c>
    </row>
    <row r="9" spans="1:16" ht="12.95" customHeight="1">
      <c r="B9" s="10"/>
      <c r="C9" s="11"/>
      <c r="D9" s="11"/>
      <c r="E9" s="306">
        <v>611100</v>
      </c>
      <c r="F9" s="332"/>
      <c r="G9" s="18" t="s">
        <v>198</v>
      </c>
      <c r="H9" s="212">
        <f>28970+100+1*9*950</f>
        <v>37620</v>
      </c>
      <c r="I9" s="212">
        <v>0</v>
      </c>
      <c r="J9" s="385">
        <f>SUM(H9:I9)</f>
        <v>37620</v>
      </c>
      <c r="K9" s="212">
        <v>7231</v>
      </c>
      <c r="L9" s="212">
        <v>0</v>
      </c>
      <c r="M9" s="385">
        <f>SUM(K9:L9)</f>
        <v>7231</v>
      </c>
      <c r="N9" s="347">
        <f t="shared" ref="N9:N66" si="1">IF(J9=0,"",M9/J9*100)</f>
        <v>19.221158958001062</v>
      </c>
    </row>
    <row r="10" spans="1:16" ht="12.95" customHeight="1">
      <c r="B10" s="10"/>
      <c r="C10" s="11"/>
      <c r="D10" s="11"/>
      <c r="E10" s="306">
        <v>611200</v>
      </c>
      <c r="F10" s="332"/>
      <c r="G10" s="11" t="s">
        <v>199</v>
      </c>
      <c r="H10" s="212">
        <f>3670+80+9*21*10+400</f>
        <v>6040</v>
      </c>
      <c r="I10" s="212">
        <v>0</v>
      </c>
      <c r="J10" s="385">
        <f t="shared" ref="J10:J11" si="2">SUM(H10:I10)</f>
        <v>6040</v>
      </c>
      <c r="K10" s="212">
        <v>840</v>
      </c>
      <c r="L10" s="212">
        <v>0</v>
      </c>
      <c r="M10" s="385">
        <f t="shared" ref="M10:M11" si="3">SUM(K10:L10)</f>
        <v>840</v>
      </c>
      <c r="N10" s="347">
        <f t="shared" si="1"/>
        <v>13.90728476821192</v>
      </c>
    </row>
    <row r="11" spans="1:16" ht="12.95" customHeight="1">
      <c r="B11" s="10"/>
      <c r="C11" s="11"/>
      <c r="D11" s="11"/>
      <c r="E11" s="306">
        <v>611200</v>
      </c>
      <c r="F11" s="332"/>
      <c r="G11" s="189" t="s">
        <v>534</v>
      </c>
      <c r="H11" s="209">
        <v>0</v>
      </c>
      <c r="I11" s="209">
        <v>0</v>
      </c>
      <c r="J11" s="385">
        <f t="shared" si="2"/>
        <v>0</v>
      </c>
      <c r="K11" s="209">
        <v>0</v>
      </c>
      <c r="L11" s="209">
        <v>0</v>
      </c>
      <c r="M11" s="385">
        <f t="shared" si="3"/>
        <v>0</v>
      </c>
      <c r="N11" s="347" t="str">
        <f t="shared" si="1"/>
        <v/>
      </c>
      <c r="P11" s="56"/>
    </row>
    <row r="12" spans="1:16" ht="12.95" customHeight="1">
      <c r="B12" s="10"/>
      <c r="C12" s="11"/>
      <c r="D12" s="11"/>
      <c r="E12" s="306"/>
      <c r="F12" s="332"/>
      <c r="G12" s="18"/>
      <c r="H12" s="212"/>
      <c r="I12" s="212"/>
      <c r="J12" s="385"/>
      <c r="K12" s="212"/>
      <c r="L12" s="212"/>
      <c r="M12" s="385"/>
      <c r="N12" s="347" t="str">
        <f t="shared" si="1"/>
        <v/>
      </c>
    </row>
    <row r="13" spans="1:16" s="1" customFormat="1" ht="12.95" customHeight="1">
      <c r="A13" s="281"/>
      <c r="B13" s="12"/>
      <c r="C13" s="8"/>
      <c r="D13" s="8"/>
      <c r="E13" s="305">
        <v>612000</v>
      </c>
      <c r="F13" s="331"/>
      <c r="G13" s="8" t="s">
        <v>162</v>
      </c>
      <c r="H13" s="210">
        <f t="shared" ref="H13:M13" si="4">H14</f>
        <v>4130</v>
      </c>
      <c r="I13" s="210">
        <f t="shared" si="4"/>
        <v>0</v>
      </c>
      <c r="J13" s="384">
        <f t="shared" si="4"/>
        <v>4130</v>
      </c>
      <c r="K13" s="210">
        <f t="shared" si="4"/>
        <v>765</v>
      </c>
      <c r="L13" s="210">
        <f t="shared" si="4"/>
        <v>0</v>
      </c>
      <c r="M13" s="384">
        <f t="shared" si="4"/>
        <v>765</v>
      </c>
      <c r="N13" s="346">
        <f t="shared" si="1"/>
        <v>18.523002421307506</v>
      </c>
    </row>
    <row r="14" spans="1:16" ht="12.95" customHeight="1">
      <c r="B14" s="10"/>
      <c r="C14" s="11"/>
      <c r="D14" s="11"/>
      <c r="E14" s="306">
        <v>612100</v>
      </c>
      <c r="F14" s="332"/>
      <c r="G14" s="13" t="s">
        <v>83</v>
      </c>
      <c r="H14" s="212">
        <f>3100+40+1*9*110</f>
        <v>4130</v>
      </c>
      <c r="I14" s="212">
        <v>0</v>
      </c>
      <c r="J14" s="385">
        <f>SUM(H14:I14)</f>
        <v>4130</v>
      </c>
      <c r="K14" s="212">
        <v>765</v>
      </c>
      <c r="L14" s="212">
        <v>0</v>
      </c>
      <c r="M14" s="385">
        <f>SUM(K14:L14)</f>
        <v>765</v>
      </c>
      <c r="N14" s="347">
        <f t="shared" si="1"/>
        <v>18.523002421307506</v>
      </c>
    </row>
    <row r="15" spans="1:16" ht="12.95" customHeight="1">
      <c r="B15" s="10"/>
      <c r="C15" s="11"/>
      <c r="D15" s="11"/>
      <c r="E15" s="306"/>
      <c r="F15" s="332"/>
      <c r="G15" s="11"/>
      <c r="H15" s="291"/>
      <c r="I15" s="291"/>
      <c r="J15" s="386"/>
      <c r="K15" s="291"/>
      <c r="L15" s="291"/>
      <c r="M15" s="386"/>
      <c r="N15" s="347" t="str">
        <f t="shared" si="1"/>
        <v/>
      </c>
    </row>
    <row r="16" spans="1:16" s="1" customFormat="1" ht="12.95" customHeight="1">
      <c r="A16" s="281"/>
      <c r="B16" s="12"/>
      <c r="C16" s="8"/>
      <c r="D16" s="8"/>
      <c r="E16" s="305">
        <v>613000</v>
      </c>
      <c r="F16" s="331"/>
      <c r="G16" s="8" t="s">
        <v>164</v>
      </c>
      <c r="H16" s="293">
        <f t="shared" ref="H16:M16" si="5">SUM(H17:H26)</f>
        <v>4200</v>
      </c>
      <c r="I16" s="293">
        <f t="shared" si="5"/>
        <v>0</v>
      </c>
      <c r="J16" s="387">
        <f t="shared" si="5"/>
        <v>4200</v>
      </c>
      <c r="K16" s="293">
        <f t="shared" si="5"/>
        <v>946</v>
      </c>
      <c r="L16" s="293">
        <f t="shared" si="5"/>
        <v>0</v>
      </c>
      <c r="M16" s="387">
        <f t="shared" si="5"/>
        <v>946</v>
      </c>
      <c r="N16" s="347">
        <f t="shared" si="1"/>
        <v>22.523809523809526</v>
      </c>
    </row>
    <row r="17" spans="1:14" ht="12.95" customHeight="1">
      <c r="B17" s="10"/>
      <c r="C17" s="11"/>
      <c r="D17" s="11"/>
      <c r="E17" s="306">
        <v>613100</v>
      </c>
      <c r="F17" s="332"/>
      <c r="G17" s="11" t="s">
        <v>84</v>
      </c>
      <c r="H17" s="363">
        <v>500</v>
      </c>
      <c r="I17" s="363">
        <v>0</v>
      </c>
      <c r="J17" s="385">
        <f t="shared" ref="J17:J26" si="6">SUM(H17:I17)</f>
        <v>500</v>
      </c>
      <c r="K17" s="363">
        <v>0</v>
      </c>
      <c r="L17" s="363">
        <v>0</v>
      </c>
      <c r="M17" s="385">
        <f t="shared" ref="M17:M26" si="7">SUM(K17:L17)</f>
        <v>0</v>
      </c>
      <c r="N17" s="347">
        <f t="shared" si="1"/>
        <v>0</v>
      </c>
    </row>
    <row r="18" spans="1:14" ht="12.95" customHeight="1">
      <c r="B18" s="10"/>
      <c r="C18" s="11"/>
      <c r="D18" s="11"/>
      <c r="E18" s="306">
        <v>613200</v>
      </c>
      <c r="F18" s="332"/>
      <c r="G18" s="11" t="s">
        <v>85</v>
      </c>
      <c r="H18" s="363">
        <v>0</v>
      </c>
      <c r="I18" s="363">
        <v>0</v>
      </c>
      <c r="J18" s="385">
        <f t="shared" si="6"/>
        <v>0</v>
      </c>
      <c r="K18" s="363">
        <v>0</v>
      </c>
      <c r="L18" s="363">
        <v>0</v>
      </c>
      <c r="M18" s="385">
        <f t="shared" si="7"/>
        <v>0</v>
      </c>
      <c r="N18" s="347" t="str">
        <f t="shared" si="1"/>
        <v/>
      </c>
    </row>
    <row r="19" spans="1:14" ht="12.95" customHeight="1">
      <c r="B19" s="10"/>
      <c r="C19" s="11"/>
      <c r="D19" s="11"/>
      <c r="E19" s="306">
        <v>613300</v>
      </c>
      <c r="F19" s="332"/>
      <c r="G19" s="18" t="s">
        <v>200</v>
      </c>
      <c r="H19" s="363">
        <v>1000</v>
      </c>
      <c r="I19" s="363">
        <v>0</v>
      </c>
      <c r="J19" s="385">
        <f t="shared" si="6"/>
        <v>1000</v>
      </c>
      <c r="K19" s="363">
        <v>151</v>
      </c>
      <c r="L19" s="363">
        <v>0</v>
      </c>
      <c r="M19" s="385">
        <f t="shared" si="7"/>
        <v>151</v>
      </c>
      <c r="N19" s="347">
        <f t="shared" si="1"/>
        <v>15.1</v>
      </c>
    </row>
    <row r="20" spans="1:14" ht="12.95" customHeight="1">
      <c r="B20" s="10"/>
      <c r="C20" s="11"/>
      <c r="D20" s="11"/>
      <c r="E20" s="306">
        <v>613400</v>
      </c>
      <c r="F20" s="332"/>
      <c r="G20" s="11" t="s">
        <v>165</v>
      </c>
      <c r="H20" s="363">
        <v>1000</v>
      </c>
      <c r="I20" s="363">
        <v>0</v>
      </c>
      <c r="J20" s="385">
        <f t="shared" si="6"/>
        <v>1000</v>
      </c>
      <c r="K20" s="363">
        <v>240</v>
      </c>
      <c r="L20" s="363">
        <v>0</v>
      </c>
      <c r="M20" s="385">
        <f t="shared" si="7"/>
        <v>240</v>
      </c>
      <c r="N20" s="347">
        <f t="shared" si="1"/>
        <v>24</v>
      </c>
    </row>
    <row r="21" spans="1:14" ht="12.95" customHeight="1">
      <c r="B21" s="10"/>
      <c r="C21" s="11"/>
      <c r="D21" s="11"/>
      <c r="E21" s="306">
        <v>613500</v>
      </c>
      <c r="F21" s="332"/>
      <c r="G21" s="11" t="s">
        <v>86</v>
      </c>
      <c r="H21" s="363">
        <v>0</v>
      </c>
      <c r="I21" s="363">
        <v>0</v>
      </c>
      <c r="J21" s="385">
        <f t="shared" si="6"/>
        <v>0</v>
      </c>
      <c r="K21" s="363">
        <v>0</v>
      </c>
      <c r="L21" s="363">
        <v>0</v>
      </c>
      <c r="M21" s="385">
        <f t="shared" si="7"/>
        <v>0</v>
      </c>
      <c r="N21" s="347" t="str">
        <f t="shared" si="1"/>
        <v/>
      </c>
    </row>
    <row r="22" spans="1:14" ht="12.95" customHeight="1">
      <c r="B22" s="10"/>
      <c r="C22" s="11"/>
      <c r="D22" s="11"/>
      <c r="E22" s="306">
        <v>613600</v>
      </c>
      <c r="F22" s="332"/>
      <c r="G22" s="18" t="s">
        <v>201</v>
      </c>
      <c r="H22" s="363">
        <v>0</v>
      </c>
      <c r="I22" s="363">
        <v>0</v>
      </c>
      <c r="J22" s="385">
        <f t="shared" si="6"/>
        <v>0</v>
      </c>
      <c r="K22" s="363">
        <v>0</v>
      </c>
      <c r="L22" s="363">
        <v>0</v>
      </c>
      <c r="M22" s="385">
        <f t="shared" si="7"/>
        <v>0</v>
      </c>
      <c r="N22" s="347" t="str">
        <f t="shared" si="1"/>
        <v/>
      </c>
    </row>
    <row r="23" spans="1:14" ht="12.95" customHeight="1">
      <c r="B23" s="10"/>
      <c r="C23" s="11"/>
      <c r="D23" s="11"/>
      <c r="E23" s="306">
        <v>613700</v>
      </c>
      <c r="F23" s="332"/>
      <c r="G23" s="11" t="s">
        <v>87</v>
      </c>
      <c r="H23" s="363">
        <v>0</v>
      </c>
      <c r="I23" s="363">
        <v>0</v>
      </c>
      <c r="J23" s="385">
        <f t="shared" si="6"/>
        <v>0</v>
      </c>
      <c r="K23" s="363">
        <v>0</v>
      </c>
      <c r="L23" s="363">
        <v>0</v>
      </c>
      <c r="M23" s="385">
        <f t="shared" si="7"/>
        <v>0</v>
      </c>
      <c r="N23" s="347" t="str">
        <f t="shared" si="1"/>
        <v/>
      </c>
    </row>
    <row r="24" spans="1:14" ht="12.95" customHeight="1">
      <c r="B24" s="10"/>
      <c r="C24" s="11"/>
      <c r="D24" s="11"/>
      <c r="E24" s="306">
        <v>613800</v>
      </c>
      <c r="F24" s="332"/>
      <c r="G24" s="11" t="s">
        <v>166</v>
      </c>
      <c r="H24" s="363">
        <v>0</v>
      </c>
      <c r="I24" s="363">
        <v>0</v>
      </c>
      <c r="J24" s="385">
        <f t="shared" si="6"/>
        <v>0</v>
      </c>
      <c r="K24" s="363">
        <v>0</v>
      </c>
      <c r="L24" s="363">
        <v>0</v>
      </c>
      <c r="M24" s="385">
        <f t="shared" si="7"/>
        <v>0</v>
      </c>
      <c r="N24" s="347" t="str">
        <f t="shared" si="1"/>
        <v/>
      </c>
    </row>
    <row r="25" spans="1:14" ht="12.95" customHeight="1">
      <c r="B25" s="10"/>
      <c r="C25" s="11"/>
      <c r="D25" s="11"/>
      <c r="E25" s="306">
        <v>613900</v>
      </c>
      <c r="F25" s="332"/>
      <c r="G25" s="11" t="s">
        <v>167</v>
      </c>
      <c r="H25" s="363">
        <v>1700</v>
      </c>
      <c r="I25" s="363">
        <v>0</v>
      </c>
      <c r="J25" s="385">
        <f t="shared" si="6"/>
        <v>1700</v>
      </c>
      <c r="K25" s="363">
        <v>555</v>
      </c>
      <c r="L25" s="363">
        <v>0</v>
      </c>
      <c r="M25" s="385">
        <f t="shared" si="7"/>
        <v>555</v>
      </c>
      <c r="N25" s="347">
        <f t="shared" si="1"/>
        <v>32.647058823529413</v>
      </c>
    </row>
    <row r="26" spans="1:14" ht="12.95" customHeight="1">
      <c r="B26" s="10"/>
      <c r="C26" s="11"/>
      <c r="D26" s="11"/>
      <c r="E26" s="306">
        <v>613900</v>
      </c>
      <c r="F26" s="332"/>
      <c r="G26" s="189" t="s">
        <v>535</v>
      </c>
      <c r="H26" s="363">
        <v>0</v>
      </c>
      <c r="I26" s="363">
        <v>0</v>
      </c>
      <c r="J26" s="385">
        <f t="shared" si="6"/>
        <v>0</v>
      </c>
      <c r="K26" s="363">
        <v>0</v>
      </c>
      <c r="L26" s="363">
        <v>0</v>
      </c>
      <c r="M26" s="385">
        <f t="shared" si="7"/>
        <v>0</v>
      </c>
      <c r="N26" s="347" t="str">
        <f t="shared" si="1"/>
        <v/>
      </c>
    </row>
    <row r="27" spans="1:14" s="1" customFormat="1" ht="12.95" customHeight="1">
      <c r="A27" s="281"/>
      <c r="B27" s="12"/>
      <c r="C27" s="8"/>
      <c r="D27" s="8"/>
      <c r="E27" s="316"/>
      <c r="F27" s="343"/>
      <c r="G27" s="8"/>
      <c r="H27" s="363"/>
      <c r="I27" s="363"/>
      <c r="J27" s="388"/>
      <c r="K27" s="363"/>
      <c r="L27" s="363"/>
      <c r="M27" s="388"/>
      <c r="N27" s="347" t="str">
        <f t="shared" si="1"/>
        <v/>
      </c>
    </row>
    <row r="28" spans="1:14" s="1" customFormat="1" ht="12.95" customHeight="1">
      <c r="A28" s="281"/>
      <c r="B28" s="12"/>
      <c r="C28" s="8"/>
      <c r="D28" s="8"/>
      <c r="E28" s="305">
        <v>821000</v>
      </c>
      <c r="F28" s="331"/>
      <c r="G28" s="8" t="s">
        <v>90</v>
      </c>
      <c r="H28" s="288">
        <f t="shared" ref="H28:I28" si="8">SUM(H29:H30)</f>
        <v>3000</v>
      </c>
      <c r="I28" s="288">
        <f t="shared" si="8"/>
        <v>0</v>
      </c>
      <c r="J28" s="398">
        <f>SUM(J29:J30)</f>
        <v>3000</v>
      </c>
      <c r="K28" s="288">
        <f t="shared" ref="K28:L28" si="9">SUM(K29:K30)</f>
        <v>0</v>
      </c>
      <c r="L28" s="288">
        <f t="shared" si="9"/>
        <v>0</v>
      </c>
      <c r="M28" s="398">
        <f>SUM(M29:M30)</f>
        <v>0</v>
      </c>
      <c r="N28" s="346">
        <f t="shared" si="1"/>
        <v>0</v>
      </c>
    </row>
    <row r="29" spans="1:14" ht="12.95" customHeight="1">
      <c r="B29" s="10"/>
      <c r="C29" s="11"/>
      <c r="D29" s="11"/>
      <c r="E29" s="306">
        <v>821200</v>
      </c>
      <c r="F29" s="332"/>
      <c r="G29" s="11" t="s">
        <v>91</v>
      </c>
      <c r="H29" s="363">
        <v>0</v>
      </c>
      <c r="I29" s="363">
        <v>0</v>
      </c>
      <c r="J29" s="385">
        <f t="shared" ref="J29:J30" si="10">SUM(H29:I29)</f>
        <v>0</v>
      </c>
      <c r="K29" s="363">
        <v>0</v>
      </c>
      <c r="L29" s="363">
        <v>0</v>
      </c>
      <c r="M29" s="385">
        <f t="shared" ref="M29:M30" si="11">SUM(K29:L29)</f>
        <v>0</v>
      </c>
      <c r="N29" s="347" t="str">
        <f t="shared" si="1"/>
        <v/>
      </c>
    </row>
    <row r="30" spans="1:14" ht="12.95" customHeight="1">
      <c r="B30" s="10"/>
      <c r="C30" s="11"/>
      <c r="D30" s="11"/>
      <c r="E30" s="306">
        <v>821300</v>
      </c>
      <c r="F30" s="332"/>
      <c r="G30" s="11" t="s">
        <v>92</v>
      </c>
      <c r="H30" s="365">
        <v>3000</v>
      </c>
      <c r="I30" s="365">
        <v>0</v>
      </c>
      <c r="J30" s="385">
        <f t="shared" si="10"/>
        <v>3000</v>
      </c>
      <c r="K30" s="365">
        <v>0</v>
      </c>
      <c r="L30" s="365">
        <v>0</v>
      </c>
      <c r="M30" s="385">
        <f t="shared" si="11"/>
        <v>0</v>
      </c>
      <c r="N30" s="347">
        <f t="shared" si="1"/>
        <v>0</v>
      </c>
    </row>
    <row r="31" spans="1:14" ht="12.95" customHeight="1">
      <c r="B31" s="10"/>
      <c r="C31" s="11"/>
      <c r="D31" s="11"/>
      <c r="E31" s="306"/>
      <c r="F31" s="332"/>
      <c r="G31" s="11"/>
      <c r="H31" s="291"/>
      <c r="I31" s="291"/>
      <c r="J31" s="386"/>
      <c r="K31" s="291"/>
      <c r="L31" s="291"/>
      <c r="M31" s="386"/>
      <c r="N31" s="347" t="str">
        <f t="shared" si="1"/>
        <v/>
      </c>
    </row>
    <row r="32" spans="1:14" s="1" customFormat="1" ht="12.95" customHeight="1">
      <c r="A32" s="281"/>
      <c r="B32" s="12"/>
      <c r="C32" s="8"/>
      <c r="D32" s="8"/>
      <c r="E32" s="305"/>
      <c r="F32" s="331"/>
      <c r="G32" s="8" t="s">
        <v>93</v>
      </c>
      <c r="H32" s="295">
        <v>2</v>
      </c>
      <c r="I32" s="295"/>
      <c r="J32" s="387">
        <v>2</v>
      </c>
      <c r="K32" s="295">
        <v>1</v>
      </c>
      <c r="L32" s="295"/>
      <c r="M32" s="387">
        <v>1</v>
      </c>
      <c r="N32" s="347"/>
    </row>
    <row r="33" spans="1:14" s="1" customFormat="1" ht="12.95" customHeight="1">
      <c r="A33" s="281"/>
      <c r="B33" s="12"/>
      <c r="C33" s="8"/>
      <c r="D33" s="8"/>
      <c r="E33" s="305"/>
      <c r="F33" s="331"/>
      <c r="G33" s="8" t="s">
        <v>113</v>
      </c>
      <c r="H33" s="288">
        <f t="shared" ref="H33:M33" si="12">H8+H13+H16+H28</f>
        <v>54990</v>
      </c>
      <c r="I33" s="288">
        <f t="shared" si="12"/>
        <v>0</v>
      </c>
      <c r="J33" s="387">
        <f t="shared" si="12"/>
        <v>54990</v>
      </c>
      <c r="K33" s="288">
        <f t="shared" si="12"/>
        <v>9782</v>
      </c>
      <c r="L33" s="288">
        <f t="shared" si="12"/>
        <v>0</v>
      </c>
      <c r="M33" s="387">
        <f t="shared" si="12"/>
        <v>9782</v>
      </c>
      <c r="N33" s="346">
        <f t="shared" si="1"/>
        <v>17.788688852518639</v>
      </c>
    </row>
    <row r="34" spans="1:14" s="1" customFormat="1" ht="12.95" customHeight="1">
      <c r="A34" s="281"/>
      <c r="B34" s="12"/>
      <c r="C34" s="8"/>
      <c r="D34" s="8"/>
      <c r="E34" s="305"/>
      <c r="F34" s="331"/>
      <c r="G34" s="8" t="s">
        <v>94</v>
      </c>
      <c r="H34" s="288"/>
      <c r="I34" s="288"/>
      <c r="J34" s="387"/>
      <c r="K34" s="288"/>
      <c r="L34" s="288"/>
      <c r="M34" s="387"/>
      <c r="N34" s="346" t="str">
        <f t="shared" si="1"/>
        <v/>
      </c>
    </row>
    <row r="35" spans="1:14" s="1" customFormat="1" ht="12.95" customHeight="1">
      <c r="A35" s="281"/>
      <c r="B35" s="12"/>
      <c r="C35" s="8"/>
      <c r="D35" s="8"/>
      <c r="E35" s="305"/>
      <c r="F35" s="331"/>
      <c r="G35" s="8" t="s">
        <v>95</v>
      </c>
      <c r="H35" s="279"/>
      <c r="I35" s="279"/>
      <c r="J35" s="386"/>
      <c r="K35" s="279"/>
      <c r="L35" s="279"/>
      <c r="M35" s="386"/>
      <c r="N35" s="347" t="str">
        <f t="shared" si="1"/>
        <v/>
      </c>
    </row>
    <row r="36" spans="1:14" ht="12.95" customHeight="1" thickBot="1">
      <c r="B36" s="15"/>
      <c r="C36" s="16"/>
      <c r="D36" s="16"/>
      <c r="E36" s="307"/>
      <c r="F36" s="333"/>
      <c r="G36" s="16"/>
      <c r="H36" s="27"/>
      <c r="I36" s="27"/>
      <c r="J36" s="390"/>
      <c r="K36" s="27"/>
      <c r="L36" s="27"/>
      <c r="M36" s="390"/>
      <c r="N36" s="349" t="str">
        <f t="shared" si="1"/>
        <v/>
      </c>
    </row>
    <row r="37" spans="1:14" ht="12.95" customHeight="1">
      <c r="E37" s="308"/>
      <c r="F37" s="334"/>
      <c r="J37" s="393"/>
      <c r="M37" s="393"/>
      <c r="N37" s="350" t="str">
        <f t="shared" si="1"/>
        <v/>
      </c>
    </row>
    <row r="38" spans="1:14" ht="12.95" customHeight="1">
      <c r="B38" s="50"/>
      <c r="E38" s="308"/>
      <c r="F38" s="334"/>
      <c r="J38" s="393"/>
      <c r="M38" s="393"/>
      <c r="N38" s="350" t="str">
        <f t="shared" si="1"/>
        <v/>
      </c>
    </row>
    <row r="39" spans="1:14" ht="12.95" customHeight="1">
      <c r="B39" s="50"/>
      <c r="E39" s="308"/>
      <c r="F39" s="334"/>
      <c r="J39" s="393"/>
      <c r="M39" s="393"/>
      <c r="N39" s="350" t="str">
        <f t="shared" si="1"/>
        <v/>
      </c>
    </row>
    <row r="40" spans="1:14" ht="12.95" customHeight="1">
      <c r="E40" s="308"/>
      <c r="F40" s="334"/>
      <c r="J40" s="393"/>
      <c r="M40" s="393"/>
      <c r="N40" s="350" t="str">
        <f t="shared" si="1"/>
        <v/>
      </c>
    </row>
    <row r="41" spans="1:14" ht="12.95" customHeight="1">
      <c r="E41" s="308"/>
      <c r="F41" s="334"/>
      <c r="J41" s="393"/>
      <c r="M41" s="393"/>
      <c r="N41" s="350" t="str">
        <f t="shared" si="1"/>
        <v/>
      </c>
    </row>
    <row r="42" spans="1:14" ht="12.95" customHeight="1">
      <c r="E42" s="308"/>
      <c r="F42" s="334"/>
      <c r="J42" s="393"/>
      <c r="M42" s="393"/>
      <c r="N42" s="350" t="str">
        <f t="shared" si="1"/>
        <v/>
      </c>
    </row>
    <row r="43" spans="1:14" ht="12.95" customHeight="1">
      <c r="E43" s="308"/>
      <c r="F43" s="334"/>
      <c r="J43" s="393"/>
      <c r="M43" s="393"/>
      <c r="N43" s="350" t="str">
        <f t="shared" si="1"/>
        <v/>
      </c>
    </row>
    <row r="44" spans="1:14" ht="12.95" customHeight="1">
      <c r="E44" s="308"/>
      <c r="F44" s="334"/>
      <c r="J44" s="393"/>
      <c r="M44" s="393"/>
      <c r="N44" s="350" t="str">
        <f t="shared" si="1"/>
        <v/>
      </c>
    </row>
    <row r="45" spans="1:14" ht="12.95" customHeight="1">
      <c r="E45" s="308"/>
      <c r="F45" s="334"/>
      <c r="J45" s="393"/>
      <c r="M45" s="393"/>
      <c r="N45" s="350" t="str">
        <f t="shared" si="1"/>
        <v/>
      </c>
    </row>
    <row r="46" spans="1:14" ht="12.95" customHeight="1">
      <c r="E46" s="308"/>
      <c r="F46" s="334"/>
      <c r="J46" s="393"/>
      <c r="M46" s="393"/>
      <c r="N46" s="350" t="str">
        <f t="shared" si="1"/>
        <v/>
      </c>
    </row>
    <row r="47" spans="1:14" ht="12.95" customHeight="1">
      <c r="E47" s="308"/>
      <c r="F47" s="334"/>
      <c r="J47" s="393"/>
      <c r="M47" s="393"/>
      <c r="N47" s="350" t="str">
        <f t="shared" si="1"/>
        <v/>
      </c>
    </row>
    <row r="48" spans="1:14" ht="12.95" customHeight="1">
      <c r="E48" s="308"/>
      <c r="F48" s="334"/>
      <c r="J48" s="393"/>
      <c r="M48" s="393"/>
      <c r="N48" s="350" t="str">
        <f t="shared" si="1"/>
        <v/>
      </c>
    </row>
    <row r="49" spans="5:14" ht="12.95" customHeight="1">
      <c r="E49" s="308"/>
      <c r="F49" s="334"/>
      <c r="J49" s="393"/>
      <c r="M49" s="393"/>
      <c r="N49" s="350" t="str">
        <f t="shared" si="1"/>
        <v/>
      </c>
    </row>
    <row r="50" spans="5:14" ht="12.95" customHeight="1">
      <c r="E50" s="308"/>
      <c r="F50" s="334"/>
      <c r="J50" s="393"/>
      <c r="M50" s="393"/>
      <c r="N50" s="350" t="str">
        <f t="shared" si="1"/>
        <v/>
      </c>
    </row>
    <row r="51" spans="5:14" ht="12.95" customHeight="1">
      <c r="E51" s="308"/>
      <c r="F51" s="334"/>
      <c r="J51" s="393"/>
      <c r="M51" s="393"/>
      <c r="N51" s="350" t="str">
        <f t="shared" si="1"/>
        <v/>
      </c>
    </row>
    <row r="52" spans="5:14" ht="12.95" customHeight="1">
      <c r="E52" s="308"/>
      <c r="F52" s="334"/>
      <c r="J52" s="393"/>
      <c r="M52" s="393"/>
      <c r="N52" s="350" t="str">
        <f t="shared" si="1"/>
        <v/>
      </c>
    </row>
    <row r="53" spans="5:14" ht="12.95" customHeight="1">
      <c r="E53" s="308"/>
      <c r="F53" s="334"/>
      <c r="J53" s="393"/>
      <c r="M53" s="393"/>
      <c r="N53" s="350" t="str">
        <f t="shared" si="1"/>
        <v/>
      </c>
    </row>
    <row r="54" spans="5:14" ht="12.95" customHeight="1">
      <c r="E54" s="308"/>
      <c r="F54" s="334"/>
      <c r="J54" s="393"/>
      <c r="M54" s="393"/>
      <c r="N54" s="350" t="str">
        <f t="shared" si="1"/>
        <v/>
      </c>
    </row>
    <row r="55" spans="5:14" ht="12.95" customHeight="1">
      <c r="E55" s="308"/>
      <c r="F55" s="334"/>
      <c r="J55" s="393"/>
      <c r="M55" s="393"/>
      <c r="N55" s="350" t="str">
        <f t="shared" si="1"/>
        <v/>
      </c>
    </row>
    <row r="56" spans="5:14" ht="12.95" customHeight="1">
      <c r="E56" s="308"/>
      <c r="F56" s="334"/>
      <c r="J56" s="393"/>
      <c r="M56" s="393"/>
      <c r="N56" s="350" t="str">
        <f t="shared" si="1"/>
        <v/>
      </c>
    </row>
    <row r="57" spans="5:14" ht="12.95" customHeight="1">
      <c r="E57" s="308"/>
      <c r="F57" s="334"/>
      <c r="J57" s="393"/>
      <c r="M57" s="393"/>
      <c r="N57" s="350" t="str">
        <f t="shared" si="1"/>
        <v/>
      </c>
    </row>
    <row r="58" spans="5:14" ht="12.95" customHeight="1">
      <c r="E58" s="308"/>
      <c r="F58" s="334"/>
      <c r="J58" s="393"/>
      <c r="M58" s="393"/>
      <c r="N58" s="350" t="str">
        <f t="shared" si="1"/>
        <v/>
      </c>
    </row>
    <row r="59" spans="5:14" ht="12.95" customHeight="1">
      <c r="E59" s="308"/>
      <c r="F59" s="334"/>
      <c r="J59" s="393"/>
      <c r="M59" s="393"/>
      <c r="N59" s="350" t="str">
        <f t="shared" si="1"/>
        <v/>
      </c>
    </row>
    <row r="60" spans="5:14" ht="17.100000000000001" customHeight="1">
      <c r="E60" s="308"/>
      <c r="F60" s="334"/>
      <c r="J60" s="393"/>
      <c r="M60" s="393"/>
      <c r="N60" s="350" t="str">
        <f t="shared" si="1"/>
        <v/>
      </c>
    </row>
    <row r="61" spans="5:14" ht="14.25">
      <c r="E61" s="308"/>
      <c r="F61" s="334"/>
      <c r="J61" s="393"/>
      <c r="M61" s="393"/>
      <c r="N61" s="350" t="str">
        <f t="shared" si="1"/>
        <v/>
      </c>
    </row>
    <row r="62" spans="5:14" ht="14.25">
      <c r="E62" s="308"/>
      <c r="F62" s="334"/>
      <c r="J62" s="393"/>
      <c r="M62" s="393"/>
      <c r="N62" s="350" t="str">
        <f t="shared" si="1"/>
        <v/>
      </c>
    </row>
    <row r="63" spans="5:14" ht="14.25">
      <c r="E63" s="308"/>
      <c r="F63" s="334"/>
      <c r="J63" s="393"/>
      <c r="M63" s="393"/>
      <c r="N63" s="350" t="str">
        <f t="shared" si="1"/>
        <v/>
      </c>
    </row>
    <row r="64" spans="5:14" ht="14.25">
      <c r="E64" s="308"/>
      <c r="F64" s="334"/>
      <c r="J64" s="393"/>
      <c r="M64" s="393"/>
      <c r="N64" s="350" t="str">
        <f t="shared" si="1"/>
        <v/>
      </c>
    </row>
    <row r="65" spans="5:14" ht="14.25">
      <c r="E65" s="308"/>
      <c r="F65" s="334"/>
      <c r="J65" s="393"/>
      <c r="M65" s="393"/>
      <c r="N65" s="350" t="str">
        <f t="shared" si="1"/>
        <v/>
      </c>
    </row>
    <row r="66" spans="5:14" ht="14.25">
      <c r="E66" s="308"/>
      <c r="F66" s="334"/>
      <c r="J66" s="393"/>
      <c r="M66" s="393"/>
      <c r="N66" s="350" t="str">
        <f t="shared" si="1"/>
        <v/>
      </c>
    </row>
    <row r="67" spans="5:14" ht="14.25">
      <c r="E67" s="308"/>
      <c r="F67" s="334"/>
      <c r="J67" s="393"/>
      <c r="M67" s="393"/>
    </row>
    <row r="68" spans="5:14" ht="14.25">
      <c r="E68" s="308"/>
      <c r="F68" s="334"/>
      <c r="J68" s="393"/>
      <c r="M68" s="393"/>
    </row>
    <row r="69" spans="5:14" ht="14.25">
      <c r="E69" s="308"/>
      <c r="F69" s="334"/>
      <c r="J69" s="393"/>
      <c r="M69" s="393"/>
    </row>
    <row r="70" spans="5:14" ht="14.25">
      <c r="E70" s="308"/>
      <c r="F70" s="334"/>
      <c r="J70" s="393"/>
      <c r="M70" s="393"/>
    </row>
    <row r="71" spans="5:14" ht="14.25">
      <c r="E71" s="308"/>
      <c r="F71" s="334"/>
      <c r="J71" s="393"/>
      <c r="M71" s="393"/>
    </row>
    <row r="72" spans="5:14" ht="14.25">
      <c r="E72" s="308"/>
      <c r="F72" s="334"/>
      <c r="J72" s="393"/>
      <c r="M72" s="393"/>
    </row>
    <row r="73" spans="5:14" ht="14.25">
      <c r="E73" s="308"/>
      <c r="F73" s="334"/>
      <c r="J73" s="393"/>
      <c r="M73" s="393"/>
    </row>
    <row r="74" spans="5:14" ht="14.25">
      <c r="E74" s="308"/>
      <c r="F74" s="308"/>
      <c r="J74" s="393"/>
      <c r="M74" s="393"/>
    </row>
    <row r="75" spans="5:14" ht="14.25">
      <c r="E75" s="308"/>
      <c r="F75" s="308"/>
      <c r="J75" s="393"/>
      <c r="M75" s="393"/>
    </row>
    <row r="76" spans="5:14" ht="14.25">
      <c r="E76" s="308"/>
      <c r="F76" s="308"/>
      <c r="J76" s="393"/>
      <c r="M76" s="393"/>
    </row>
    <row r="77" spans="5:14" ht="14.25">
      <c r="E77" s="308"/>
      <c r="F77" s="308"/>
      <c r="J77" s="393"/>
      <c r="M77" s="393"/>
    </row>
    <row r="78" spans="5:14" ht="14.25">
      <c r="E78" s="308"/>
      <c r="F78" s="308"/>
      <c r="J78" s="393"/>
      <c r="M78" s="393"/>
    </row>
    <row r="79" spans="5:14" ht="14.25">
      <c r="E79" s="308"/>
      <c r="F79" s="308"/>
      <c r="J79" s="393"/>
      <c r="M79" s="393"/>
    </row>
    <row r="80" spans="5:14" ht="14.25">
      <c r="E80" s="308"/>
      <c r="F80" s="308"/>
      <c r="J80" s="393"/>
      <c r="M80" s="393"/>
    </row>
    <row r="81" spans="5:13" ht="14.25">
      <c r="E81" s="308"/>
      <c r="F81" s="308"/>
      <c r="J81" s="393"/>
      <c r="M81" s="393"/>
    </row>
    <row r="82" spans="5:13" ht="14.25">
      <c r="E82" s="308"/>
      <c r="F82" s="308"/>
      <c r="J82" s="393"/>
      <c r="M82" s="393"/>
    </row>
    <row r="83" spans="5:13" ht="14.25">
      <c r="E83" s="308"/>
      <c r="F83" s="308"/>
      <c r="J83" s="393"/>
      <c r="M83" s="393"/>
    </row>
    <row r="84" spans="5:13" ht="14.25">
      <c r="E84" s="308"/>
      <c r="F84" s="308"/>
      <c r="J84" s="393"/>
      <c r="M84" s="393"/>
    </row>
    <row r="85" spans="5:13" ht="14.25">
      <c r="E85" s="308"/>
      <c r="F85" s="308"/>
      <c r="J85" s="393"/>
      <c r="M85" s="393"/>
    </row>
    <row r="86" spans="5:13" ht="14.25">
      <c r="E86" s="308"/>
      <c r="F86" s="308"/>
      <c r="J86" s="393"/>
      <c r="M86" s="393"/>
    </row>
    <row r="87" spans="5:13" ht="14.25">
      <c r="E87" s="308"/>
      <c r="F87" s="308"/>
      <c r="J87" s="393"/>
      <c r="M87" s="393"/>
    </row>
    <row r="88" spans="5:13" ht="14.25">
      <c r="E88" s="308"/>
      <c r="F88" s="308"/>
      <c r="J88" s="393"/>
      <c r="M88" s="393"/>
    </row>
    <row r="89" spans="5:13" ht="14.25">
      <c r="E89" s="308"/>
      <c r="F89" s="308"/>
      <c r="J89" s="393"/>
      <c r="M89" s="393"/>
    </row>
    <row r="90" spans="5:13" ht="14.25">
      <c r="E90" s="308"/>
      <c r="F90" s="308"/>
      <c r="J90" s="393"/>
      <c r="M90" s="393"/>
    </row>
    <row r="91" spans="5:13">
      <c r="F91" s="308"/>
    </row>
    <row r="92" spans="5:13">
      <c r="F92" s="308"/>
    </row>
    <row r="93" spans="5:13">
      <c r="F93" s="308"/>
    </row>
    <row r="94" spans="5:13">
      <c r="F94" s="308"/>
    </row>
    <row r="95" spans="5:13">
      <c r="F95" s="308"/>
    </row>
    <row r="96" spans="5:13">
      <c r="F96" s="308"/>
    </row>
  </sheetData>
  <mergeCells count="10">
    <mergeCell ref="N4:N5"/>
    <mergeCell ref="G4:G5"/>
    <mergeCell ref="B2:G2"/>
    <mergeCell ref="H4:J4"/>
    <mergeCell ref="B4:B5"/>
    <mergeCell ref="C4:C5"/>
    <mergeCell ref="D4:D5"/>
    <mergeCell ref="F4:F5"/>
    <mergeCell ref="E4:E5"/>
    <mergeCell ref="K4:M4"/>
  </mergeCells>
  <phoneticPr fontId="2" type="noConversion"/>
  <pageMargins left="0.78740157480314965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43"/>
  <dimension ref="A1:P96"/>
  <sheetViews>
    <sheetView zoomScaleNormal="100" workbookViewId="0">
      <selection activeCell="K45" sqref="K45"/>
    </sheetView>
  </sheetViews>
  <sheetFormatPr defaultRowHeight="12.75"/>
  <cols>
    <col min="1" max="1" width="9.140625" style="284"/>
    <col min="2" max="2" width="4.7109375" style="9" customWidth="1"/>
    <col min="3" max="3" width="5.140625" style="9" customWidth="1"/>
    <col min="4" max="4" width="5" style="9" customWidth="1"/>
    <col min="5" max="5" width="8.7109375" style="17" customWidth="1"/>
    <col min="6" max="6" width="8.7109375" style="289" customWidth="1"/>
    <col min="7" max="7" width="50.7109375" style="9" customWidth="1"/>
    <col min="8" max="9" width="14.7109375" style="57" customWidth="1"/>
    <col min="10" max="10" width="15.7109375" style="57" customWidth="1"/>
    <col min="11" max="12" width="14.7109375" style="57" customWidth="1"/>
    <col min="13" max="13" width="15.7109375" style="57" customWidth="1"/>
    <col min="14" max="14" width="7.7109375" style="350" customWidth="1"/>
    <col min="15" max="16384" width="9.140625" style="9"/>
  </cols>
  <sheetData>
    <row r="1" spans="1:16" ht="13.5" thickBot="1"/>
    <row r="2" spans="1:16" s="98" customFormat="1" ht="20.100000000000001" customHeight="1" thickTop="1" thickBot="1">
      <c r="A2" s="376"/>
      <c r="B2" s="590" t="s">
        <v>216</v>
      </c>
      <c r="C2" s="591"/>
      <c r="D2" s="591"/>
      <c r="E2" s="591"/>
      <c r="F2" s="591"/>
      <c r="G2" s="591"/>
      <c r="H2" s="377"/>
      <c r="I2" s="377"/>
      <c r="J2" s="377"/>
      <c r="K2" s="377"/>
      <c r="L2" s="377"/>
      <c r="M2" s="377"/>
      <c r="N2" s="380"/>
    </row>
    <row r="3" spans="1:16" s="1" customFormat="1" ht="8.1" customHeight="1" thickTop="1" thickBot="1">
      <c r="A3" s="281"/>
      <c r="E3" s="2"/>
      <c r="F3" s="282"/>
      <c r="G3" s="531"/>
      <c r="H3" s="92"/>
      <c r="I3" s="92"/>
      <c r="J3" s="92"/>
      <c r="K3" s="92"/>
      <c r="L3" s="92"/>
      <c r="M3" s="92"/>
      <c r="N3" s="344"/>
    </row>
    <row r="4" spans="1:16" s="1" customFormat="1" ht="39" customHeight="1">
      <c r="A4" s="281"/>
      <c r="B4" s="596" t="s">
        <v>78</v>
      </c>
      <c r="C4" s="606" t="s">
        <v>79</v>
      </c>
      <c r="D4" s="607" t="s">
        <v>110</v>
      </c>
      <c r="E4" s="608" t="s">
        <v>594</v>
      </c>
      <c r="F4" s="601" t="s">
        <v>653</v>
      </c>
      <c r="G4" s="602" t="s">
        <v>80</v>
      </c>
      <c r="H4" s="593" t="s">
        <v>647</v>
      </c>
      <c r="I4" s="594"/>
      <c r="J4" s="595"/>
      <c r="K4" s="593" t="s">
        <v>801</v>
      </c>
      <c r="L4" s="594"/>
      <c r="M4" s="595"/>
      <c r="N4" s="604" t="s">
        <v>805</v>
      </c>
    </row>
    <row r="5" spans="1:16" s="281" customFormat="1" ht="27" customHeight="1">
      <c r="B5" s="597"/>
      <c r="C5" s="599"/>
      <c r="D5" s="599"/>
      <c r="E5" s="603"/>
      <c r="F5" s="599"/>
      <c r="G5" s="603"/>
      <c r="H5" s="372" t="s">
        <v>705</v>
      </c>
      <c r="I5" s="372" t="s">
        <v>706</v>
      </c>
      <c r="J5" s="382" t="s">
        <v>413</v>
      </c>
      <c r="K5" s="372" t="s">
        <v>705</v>
      </c>
      <c r="L5" s="372" t="s">
        <v>706</v>
      </c>
      <c r="M5" s="382" t="s">
        <v>413</v>
      </c>
      <c r="N5" s="605"/>
    </row>
    <row r="6" spans="1:16" s="2" customFormat="1" ht="12.95" customHeight="1">
      <c r="A6" s="282"/>
      <c r="B6" s="504">
        <v>1</v>
      </c>
      <c r="C6" s="331">
        <v>2</v>
      </c>
      <c r="D6" s="331">
        <v>3</v>
      </c>
      <c r="E6" s="331">
        <v>4</v>
      </c>
      <c r="F6" s="331">
        <v>5</v>
      </c>
      <c r="G6" s="331">
        <v>6</v>
      </c>
      <c r="H6" s="331">
        <v>7</v>
      </c>
      <c r="I6" s="331">
        <v>8</v>
      </c>
      <c r="J6" s="523" t="s">
        <v>804</v>
      </c>
      <c r="K6" s="331">
        <v>10</v>
      </c>
      <c r="L6" s="331">
        <v>11</v>
      </c>
      <c r="M6" s="523" t="s">
        <v>707</v>
      </c>
      <c r="N6" s="505">
        <v>13</v>
      </c>
    </row>
    <row r="7" spans="1:16" s="2" customFormat="1" ht="12.95" customHeight="1">
      <c r="A7" s="282"/>
      <c r="B7" s="6" t="s">
        <v>131</v>
      </c>
      <c r="C7" s="7" t="s">
        <v>133</v>
      </c>
      <c r="D7" s="7" t="s">
        <v>117</v>
      </c>
      <c r="E7" s="5"/>
      <c r="F7" s="283"/>
      <c r="G7" s="5"/>
      <c r="H7" s="86"/>
      <c r="I7" s="86"/>
      <c r="J7" s="392"/>
      <c r="K7" s="86"/>
      <c r="L7" s="86"/>
      <c r="M7" s="392"/>
      <c r="N7" s="345"/>
    </row>
    <row r="8" spans="1:16" s="1" customFormat="1" ht="12.95" customHeight="1">
      <c r="A8" s="281"/>
      <c r="B8" s="12"/>
      <c r="C8" s="8"/>
      <c r="D8" s="8"/>
      <c r="E8" s="305">
        <v>611000</v>
      </c>
      <c r="F8" s="331"/>
      <c r="G8" s="8" t="s">
        <v>163</v>
      </c>
      <c r="H8" s="210">
        <f t="shared" ref="H8:M8" si="0">SUM(H9:H12)</f>
        <v>38560</v>
      </c>
      <c r="I8" s="210">
        <f t="shared" si="0"/>
        <v>0</v>
      </c>
      <c r="J8" s="384">
        <f t="shared" si="0"/>
        <v>38560</v>
      </c>
      <c r="K8" s="210">
        <f t="shared" si="0"/>
        <v>9357</v>
      </c>
      <c r="L8" s="210">
        <f t="shared" si="0"/>
        <v>0</v>
      </c>
      <c r="M8" s="384">
        <f t="shared" si="0"/>
        <v>9357</v>
      </c>
      <c r="N8" s="346">
        <f>IF(J8=0,"",M8/J8*100)</f>
        <v>24.266078838174273</v>
      </c>
    </row>
    <row r="9" spans="1:16" ht="12.95" customHeight="1">
      <c r="B9" s="10"/>
      <c r="C9" s="11"/>
      <c r="D9" s="11"/>
      <c r="E9" s="306">
        <v>611100</v>
      </c>
      <c r="F9" s="332"/>
      <c r="G9" s="18" t="s">
        <v>198</v>
      </c>
      <c r="H9" s="212">
        <f>31290+250</f>
        <v>31540</v>
      </c>
      <c r="I9" s="212">
        <v>0</v>
      </c>
      <c r="J9" s="385">
        <f>SUM(H9:I9)</f>
        <v>31540</v>
      </c>
      <c r="K9" s="212">
        <v>7807</v>
      </c>
      <c r="L9" s="212">
        <v>0</v>
      </c>
      <c r="M9" s="385">
        <f>SUM(K9:L9)</f>
        <v>7807</v>
      </c>
      <c r="N9" s="347">
        <f t="shared" ref="N9:N66" si="1">IF(J9=0,"",M9/J9*100)</f>
        <v>24.752694990488269</v>
      </c>
    </row>
    <row r="10" spans="1:16" ht="12.95" customHeight="1">
      <c r="B10" s="10"/>
      <c r="C10" s="11"/>
      <c r="D10" s="11"/>
      <c r="E10" s="306">
        <v>611200</v>
      </c>
      <c r="F10" s="332"/>
      <c r="G10" s="11" t="s">
        <v>199</v>
      </c>
      <c r="H10" s="212">
        <f>6850+170</f>
        <v>7020</v>
      </c>
      <c r="I10" s="212">
        <v>0</v>
      </c>
      <c r="J10" s="385">
        <f t="shared" ref="J10:J11" si="2">SUM(H10:I10)</f>
        <v>7020</v>
      </c>
      <c r="K10" s="212">
        <v>1550</v>
      </c>
      <c r="L10" s="212">
        <v>0</v>
      </c>
      <c r="M10" s="385">
        <f t="shared" ref="M10:M11" si="3">SUM(K10:L10)</f>
        <v>1550</v>
      </c>
      <c r="N10" s="347">
        <f t="shared" si="1"/>
        <v>22.079772079772081</v>
      </c>
    </row>
    <row r="11" spans="1:16" ht="12.95" customHeight="1">
      <c r="B11" s="10"/>
      <c r="C11" s="11"/>
      <c r="D11" s="11"/>
      <c r="E11" s="306">
        <v>611200</v>
      </c>
      <c r="F11" s="332"/>
      <c r="G11" s="356" t="s">
        <v>534</v>
      </c>
      <c r="H11" s="209">
        <v>0</v>
      </c>
      <c r="I11" s="209">
        <v>0</v>
      </c>
      <c r="J11" s="385">
        <f t="shared" si="2"/>
        <v>0</v>
      </c>
      <c r="K11" s="209">
        <v>0</v>
      </c>
      <c r="L11" s="209">
        <v>0</v>
      </c>
      <c r="M11" s="385">
        <f t="shared" si="3"/>
        <v>0</v>
      </c>
      <c r="N11" s="347" t="str">
        <f t="shared" si="1"/>
        <v/>
      </c>
      <c r="P11" s="56"/>
    </row>
    <row r="12" spans="1:16" ht="12.95" customHeight="1">
      <c r="B12" s="10"/>
      <c r="C12" s="11"/>
      <c r="D12" s="11"/>
      <c r="E12" s="306"/>
      <c r="F12" s="332"/>
      <c r="G12" s="18"/>
      <c r="H12" s="212"/>
      <c r="I12" s="212"/>
      <c r="J12" s="385"/>
      <c r="K12" s="212"/>
      <c r="L12" s="212"/>
      <c r="M12" s="385"/>
      <c r="N12" s="347" t="str">
        <f t="shared" si="1"/>
        <v/>
      </c>
    </row>
    <row r="13" spans="1:16" s="1" customFormat="1" ht="12.95" customHeight="1">
      <c r="A13" s="281"/>
      <c r="B13" s="12"/>
      <c r="C13" s="8"/>
      <c r="D13" s="8"/>
      <c r="E13" s="305">
        <v>612000</v>
      </c>
      <c r="F13" s="331"/>
      <c r="G13" s="8" t="s">
        <v>162</v>
      </c>
      <c r="H13" s="210">
        <f t="shared" ref="H13:M13" si="4">H14</f>
        <v>3430</v>
      </c>
      <c r="I13" s="210">
        <f t="shared" si="4"/>
        <v>0</v>
      </c>
      <c r="J13" s="384">
        <f t="shared" si="4"/>
        <v>3430</v>
      </c>
      <c r="K13" s="210">
        <f t="shared" si="4"/>
        <v>830</v>
      </c>
      <c r="L13" s="210">
        <f t="shared" si="4"/>
        <v>0</v>
      </c>
      <c r="M13" s="384">
        <f t="shared" si="4"/>
        <v>830</v>
      </c>
      <c r="N13" s="346">
        <f t="shared" si="1"/>
        <v>24.198250728862973</v>
      </c>
    </row>
    <row r="14" spans="1:16" ht="12.95" customHeight="1">
      <c r="B14" s="10"/>
      <c r="C14" s="11"/>
      <c r="D14" s="11"/>
      <c r="E14" s="306">
        <v>612100</v>
      </c>
      <c r="F14" s="332"/>
      <c r="G14" s="13" t="s">
        <v>83</v>
      </c>
      <c r="H14" s="212">
        <f>3380+50</f>
        <v>3430</v>
      </c>
      <c r="I14" s="212">
        <v>0</v>
      </c>
      <c r="J14" s="385">
        <f>SUM(H14:I14)</f>
        <v>3430</v>
      </c>
      <c r="K14" s="212">
        <v>830</v>
      </c>
      <c r="L14" s="212">
        <v>0</v>
      </c>
      <c r="M14" s="385">
        <f>SUM(K14:L14)</f>
        <v>830</v>
      </c>
      <c r="N14" s="347">
        <f t="shared" si="1"/>
        <v>24.198250728862973</v>
      </c>
    </row>
    <row r="15" spans="1:16" ht="12.95" customHeight="1">
      <c r="B15" s="10"/>
      <c r="C15" s="11"/>
      <c r="D15" s="11"/>
      <c r="E15" s="306"/>
      <c r="F15" s="332"/>
      <c r="G15" s="11"/>
      <c r="H15" s="291"/>
      <c r="I15" s="291"/>
      <c r="J15" s="386"/>
      <c r="K15" s="291"/>
      <c r="L15" s="291"/>
      <c r="M15" s="386"/>
      <c r="N15" s="347" t="str">
        <f t="shared" si="1"/>
        <v/>
      </c>
    </row>
    <row r="16" spans="1:16" s="1" customFormat="1" ht="12.95" customHeight="1">
      <c r="A16" s="281"/>
      <c r="B16" s="12"/>
      <c r="C16" s="8"/>
      <c r="D16" s="8"/>
      <c r="E16" s="305">
        <v>613000</v>
      </c>
      <c r="F16" s="331"/>
      <c r="G16" s="8" t="s">
        <v>164</v>
      </c>
      <c r="H16" s="293">
        <f t="shared" ref="H16:M16" si="5">SUM(H17:H26)</f>
        <v>3050</v>
      </c>
      <c r="I16" s="293">
        <f t="shared" si="5"/>
        <v>0</v>
      </c>
      <c r="J16" s="387">
        <f t="shared" si="5"/>
        <v>3050</v>
      </c>
      <c r="K16" s="293">
        <f t="shared" si="5"/>
        <v>244</v>
      </c>
      <c r="L16" s="293">
        <f t="shared" si="5"/>
        <v>0</v>
      </c>
      <c r="M16" s="387">
        <f t="shared" si="5"/>
        <v>244</v>
      </c>
      <c r="N16" s="346">
        <f t="shared" si="1"/>
        <v>8</v>
      </c>
    </row>
    <row r="17" spans="1:14" ht="12.95" customHeight="1">
      <c r="B17" s="10"/>
      <c r="C17" s="11"/>
      <c r="D17" s="11"/>
      <c r="E17" s="306">
        <v>613100</v>
      </c>
      <c r="F17" s="332"/>
      <c r="G17" s="11" t="s">
        <v>84</v>
      </c>
      <c r="H17" s="363">
        <v>1000</v>
      </c>
      <c r="I17" s="363">
        <v>0</v>
      </c>
      <c r="J17" s="385">
        <f t="shared" ref="J17:J26" si="6">SUM(H17:I17)</f>
        <v>1000</v>
      </c>
      <c r="K17" s="363">
        <v>0</v>
      </c>
      <c r="L17" s="363">
        <v>0</v>
      </c>
      <c r="M17" s="385">
        <f t="shared" ref="M17:M26" si="7">SUM(K17:L17)</f>
        <v>0</v>
      </c>
      <c r="N17" s="347">
        <f t="shared" si="1"/>
        <v>0</v>
      </c>
    </row>
    <row r="18" spans="1:14" ht="12.95" customHeight="1">
      <c r="B18" s="10"/>
      <c r="C18" s="11"/>
      <c r="D18" s="11"/>
      <c r="E18" s="306">
        <v>613200</v>
      </c>
      <c r="F18" s="332"/>
      <c r="G18" s="11" t="s">
        <v>85</v>
      </c>
      <c r="H18" s="363">
        <v>0</v>
      </c>
      <c r="I18" s="363">
        <v>0</v>
      </c>
      <c r="J18" s="385">
        <f t="shared" si="6"/>
        <v>0</v>
      </c>
      <c r="K18" s="363">
        <v>0</v>
      </c>
      <c r="L18" s="363">
        <v>0</v>
      </c>
      <c r="M18" s="385">
        <f t="shared" si="7"/>
        <v>0</v>
      </c>
      <c r="N18" s="347" t="str">
        <f t="shared" si="1"/>
        <v/>
      </c>
    </row>
    <row r="19" spans="1:14" ht="12.95" customHeight="1">
      <c r="B19" s="10"/>
      <c r="C19" s="11"/>
      <c r="D19" s="11"/>
      <c r="E19" s="306">
        <v>613300</v>
      </c>
      <c r="F19" s="332"/>
      <c r="G19" s="18" t="s">
        <v>200</v>
      </c>
      <c r="H19" s="363">
        <v>750</v>
      </c>
      <c r="I19" s="363">
        <v>0</v>
      </c>
      <c r="J19" s="385">
        <f t="shared" si="6"/>
        <v>750</v>
      </c>
      <c r="K19" s="363">
        <v>164</v>
      </c>
      <c r="L19" s="363">
        <v>0</v>
      </c>
      <c r="M19" s="385">
        <f t="shared" si="7"/>
        <v>164</v>
      </c>
      <c r="N19" s="347">
        <f t="shared" si="1"/>
        <v>21.866666666666667</v>
      </c>
    </row>
    <row r="20" spans="1:14" ht="12.95" customHeight="1">
      <c r="B20" s="10"/>
      <c r="C20" s="11"/>
      <c r="D20" s="11"/>
      <c r="E20" s="306">
        <v>613400</v>
      </c>
      <c r="F20" s="332"/>
      <c r="G20" s="11" t="s">
        <v>165</v>
      </c>
      <c r="H20" s="363">
        <v>500</v>
      </c>
      <c r="I20" s="363">
        <v>0</v>
      </c>
      <c r="J20" s="385">
        <f t="shared" si="6"/>
        <v>500</v>
      </c>
      <c r="K20" s="363">
        <v>55</v>
      </c>
      <c r="L20" s="363">
        <v>0</v>
      </c>
      <c r="M20" s="385">
        <f t="shared" si="7"/>
        <v>55</v>
      </c>
      <c r="N20" s="347">
        <f t="shared" si="1"/>
        <v>11</v>
      </c>
    </row>
    <row r="21" spans="1:14" ht="12.95" customHeight="1">
      <c r="B21" s="10"/>
      <c r="C21" s="11"/>
      <c r="D21" s="11"/>
      <c r="E21" s="306">
        <v>613500</v>
      </c>
      <c r="F21" s="332"/>
      <c r="G21" s="11" t="s">
        <v>86</v>
      </c>
      <c r="H21" s="363">
        <v>0</v>
      </c>
      <c r="I21" s="363">
        <v>0</v>
      </c>
      <c r="J21" s="385">
        <f t="shared" si="6"/>
        <v>0</v>
      </c>
      <c r="K21" s="363">
        <v>0</v>
      </c>
      <c r="L21" s="363">
        <v>0</v>
      </c>
      <c r="M21" s="385">
        <f t="shared" si="7"/>
        <v>0</v>
      </c>
      <c r="N21" s="347" t="str">
        <f t="shared" si="1"/>
        <v/>
      </c>
    </row>
    <row r="22" spans="1:14" ht="12.95" customHeight="1">
      <c r="B22" s="10"/>
      <c r="C22" s="11"/>
      <c r="D22" s="11"/>
      <c r="E22" s="306">
        <v>613600</v>
      </c>
      <c r="F22" s="332"/>
      <c r="G22" s="18" t="s">
        <v>201</v>
      </c>
      <c r="H22" s="363">
        <v>0</v>
      </c>
      <c r="I22" s="363">
        <v>0</v>
      </c>
      <c r="J22" s="385">
        <f t="shared" si="6"/>
        <v>0</v>
      </c>
      <c r="K22" s="363">
        <v>0</v>
      </c>
      <c r="L22" s="363">
        <v>0</v>
      </c>
      <c r="M22" s="385">
        <f t="shared" si="7"/>
        <v>0</v>
      </c>
      <c r="N22" s="347" t="str">
        <f t="shared" si="1"/>
        <v/>
      </c>
    </row>
    <row r="23" spans="1:14" ht="12.95" customHeight="1">
      <c r="B23" s="10"/>
      <c r="C23" s="11"/>
      <c r="D23" s="11"/>
      <c r="E23" s="306">
        <v>613700</v>
      </c>
      <c r="F23" s="332"/>
      <c r="G23" s="11" t="s">
        <v>87</v>
      </c>
      <c r="H23" s="363">
        <v>300</v>
      </c>
      <c r="I23" s="363">
        <v>0</v>
      </c>
      <c r="J23" s="385">
        <f t="shared" si="6"/>
        <v>300</v>
      </c>
      <c r="K23" s="363">
        <v>0</v>
      </c>
      <c r="L23" s="363">
        <v>0</v>
      </c>
      <c r="M23" s="385">
        <f t="shared" si="7"/>
        <v>0</v>
      </c>
      <c r="N23" s="347">
        <f t="shared" si="1"/>
        <v>0</v>
      </c>
    </row>
    <row r="24" spans="1:14" ht="12.95" customHeight="1">
      <c r="B24" s="10"/>
      <c r="C24" s="11"/>
      <c r="D24" s="11"/>
      <c r="E24" s="306">
        <v>613800</v>
      </c>
      <c r="F24" s="332"/>
      <c r="G24" s="11" t="s">
        <v>166</v>
      </c>
      <c r="H24" s="363">
        <v>0</v>
      </c>
      <c r="I24" s="363">
        <v>0</v>
      </c>
      <c r="J24" s="385">
        <f t="shared" si="6"/>
        <v>0</v>
      </c>
      <c r="K24" s="363">
        <v>0</v>
      </c>
      <c r="L24" s="363">
        <v>0</v>
      </c>
      <c r="M24" s="385">
        <f t="shared" si="7"/>
        <v>0</v>
      </c>
      <c r="N24" s="347" t="str">
        <f t="shared" si="1"/>
        <v/>
      </c>
    </row>
    <row r="25" spans="1:14" ht="12.95" customHeight="1">
      <c r="B25" s="10"/>
      <c r="C25" s="11"/>
      <c r="D25" s="11"/>
      <c r="E25" s="306">
        <v>613900</v>
      </c>
      <c r="F25" s="332"/>
      <c r="G25" s="11" t="s">
        <v>167</v>
      </c>
      <c r="H25" s="365">
        <v>500</v>
      </c>
      <c r="I25" s="365">
        <v>0</v>
      </c>
      <c r="J25" s="385">
        <f t="shared" si="6"/>
        <v>500</v>
      </c>
      <c r="K25" s="365">
        <v>25</v>
      </c>
      <c r="L25" s="365">
        <v>0</v>
      </c>
      <c r="M25" s="385">
        <f t="shared" si="7"/>
        <v>25</v>
      </c>
      <c r="N25" s="347">
        <f t="shared" si="1"/>
        <v>5</v>
      </c>
    </row>
    <row r="26" spans="1:14" ht="12.95" customHeight="1">
      <c r="B26" s="10"/>
      <c r="C26" s="11"/>
      <c r="D26" s="11"/>
      <c r="E26" s="306">
        <v>613900</v>
      </c>
      <c r="F26" s="332"/>
      <c r="G26" s="18" t="s">
        <v>607</v>
      </c>
      <c r="H26" s="363">
        <v>0</v>
      </c>
      <c r="I26" s="363">
        <v>0</v>
      </c>
      <c r="J26" s="385">
        <f t="shared" si="6"/>
        <v>0</v>
      </c>
      <c r="K26" s="363">
        <v>0</v>
      </c>
      <c r="L26" s="363">
        <v>0</v>
      </c>
      <c r="M26" s="385">
        <f t="shared" si="7"/>
        <v>0</v>
      </c>
      <c r="N26" s="347" t="str">
        <f t="shared" si="1"/>
        <v/>
      </c>
    </row>
    <row r="27" spans="1:14" s="1" customFormat="1" ht="12.95" customHeight="1">
      <c r="A27" s="281"/>
      <c r="B27" s="12"/>
      <c r="C27" s="8"/>
      <c r="D27" s="8"/>
      <c r="E27" s="316"/>
      <c r="F27" s="343"/>
      <c r="G27" s="8"/>
      <c r="H27" s="291"/>
      <c r="I27" s="291"/>
      <c r="J27" s="386"/>
      <c r="K27" s="291"/>
      <c r="L27" s="291"/>
      <c r="M27" s="386"/>
      <c r="N27" s="347" t="str">
        <f t="shared" si="1"/>
        <v/>
      </c>
    </row>
    <row r="28" spans="1:14" s="1" customFormat="1" ht="12.95" customHeight="1">
      <c r="A28" s="281"/>
      <c r="B28" s="12"/>
      <c r="C28" s="8"/>
      <c r="D28" s="8"/>
      <c r="E28" s="305">
        <v>821000</v>
      </c>
      <c r="F28" s="331"/>
      <c r="G28" s="8" t="s">
        <v>90</v>
      </c>
      <c r="H28" s="288">
        <f t="shared" ref="H28:M28" si="8">SUM(H29:H30)</f>
        <v>1000</v>
      </c>
      <c r="I28" s="288">
        <f t="shared" si="8"/>
        <v>0</v>
      </c>
      <c r="J28" s="387">
        <f t="shared" si="8"/>
        <v>1000</v>
      </c>
      <c r="K28" s="288">
        <f t="shared" si="8"/>
        <v>0</v>
      </c>
      <c r="L28" s="288">
        <f t="shared" si="8"/>
        <v>0</v>
      </c>
      <c r="M28" s="387">
        <f t="shared" si="8"/>
        <v>0</v>
      </c>
      <c r="N28" s="346">
        <f t="shared" si="1"/>
        <v>0</v>
      </c>
    </row>
    <row r="29" spans="1:14" ht="12.95" customHeight="1">
      <c r="B29" s="10"/>
      <c r="C29" s="11"/>
      <c r="D29" s="11"/>
      <c r="E29" s="306">
        <v>821200</v>
      </c>
      <c r="F29" s="332"/>
      <c r="G29" s="11" t="s">
        <v>91</v>
      </c>
      <c r="H29" s="291">
        <v>0</v>
      </c>
      <c r="I29" s="291">
        <v>0</v>
      </c>
      <c r="J29" s="385">
        <f t="shared" ref="J29:J30" si="9">SUM(H29:I29)</f>
        <v>0</v>
      </c>
      <c r="K29" s="291">
        <v>0</v>
      </c>
      <c r="L29" s="291">
        <v>0</v>
      </c>
      <c r="M29" s="385">
        <f t="shared" ref="M29:M30" si="10">SUM(K29:L29)</f>
        <v>0</v>
      </c>
      <c r="N29" s="347" t="str">
        <f t="shared" si="1"/>
        <v/>
      </c>
    </row>
    <row r="30" spans="1:14" ht="12.95" customHeight="1">
      <c r="B30" s="10"/>
      <c r="C30" s="11"/>
      <c r="D30" s="11"/>
      <c r="E30" s="306">
        <v>821300</v>
      </c>
      <c r="F30" s="332"/>
      <c r="G30" s="11" t="s">
        <v>92</v>
      </c>
      <c r="H30" s="291">
        <v>1000</v>
      </c>
      <c r="I30" s="291">
        <v>0</v>
      </c>
      <c r="J30" s="385">
        <f t="shared" si="9"/>
        <v>1000</v>
      </c>
      <c r="K30" s="291">
        <v>0</v>
      </c>
      <c r="L30" s="291">
        <v>0</v>
      </c>
      <c r="M30" s="385">
        <f t="shared" si="10"/>
        <v>0</v>
      </c>
      <c r="N30" s="347">
        <f t="shared" si="1"/>
        <v>0</v>
      </c>
    </row>
    <row r="31" spans="1:14" ht="12.95" customHeight="1">
      <c r="B31" s="10"/>
      <c r="C31" s="11"/>
      <c r="D31" s="11"/>
      <c r="E31" s="306"/>
      <c r="F31" s="332"/>
      <c r="G31" s="11"/>
      <c r="H31" s="291"/>
      <c r="I31" s="291"/>
      <c r="J31" s="386"/>
      <c r="K31" s="291"/>
      <c r="L31" s="291"/>
      <c r="M31" s="386"/>
      <c r="N31" s="347" t="str">
        <f t="shared" si="1"/>
        <v/>
      </c>
    </row>
    <row r="32" spans="1:14" s="1" customFormat="1" ht="12.95" customHeight="1">
      <c r="A32" s="281"/>
      <c r="B32" s="12"/>
      <c r="C32" s="8"/>
      <c r="D32" s="8"/>
      <c r="E32" s="305"/>
      <c r="F32" s="331"/>
      <c r="G32" s="8" t="s">
        <v>93</v>
      </c>
      <c r="H32" s="295">
        <v>2</v>
      </c>
      <c r="I32" s="295"/>
      <c r="J32" s="387">
        <v>2</v>
      </c>
      <c r="K32" s="295">
        <v>2</v>
      </c>
      <c r="L32" s="295"/>
      <c r="M32" s="387">
        <v>2</v>
      </c>
      <c r="N32" s="347"/>
    </row>
    <row r="33" spans="1:14" s="1" customFormat="1" ht="12.95" customHeight="1">
      <c r="A33" s="281"/>
      <c r="B33" s="12"/>
      <c r="C33" s="8"/>
      <c r="D33" s="8"/>
      <c r="E33" s="305"/>
      <c r="F33" s="331"/>
      <c r="G33" s="8" t="s">
        <v>113</v>
      </c>
      <c r="H33" s="288">
        <f t="shared" ref="H33:M33" si="11">H8+H13+H16+H28</f>
        <v>46040</v>
      </c>
      <c r="I33" s="288">
        <f t="shared" si="11"/>
        <v>0</v>
      </c>
      <c r="J33" s="387">
        <f t="shared" si="11"/>
        <v>46040</v>
      </c>
      <c r="K33" s="288">
        <f t="shared" si="11"/>
        <v>10431</v>
      </c>
      <c r="L33" s="288">
        <f t="shared" si="11"/>
        <v>0</v>
      </c>
      <c r="M33" s="387">
        <f t="shared" si="11"/>
        <v>10431</v>
      </c>
      <c r="N33" s="346">
        <f t="shared" si="1"/>
        <v>22.656385751520418</v>
      </c>
    </row>
    <row r="34" spans="1:14" s="1" customFormat="1" ht="12.95" customHeight="1">
      <c r="A34" s="281"/>
      <c r="B34" s="12"/>
      <c r="C34" s="8"/>
      <c r="D34" s="8"/>
      <c r="E34" s="305"/>
      <c r="F34" s="331"/>
      <c r="G34" s="8" t="s">
        <v>94</v>
      </c>
      <c r="H34" s="288">
        <f>H33+'12'!H33</f>
        <v>101030</v>
      </c>
      <c r="I34" s="288">
        <f>I33+'12'!I33</f>
        <v>0</v>
      </c>
      <c r="J34" s="387">
        <f>J33+'12'!J33</f>
        <v>101030</v>
      </c>
      <c r="K34" s="288">
        <f>K33+'12'!K33</f>
        <v>20213</v>
      </c>
      <c r="L34" s="288">
        <f>L33+'12'!L33</f>
        <v>0</v>
      </c>
      <c r="M34" s="387">
        <f>M33+'12'!M33</f>
        <v>20213</v>
      </c>
      <c r="N34" s="346">
        <f t="shared" si="1"/>
        <v>20.006928635058895</v>
      </c>
    </row>
    <row r="35" spans="1:14" s="1" customFormat="1" ht="12.95" customHeight="1">
      <c r="A35" s="281"/>
      <c r="B35" s="12"/>
      <c r="C35" s="8"/>
      <c r="D35" s="8"/>
      <c r="E35" s="305"/>
      <c r="F35" s="331"/>
      <c r="G35" s="8" t="s">
        <v>95</v>
      </c>
      <c r="H35" s="288"/>
      <c r="I35" s="288"/>
      <c r="J35" s="387"/>
      <c r="K35" s="288"/>
      <c r="L35" s="288"/>
      <c r="M35" s="387"/>
      <c r="N35" s="346" t="str">
        <f t="shared" si="1"/>
        <v/>
      </c>
    </row>
    <row r="36" spans="1:14" ht="12.95" customHeight="1" thickBot="1">
      <c r="B36" s="15"/>
      <c r="C36" s="16"/>
      <c r="D36" s="16"/>
      <c r="E36" s="307"/>
      <c r="F36" s="333"/>
      <c r="G36" s="16"/>
      <c r="H36" s="27"/>
      <c r="I36" s="27"/>
      <c r="J36" s="390"/>
      <c r="K36" s="27"/>
      <c r="L36" s="27"/>
      <c r="M36" s="390"/>
      <c r="N36" s="349" t="str">
        <f t="shared" si="1"/>
        <v/>
      </c>
    </row>
    <row r="37" spans="1:14" ht="12.95" customHeight="1">
      <c r="E37" s="308"/>
      <c r="F37" s="334"/>
      <c r="J37" s="393"/>
      <c r="M37" s="393"/>
      <c r="N37" s="350" t="str">
        <f t="shared" si="1"/>
        <v/>
      </c>
    </row>
    <row r="38" spans="1:14" ht="12.95" customHeight="1">
      <c r="B38" s="50"/>
      <c r="E38" s="308"/>
      <c r="F38" s="334"/>
      <c r="J38" s="393"/>
      <c r="M38" s="393"/>
      <c r="N38" s="350" t="str">
        <f t="shared" si="1"/>
        <v/>
      </c>
    </row>
    <row r="39" spans="1:14" ht="12.95" customHeight="1">
      <c r="E39" s="308"/>
      <c r="F39" s="334"/>
      <c r="J39" s="393"/>
      <c r="M39" s="393"/>
      <c r="N39" s="350" t="str">
        <f t="shared" si="1"/>
        <v/>
      </c>
    </row>
    <row r="40" spans="1:14" ht="12.95" customHeight="1">
      <c r="E40" s="308"/>
      <c r="F40" s="334"/>
      <c r="J40" s="393"/>
      <c r="M40" s="393"/>
      <c r="N40" s="350" t="str">
        <f t="shared" si="1"/>
        <v/>
      </c>
    </row>
    <row r="41" spans="1:14" ht="12.95" customHeight="1">
      <c r="E41" s="308"/>
      <c r="F41" s="334"/>
      <c r="J41" s="393"/>
      <c r="M41" s="393"/>
      <c r="N41" s="350" t="str">
        <f t="shared" si="1"/>
        <v/>
      </c>
    </row>
    <row r="42" spans="1:14" ht="12.95" customHeight="1">
      <c r="E42" s="308"/>
      <c r="F42" s="334"/>
      <c r="J42" s="393"/>
      <c r="M42" s="393"/>
      <c r="N42" s="350" t="str">
        <f t="shared" si="1"/>
        <v/>
      </c>
    </row>
    <row r="43" spans="1:14" ht="12.95" customHeight="1">
      <c r="E43" s="308"/>
      <c r="F43" s="334"/>
      <c r="J43" s="393"/>
      <c r="M43" s="393"/>
      <c r="N43" s="350" t="str">
        <f t="shared" si="1"/>
        <v/>
      </c>
    </row>
    <row r="44" spans="1:14" ht="12.95" customHeight="1">
      <c r="E44" s="308"/>
      <c r="F44" s="334"/>
      <c r="J44" s="393"/>
      <c r="M44" s="393"/>
      <c r="N44" s="350" t="str">
        <f t="shared" si="1"/>
        <v/>
      </c>
    </row>
    <row r="45" spans="1:14" ht="12.95" customHeight="1">
      <c r="E45" s="308"/>
      <c r="F45" s="334"/>
      <c r="J45" s="393"/>
      <c r="M45" s="393"/>
      <c r="N45" s="350" t="str">
        <f t="shared" si="1"/>
        <v/>
      </c>
    </row>
    <row r="46" spans="1:14" ht="12.95" customHeight="1">
      <c r="E46" s="308"/>
      <c r="F46" s="334"/>
      <c r="J46" s="393"/>
      <c r="M46" s="393"/>
      <c r="N46" s="350" t="str">
        <f t="shared" si="1"/>
        <v/>
      </c>
    </row>
    <row r="47" spans="1:14" ht="12.95" customHeight="1">
      <c r="E47" s="308"/>
      <c r="F47" s="334"/>
      <c r="J47" s="393"/>
      <c r="M47" s="393"/>
      <c r="N47" s="350" t="str">
        <f t="shared" si="1"/>
        <v/>
      </c>
    </row>
    <row r="48" spans="1:14" ht="12.95" customHeight="1">
      <c r="E48" s="308"/>
      <c r="F48" s="334"/>
      <c r="J48" s="393"/>
      <c r="M48" s="393"/>
      <c r="N48" s="350" t="str">
        <f t="shared" si="1"/>
        <v/>
      </c>
    </row>
    <row r="49" spans="5:14" ht="12.95" customHeight="1">
      <c r="E49" s="308"/>
      <c r="F49" s="334"/>
      <c r="J49" s="393"/>
      <c r="M49" s="393"/>
      <c r="N49" s="350" t="str">
        <f t="shared" si="1"/>
        <v/>
      </c>
    </row>
    <row r="50" spans="5:14" ht="12.95" customHeight="1">
      <c r="E50" s="308"/>
      <c r="F50" s="334"/>
      <c r="J50" s="393"/>
      <c r="M50" s="393"/>
      <c r="N50" s="350" t="str">
        <f t="shared" si="1"/>
        <v/>
      </c>
    </row>
    <row r="51" spans="5:14" ht="12.95" customHeight="1">
      <c r="E51" s="308"/>
      <c r="F51" s="334"/>
      <c r="J51" s="393"/>
      <c r="M51" s="393"/>
      <c r="N51" s="350" t="str">
        <f t="shared" si="1"/>
        <v/>
      </c>
    </row>
    <row r="52" spans="5:14" ht="12.95" customHeight="1">
      <c r="E52" s="308"/>
      <c r="F52" s="334"/>
      <c r="J52" s="393"/>
      <c r="M52" s="393"/>
      <c r="N52" s="350" t="str">
        <f t="shared" si="1"/>
        <v/>
      </c>
    </row>
    <row r="53" spans="5:14" ht="12.95" customHeight="1">
      <c r="E53" s="308"/>
      <c r="F53" s="334"/>
      <c r="J53" s="393"/>
      <c r="M53" s="393"/>
      <c r="N53" s="350" t="str">
        <f t="shared" si="1"/>
        <v/>
      </c>
    </row>
    <row r="54" spans="5:14" ht="12.95" customHeight="1">
      <c r="E54" s="308"/>
      <c r="F54" s="334"/>
      <c r="J54" s="393"/>
      <c r="M54" s="393"/>
      <c r="N54" s="350" t="str">
        <f t="shared" si="1"/>
        <v/>
      </c>
    </row>
    <row r="55" spans="5:14" ht="12.95" customHeight="1">
      <c r="E55" s="308"/>
      <c r="F55" s="334"/>
      <c r="J55" s="393"/>
      <c r="M55" s="393"/>
      <c r="N55" s="350" t="str">
        <f t="shared" si="1"/>
        <v/>
      </c>
    </row>
    <row r="56" spans="5:14" ht="12.95" customHeight="1">
      <c r="E56" s="308"/>
      <c r="F56" s="334"/>
      <c r="J56" s="393"/>
      <c r="M56" s="393"/>
      <c r="N56" s="350" t="str">
        <f t="shared" si="1"/>
        <v/>
      </c>
    </row>
    <row r="57" spans="5:14" ht="12.95" customHeight="1">
      <c r="E57" s="308"/>
      <c r="F57" s="334"/>
      <c r="J57" s="393"/>
      <c r="M57" s="393"/>
      <c r="N57" s="350" t="str">
        <f t="shared" si="1"/>
        <v/>
      </c>
    </row>
    <row r="58" spans="5:14" ht="12.95" customHeight="1">
      <c r="E58" s="308"/>
      <c r="F58" s="334"/>
      <c r="J58" s="393"/>
      <c r="M58" s="393"/>
      <c r="N58" s="350" t="str">
        <f t="shared" si="1"/>
        <v/>
      </c>
    </row>
    <row r="59" spans="5:14" ht="12.95" customHeight="1">
      <c r="E59" s="308"/>
      <c r="F59" s="334"/>
      <c r="J59" s="393"/>
      <c r="M59" s="393"/>
      <c r="N59" s="350" t="str">
        <f t="shared" si="1"/>
        <v/>
      </c>
    </row>
    <row r="60" spans="5:14" ht="17.100000000000001" customHeight="1">
      <c r="E60" s="308"/>
      <c r="F60" s="334"/>
      <c r="J60" s="393"/>
      <c r="M60" s="393"/>
      <c r="N60" s="350" t="str">
        <f t="shared" si="1"/>
        <v/>
      </c>
    </row>
    <row r="61" spans="5:14" ht="14.25">
      <c r="E61" s="308"/>
      <c r="F61" s="334"/>
      <c r="J61" s="393"/>
      <c r="M61" s="393"/>
      <c r="N61" s="350" t="str">
        <f t="shared" si="1"/>
        <v/>
      </c>
    </row>
    <row r="62" spans="5:14" ht="14.25">
      <c r="E62" s="308"/>
      <c r="F62" s="334"/>
      <c r="J62" s="393"/>
      <c r="M62" s="393"/>
      <c r="N62" s="350" t="str">
        <f t="shared" si="1"/>
        <v/>
      </c>
    </row>
    <row r="63" spans="5:14" ht="14.25">
      <c r="E63" s="308"/>
      <c r="F63" s="334"/>
      <c r="J63" s="393"/>
      <c r="M63" s="393"/>
      <c r="N63" s="350" t="str">
        <f t="shared" si="1"/>
        <v/>
      </c>
    </row>
    <row r="64" spans="5:14" ht="14.25">
      <c r="E64" s="308"/>
      <c r="F64" s="334"/>
      <c r="J64" s="393"/>
      <c r="M64" s="393"/>
      <c r="N64" s="350" t="str">
        <f t="shared" si="1"/>
        <v/>
      </c>
    </row>
    <row r="65" spans="5:14" ht="14.25">
      <c r="E65" s="308"/>
      <c r="F65" s="334"/>
      <c r="J65" s="393"/>
      <c r="M65" s="393"/>
      <c r="N65" s="350" t="str">
        <f t="shared" si="1"/>
        <v/>
      </c>
    </row>
    <row r="66" spans="5:14" ht="14.25">
      <c r="E66" s="308"/>
      <c r="F66" s="334"/>
      <c r="J66" s="393"/>
      <c r="M66" s="393"/>
      <c r="N66" s="350" t="str">
        <f t="shared" si="1"/>
        <v/>
      </c>
    </row>
    <row r="67" spans="5:14" ht="14.25">
      <c r="E67" s="308"/>
      <c r="F67" s="334"/>
      <c r="J67" s="393"/>
      <c r="M67" s="393"/>
    </row>
    <row r="68" spans="5:14" ht="14.25">
      <c r="E68" s="308"/>
      <c r="F68" s="334"/>
      <c r="J68" s="393"/>
      <c r="M68" s="393"/>
    </row>
    <row r="69" spans="5:14" ht="14.25">
      <c r="E69" s="308"/>
      <c r="F69" s="334"/>
      <c r="J69" s="393"/>
      <c r="M69" s="393"/>
    </row>
    <row r="70" spans="5:14" ht="14.25">
      <c r="E70" s="308"/>
      <c r="F70" s="334"/>
      <c r="J70" s="393"/>
      <c r="M70" s="393"/>
    </row>
    <row r="71" spans="5:14" ht="14.25">
      <c r="E71" s="308"/>
      <c r="F71" s="334"/>
      <c r="J71" s="393"/>
      <c r="M71" s="393"/>
    </row>
    <row r="72" spans="5:14" ht="14.25">
      <c r="E72" s="308"/>
      <c r="F72" s="334"/>
      <c r="J72" s="393"/>
      <c r="M72" s="393"/>
    </row>
    <row r="73" spans="5:14" ht="14.25">
      <c r="E73" s="308"/>
      <c r="F73" s="334"/>
      <c r="J73" s="393"/>
      <c r="M73" s="393"/>
    </row>
    <row r="74" spans="5:14" ht="14.25">
      <c r="E74" s="308"/>
      <c r="F74" s="308"/>
      <c r="J74" s="393"/>
      <c r="M74" s="393"/>
    </row>
    <row r="75" spans="5:14" ht="14.25">
      <c r="E75" s="308"/>
      <c r="F75" s="308"/>
      <c r="J75" s="393"/>
      <c r="M75" s="393"/>
    </row>
    <row r="76" spans="5:14" ht="14.25">
      <c r="E76" s="308"/>
      <c r="F76" s="308"/>
      <c r="J76" s="393"/>
      <c r="M76" s="393"/>
    </row>
    <row r="77" spans="5:14" ht="14.25">
      <c r="E77" s="308"/>
      <c r="F77" s="308"/>
      <c r="J77" s="393"/>
      <c r="M77" s="393"/>
    </row>
    <row r="78" spans="5:14" ht="14.25">
      <c r="E78" s="308"/>
      <c r="F78" s="308"/>
      <c r="J78" s="393"/>
      <c r="M78" s="393"/>
    </row>
    <row r="79" spans="5:14" ht="14.25">
      <c r="E79" s="308"/>
      <c r="F79" s="308"/>
      <c r="J79" s="393"/>
      <c r="M79" s="393"/>
    </row>
    <row r="80" spans="5:14" ht="14.25">
      <c r="E80" s="308"/>
      <c r="F80" s="308"/>
      <c r="J80" s="393"/>
      <c r="M80" s="393"/>
    </row>
    <row r="81" spans="5:13" ht="14.25">
      <c r="E81" s="308"/>
      <c r="F81" s="308"/>
      <c r="J81" s="393"/>
      <c r="M81" s="393"/>
    </row>
    <row r="82" spans="5:13" ht="14.25">
      <c r="E82" s="308"/>
      <c r="F82" s="308"/>
      <c r="J82" s="393"/>
      <c r="M82" s="393"/>
    </row>
    <row r="83" spans="5:13" ht="14.25">
      <c r="E83" s="308"/>
      <c r="F83" s="308"/>
      <c r="J83" s="393"/>
      <c r="M83" s="393"/>
    </row>
    <row r="84" spans="5:13" ht="14.25">
      <c r="E84" s="308"/>
      <c r="F84" s="308"/>
      <c r="J84" s="393"/>
      <c r="M84" s="393"/>
    </row>
    <row r="85" spans="5:13" ht="14.25">
      <c r="E85" s="308"/>
      <c r="F85" s="308"/>
      <c r="J85" s="393"/>
      <c r="M85" s="393"/>
    </row>
    <row r="86" spans="5:13" ht="14.25">
      <c r="E86" s="308"/>
      <c r="F86" s="308"/>
      <c r="J86" s="393"/>
      <c r="M86" s="393"/>
    </row>
    <row r="87" spans="5:13" ht="14.25">
      <c r="E87" s="308"/>
      <c r="F87" s="308"/>
      <c r="J87" s="393"/>
      <c r="M87" s="393"/>
    </row>
    <row r="88" spans="5:13" ht="14.25">
      <c r="E88" s="308"/>
      <c r="F88" s="308"/>
      <c r="J88" s="393"/>
      <c r="M88" s="393"/>
    </row>
    <row r="89" spans="5:13" ht="14.25">
      <c r="E89" s="308"/>
      <c r="F89" s="308"/>
      <c r="J89" s="393"/>
      <c r="M89" s="393"/>
    </row>
    <row r="90" spans="5:13" ht="14.25">
      <c r="E90" s="308"/>
      <c r="F90" s="308"/>
      <c r="J90" s="393"/>
      <c r="M90" s="393"/>
    </row>
    <row r="91" spans="5:13">
      <c r="F91" s="308"/>
    </row>
    <row r="92" spans="5:13">
      <c r="F92" s="308"/>
    </row>
    <row r="93" spans="5:13">
      <c r="F93" s="308"/>
    </row>
    <row r="94" spans="5:13">
      <c r="F94" s="308"/>
    </row>
    <row r="95" spans="5:13">
      <c r="F95" s="308"/>
    </row>
    <row r="96" spans="5:13">
      <c r="F96" s="308"/>
    </row>
  </sheetData>
  <mergeCells count="10">
    <mergeCell ref="N4:N5"/>
    <mergeCell ref="G4:G5"/>
    <mergeCell ref="B2:G2"/>
    <mergeCell ref="H4:J4"/>
    <mergeCell ref="B4:B5"/>
    <mergeCell ref="C4:C5"/>
    <mergeCell ref="D4:D5"/>
    <mergeCell ref="F4:F5"/>
    <mergeCell ref="E4:E5"/>
    <mergeCell ref="K4:M4"/>
  </mergeCells>
  <phoneticPr fontId="2" type="noConversion"/>
  <pageMargins left="0.78740157480314965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45"/>
  <dimension ref="A1:P96"/>
  <sheetViews>
    <sheetView zoomScaleNormal="100" workbookViewId="0">
      <selection activeCell="K45" sqref="K45"/>
    </sheetView>
  </sheetViews>
  <sheetFormatPr defaultRowHeight="12.75"/>
  <cols>
    <col min="1" max="1" width="9.140625" style="284"/>
    <col min="2" max="2" width="4.7109375" style="9" customWidth="1"/>
    <col min="3" max="3" width="5.140625" style="9" customWidth="1"/>
    <col min="4" max="4" width="5" style="9" customWidth="1"/>
    <col min="5" max="5" width="8.7109375" style="17" customWidth="1"/>
    <col min="6" max="6" width="8.7109375" style="289" customWidth="1"/>
    <col min="7" max="7" width="50.7109375" style="9" customWidth="1"/>
    <col min="8" max="9" width="14.7109375" style="57" customWidth="1"/>
    <col min="10" max="10" width="15.7109375" style="57" customWidth="1"/>
    <col min="11" max="12" width="14.7109375" style="57" customWidth="1"/>
    <col min="13" max="13" width="15.7109375" style="57" customWidth="1"/>
    <col min="14" max="14" width="7.7109375" style="350" customWidth="1"/>
    <col min="15" max="16384" width="9.140625" style="9"/>
  </cols>
  <sheetData>
    <row r="1" spans="1:16" ht="13.5" thickBot="1"/>
    <row r="2" spans="1:16" s="98" customFormat="1" ht="20.100000000000001" customHeight="1" thickTop="1" thickBot="1">
      <c r="A2" s="376"/>
      <c r="B2" s="590" t="s">
        <v>196</v>
      </c>
      <c r="C2" s="591"/>
      <c r="D2" s="591"/>
      <c r="E2" s="591"/>
      <c r="F2" s="591"/>
      <c r="G2" s="591"/>
      <c r="H2" s="377"/>
      <c r="I2" s="377"/>
      <c r="J2" s="377"/>
      <c r="K2" s="377"/>
      <c r="L2" s="377"/>
      <c r="M2" s="377"/>
      <c r="N2" s="380"/>
    </row>
    <row r="3" spans="1:16" s="1" customFormat="1" ht="8.1" customHeight="1" thickTop="1" thickBot="1">
      <c r="A3" s="281"/>
      <c r="E3" s="2"/>
      <c r="F3" s="282"/>
      <c r="G3" s="531"/>
      <c r="H3" s="92"/>
      <c r="I3" s="92"/>
      <c r="J3" s="92"/>
      <c r="K3" s="92"/>
      <c r="L3" s="92"/>
      <c r="M3" s="92"/>
      <c r="N3" s="344"/>
    </row>
    <row r="4" spans="1:16" s="1" customFormat="1" ht="39" customHeight="1">
      <c r="A4" s="281"/>
      <c r="B4" s="596" t="s">
        <v>78</v>
      </c>
      <c r="C4" s="606" t="s">
        <v>79</v>
      </c>
      <c r="D4" s="607" t="s">
        <v>110</v>
      </c>
      <c r="E4" s="608" t="s">
        <v>594</v>
      </c>
      <c r="F4" s="601" t="s">
        <v>653</v>
      </c>
      <c r="G4" s="602" t="s">
        <v>80</v>
      </c>
      <c r="H4" s="593" t="s">
        <v>647</v>
      </c>
      <c r="I4" s="594"/>
      <c r="J4" s="595"/>
      <c r="K4" s="593" t="s">
        <v>801</v>
      </c>
      <c r="L4" s="594"/>
      <c r="M4" s="595"/>
      <c r="N4" s="604" t="s">
        <v>805</v>
      </c>
    </row>
    <row r="5" spans="1:16" s="281" customFormat="1" ht="27" customHeight="1">
      <c r="B5" s="597"/>
      <c r="C5" s="599"/>
      <c r="D5" s="599"/>
      <c r="E5" s="603"/>
      <c r="F5" s="599"/>
      <c r="G5" s="603"/>
      <c r="H5" s="372" t="s">
        <v>705</v>
      </c>
      <c r="I5" s="372" t="s">
        <v>706</v>
      </c>
      <c r="J5" s="382" t="s">
        <v>413</v>
      </c>
      <c r="K5" s="372" t="s">
        <v>705</v>
      </c>
      <c r="L5" s="372" t="s">
        <v>706</v>
      </c>
      <c r="M5" s="382" t="s">
        <v>413</v>
      </c>
      <c r="N5" s="605"/>
    </row>
    <row r="6" spans="1:16" s="2" customFormat="1" ht="12.95" customHeight="1">
      <c r="A6" s="282"/>
      <c r="B6" s="504">
        <v>1</v>
      </c>
      <c r="C6" s="331">
        <v>2</v>
      </c>
      <c r="D6" s="331">
        <v>3</v>
      </c>
      <c r="E6" s="331">
        <v>4</v>
      </c>
      <c r="F6" s="331">
        <v>5</v>
      </c>
      <c r="G6" s="331">
        <v>6</v>
      </c>
      <c r="H6" s="331">
        <v>7</v>
      </c>
      <c r="I6" s="331">
        <v>8</v>
      </c>
      <c r="J6" s="523" t="s">
        <v>804</v>
      </c>
      <c r="K6" s="331">
        <v>10</v>
      </c>
      <c r="L6" s="331">
        <v>11</v>
      </c>
      <c r="M6" s="523" t="s">
        <v>707</v>
      </c>
      <c r="N6" s="505">
        <v>13</v>
      </c>
    </row>
    <row r="7" spans="1:16" s="2" customFormat="1" ht="12.95" customHeight="1">
      <c r="A7" s="282"/>
      <c r="B7" s="6" t="s">
        <v>131</v>
      </c>
      <c r="C7" s="7" t="s">
        <v>197</v>
      </c>
      <c r="D7" s="7" t="s">
        <v>82</v>
      </c>
      <c r="E7" s="5"/>
      <c r="F7" s="283"/>
      <c r="G7" s="5"/>
      <c r="H7" s="86"/>
      <c r="I7" s="86"/>
      <c r="J7" s="392"/>
      <c r="K7" s="86"/>
      <c r="L7" s="86"/>
      <c r="M7" s="392"/>
      <c r="N7" s="345"/>
    </row>
    <row r="8" spans="1:16" s="1" customFormat="1" ht="12.95" customHeight="1">
      <c r="A8" s="281"/>
      <c r="B8" s="12"/>
      <c r="C8" s="8"/>
      <c r="D8" s="8"/>
      <c r="E8" s="305">
        <v>611000</v>
      </c>
      <c r="F8" s="331"/>
      <c r="G8" s="8" t="s">
        <v>163</v>
      </c>
      <c r="H8" s="210">
        <f t="shared" ref="H8:M8" si="0">SUM(H9:H12)</f>
        <v>78910</v>
      </c>
      <c r="I8" s="210">
        <f t="shared" si="0"/>
        <v>0</v>
      </c>
      <c r="J8" s="384">
        <f t="shared" si="0"/>
        <v>78910</v>
      </c>
      <c r="K8" s="210">
        <f t="shared" si="0"/>
        <v>18494</v>
      </c>
      <c r="L8" s="210">
        <f t="shared" si="0"/>
        <v>0</v>
      </c>
      <c r="M8" s="384">
        <f t="shared" si="0"/>
        <v>18494</v>
      </c>
      <c r="N8" s="346">
        <f>IF(J8=0,"",M8/J8*100)</f>
        <v>23.436826764668609</v>
      </c>
    </row>
    <row r="9" spans="1:16" ht="12.95" customHeight="1">
      <c r="B9" s="10"/>
      <c r="C9" s="11"/>
      <c r="D9" s="11"/>
      <c r="E9" s="306">
        <v>611100</v>
      </c>
      <c r="F9" s="332"/>
      <c r="G9" s="18" t="s">
        <v>198</v>
      </c>
      <c r="H9" s="212">
        <f>66820+250+2*500</f>
        <v>68070</v>
      </c>
      <c r="I9" s="212">
        <v>0</v>
      </c>
      <c r="J9" s="385">
        <f>SUM(H9:I9)</f>
        <v>68070</v>
      </c>
      <c r="K9" s="212">
        <v>16736</v>
      </c>
      <c r="L9" s="212">
        <v>0</v>
      </c>
      <c r="M9" s="385">
        <f>SUM(K9:L9)</f>
        <v>16736</v>
      </c>
      <c r="N9" s="347">
        <f t="shared" ref="N9:N66" si="1">IF(J9=0,"",M9/J9*100)</f>
        <v>24.586455119729688</v>
      </c>
    </row>
    <row r="10" spans="1:16" ht="12.95" customHeight="1">
      <c r="B10" s="10"/>
      <c r="C10" s="11"/>
      <c r="D10" s="11"/>
      <c r="E10" s="306">
        <v>611200</v>
      </c>
      <c r="F10" s="332"/>
      <c r="G10" s="11" t="s">
        <v>199</v>
      </c>
      <c r="H10" s="212">
        <f>8870+170+2*900</f>
        <v>10840</v>
      </c>
      <c r="I10" s="212">
        <v>0</v>
      </c>
      <c r="J10" s="385">
        <f t="shared" ref="J10:J11" si="2">SUM(H10:I10)</f>
        <v>10840</v>
      </c>
      <c r="K10" s="212">
        <v>1758</v>
      </c>
      <c r="L10" s="212">
        <v>0</v>
      </c>
      <c r="M10" s="385">
        <f t="shared" ref="M10:M11" si="3">SUM(K10:L10)</f>
        <v>1758</v>
      </c>
      <c r="N10" s="347">
        <f t="shared" si="1"/>
        <v>16.217712177121772</v>
      </c>
    </row>
    <row r="11" spans="1:16" ht="12.95" customHeight="1">
      <c r="B11" s="10"/>
      <c r="C11" s="11"/>
      <c r="D11" s="11"/>
      <c r="E11" s="306">
        <v>611200</v>
      </c>
      <c r="F11" s="332"/>
      <c r="G11" s="189" t="s">
        <v>534</v>
      </c>
      <c r="H11" s="209">
        <v>0</v>
      </c>
      <c r="I11" s="209">
        <v>0</v>
      </c>
      <c r="J11" s="385">
        <f t="shared" si="2"/>
        <v>0</v>
      </c>
      <c r="K11" s="209">
        <v>0</v>
      </c>
      <c r="L11" s="209">
        <v>0</v>
      </c>
      <c r="M11" s="385">
        <f t="shared" si="3"/>
        <v>0</v>
      </c>
      <c r="N11" s="347" t="str">
        <f t="shared" si="1"/>
        <v/>
      </c>
      <c r="P11" s="56"/>
    </row>
    <row r="12" spans="1:16" ht="12.95" customHeight="1">
      <c r="B12" s="10"/>
      <c r="C12" s="11"/>
      <c r="D12" s="11"/>
      <c r="E12" s="306"/>
      <c r="F12" s="332"/>
      <c r="G12" s="18"/>
      <c r="H12" s="212"/>
      <c r="I12" s="212"/>
      <c r="J12" s="385"/>
      <c r="K12" s="212"/>
      <c r="L12" s="212"/>
      <c r="M12" s="385"/>
      <c r="N12" s="347" t="str">
        <f t="shared" si="1"/>
        <v/>
      </c>
    </row>
    <row r="13" spans="1:16" s="1" customFormat="1" ht="12.95" customHeight="1">
      <c r="A13" s="281"/>
      <c r="B13" s="12"/>
      <c r="C13" s="8"/>
      <c r="D13" s="8"/>
      <c r="E13" s="305">
        <v>612000</v>
      </c>
      <c r="F13" s="331"/>
      <c r="G13" s="8" t="s">
        <v>162</v>
      </c>
      <c r="H13" s="210">
        <f t="shared" ref="H13:M13" si="4">H14</f>
        <v>7310</v>
      </c>
      <c r="I13" s="210">
        <f t="shared" si="4"/>
        <v>0</v>
      </c>
      <c r="J13" s="384">
        <f t="shared" si="4"/>
        <v>7310</v>
      </c>
      <c r="K13" s="210">
        <f t="shared" si="4"/>
        <v>1771</v>
      </c>
      <c r="L13" s="210">
        <f t="shared" si="4"/>
        <v>0</v>
      </c>
      <c r="M13" s="384">
        <f t="shared" si="4"/>
        <v>1771</v>
      </c>
      <c r="N13" s="346">
        <f t="shared" si="1"/>
        <v>24.227086183310533</v>
      </c>
    </row>
    <row r="14" spans="1:16" ht="12.95" customHeight="1">
      <c r="B14" s="10"/>
      <c r="C14" s="11"/>
      <c r="D14" s="11"/>
      <c r="E14" s="306">
        <v>612100</v>
      </c>
      <c r="F14" s="332"/>
      <c r="G14" s="13" t="s">
        <v>83</v>
      </c>
      <c r="H14" s="212">
        <f>7130+40+2*70</f>
        <v>7310</v>
      </c>
      <c r="I14" s="212">
        <v>0</v>
      </c>
      <c r="J14" s="385">
        <f>SUM(H14:I14)</f>
        <v>7310</v>
      </c>
      <c r="K14" s="212">
        <v>1771</v>
      </c>
      <c r="L14" s="212">
        <v>0</v>
      </c>
      <c r="M14" s="385">
        <f>SUM(K14:L14)</f>
        <v>1771</v>
      </c>
      <c r="N14" s="347">
        <f t="shared" si="1"/>
        <v>24.227086183310533</v>
      </c>
    </row>
    <row r="15" spans="1:16" ht="12.95" customHeight="1">
      <c r="B15" s="10"/>
      <c r="C15" s="11"/>
      <c r="D15" s="11"/>
      <c r="E15" s="306"/>
      <c r="F15" s="332"/>
      <c r="G15" s="11"/>
      <c r="H15" s="291"/>
      <c r="I15" s="291"/>
      <c r="J15" s="386"/>
      <c r="K15" s="291"/>
      <c r="L15" s="291"/>
      <c r="M15" s="386"/>
      <c r="N15" s="347" t="str">
        <f t="shared" si="1"/>
        <v/>
      </c>
    </row>
    <row r="16" spans="1:16" s="1" customFormat="1" ht="12.95" customHeight="1">
      <c r="A16" s="281"/>
      <c r="B16" s="12"/>
      <c r="C16" s="8"/>
      <c r="D16" s="8"/>
      <c r="E16" s="305">
        <v>613000</v>
      </c>
      <c r="F16" s="331"/>
      <c r="G16" s="8" t="s">
        <v>164</v>
      </c>
      <c r="H16" s="293">
        <f t="shared" ref="H16:M16" si="5">SUM(H17:H26)</f>
        <v>4800</v>
      </c>
      <c r="I16" s="293">
        <f t="shared" si="5"/>
        <v>0</v>
      </c>
      <c r="J16" s="387">
        <f t="shared" si="5"/>
        <v>4800</v>
      </c>
      <c r="K16" s="293">
        <f t="shared" si="5"/>
        <v>568</v>
      </c>
      <c r="L16" s="293">
        <f t="shared" si="5"/>
        <v>0</v>
      </c>
      <c r="M16" s="387">
        <f t="shared" si="5"/>
        <v>568</v>
      </c>
      <c r="N16" s="346">
        <f t="shared" si="1"/>
        <v>11.833333333333334</v>
      </c>
    </row>
    <row r="17" spans="1:14" ht="12.95" customHeight="1">
      <c r="B17" s="10"/>
      <c r="C17" s="11"/>
      <c r="D17" s="11"/>
      <c r="E17" s="306">
        <v>613100</v>
      </c>
      <c r="F17" s="332"/>
      <c r="G17" s="11" t="s">
        <v>84</v>
      </c>
      <c r="H17" s="363">
        <v>1000</v>
      </c>
      <c r="I17" s="363">
        <v>0</v>
      </c>
      <c r="J17" s="385">
        <f t="shared" ref="J17:J26" si="6">SUM(H17:I17)</f>
        <v>1000</v>
      </c>
      <c r="K17" s="363">
        <v>62</v>
      </c>
      <c r="L17" s="363">
        <v>0</v>
      </c>
      <c r="M17" s="385">
        <f t="shared" ref="M17:M26" si="7">SUM(K17:L17)</f>
        <v>62</v>
      </c>
      <c r="N17" s="347">
        <f t="shared" si="1"/>
        <v>6.2</v>
      </c>
    </row>
    <row r="18" spans="1:14" ht="12.95" customHeight="1">
      <c r="B18" s="10"/>
      <c r="C18" s="11"/>
      <c r="D18" s="11"/>
      <c r="E18" s="306">
        <v>613200</v>
      </c>
      <c r="F18" s="332"/>
      <c r="G18" s="11" t="s">
        <v>85</v>
      </c>
      <c r="H18" s="363">
        <v>0</v>
      </c>
      <c r="I18" s="363">
        <v>0</v>
      </c>
      <c r="J18" s="385">
        <f t="shared" si="6"/>
        <v>0</v>
      </c>
      <c r="K18" s="363">
        <v>0</v>
      </c>
      <c r="L18" s="363">
        <v>0</v>
      </c>
      <c r="M18" s="385">
        <f t="shared" si="7"/>
        <v>0</v>
      </c>
      <c r="N18" s="347" t="str">
        <f t="shared" si="1"/>
        <v/>
      </c>
    </row>
    <row r="19" spans="1:14" ht="12.95" customHeight="1">
      <c r="B19" s="10"/>
      <c r="C19" s="11"/>
      <c r="D19" s="11"/>
      <c r="E19" s="306">
        <v>613300</v>
      </c>
      <c r="F19" s="332"/>
      <c r="G19" s="18" t="s">
        <v>200</v>
      </c>
      <c r="H19" s="363">
        <v>1400</v>
      </c>
      <c r="I19" s="363">
        <v>0</v>
      </c>
      <c r="J19" s="385">
        <f t="shared" si="6"/>
        <v>1400</v>
      </c>
      <c r="K19" s="363">
        <v>315</v>
      </c>
      <c r="L19" s="363">
        <v>0</v>
      </c>
      <c r="M19" s="385">
        <f t="shared" si="7"/>
        <v>315</v>
      </c>
      <c r="N19" s="347">
        <f t="shared" si="1"/>
        <v>22.5</v>
      </c>
    </row>
    <row r="20" spans="1:14" ht="12.95" customHeight="1">
      <c r="B20" s="10"/>
      <c r="C20" s="11"/>
      <c r="D20" s="11"/>
      <c r="E20" s="306">
        <v>613400</v>
      </c>
      <c r="F20" s="332"/>
      <c r="G20" s="11" t="s">
        <v>165</v>
      </c>
      <c r="H20" s="363">
        <v>1000</v>
      </c>
      <c r="I20" s="363">
        <v>0</v>
      </c>
      <c r="J20" s="385">
        <f t="shared" si="6"/>
        <v>1000</v>
      </c>
      <c r="K20" s="363">
        <v>137</v>
      </c>
      <c r="L20" s="363">
        <v>0</v>
      </c>
      <c r="M20" s="385">
        <f t="shared" si="7"/>
        <v>137</v>
      </c>
      <c r="N20" s="347">
        <f t="shared" si="1"/>
        <v>13.700000000000001</v>
      </c>
    </row>
    <row r="21" spans="1:14" ht="12.95" customHeight="1">
      <c r="B21" s="10"/>
      <c r="C21" s="11"/>
      <c r="D21" s="11"/>
      <c r="E21" s="306">
        <v>613500</v>
      </c>
      <c r="F21" s="332"/>
      <c r="G21" s="11" t="s">
        <v>86</v>
      </c>
      <c r="H21" s="363">
        <v>0</v>
      </c>
      <c r="I21" s="363">
        <v>0</v>
      </c>
      <c r="J21" s="385">
        <f t="shared" si="6"/>
        <v>0</v>
      </c>
      <c r="K21" s="363">
        <v>0</v>
      </c>
      <c r="L21" s="363">
        <v>0</v>
      </c>
      <c r="M21" s="385">
        <f t="shared" si="7"/>
        <v>0</v>
      </c>
      <c r="N21" s="347" t="str">
        <f t="shared" si="1"/>
        <v/>
      </c>
    </row>
    <row r="22" spans="1:14" ht="12.95" customHeight="1">
      <c r="B22" s="10"/>
      <c r="C22" s="11"/>
      <c r="D22" s="11"/>
      <c r="E22" s="306">
        <v>613600</v>
      </c>
      <c r="F22" s="332"/>
      <c r="G22" s="18" t="s">
        <v>201</v>
      </c>
      <c r="H22" s="363">
        <v>0</v>
      </c>
      <c r="I22" s="363">
        <v>0</v>
      </c>
      <c r="J22" s="385">
        <f t="shared" si="6"/>
        <v>0</v>
      </c>
      <c r="K22" s="363">
        <v>0</v>
      </c>
      <c r="L22" s="363">
        <v>0</v>
      </c>
      <c r="M22" s="385">
        <f t="shared" si="7"/>
        <v>0</v>
      </c>
      <c r="N22" s="347" t="str">
        <f t="shared" si="1"/>
        <v/>
      </c>
    </row>
    <row r="23" spans="1:14" ht="12.95" customHeight="1">
      <c r="B23" s="10"/>
      <c r="C23" s="11"/>
      <c r="D23" s="11"/>
      <c r="E23" s="306">
        <v>613700</v>
      </c>
      <c r="F23" s="332"/>
      <c r="G23" s="11" t="s">
        <v>87</v>
      </c>
      <c r="H23" s="363">
        <v>200</v>
      </c>
      <c r="I23" s="363">
        <v>0</v>
      </c>
      <c r="J23" s="385">
        <f t="shared" si="6"/>
        <v>200</v>
      </c>
      <c r="K23" s="363">
        <v>0</v>
      </c>
      <c r="L23" s="363">
        <v>0</v>
      </c>
      <c r="M23" s="385">
        <f t="shared" si="7"/>
        <v>0</v>
      </c>
      <c r="N23" s="347">
        <f t="shared" si="1"/>
        <v>0</v>
      </c>
    </row>
    <row r="24" spans="1:14" ht="12.95" customHeight="1">
      <c r="B24" s="10"/>
      <c r="C24" s="11"/>
      <c r="D24" s="11"/>
      <c r="E24" s="306">
        <v>613800</v>
      </c>
      <c r="F24" s="332"/>
      <c r="G24" s="11" t="s">
        <v>166</v>
      </c>
      <c r="H24" s="363">
        <v>0</v>
      </c>
      <c r="I24" s="363">
        <v>0</v>
      </c>
      <c r="J24" s="385">
        <f t="shared" si="6"/>
        <v>0</v>
      </c>
      <c r="K24" s="363">
        <v>0</v>
      </c>
      <c r="L24" s="363">
        <v>0</v>
      </c>
      <c r="M24" s="385">
        <f t="shared" si="7"/>
        <v>0</v>
      </c>
      <c r="N24" s="347" t="str">
        <f t="shared" si="1"/>
        <v/>
      </c>
    </row>
    <row r="25" spans="1:14" ht="12.95" customHeight="1">
      <c r="B25" s="10"/>
      <c r="C25" s="11"/>
      <c r="D25" s="11"/>
      <c r="E25" s="306">
        <v>613900</v>
      </c>
      <c r="F25" s="332"/>
      <c r="G25" s="11" t="s">
        <v>167</v>
      </c>
      <c r="H25" s="365">
        <v>1200</v>
      </c>
      <c r="I25" s="365">
        <v>0</v>
      </c>
      <c r="J25" s="385">
        <f t="shared" si="6"/>
        <v>1200</v>
      </c>
      <c r="K25" s="365">
        <v>54</v>
      </c>
      <c r="L25" s="365">
        <v>0</v>
      </c>
      <c r="M25" s="385">
        <f t="shared" si="7"/>
        <v>54</v>
      </c>
      <c r="N25" s="347">
        <f t="shared" si="1"/>
        <v>4.5</v>
      </c>
    </row>
    <row r="26" spans="1:14" ht="12.95" customHeight="1">
      <c r="B26" s="10"/>
      <c r="C26" s="11"/>
      <c r="D26" s="11"/>
      <c r="E26" s="306">
        <v>613900</v>
      </c>
      <c r="F26" s="332"/>
      <c r="G26" s="189" t="s">
        <v>535</v>
      </c>
      <c r="H26" s="365">
        <v>0</v>
      </c>
      <c r="I26" s="365">
        <v>0</v>
      </c>
      <c r="J26" s="385">
        <f t="shared" si="6"/>
        <v>0</v>
      </c>
      <c r="K26" s="365">
        <v>0</v>
      </c>
      <c r="L26" s="365">
        <v>0</v>
      </c>
      <c r="M26" s="385">
        <f t="shared" si="7"/>
        <v>0</v>
      </c>
      <c r="N26" s="347" t="str">
        <f t="shared" si="1"/>
        <v/>
      </c>
    </row>
    <row r="27" spans="1:14" s="1" customFormat="1" ht="12.95" customHeight="1">
      <c r="A27" s="281"/>
      <c r="B27" s="12"/>
      <c r="C27" s="8"/>
      <c r="D27" s="8"/>
      <c r="E27" s="316"/>
      <c r="F27" s="343"/>
      <c r="G27" s="8"/>
      <c r="H27" s="291"/>
      <c r="I27" s="291"/>
      <c r="J27" s="386"/>
      <c r="K27" s="291"/>
      <c r="L27" s="291"/>
      <c r="M27" s="386"/>
      <c r="N27" s="347" t="str">
        <f t="shared" si="1"/>
        <v/>
      </c>
    </row>
    <row r="28" spans="1:14" s="1" customFormat="1" ht="12.95" customHeight="1">
      <c r="A28" s="281"/>
      <c r="B28" s="12"/>
      <c r="C28" s="8"/>
      <c r="D28" s="8"/>
      <c r="E28" s="305">
        <v>821000</v>
      </c>
      <c r="F28" s="331"/>
      <c r="G28" s="8" t="s">
        <v>90</v>
      </c>
      <c r="H28" s="288">
        <f t="shared" ref="H28:M28" si="8">H29+H30</f>
        <v>500</v>
      </c>
      <c r="I28" s="288">
        <f t="shared" si="8"/>
        <v>0</v>
      </c>
      <c r="J28" s="387">
        <f t="shared" si="8"/>
        <v>500</v>
      </c>
      <c r="K28" s="288">
        <f t="shared" si="8"/>
        <v>0</v>
      </c>
      <c r="L28" s="288">
        <f t="shared" si="8"/>
        <v>0</v>
      </c>
      <c r="M28" s="387">
        <f t="shared" si="8"/>
        <v>0</v>
      </c>
      <c r="N28" s="347">
        <f t="shared" si="1"/>
        <v>0</v>
      </c>
    </row>
    <row r="29" spans="1:14" ht="12.95" customHeight="1">
      <c r="B29" s="10"/>
      <c r="C29" s="11"/>
      <c r="D29" s="11"/>
      <c r="E29" s="306">
        <v>821200</v>
      </c>
      <c r="F29" s="332"/>
      <c r="G29" s="11" t="s">
        <v>91</v>
      </c>
      <c r="H29" s="291">
        <v>0</v>
      </c>
      <c r="I29" s="291">
        <v>0</v>
      </c>
      <c r="J29" s="385">
        <f t="shared" ref="J29:J30" si="9">SUM(H29:I29)</f>
        <v>0</v>
      </c>
      <c r="K29" s="291">
        <v>0</v>
      </c>
      <c r="L29" s="291">
        <v>0</v>
      </c>
      <c r="M29" s="385">
        <f t="shared" ref="M29:M30" si="10">SUM(K29:L29)</f>
        <v>0</v>
      </c>
      <c r="N29" s="347" t="str">
        <f t="shared" si="1"/>
        <v/>
      </c>
    </row>
    <row r="30" spans="1:14" ht="12.95" customHeight="1">
      <c r="B30" s="10"/>
      <c r="C30" s="11"/>
      <c r="D30" s="11"/>
      <c r="E30" s="306">
        <v>821300</v>
      </c>
      <c r="F30" s="332"/>
      <c r="G30" s="11" t="s">
        <v>92</v>
      </c>
      <c r="H30" s="296">
        <v>500</v>
      </c>
      <c r="I30" s="296">
        <v>0</v>
      </c>
      <c r="J30" s="385">
        <f t="shared" si="9"/>
        <v>500</v>
      </c>
      <c r="K30" s="296">
        <v>0</v>
      </c>
      <c r="L30" s="296">
        <v>0</v>
      </c>
      <c r="M30" s="385">
        <f t="shared" si="10"/>
        <v>0</v>
      </c>
      <c r="N30" s="347">
        <f t="shared" si="1"/>
        <v>0</v>
      </c>
    </row>
    <row r="31" spans="1:14" ht="12.95" customHeight="1">
      <c r="B31" s="10"/>
      <c r="C31" s="11"/>
      <c r="D31" s="11"/>
      <c r="E31" s="306"/>
      <c r="F31" s="332"/>
      <c r="G31" s="11"/>
      <c r="H31" s="291"/>
      <c r="I31" s="291"/>
      <c r="J31" s="386"/>
      <c r="K31" s="291"/>
      <c r="L31" s="291"/>
      <c r="M31" s="386"/>
      <c r="N31" s="347" t="str">
        <f t="shared" si="1"/>
        <v/>
      </c>
    </row>
    <row r="32" spans="1:14" s="1" customFormat="1" ht="12.95" customHeight="1">
      <c r="A32" s="281"/>
      <c r="B32" s="12"/>
      <c r="C32" s="8"/>
      <c r="D32" s="8"/>
      <c r="E32" s="305"/>
      <c r="F32" s="331"/>
      <c r="G32" s="8" t="s">
        <v>93</v>
      </c>
      <c r="H32" s="288">
        <v>3</v>
      </c>
      <c r="I32" s="288"/>
      <c r="J32" s="387">
        <v>3</v>
      </c>
      <c r="K32" s="288">
        <v>3</v>
      </c>
      <c r="L32" s="288"/>
      <c r="M32" s="387">
        <v>3</v>
      </c>
      <c r="N32" s="347"/>
    </row>
    <row r="33" spans="1:14" s="1" customFormat="1" ht="12.95" customHeight="1">
      <c r="A33" s="281"/>
      <c r="B33" s="12"/>
      <c r="C33" s="8"/>
      <c r="D33" s="8"/>
      <c r="E33" s="305"/>
      <c r="F33" s="331"/>
      <c r="G33" s="8" t="s">
        <v>113</v>
      </c>
      <c r="H33" s="288">
        <f t="shared" ref="H33:M33" si="11">H8+H13+H16+H28</f>
        <v>91520</v>
      </c>
      <c r="I33" s="288">
        <f t="shared" si="11"/>
        <v>0</v>
      </c>
      <c r="J33" s="387">
        <f t="shared" si="11"/>
        <v>91520</v>
      </c>
      <c r="K33" s="288">
        <f t="shared" si="11"/>
        <v>20833</v>
      </c>
      <c r="L33" s="288">
        <f t="shared" si="11"/>
        <v>0</v>
      </c>
      <c r="M33" s="387">
        <f t="shared" si="11"/>
        <v>20833</v>
      </c>
      <c r="N33" s="346">
        <f t="shared" si="1"/>
        <v>22.76333041958042</v>
      </c>
    </row>
    <row r="34" spans="1:14" s="1" customFormat="1" ht="12.95" customHeight="1">
      <c r="A34" s="281"/>
      <c r="B34" s="12"/>
      <c r="C34" s="8"/>
      <c r="D34" s="8"/>
      <c r="E34" s="305"/>
      <c r="F34" s="331"/>
      <c r="G34" s="8" t="s">
        <v>94</v>
      </c>
      <c r="H34" s="288">
        <f t="shared" ref="H34:M34" si="12">H33</f>
        <v>91520</v>
      </c>
      <c r="I34" s="288">
        <f t="shared" si="12"/>
        <v>0</v>
      </c>
      <c r="J34" s="387">
        <f t="shared" si="12"/>
        <v>91520</v>
      </c>
      <c r="K34" s="288">
        <f t="shared" si="12"/>
        <v>20833</v>
      </c>
      <c r="L34" s="288">
        <f t="shared" si="12"/>
        <v>0</v>
      </c>
      <c r="M34" s="387">
        <f t="shared" si="12"/>
        <v>20833</v>
      </c>
      <c r="N34" s="346">
        <f t="shared" si="1"/>
        <v>22.76333041958042</v>
      </c>
    </row>
    <row r="35" spans="1:14" s="1" customFormat="1" ht="12.95" customHeight="1">
      <c r="A35" s="281"/>
      <c r="B35" s="12"/>
      <c r="C35" s="8"/>
      <c r="D35" s="8"/>
      <c r="E35" s="305"/>
      <c r="F35" s="331"/>
      <c r="G35" s="8" t="s">
        <v>95</v>
      </c>
      <c r="H35" s="288">
        <f>H34+'13'!H34+'12'!H34+'11'!H35+'10'!H33</f>
        <v>1977170</v>
      </c>
      <c r="I35" s="288">
        <f>I34+'13'!I34+'12'!I34+'11'!I35+'10'!I33</f>
        <v>0</v>
      </c>
      <c r="J35" s="387">
        <f>J34+'13'!J34+'12'!J34+'11'!J35+'10'!J33</f>
        <v>1977170</v>
      </c>
      <c r="K35" s="288">
        <f>K34+'13'!K34+'12'!K34+'11'!K35+'10'!K33</f>
        <v>459382</v>
      </c>
      <c r="L35" s="288">
        <f>L34+'13'!L34+'12'!L34+'11'!L35+'10'!L33</f>
        <v>0</v>
      </c>
      <c r="M35" s="387">
        <f>M34+'13'!M34+'12'!M34+'11'!M35+'10'!M33</f>
        <v>459382</v>
      </c>
      <c r="N35" s="346">
        <f t="shared" si="1"/>
        <v>23.234319760061098</v>
      </c>
    </row>
    <row r="36" spans="1:14" ht="12.95" customHeight="1" thickBot="1">
      <c r="B36" s="15"/>
      <c r="C36" s="16"/>
      <c r="D36" s="16"/>
      <c r="E36" s="307"/>
      <c r="F36" s="333"/>
      <c r="G36" s="16"/>
      <c r="H36" s="27"/>
      <c r="I36" s="27"/>
      <c r="J36" s="390"/>
      <c r="K36" s="27"/>
      <c r="L36" s="27"/>
      <c r="M36" s="390"/>
      <c r="N36" s="349" t="str">
        <f t="shared" si="1"/>
        <v/>
      </c>
    </row>
    <row r="37" spans="1:14" ht="12.95" customHeight="1">
      <c r="E37" s="308"/>
      <c r="F37" s="334"/>
      <c r="J37" s="393"/>
      <c r="M37" s="393"/>
      <c r="N37" s="350" t="str">
        <f t="shared" si="1"/>
        <v/>
      </c>
    </row>
    <row r="38" spans="1:14" ht="12.95" customHeight="1">
      <c r="B38" s="50"/>
      <c r="E38" s="308"/>
      <c r="F38" s="334"/>
      <c r="J38" s="393"/>
      <c r="M38" s="393"/>
      <c r="N38" s="350" t="str">
        <f t="shared" si="1"/>
        <v/>
      </c>
    </row>
    <row r="39" spans="1:14" ht="12.95" customHeight="1">
      <c r="B39" s="50"/>
      <c r="E39" s="308"/>
      <c r="F39" s="334"/>
      <c r="J39" s="393"/>
      <c r="M39" s="393"/>
      <c r="N39" s="350" t="str">
        <f t="shared" si="1"/>
        <v/>
      </c>
    </row>
    <row r="40" spans="1:14" ht="12.95" customHeight="1">
      <c r="E40" s="308"/>
      <c r="F40" s="334"/>
      <c r="J40" s="393"/>
      <c r="M40" s="393"/>
      <c r="N40" s="350" t="str">
        <f t="shared" si="1"/>
        <v/>
      </c>
    </row>
    <row r="41" spans="1:14" ht="12.95" customHeight="1">
      <c r="E41" s="308"/>
      <c r="F41" s="334"/>
      <c r="J41" s="393"/>
      <c r="M41" s="393"/>
      <c r="N41" s="350" t="str">
        <f t="shared" si="1"/>
        <v/>
      </c>
    </row>
    <row r="42" spans="1:14" ht="12.95" customHeight="1">
      <c r="E42" s="308"/>
      <c r="F42" s="334"/>
      <c r="J42" s="393"/>
      <c r="M42" s="393"/>
      <c r="N42" s="350" t="str">
        <f t="shared" si="1"/>
        <v/>
      </c>
    </row>
    <row r="43" spans="1:14" ht="12.95" customHeight="1">
      <c r="E43" s="308"/>
      <c r="F43" s="334"/>
      <c r="J43" s="393"/>
      <c r="M43" s="393"/>
      <c r="N43" s="350" t="str">
        <f t="shared" si="1"/>
        <v/>
      </c>
    </row>
    <row r="44" spans="1:14" ht="12.95" customHeight="1">
      <c r="E44" s="308"/>
      <c r="F44" s="334"/>
      <c r="J44" s="393"/>
      <c r="M44" s="393"/>
      <c r="N44" s="350" t="str">
        <f t="shared" si="1"/>
        <v/>
      </c>
    </row>
    <row r="45" spans="1:14" ht="12.95" customHeight="1">
      <c r="E45" s="308"/>
      <c r="F45" s="334"/>
      <c r="J45" s="393"/>
      <c r="M45" s="393"/>
      <c r="N45" s="350" t="str">
        <f t="shared" si="1"/>
        <v/>
      </c>
    </row>
    <row r="46" spans="1:14" ht="12.95" customHeight="1">
      <c r="E46" s="308"/>
      <c r="F46" s="334"/>
      <c r="J46" s="393"/>
      <c r="M46" s="393"/>
      <c r="N46" s="350" t="str">
        <f t="shared" si="1"/>
        <v/>
      </c>
    </row>
    <row r="47" spans="1:14" ht="12.95" customHeight="1">
      <c r="E47" s="308"/>
      <c r="F47" s="334"/>
      <c r="J47" s="393"/>
      <c r="M47" s="393"/>
      <c r="N47" s="350" t="str">
        <f t="shared" si="1"/>
        <v/>
      </c>
    </row>
    <row r="48" spans="1:14" ht="12.95" customHeight="1">
      <c r="E48" s="308"/>
      <c r="F48" s="334"/>
      <c r="J48" s="393"/>
      <c r="M48" s="393"/>
      <c r="N48" s="350" t="str">
        <f t="shared" si="1"/>
        <v/>
      </c>
    </row>
    <row r="49" spans="5:14" ht="12.95" customHeight="1">
      <c r="E49" s="308"/>
      <c r="F49" s="334"/>
      <c r="J49" s="393"/>
      <c r="M49" s="393"/>
      <c r="N49" s="350" t="str">
        <f t="shared" si="1"/>
        <v/>
      </c>
    </row>
    <row r="50" spans="5:14" ht="12.95" customHeight="1">
      <c r="E50" s="308"/>
      <c r="F50" s="334"/>
      <c r="J50" s="393"/>
      <c r="M50" s="393"/>
      <c r="N50" s="350" t="str">
        <f t="shared" si="1"/>
        <v/>
      </c>
    </row>
    <row r="51" spans="5:14" ht="12.95" customHeight="1">
      <c r="E51" s="308"/>
      <c r="F51" s="334"/>
      <c r="J51" s="393"/>
      <c r="M51" s="393"/>
      <c r="N51" s="350" t="str">
        <f t="shared" si="1"/>
        <v/>
      </c>
    </row>
    <row r="52" spans="5:14" ht="12.95" customHeight="1">
      <c r="E52" s="308"/>
      <c r="F52" s="334"/>
      <c r="J52" s="393"/>
      <c r="M52" s="393"/>
      <c r="N52" s="350" t="str">
        <f t="shared" si="1"/>
        <v/>
      </c>
    </row>
    <row r="53" spans="5:14" ht="12.95" customHeight="1">
      <c r="E53" s="308"/>
      <c r="F53" s="334"/>
      <c r="J53" s="393"/>
      <c r="M53" s="393"/>
      <c r="N53" s="350" t="str">
        <f t="shared" si="1"/>
        <v/>
      </c>
    </row>
    <row r="54" spans="5:14" ht="12.95" customHeight="1">
      <c r="E54" s="308"/>
      <c r="F54" s="334"/>
      <c r="J54" s="393"/>
      <c r="M54" s="393"/>
      <c r="N54" s="350" t="str">
        <f t="shared" si="1"/>
        <v/>
      </c>
    </row>
    <row r="55" spans="5:14" ht="12.95" customHeight="1">
      <c r="E55" s="308"/>
      <c r="F55" s="334"/>
      <c r="J55" s="393"/>
      <c r="M55" s="393"/>
      <c r="N55" s="350" t="str">
        <f t="shared" si="1"/>
        <v/>
      </c>
    </row>
    <row r="56" spans="5:14" ht="12.95" customHeight="1">
      <c r="E56" s="308"/>
      <c r="F56" s="334"/>
      <c r="J56" s="393"/>
      <c r="M56" s="393"/>
      <c r="N56" s="350" t="str">
        <f t="shared" si="1"/>
        <v/>
      </c>
    </row>
    <row r="57" spans="5:14" ht="12.95" customHeight="1">
      <c r="E57" s="308"/>
      <c r="F57" s="334"/>
      <c r="J57" s="393"/>
      <c r="M57" s="393"/>
      <c r="N57" s="350" t="str">
        <f t="shared" si="1"/>
        <v/>
      </c>
    </row>
    <row r="58" spans="5:14" ht="12.95" customHeight="1">
      <c r="E58" s="308"/>
      <c r="F58" s="334"/>
      <c r="J58" s="393"/>
      <c r="M58" s="393"/>
      <c r="N58" s="350" t="str">
        <f t="shared" si="1"/>
        <v/>
      </c>
    </row>
    <row r="59" spans="5:14" ht="12.95" customHeight="1">
      <c r="E59" s="308"/>
      <c r="F59" s="334"/>
      <c r="J59" s="393"/>
      <c r="M59" s="393"/>
      <c r="N59" s="350" t="str">
        <f t="shared" si="1"/>
        <v/>
      </c>
    </row>
    <row r="60" spans="5:14" ht="17.100000000000001" customHeight="1">
      <c r="E60" s="308"/>
      <c r="F60" s="334"/>
      <c r="J60" s="393"/>
      <c r="M60" s="393"/>
      <c r="N60" s="350" t="str">
        <f t="shared" si="1"/>
        <v/>
      </c>
    </row>
    <row r="61" spans="5:14" ht="14.25">
      <c r="E61" s="308"/>
      <c r="F61" s="334"/>
      <c r="J61" s="393"/>
      <c r="M61" s="393"/>
      <c r="N61" s="350" t="str">
        <f t="shared" si="1"/>
        <v/>
      </c>
    </row>
    <row r="62" spans="5:14" ht="14.25">
      <c r="E62" s="308"/>
      <c r="F62" s="334"/>
      <c r="J62" s="393"/>
      <c r="M62" s="393"/>
      <c r="N62" s="350" t="str">
        <f t="shared" si="1"/>
        <v/>
      </c>
    </row>
    <row r="63" spans="5:14" ht="14.25">
      <c r="E63" s="308"/>
      <c r="F63" s="334"/>
      <c r="J63" s="393"/>
      <c r="M63" s="393"/>
      <c r="N63" s="350" t="str">
        <f t="shared" si="1"/>
        <v/>
      </c>
    </row>
    <row r="64" spans="5:14" ht="14.25">
      <c r="E64" s="308"/>
      <c r="F64" s="334"/>
      <c r="J64" s="393"/>
      <c r="M64" s="393"/>
      <c r="N64" s="350" t="str">
        <f t="shared" si="1"/>
        <v/>
      </c>
    </row>
    <row r="65" spans="5:14" ht="14.25">
      <c r="E65" s="308"/>
      <c r="F65" s="334"/>
      <c r="J65" s="393"/>
      <c r="M65" s="393"/>
      <c r="N65" s="350" t="str">
        <f t="shared" si="1"/>
        <v/>
      </c>
    </row>
    <row r="66" spans="5:14" ht="14.25">
      <c r="E66" s="308"/>
      <c r="F66" s="334"/>
      <c r="J66" s="393"/>
      <c r="M66" s="393"/>
      <c r="N66" s="350" t="str">
        <f t="shared" si="1"/>
        <v/>
      </c>
    </row>
    <row r="67" spans="5:14" ht="14.25">
      <c r="E67" s="308"/>
      <c r="F67" s="334"/>
      <c r="J67" s="393"/>
      <c r="M67" s="393"/>
    </row>
    <row r="68" spans="5:14" ht="14.25">
      <c r="E68" s="308"/>
      <c r="F68" s="334"/>
      <c r="J68" s="393"/>
      <c r="M68" s="393"/>
    </row>
    <row r="69" spans="5:14" ht="14.25">
      <c r="E69" s="308"/>
      <c r="F69" s="334"/>
      <c r="J69" s="393"/>
      <c r="M69" s="393"/>
    </row>
    <row r="70" spans="5:14" ht="14.25">
      <c r="E70" s="308"/>
      <c r="F70" s="334"/>
      <c r="J70" s="393"/>
      <c r="M70" s="393"/>
    </row>
    <row r="71" spans="5:14" ht="14.25">
      <c r="E71" s="308"/>
      <c r="F71" s="334"/>
      <c r="J71" s="393"/>
      <c r="M71" s="393"/>
    </row>
    <row r="72" spans="5:14" ht="14.25">
      <c r="E72" s="308"/>
      <c r="F72" s="334"/>
      <c r="J72" s="393"/>
      <c r="M72" s="393"/>
    </row>
    <row r="73" spans="5:14" ht="14.25">
      <c r="E73" s="308"/>
      <c r="F73" s="334"/>
      <c r="J73" s="393"/>
      <c r="M73" s="393"/>
    </row>
    <row r="74" spans="5:14" ht="14.25">
      <c r="E74" s="308"/>
      <c r="F74" s="308"/>
      <c r="J74" s="393"/>
      <c r="M74" s="393"/>
    </row>
    <row r="75" spans="5:14" ht="14.25">
      <c r="E75" s="308"/>
      <c r="F75" s="308"/>
      <c r="J75" s="393"/>
      <c r="M75" s="393"/>
    </row>
    <row r="76" spans="5:14" ht="14.25">
      <c r="E76" s="308"/>
      <c r="F76" s="308"/>
      <c r="J76" s="393"/>
      <c r="M76" s="393"/>
    </row>
    <row r="77" spans="5:14" ht="14.25">
      <c r="E77" s="308"/>
      <c r="F77" s="308"/>
      <c r="J77" s="393"/>
      <c r="M77" s="393"/>
    </row>
    <row r="78" spans="5:14" ht="14.25">
      <c r="E78" s="308"/>
      <c r="F78" s="308"/>
      <c r="J78" s="393"/>
      <c r="M78" s="393"/>
    </row>
    <row r="79" spans="5:14" ht="14.25">
      <c r="E79" s="308"/>
      <c r="F79" s="308"/>
      <c r="J79" s="393"/>
      <c r="M79" s="393"/>
    </row>
    <row r="80" spans="5:14" ht="14.25">
      <c r="E80" s="308"/>
      <c r="F80" s="308"/>
      <c r="J80" s="393"/>
      <c r="M80" s="393"/>
    </row>
    <row r="81" spans="5:13" ht="14.25">
      <c r="E81" s="308"/>
      <c r="F81" s="308"/>
      <c r="J81" s="393"/>
      <c r="M81" s="393"/>
    </row>
    <row r="82" spans="5:13" ht="14.25">
      <c r="E82" s="308"/>
      <c r="F82" s="308"/>
      <c r="J82" s="393"/>
      <c r="M82" s="393"/>
    </row>
    <row r="83" spans="5:13" ht="14.25">
      <c r="E83" s="308"/>
      <c r="F83" s="308"/>
      <c r="J83" s="393"/>
      <c r="M83" s="393"/>
    </row>
    <row r="84" spans="5:13" ht="14.25">
      <c r="E84" s="308"/>
      <c r="F84" s="308"/>
      <c r="J84" s="393"/>
      <c r="M84" s="393"/>
    </row>
    <row r="85" spans="5:13" ht="14.25">
      <c r="E85" s="308"/>
      <c r="F85" s="308"/>
      <c r="J85" s="393"/>
      <c r="M85" s="393"/>
    </row>
    <row r="86" spans="5:13" ht="14.25">
      <c r="E86" s="308"/>
      <c r="F86" s="308"/>
      <c r="J86" s="393"/>
      <c r="M86" s="393"/>
    </row>
    <row r="87" spans="5:13" ht="14.25">
      <c r="E87" s="308"/>
      <c r="F87" s="308"/>
      <c r="J87" s="393"/>
      <c r="M87" s="393"/>
    </row>
    <row r="88" spans="5:13" ht="14.25">
      <c r="E88" s="308"/>
      <c r="F88" s="308"/>
      <c r="J88" s="393"/>
      <c r="M88" s="393"/>
    </row>
    <row r="89" spans="5:13" ht="14.25">
      <c r="E89" s="308"/>
      <c r="F89" s="308"/>
      <c r="J89" s="393"/>
      <c r="M89" s="393"/>
    </row>
    <row r="90" spans="5:13" ht="14.25">
      <c r="E90" s="308"/>
      <c r="F90" s="308"/>
      <c r="J90" s="393"/>
      <c r="M90" s="393"/>
    </row>
    <row r="91" spans="5:13">
      <c r="F91" s="308"/>
    </row>
    <row r="92" spans="5:13">
      <c r="F92" s="308"/>
    </row>
    <row r="93" spans="5:13">
      <c r="F93" s="308"/>
    </row>
    <row r="94" spans="5:13">
      <c r="F94" s="308"/>
    </row>
    <row r="95" spans="5:13">
      <c r="F95" s="308"/>
    </row>
    <row r="96" spans="5:13">
      <c r="F96" s="308"/>
    </row>
  </sheetData>
  <mergeCells count="10">
    <mergeCell ref="N4:N5"/>
    <mergeCell ref="G4:G5"/>
    <mergeCell ref="B2:G2"/>
    <mergeCell ref="H4:J4"/>
    <mergeCell ref="B4:B5"/>
    <mergeCell ref="C4:C5"/>
    <mergeCell ref="D4:D5"/>
    <mergeCell ref="F4:F5"/>
    <mergeCell ref="E4:E5"/>
    <mergeCell ref="K4:M4"/>
  </mergeCells>
  <phoneticPr fontId="2" type="noConversion"/>
  <pageMargins left="0.78740157480314965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34"/>
  <sheetViews>
    <sheetView topLeftCell="A4" zoomScaleNormal="100" workbookViewId="0">
      <selection activeCell="N112" sqref="N112"/>
    </sheetView>
  </sheetViews>
  <sheetFormatPr defaultRowHeight="12.75"/>
  <cols>
    <col min="1" max="1" width="3.28515625" style="34" customWidth="1"/>
    <col min="7" max="7" width="10.7109375" customWidth="1"/>
    <col min="8" max="8" width="0.140625" hidden="1" customWidth="1"/>
    <col min="9" max="9" width="2.7109375" hidden="1" customWidth="1"/>
    <col min="10" max="10" width="8.28515625" style="34" customWidth="1"/>
    <col min="11" max="11" width="2.42578125" customWidth="1"/>
    <col min="12" max="12" width="4.140625" customWidth="1"/>
    <col min="19" max="19" width="3.85546875" customWidth="1"/>
    <col min="20" max="20" width="2.5703125" customWidth="1"/>
    <col min="21" max="21" width="8.5703125" customWidth="1"/>
  </cols>
  <sheetData>
    <row r="1" spans="1:21" ht="15.75">
      <c r="A1" s="552" t="s">
        <v>222</v>
      </c>
      <c r="B1" s="552"/>
      <c r="C1" s="552"/>
      <c r="D1" s="552"/>
      <c r="E1" s="552"/>
      <c r="F1" s="552"/>
      <c r="G1" s="552"/>
      <c r="H1" s="552"/>
      <c r="I1" s="552"/>
    </row>
    <row r="3" spans="1:21" s="40" customFormat="1">
      <c r="A3" s="525" t="s">
        <v>264</v>
      </c>
      <c r="B3" s="549" t="s">
        <v>266</v>
      </c>
      <c r="C3" s="550"/>
      <c r="D3" s="550"/>
      <c r="E3" s="550"/>
      <c r="F3" s="550"/>
      <c r="G3" s="550"/>
      <c r="H3" s="550"/>
      <c r="I3" s="551"/>
      <c r="J3" s="525" t="s">
        <v>248</v>
      </c>
      <c r="L3" s="525" t="s">
        <v>264</v>
      </c>
      <c r="M3" s="549" t="s">
        <v>266</v>
      </c>
      <c r="N3" s="550"/>
      <c r="O3" s="550"/>
      <c r="P3" s="550"/>
      <c r="Q3" s="550"/>
      <c r="R3" s="550"/>
      <c r="S3" s="550"/>
      <c r="T3" s="551"/>
      <c r="U3" s="525" t="s">
        <v>248</v>
      </c>
    </row>
    <row r="4" spans="1:21" s="31" customFormat="1" ht="17.100000000000001" customHeight="1">
      <c r="A4" s="508" t="s">
        <v>223</v>
      </c>
      <c r="B4" s="559" t="s">
        <v>224</v>
      </c>
      <c r="C4" s="560"/>
      <c r="D4" s="560"/>
      <c r="E4" s="560"/>
      <c r="F4" s="560"/>
      <c r="G4" s="560"/>
      <c r="H4" s="560"/>
      <c r="I4" s="561"/>
      <c r="J4" s="508">
        <v>3</v>
      </c>
      <c r="K4" s="509"/>
      <c r="L4" s="510" t="s">
        <v>765</v>
      </c>
      <c r="M4" s="556" t="s">
        <v>254</v>
      </c>
      <c r="N4" s="557"/>
      <c r="O4" s="557"/>
      <c r="P4" s="557"/>
      <c r="Q4" s="557"/>
      <c r="R4" s="557"/>
      <c r="S4" s="557"/>
      <c r="T4" s="558"/>
      <c r="U4" s="510">
        <v>42</v>
      </c>
    </row>
    <row r="5" spans="1:21" s="31" customFormat="1" ht="17.100000000000001" customHeight="1">
      <c r="A5" s="511" t="s">
        <v>225</v>
      </c>
      <c r="B5" s="548" t="s">
        <v>226</v>
      </c>
      <c r="C5" s="545"/>
      <c r="D5" s="545"/>
      <c r="E5" s="545"/>
      <c r="F5" s="545"/>
      <c r="G5" s="545"/>
      <c r="H5" s="545"/>
      <c r="I5" s="546"/>
      <c r="J5" s="511">
        <v>4</v>
      </c>
      <c r="K5" s="509"/>
      <c r="L5" s="511" t="s">
        <v>766</v>
      </c>
      <c r="M5" s="512" t="s">
        <v>255</v>
      </c>
      <c r="N5" s="513"/>
      <c r="O5" s="513"/>
      <c r="P5" s="513"/>
      <c r="Q5" s="513"/>
      <c r="R5" s="513"/>
      <c r="S5" s="513"/>
      <c r="T5" s="514"/>
      <c r="U5" s="511">
        <v>43</v>
      </c>
    </row>
    <row r="6" spans="1:21" s="31" customFormat="1" ht="17.100000000000001" customHeight="1">
      <c r="A6" s="511" t="s">
        <v>227</v>
      </c>
      <c r="B6" s="548" t="s">
        <v>439</v>
      </c>
      <c r="C6" s="545"/>
      <c r="D6" s="545"/>
      <c r="E6" s="545"/>
      <c r="F6" s="545"/>
      <c r="G6" s="545"/>
      <c r="H6" s="545"/>
      <c r="I6" s="546"/>
      <c r="J6" s="511">
        <v>12</v>
      </c>
      <c r="K6" s="509"/>
      <c r="L6" s="511" t="s">
        <v>767</v>
      </c>
      <c r="M6" s="512" t="s">
        <v>256</v>
      </c>
      <c r="N6" s="513"/>
      <c r="O6" s="513"/>
      <c r="P6" s="513"/>
      <c r="Q6" s="513"/>
      <c r="R6" s="513"/>
      <c r="S6" s="513"/>
      <c r="T6" s="514"/>
      <c r="U6" s="511">
        <v>44</v>
      </c>
    </row>
    <row r="7" spans="1:21" s="31" customFormat="1" ht="17.100000000000001" customHeight="1">
      <c r="A7" s="511" t="s">
        <v>228</v>
      </c>
      <c r="B7" s="548" t="s">
        <v>229</v>
      </c>
      <c r="C7" s="545"/>
      <c r="D7" s="545"/>
      <c r="E7" s="545"/>
      <c r="F7" s="545"/>
      <c r="G7" s="545"/>
      <c r="H7" s="545"/>
      <c r="I7" s="546"/>
      <c r="J7" s="511">
        <v>15</v>
      </c>
      <c r="K7" s="509"/>
      <c r="L7" s="511" t="s">
        <v>768</v>
      </c>
      <c r="M7" s="512" t="s">
        <v>257</v>
      </c>
      <c r="N7" s="513"/>
      <c r="O7" s="513"/>
      <c r="P7" s="513"/>
      <c r="Q7" s="513"/>
      <c r="R7" s="513"/>
      <c r="S7" s="513"/>
      <c r="T7" s="514"/>
      <c r="U7" s="511">
        <v>45</v>
      </c>
    </row>
    <row r="8" spans="1:21" s="31" customFormat="1" ht="17.100000000000001" customHeight="1">
      <c r="A8" s="511" t="s">
        <v>265</v>
      </c>
      <c r="B8" s="548" t="s">
        <v>230</v>
      </c>
      <c r="C8" s="545"/>
      <c r="D8" s="545"/>
      <c r="E8" s="545"/>
      <c r="F8" s="545"/>
      <c r="G8" s="545"/>
      <c r="H8" s="545"/>
      <c r="I8" s="546"/>
      <c r="J8" s="511">
        <v>16</v>
      </c>
      <c r="K8" s="509"/>
      <c r="L8" s="511" t="s">
        <v>769</v>
      </c>
      <c r="M8" s="512" t="s">
        <v>258</v>
      </c>
      <c r="N8" s="513"/>
      <c r="O8" s="513"/>
      <c r="P8" s="513"/>
      <c r="Q8" s="513"/>
      <c r="R8" s="513"/>
      <c r="S8" s="513"/>
      <c r="T8" s="514"/>
      <c r="U8" s="511">
        <v>46</v>
      </c>
    </row>
    <row r="9" spans="1:21" s="31" customFormat="1" ht="17.100000000000001" customHeight="1">
      <c r="A9" s="511" t="s">
        <v>740</v>
      </c>
      <c r="B9" s="548" t="s">
        <v>231</v>
      </c>
      <c r="C9" s="545"/>
      <c r="D9" s="545"/>
      <c r="E9" s="545"/>
      <c r="F9" s="545"/>
      <c r="G9" s="545"/>
      <c r="H9" s="545"/>
      <c r="I9" s="546"/>
      <c r="J9" s="511">
        <v>17</v>
      </c>
      <c r="K9" s="509"/>
      <c r="L9" s="511" t="s">
        <v>770</v>
      </c>
      <c r="M9" s="512" t="s">
        <v>259</v>
      </c>
      <c r="N9" s="513"/>
      <c r="O9" s="513"/>
      <c r="P9" s="513"/>
      <c r="Q9" s="513"/>
      <c r="R9" s="513"/>
      <c r="S9" s="513"/>
      <c r="T9" s="514"/>
      <c r="U9" s="511">
        <v>47</v>
      </c>
    </row>
    <row r="10" spans="1:21" s="31" customFormat="1" ht="17.100000000000001" customHeight="1">
      <c r="A10" s="511" t="s">
        <v>741</v>
      </c>
      <c r="B10" s="548" t="s">
        <v>232</v>
      </c>
      <c r="C10" s="545"/>
      <c r="D10" s="545"/>
      <c r="E10" s="545"/>
      <c r="F10" s="545"/>
      <c r="G10" s="545"/>
      <c r="H10" s="545"/>
      <c r="I10" s="546"/>
      <c r="J10" s="511">
        <v>18</v>
      </c>
      <c r="K10" s="509"/>
      <c r="L10" s="511" t="s">
        <v>771</v>
      </c>
      <c r="M10" s="548" t="s">
        <v>260</v>
      </c>
      <c r="N10" s="545"/>
      <c r="O10" s="545"/>
      <c r="P10" s="545"/>
      <c r="Q10" s="545"/>
      <c r="R10" s="545"/>
      <c r="S10" s="545"/>
      <c r="T10" s="546"/>
      <c r="U10" s="511">
        <v>48</v>
      </c>
    </row>
    <row r="11" spans="1:21" s="31" customFormat="1" ht="17.100000000000001" customHeight="1">
      <c r="A11" s="511" t="s">
        <v>742</v>
      </c>
      <c r="B11" s="548" t="s">
        <v>233</v>
      </c>
      <c r="C11" s="545"/>
      <c r="D11" s="545"/>
      <c r="E11" s="545"/>
      <c r="F11" s="545"/>
      <c r="G11" s="545"/>
      <c r="H11" s="545"/>
      <c r="I11" s="546"/>
      <c r="J11" s="511">
        <v>19</v>
      </c>
      <c r="K11" s="509"/>
      <c r="L11" s="511" t="s">
        <v>772</v>
      </c>
      <c r="M11" s="548" t="s">
        <v>261</v>
      </c>
      <c r="N11" s="545"/>
      <c r="O11" s="545"/>
      <c r="P11" s="545"/>
      <c r="Q11" s="545"/>
      <c r="R11" s="545"/>
      <c r="S11" s="545"/>
      <c r="T11" s="546"/>
      <c r="U11" s="511">
        <v>49</v>
      </c>
    </row>
    <row r="12" spans="1:21" s="31" customFormat="1" ht="17.100000000000001" customHeight="1">
      <c r="A12" s="511" t="s">
        <v>743</v>
      </c>
      <c r="B12" s="548" t="s">
        <v>234</v>
      </c>
      <c r="C12" s="545"/>
      <c r="D12" s="545"/>
      <c r="E12" s="545"/>
      <c r="F12" s="545"/>
      <c r="G12" s="545"/>
      <c r="H12" s="545"/>
      <c r="I12" s="546"/>
      <c r="J12" s="511">
        <v>20</v>
      </c>
      <c r="K12" s="509"/>
      <c r="L12" s="511" t="s">
        <v>773</v>
      </c>
      <c r="M12" s="548" t="s">
        <v>262</v>
      </c>
      <c r="N12" s="545"/>
      <c r="O12" s="545"/>
      <c r="P12" s="545"/>
      <c r="Q12" s="545"/>
      <c r="R12" s="545"/>
      <c r="S12" s="545"/>
      <c r="T12" s="546"/>
      <c r="U12" s="511">
        <v>50</v>
      </c>
    </row>
    <row r="13" spans="1:21" s="31" customFormat="1" ht="17.100000000000001" customHeight="1">
      <c r="A13" s="511" t="s">
        <v>744</v>
      </c>
      <c r="B13" s="548" t="s">
        <v>605</v>
      </c>
      <c r="C13" s="545"/>
      <c r="D13" s="545"/>
      <c r="E13" s="545"/>
      <c r="F13" s="545"/>
      <c r="G13" s="545"/>
      <c r="H13" s="545"/>
      <c r="I13" s="546"/>
      <c r="J13" s="511">
        <v>21</v>
      </c>
      <c r="K13" s="509"/>
      <c r="L13" s="511" t="s">
        <v>774</v>
      </c>
      <c r="M13" s="548" t="s">
        <v>263</v>
      </c>
      <c r="N13" s="545"/>
      <c r="O13" s="545"/>
      <c r="P13" s="545"/>
      <c r="Q13" s="545"/>
      <c r="R13" s="545"/>
      <c r="S13" s="545"/>
      <c r="T13" s="546"/>
      <c r="U13" s="511">
        <v>51</v>
      </c>
    </row>
    <row r="14" spans="1:21" s="31" customFormat="1" ht="17.100000000000001" customHeight="1">
      <c r="A14" s="511" t="s">
        <v>745</v>
      </c>
      <c r="B14" s="548" t="s">
        <v>235</v>
      </c>
      <c r="C14" s="545"/>
      <c r="D14" s="545"/>
      <c r="E14" s="545"/>
      <c r="F14" s="545"/>
      <c r="G14" s="545"/>
      <c r="H14" s="545"/>
      <c r="I14" s="546"/>
      <c r="J14" s="511">
        <v>22</v>
      </c>
      <c r="K14" s="509"/>
      <c r="L14" s="511" t="s">
        <v>775</v>
      </c>
      <c r="M14" s="544" t="s">
        <v>823</v>
      </c>
      <c r="N14" s="545"/>
      <c r="O14" s="545"/>
      <c r="P14" s="545"/>
      <c r="Q14" s="545"/>
      <c r="R14" s="545"/>
      <c r="S14" s="545"/>
      <c r="T14" s="546"/>
      <c r="U14" s="511">
        <v>52</v>
      </c>
    </row>
    <row r="15" spans="1:21" s="31" customFormat="1" ht="17.100000000000001" customHeight="1">
      <c r="A15" s="511" t="s">
        <v>746</v>
      </c>
      <c r="B15" s="548" t="s">
        <v>236</v>
      </c>
      <c r="C15" s="545"/>
      <c r="D15" s="545"/>
      <c r="E15" s="545"/>
      <c r="F15" s="545"/>
      <c r="G15" s="545"/>
      <c r="H15" s="545"/>
      <c r="I15" s="546"/>
      <c r="J15" s="511">
        <v>23</v>
      </c>
      <c r="K15" s="509"/>
      <c r="L15" s="511" t="s">
        <v>776</v>
      </c>
      <c r="M15" s="533" t="s">
        <v>824</v>
      </c>
      <c r="N15" s="513"/>
      <c r="O15" s="513"/>
      <c r="P15" s="513"/>
      <c r="Q15" s="513"/>
      <c r="R15" s="513"/>
      <c r="S15" s="513"/>
      <c r="T15" s="514"/>
      <c r="U15" s="511">
        <v>53</v>
      </c>
    </row>
    <row r="16" spans="1:21" s="31" customFormat="1" ht="17.100000000000001" customHeight="1">
      <c r="A16" s="511" t="s">
        <v>747</v>
      </c>
      <c r="B16" s="548" t="s">
        <v>237</v>
      </c>
      <c r="C16" s="545"/>
      <c r="D16" s="545"/>
      <c r="E16" s="545"/>
      <c r="F16" s="545"/>
      <c r="G16" s="545"/>
      <c r="H16" s="545"/>
      <c r="I16" s="546"/>
      <c r="J16" s="511">
        <v>24</v>
      </c>
      <c r="K16" s="509"/>
      <c r="L16" s="511" t="s">
        <v>777</v>
      </c>
      <c r="M16" s="533" t="s">
        <v>836</v>
      </c>
      <c r="N16" s="513"/>
      <c r="O16" s="513"/>
      <c r="P16" s="513"/>
      <c r="Q16" s="513"/>
      <c r="R16" s="513"/>
      <c r="S16" s="513"/>
      <c r="T16" s="514"/>
      <c r="U16" s="511">
        <v>56</v>
      </c>
    </row>
    <row r="17" spans="1:21" s="31" customFormat="1" ht="17.100000000000001" customHeight="1">
      <c r="A17" s="511" t="s">
        <v>748</v>
      </c>
      <c r="B17" s="548" t="s">
        <v>238</v>
      </c>
      <c r="C17" s="545"/>
      <c r="D17" s="545"/>
      <c r="E17" s="545"/>
      <c r="F17" s="545"/>
      <c r="G17" s="545"/>
      <c r="H17" s="545"/>
      <c r="I17" s="546"/>
      <c r="J17" s="511">
        <v>25</v>
      </c>
      <c r="K17" s="509"/>
      <c r="L17" s="515" t="s">
        <v>778</v>
      </c>
      <c r="M17" s="547" t="s">
        <v>837</v>
      </c>
      <c r="N17" s="547"/>
      <c r="O17" s="547"/>
      <c r="P17" s="547"/>
      <c r="Q17" s="547"/>
      <c r="R17" s="547"/>
      <c r="S17" s="547"/>
      <c r="T17" s="547"/>
      <c r="U17" s="515">
        <v>57</v>
      </c>
    </row>
    <row r="18" spans="1:21" s="31" customFormat="1" ht="17.100000000000001" customHeight="1">
      <c r="A18" s="511" t="s">
        <v>749</v>
      </c>
      <c r="B18" s="548" t="s">
        <v>239</v>
      </c>
      <c r="C18" s="545"/>
      <c r="D18" s="545"/>
      <c r="E18" s="545"/>
      <c r="F18" s="545"/>
      <c r="G18" s="545"/>
      <c r="H18" s="545"/>
      <c r="I18" s="546"/>
      <c r="J18" s="511">
        <v>26</v>
      </c>
      <c r="K18" s="509"/>
      <c r="L18" s="509"/>
      <c r="M18" s="509"/>
      <c r="N18" s="509"/>
      <c r="O18" s="509"/>
      <c r="P18" s="509"/>
      <c r="Q18" s="509"/>
      <c r="R18" s="509"/>
      <c r="S18" s="509"/>
      <c r="T18" s="509"/>
      <c r="U18" s="509"/>
    </row>
    <row r="19" spans="1:21" s="31" customFormat="1" ht="17.100000000000001" customHeight="1">
      <c r="A19" s="511" t="s">
        <v>750</v>
      </c>
      <c r="B19" s="548" t="s">
        <v>240</v>
      </c>
      <c r="C19" s="545"/>
      <c r="D19" s="545"/>
      <c r="E19" s="545"/>
      <c r="F19" s="545"/>
      <c r="G19" s="545"/>
      <c r="H19" s="545"/>
      <c r="I19" s="546"/>
      <c r="J19" s="511">
        <v>27</v>
      </c>
      <c r="K19" s="509"/>
      <c r="L19" s="509"/>
      <c r="M19" s="509"/>
      <c r="N19" s="509"/>
      <c r="O19" s="509"/>
      <c r="P19" s="509"/>
      <c r="Q19" s="509"/>
      <c r="R19" s="509"/>
      <c r="S19" s="509"/>
      <c r="T19" s="509"/>
      <c r="U19" s="509"/>
    </row>
    <row r="20" spans="1:21" s="31" customFormat="1" ht="17.100000000000001" customHeight="1">
      <c r="A20" s="511" t="s">
        <v>751</v>
      </c>
      <c r="B20" s="548" t="s">
        <v>241</v>
      </c>
      <c r="C20" s="545"/>
      <c r="D20" s="545"/>
      <c r="E20" s="545"/>
      <c r="F20" s="545"/>
      <c r="G20" s="545"/>
      <c r="H20" s="545"/>
      <c r="I20" s="546"/>
      <c r="J20" s="511">
        <v>28</v>
      </c>
      <c r="K20" s="509"/>
      <c r="L20" s="509"/>
      <c r="M20" s="509"/>
      <c r="N20" s="509"/>
      <c r="O20" s="509"/>
      <c r="P20" s="509"/>
      <c r="Q20" s="509"/>
      <c r="R20" s="509"/>
      <c r="S20" s="509"/>
      <c r="T20" s="509"/>
      <c r="U20" s="509"/>
    </row>
    <row r="21" spans="1:21" s="31" customFormat="1" ht="17.100000000000001" customHeight="1">
      <c r="A21" s="511" t="s">
        <v>752</v>
      </c>
      <c r="B21" s="548" t="s">
        <v>242</v>
      </c>
      <c r="C21" s="545"/>
      <c r="D21" s="545"/>
      <c r="E21" s="545"/>
      <c r="F21" s="545"/>
      <c r="G21" s="545"/>
      <c r="H21" s="545"/>
      <c r="I21" s="546"/>
      <c r="J21" s="511">
        <v>29</v>
      </c>
      <c r="K21" s="509"/>
      <c r="L21" s="509"/>
      <c r="M21" s="509"/>
      <c r="N21" s="509"/>
      <c r="O21" s="509"/>
      <c r="P21" s="509"/>
      <c r="Q21" s="509"/>
      <c r="R21" s="509"/>
      <c r="S21" s="509"/>
      <c r="T21" s="509"/>
      <c r="U21" s="509"/>
    </row>
    <row r="22" spans="1:21" s="31" customFormat="1" ht="17.100000000000001" customHeight="1">
      <c r="A22" s="511" t="s">
        <v>753</v>
      </c>
      <c r="B22" s="548" t="s">
        <v>243</v>
      </c>
      <c r="C22" s="545"/>
      <c r="D22" s="545"/>
      <c r="E22" s="545"/>
      <c r="F22" s="545"/>
      <c r="G22" s="545"/>
      <c r="H22" s="545"/>
      <c r="I22" s="546"/>
      <c r="J22" s="511">
        <v>30</v>
      </c>
      <c r="K22" s="509"/>
      <c r="L22" s="509"/>
      <c r="M22" s="509"/>
      <c r="N22" s="509"/>
      <c r="O22" s="509"/>
      <c r="P22" s="509"/>
      <c r="Q22" s="509"/>
      <c r="R22" s="509"/>
      <c r="S22" s="509"/>
      <c r="T22" s="509"/>
      <c r="U22" s="509"/>
    </row>
    <row r="23" spans="1:21" s="31" customFormat="1" ht="17.100000000000001" customHeight="1">
      <c r="A23" s="511" t="s">
        <v>754</v>
      </c>
      <c r="B23" s="548" t="s">
        <v>244</v>
      </c>
      <c r="C23" s="545"/>
      <c r="D23" s="545"/>
      <c r="E23" s="545"/>
      <c r="F23" s="545"/>
      <c r="G23" s="545"/>
      <c r="H23" s="545"/>
      <c r="I23" s="546"/>
      <c r="J23" s="511">
        <v>31</v>
      </c>
      <c r="K23" s="509"/>
      <c r="L23" s="509"/>
      <c r="M23" s="509"/>
      <c r="N23" s="509"/>
      <c r="O23" s="509"/>
      <c r="P23" s="509"/>
      <c r="Q23" s="509"/>
      <c r="R23" s="509"/>
      <c r="S23" s="509"/>
      <c r="T23" s="509"/>
      <c r="U23" s="509"/>
    </row>
    <row r="24" spans="1:21" s="31" customFormat="1" ht="17.100000000000001" customHeight="1">
      <c r="A24" s="511" t="s">
        <v>755</v>
      </c>
      <c r="B24" s="548" t="s">
        <v>245</v>
      </c>
      <c r="C24" s="545"/>
      <c r="D24" s="545"/>
      <c r="E24" s="545"/>
      <c r="F24" s="545"/>
      <c r="G24" s="545"/>
      <c r="H24" s="545"/>
      <c r="I24" s="546"/>
      <c r="J24" s="511">
        <v>32</v>
      </c>
      <c r="K24" s="509"/>
      <c r="L24" s="509"/>
      <c r="M24" s="509"/>
      <c r="N24" s="509"/>
      <c r="O24" s="509"/>
      <c r="P24" s="509"/>
      <c r="Q24" s="509"/>
      <c r="R24" s="509"/>
      <c r="S24" s="509"/>
      <c r="T24" s="509"/>
      <c r="U24" s="509"/>
    </row>
    <row r="25" spans="1:21" s="31" customFormat="1" ht="17.100000000000001" customHeight="1">
      <c r="A25" s="511" t="s">
        <v>756</v>
      </c>
      <c r="B25" s="548" t="s">
        <v>246</v>
      </c>
      <c r="C25" s="545"/>
      <c r="D25" s="545"/>
      <c r="E25" s="545"/>
      <c r="F25" s="545"/>
      <c r="G25" s="545"/>
      <c r="H25" s="545"/>
      <c r="I25" s="546"/>
      <c r="J25" s="511">
        <v>33</v>
      </c>
      <c r="K25" s="509"/>
      <c r="L25" s="509"/>
      <c r="M25" s="509"/>
      <c r="N25" s="509"/>
      <c r="O25" s="509"/>
      <c r="P25" s="509"/>
      <c r="Q25" s="509"/>
      <c r="R25" s="509"/>
      <c r="S25" s="509"/>
      <c r="T25" s="509"/>
      <c r="U25" s="509"/>
    </row>
    <row r="26" spans="1:21" s="31" customFormat="1" ht="17.100000000000001" customHeight="1">
      <c r="A26" s="511" t="s">
        <v>757</v>
      </c>
      <c r="B26" s="548" t="s">
        <v>247</v>
      </c>
      <c r="C26" s="545"/>
      <c r="D26" s="545"/>
      <c r="E26" s="545"/>
      <c r="F26" s="545"/>
      <c r="G26" s="545"/>
      <c r="H26" s="545"/>
      <c r="I26" s="546"/>
      <c r="J26" s="511">
        <v>34</v>
      </c>
      <c r="K26" s="509"/>
      <c r="L26" s="509"/>
      <c r="M26" s="509"/>
      <c r="N26" s="509"/>
      <c r="O26" s="509"/>
      <c r="P26" s="509"/>
      <c r="Q26" s="509"/>
      <c r="R26" s="509"/>
      <c r="S26" s="509"/>
      <c r="T26" s="509"/>
      <c r="U26" s="509"/>
    </row>
    <row r="27" spans="1:21" s="31" customFormat="1" ht="17.100000000000001" customHeight="1">
      <c r="A27" s="511" t="s">
        <v>758</v>
      </c>
      <c r="B27" s="548" t="s">
        <v>249</v>
      </c>
      <c r="C27" s="545"/>
      <c r="D27" s="545"/>
      <c r="E27" s="545"/>
      <c r="F27" s="545"/>
      <c r="G27" s="545"/>
      <c r="H27" s="545"/>
      <c r="I27" s="546"/>
      <c r="J27" s="511">
        <v>35</v>
      </c>
      <c r="K27" s="509"/>
      <c r="L27" s="509"/>
      <c r="M27" s="509"/>
      <c r="N27" s="509"/>
      <c r="O27" s="509"/>
      <c r="P27" s="509"/>
      <c r="Q27" s="509"/>
      <c r="R27" s="509"/>
      <c r="S27" s="509"/>
      <c r="T27" s="509"/>
      <c r="U27" s="509"/>
    </row>
    <row r="28" spans="1:21" s="31" customFormat="1" ht="17.100000000000001" customHeight="1">
      <c r="A28" s="511" t="s">
        <v>759</v>
      </c>
      <c r="B28" s="548" t="s">
        <v>270</v>
      </c>
      <c r="C28" s="545"/>
      <c r="D28" s="545"/>
      <c r="E28" s="545"/>
      <c r="F28" s="545"/>
      <c r="G28" s="545"/>
      <c r="H28" s="545"/>
      <c r="I28" s="546"/>
      <c r="J28" s="511">
        <v>36</v>
      </c>
      <c r="K28" s="509"/>
      <c r="L28" s="509"/>
      <c r="M28" s="509"/>
      <c r="N28" s="509"/>
      <c r="O28" s="509"/>
      <c r="P28" s="509"/>
      <c r="Q28" s="509"/>
      <c r="R28" s="509"/>
      <c r="S28" s="509"/>
      <c r="T28" s="509"/>
      <c r="U28" s="509"/>
    </row>
    <row r="29" spans="1:21" s="31" customFormat="1" ht="17.100000000000001" customHeight="1">
      <c r="A29" s="511" t="s">
        <v>760</v>
      </c>
      <c r="B29" s="548" t="s">
        <v>271</v>
      </c>
      <c r="C29" s="545"/>
      <c r="D29" s="545"/>
      <c r="E29" s="545"/>
      <c r="F29" s="545"/>
      <c r="G29" s="545"/>
      <c r="H29" s="545"/>
      <c r="I29" s="546"/>
      <c r="J29" s="511">
        <v>37</v>
      </c>
      <c r="K29" s="509"/>
      <c r="L29" s="509"/>
      <c r="M29" s="509"/>
      <c r="N29" s="509"/>
      <c r="O29" s="509"/>
      <c r="P29" s="509"/>
      <c r="Q29" s="509"/>
      <c r="R29" s="509"/>
      <c r="S29" s="509"/>
      <c r="T29" s="509"/>
      <c r="U29" s="509"/>
    </row>
    <row r="30" spans="1:21" ht="17.100000000000001" customHeight="1">
      <c r="A30" s="511" t="s">
        <v>761</v>
      </c>
      <c r="B30" s="548" t="s">
        <v>250</v>
      </c>
      <c r="C30" s="545"/>
      <c r="D30" s="545"/>
      <c r="E30" s="545"/>
      <c r="F30" s="545"/>
      <c r="G30" s="545"/>
      <c r="H30" s="545"/>
      <c r="I30" s="546"/>
      <c r="J30" s="511">
        <v>38</v>
      </c>
      <c r="K30" s="509"/>
      <c r="L30" s="509"/>
      <c r="M30" s="509"/>
      <c r="N30" s="509"/>
      <c r="O30" s="509"/>
      <c r="P30" s="509"/>
      <c r="Q30" s="509"/>
      <c r="R30" s="509"/>
      <c r="S30" s="509"/>
      <c r="T30" s="509"/>
      <c r="U30" s="509"/>
    </row>
    <row r="31" spans="1:21" ht="17.100000000000001" customHeight="1">
      <c r="A31" s="511" t="s">
        <v>762</v>
      </c>
      <c r="B31" s="548" t="s">
        <v>251</v>
      </c>
      <c r="C31" s="545"/>
      <c r="D31" s="545"/>
      <c r="E31" s="545"/>
      <c r="F31" s="545"/>
      <c r="G31" s="545"/>
      <c r="H31" s="545"/>
      <c r="I31" s="546"/>
      <c r="J31" s="511">
        <v>39</v>
      </c>
      <c r="K31" s="509"/>
      <c r="L31" s="509"/>
      <c r="M31" s="509"/>
      <c r="N31" s="509"/>
      <c r="O31" s="509"/>
      <c r="P31" s="509"/>
      <c r="Q31" s="509"/>
      <c r="R31" s="509"/>
      <c r="S31" s="509"/>
      <c r="T31" s="509"/>
      <c r="U31" s="509"/>
    </row>
    <row r="32" spans="1:21" ht="17.100000000000001" customHeight="1">
      <c r="A32" s="511" t="s">
        <v>763</v>
      </c>
      <c r="B32" s="548" t="s">
        <v>252</v>
      </c>
      <c r="C32" s="545"/>
      <c r="D32" s="545"/>
      <c r="E32" s="545"/>
      <c r="F32" s="545"/>
      <c r="G32" s="545"/>
      <c r="H32" s="545"/>
      <c r="I32" s="546"/>
      <c r="J32" s="511">
        <v>40</v>
      </c>
      <c r="K32" s="509"/>
      <c r="L32" s="509"/>
      <c r="M32" s="509"/>
      <c r="N32" s="509"/>
      <c r="O32" s="509"/>
      <c r="P32" s="509"/>
      <c r="Q32" s="509"/>
      <c r="R32" s="509"/>
      <c r="S32" s="509"/>
      <c r="T32" s="509"/>
      <c r="U32" s="509"/>
    </row>
    <row r="33" spans="1:21" ht="17.100000000000001" customHeight="1">
      <c r="A33" s="515" t="s">
        <v>764</v>
      </c>
      <c r="B33" s="553" t="s">
        <v>253</v>
      </c>
      <c r="C33" s="554"/>
      <c r="D33" s="554"/>
      <c r="E33" s="554"/>
      <c r="F33" s="554"/>
      <c r="G33" s="554"/>
      <c r="H33" s="554"/>
      <c r="I33" s="555"/>
      <c r="J33" s="515">
        <v>41</v>
      </c>
      <c r="K33" s="509"/>
      <c r="L33" s="509"/>
      <c r="M33" s="509"/>
      <c r="N33" s="509"/>
      <c r="O33" s="509"/>
      <c r="P33" s="509"/>
      <c r="Q33" s="509"/>
      <c r="R33" s="509"/>
      <c r="S33" s="509"/>
      <c r="T33" s="509"/>
      <c r="U33" s="509"/>
    </row>
    <row r="34" spans="1:21" ht="17.100000000000001" customHeight="1"/>
  </sheetData>
  <mergeCells count="40">
    <mergeCell ref="B33:I33"/>
    <mergeCell ref="M4:T4"/>
    <mergeCell ref="B28:I28"/>
    <mergeCell ref="B29:I29"/>
    <mergeCell ref="B30:I30"/>
    <mergeCell ref="B31:I31"/>
    <mergeCell ref="B32:I32"/>
    <mergeCell ref="B26:I26"/>
    <mergeCell ref="B27:I27"/>
    <mergeCell ref="B8:I8"/>
    <mergeCell ref="B7:I7"/>
    <mergeCell ref="B6:I6"/>
    <mergeCell ref="B11:I11"/>
    <mergeCell ref="B10:I10"/>
    <mergeCell ref="B4:I4"/>
    <mergeCell ref="B9:I9"/>
    <mergeCell ref="B19:I19"/>
    <mergeCell ref="B16:I16"/>
    <mergeCell ref="B15:I15"/>
    <mergeCell ref="B14:I14"/>
    <mergeCell ref="B12:I12"/>
    <mergeCell ref="B18:I18"/>
    <mergeCell ref="B17:I17"/>
    <mergeCell ref="B25:I25"/>
    <mergeCell ref="B24:I24"/>
    <mergeCell ref="B23:I23"/>
    <mergeCell ref="B22:I22"/>
    <mergeCell ref="B20:I20"/>
    <mergeCell ref="B21:I21"/>
    <mergeCell ref="M3:T3"/>
    <mergeCell ref="A1:I1"/>
    <mergeCell ref="B13:I13"/>
    <mergeCell ref="B5:I5"/>
    <mergeCell ref="B3:I3"/>
    <mergeCell ref="M13:T13"/>
    <mergeCell ref="M14:T14"/>
    <mergeCell ref="M17:T17"/>
    <mergeCell ref="M10:T10"/>
    <mergeCell ref="M11:T11"/>
    <mergeCell ref="M12:T12"/>
  </mergeCells>
  <phoneticPr fontId="0" type="noConversion"/>
  <pageMargins left="0.94" right="0.21" top="0.62992125984251968" bottom="0.47244094488188981" header="0.51181102362204722" footer="0.43307086614173229"/>
  <pageSetup paperSize="9" scale="95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18"/>
  <dimension ref="A1:P96"/>
  <sheetViews>
    <sheetView zoomScaleNormal="100" workbookViewId="0">
      <selection activeCell="K45" sqref="K45"/>
    </sheetView>
  </sheetViews>
  <sheetFormatPr defaultRowHeight="12.75"/>
  <cols>
    <col min="1" max="1" width="9.140625" style="284"/>
    <col min="2" max="2" width="4.7109375" style="9" customWidth="1"/>
    <col min="3" max="3" width="5.140625" style="9" customWidth="1"/>
    <col min="4" max="4" width="5" style="9" customWidth="1"/>
    <col min="5" max="5" width="8.7109375" style="17" customWidth="1"/>
    <col min="6" max="6" width="8.7109375" style="289" customWidth="1"/>
    <col min="7" max="7" width="50.7109375" style="9" customWidth="1"/>
    <col min="8" max="9" width="14.7109375" style="57" customWidth="1"/>
    <col min="10" max="10" width="15.7109375" style="57" customWidth="1"/>
    <col min="11" max="12" width="14.7109375" style="57" customWidth="1"/>
    <col min="13" max="13" width="15.7109375" style="57" customWidth="1"/>
    <col min="14" max="14" width="7.7109375" style="350" customWidth="1"/>
    <col min="15" max="16384" width="9.140625" style="9"/>
  </cols>
  <sheetData>
    <row r="1" spans="1:16" ht="13.5" thickBot="1"/>
    <row r="2" spans="1:16" s="376" customFormat="1" ht="20.100000000000001" customHeight="1" thickTop="1" thickBot="1">
      <c r="B2" s="590" t="s">
        <v>177</v>
      </c>
      <c r="C2" s="591"/>
      <c r="D2" s="591"/>
      <c r="E2" s="591"/>
      <c r="F2" s="591"/>
      <c r="G2" s="591"/>
      <c r="H2" s="377"/>
      <c r="I2" s="377"/>
      <c r="J2" s="377"/>
      <c r="K2" s="377"/>
      <c r="L2" s="377"/>
      <c r="M2" s="377"/>
      <c r="N2" s="380"/>
    </row>
    <row r="3" spans="1:16" s="1" customFormat="1" ht="8.1" customHeight="1" thickTop="1" thickBot="1">
      <c r="A3" s="281"/>
      <c r="E3" s="2"/>
      <c r="F3" s="282"/>
      <c r="G3" s="531"/>
      <c r="H3" s="92"/>
      <c r="I3" s="92"/>
      <c r="J3" s="92"/>
      <c r="K3" s="92"/>
      <c r="L3" s="92"/>
      <c r="M3" s="92"/>
      <c r="N3" s="344"/>
    </row>
    <row r="4" spans="1:16" s="1" customFormat="1" ht="39" customHeight="1">
      <c r="A4" s="281"/>
      <c r="B4" s="596" t="s">
        <v>78</v>
      </c>
      <c r="C4" s="606" t="s">
        <v>79</v>
      </c>
      <c r="D4" s="607" t="s">
        <v>110</v>
      </c>
      <c r="E4" s="608" t="s">
        <v>594</v>
      </c>
      <c r="F4" s="601" t="s">
        <v>653</v>
      </c>
      <c r="G4" s="602" t="s">
        <v>80</v>
      </c>
      <c r="H4" s="593" t="s">
        <v>647</v>
      </c>
      <c r="I4" s="594"/>
      <c r="J4" s="595"/>
      <c r="K4" s="593" t="s">
        <v>801</v>
      </c>
      <c r="L4" s="594"/>
      <c r="M4" s="595"/>
      <c r="N4" s="604" t="s">
        <v>805</v>
      </c>
    </row>
    <row r="5" spans="1:16" s="281" customFormat="1" ht="27" customHeight="1">
      <c r="B5" s="597"/>
      <c r="C5" s="599"/>
      <c r="D5" s="599"/>
      <c r="E5" s="603"/>
      <c r="F5" s="599"/>
      <c r="G5" s="603"/>
      <c r="H5" s="372" t="s">
        <v>705</v>
      </c>
      <c r="I5" s="372" t="s">
        <v>706</v>
      </c>
      <c r="J5" s="382" t="s">
        <v>413</v>
      </c>
      <c r="K5" s="372" t="s">
        <v>705</v>
      </c>
      <c r="L5" s="372" t="s">
        <v>706</v>
      </c>
      <c r="M5" s="382" t="s">
        <v>413</v>
      </c>
      <c r="N5" s="605"/>
    </row>
    <row r="6" spans="1:16" s="2" customFormat="1" ht="12.95" customHeight="1">
      <c r="A6" s="282"/>
      <c r="B6" s="504">
        <v>1</v>
      </c>
      <c r="C6" s="331">
        <v>2</v>
      </c>
      <c r="D6" s="331">
        <v>3</v>
      </c>
      <c r="E6" s="331">
        <v>4</v>
      </c>
      <c r="F6" s="331">
        <v>5</v>
      </c>
      <c r="G6" s="331">
        <v>6</v>
      </c>
      <c r="H6" s="331">
        <v>7</v>
      </c>
      <c r="I6" s="331">
        <v>8</v>
      </c>
      <c r="J6" s="523" t="s">
        <v>804</v>
      </c>
      <c r="K6" s="331">
        <v>10</v>
      </c>
      <c r="L6" s="331">
        <v>11</v>
      </c>
      <c r="M6" s="523" t="s">
        <v>707</v>
      </c>
      <c r="N6" s="505">
        <v>13</v>
      </c>
    </row>
    <row r="7" spans="1:16" s="2" customFormat="1" ht="12.95" customHeight="1">
      <c r="A7" s="282"/>
      <c r="B7" s="6" t="s">
        <v>134</v>
      </c>
      <c r="C7" s="7" t="s">
        <v>81</v>
      </c>
      <c r="D7" s="7" t="s">
        <v>82</v>
      </c>
      <c r="E7" s="5"/>
      <c r="F7" s="283"/>
      <c r="G7" s="5"/>
      <c r="H7" s="86"/>
      <c r="I7" s="86"/>
      <c r="J7" s="392"/>
      <c r="K7" s="86"/>
      <c r="L7" s="86"/>
      <c r="M7" s="392"/>
      <c r="N7" s="345"/>
    </row>
    <row r="8" spans="1:16" s="1" customFormat="1" ht="12.95" customHeight="1">
      <c r="A8" s="281"/>
      <c r="B8" s="12"/>
      <c r="C8" s="8"/>
      <c r="D8" s="8"/>
      <c r="E8" s="305">
        <v>611000</v>
      </c>
      <c r="F8" s="331"/>
      <c r="G8" s="8" t="s">
        <v>163</v>
      </c>
      <c r="H8" s="210">
        <f t="shared" ref="H8:M8" si="0">SUM(H9:H11)</f>
        <v>197840</v>
      </c>
      <c r="I8" s="210">
        <f t="shared" si="0"/>
        <v>0</v>
      </c>
      <c r="J8" s="384">
        <f t="shared" si="0"/>
        <v>197840</v>
      </c>
      <c r="K8" s="210">
        <f t="shared" si="0"/>
        <v>50349</v>
      </c>
      <c r="L8" s="210">
        <f t="shared" si="0"/>
        <v>0</v>
      </c>
      <c r="M8" s="384">
        <f t="shared" si="0"/>
        <v>50349</v>
      </c>
      <c r="N8" s="346">
        <f>IF(J8=0,"",M8/J8*100)</f>
        <v>25.449353012535379</v>
      </c>
    </row>
    <row r="9" spans="1:16" ht="12.95" customHeight="1">
      <c r="B9" s="10"/>
      <c r="C9" s="11"/>
      <c r="D9" s="11"/>
      <c r="E9" s="306">
        <v>611100</v>
      </c>
      <c r="F9" s="332"/>
      <c r="G9" s="18" t="s">
        <v>198</v>
      </c>
      <c r="H9" s="212">
        <f>148000+1480+3*500+1*9*1580</f>
        <v>165200</v>
      </c>
      <c r="I9" s="212">
        <v>0</v>
      </c>
      <c r="J9" s="385">
        <f>SUM(H9:I9)</f>
        <v>165200</v>
      </c>
      <c r="K9" s="212">
        <v>44125</v>
      </c>
      <c r="L9" s="212">
        <v>0</v>
      </c>
      <c r="M9" s="385">
        <f>SUM(K9:L9)</f>
        <v>44125</v>
      </c>
      <c r="N9" s="347">
        <f t="shared" ref="N9:N66" si="1">IF(J9=0,"",M9/J9*100)</f>
        <v>26.710048426150124</v>
      </c>
    </row>
    <row r="10" spans="1:16" ht="12.95" customHeight="1">
      <c r="B10" s="10"/>
      <c r="C10" s="11"/>
      <c r="D10" s="11"/>
      <c r="E10" s="306">
        <v>611200</v>
      </c>
      <c r="F10" s="332"/>
      <c r="G10" s="11" t="s">
        <v>199</v>
      </c>
      <c r="H10" s="212">
        <f>27100+950+3*900+1*9*21*10</f>
        <v>32640</v>
      </c>
      <c r="I10" s="212">
        <v>0</v>
      </c>
      <c r="J10" s="385">
        <f t="shared" ref="J10:J11" si="2">SUM(H10:I10)</f>
        <v>32640</v>
      </c>
      <c r="K10" s="212">
        <v>6224</v>
      </c>
      <c r="L10" s="212">
        <v>0</v>
      </c>
      <c r="M10" s="385">
        <f t="shared" ref="M10:M11" si="3">SUM(K10:L10)</f>
        <v>6224</v>
      </c>
      <c r="N10" s="347">
        <f t="shared" si="1"/>
        <v>19.06862745098039</v>
      </c>
    </row>
    <row r="11" spans="1:16" ht="12.95" customHeight="1">
      <c r="B11" s="10"/>
      <c r="C11" s="11"/>
      <c r="D11" s="11"/>
      <c r="E11" s="306">
        <v>611200</v>
      </c>
      <c r="F11" s="332"/>
      <c r="G11" s="189" t="s">
        <v>534</v>
      </c>
      <c r="H11" s="209">
        <v>0</v>
      </c>
      <c r="I11" s="209">
        <v>0</v>
      </c>
      <c r="J11" s="385">
        <f t="shared" si="2"/>
        <v>0</v>
      </c>
      <c r="K11" s="209">
        <v>0</v>
      </c>
      <c r="L11" s="209">
        <v>0</v>
      </c>
      <c r="M11" s="385">
        <f t="shared" si="3"/>
        <v>0</v>
      </c>
      <c r="N11" s="347" t="str">
        <f t="shared" si="1"/>
        <v/>
      </c>
      <c r="P11" s="56"/>
    </row>
    <row r="12" spans="1:16" ht="12.95" customHeight="1">
      <c r="B12" s="10"/>
      <c r="C12" s="11"/>
      <c r="D12" s="11"/>
      <c r="E12" s="306"/>
      <c r="F12" s="332"/>
      <c r="G12" s="11"/>
      <c r="H12" s="210"/>
      <c r="I12" s="210"/>
      <c r="J12" s="384"/>
      <c r="K12" s="210"/>
      <c r="L12" s="210"/>
      <c r="M12" s="384"/>
      <c r="N12" s="347" t="str">
        <f t="shared" si="1"/>
        <v/>
      </c>
    </row>
    <row r="13" spans="1:16" s="1" customFormat="1" ht="12.95" customHeight="1">
      <c r="A13" s="281"/>
      <c r="B13" s="12"/>
      <c r="C13" s="8"/>
      <c r="D13" s="8"/>
      <c r="E13" s="305">
        <v>612000</v>
      </c>
      <c r="F13" s="331"/>
      <c r="G13" s="8" t="s">
        <v>162</v>
      </c>
      <c r="H13" s="210">
        <f t="shared" ref="H13:M13" si="4">H14</f>
        <v>17730</v>
      </c>
      <c r="I13" s="210">
        <f t="shared" si="4"/>
        <v>0</v>
      </c>
      <c r="J13" s="384">
        <f t="shared" si="4"/>
        <v>17730</v>
      </c>
      <c r="K13" s="210">
        <f t="shared" si="4"/>
        <v>4669</v>
      </c>
      <c r="L13" s="210">
        <f t="shared" si="4"/>
        <v>0</v>
      </c>
      <c r="M13" s="384">
        <f t="shared" si="4"/>
        <v>4669</v>
      </c>
      <c r="N13" s="346">
        <f t="shared" si="1"/>
        <v>26.333897349125774</v>
      </c>
    </row>
    <row r="14" spans="1:16" ht="12.95" customHeight="1">
      <c r="B14" s="10"/>
      <c r="C14" s="11"/>
      <c r="D14" s="11"/>
      <c r="E14" s="306">
        <v>612100</v>
      </c>
      <c r="F14" s="332"/>
      <c r="G14" s="13" t="s">
        <v>83</v>
      </c>
      <c r="H14" s="212">
        <f>15720+180+3*70+1*9*180</f>
        <v>17730</v>
      </c>
      <c r="I14" s="212">
        <v>0</v>
      </c>
      <c r="J14" s="385">
        <f>SUM(H14:I14)</f>
        <v>17730</v>
      </c>
      <c r="K14" s="212">
        <v>4669</v>
      </c>
      <c r="L14" s="212">
        <v>0</v>
      </c>
      <c r="M14" s="385">
        <f>SUM(K14:L14)</f>
        <v>4669</v>
      </c>
      <c r="N14" s="347">
        <f t="shared" si="1"/>
        <v>26.333897349125774</v>
      </c>
    </row>
    <row r="15" spans="1:16" ht="12.95" customHeight="1">
      <c r="B15" s="10"/>
      <c r="C15" s="11"/>
      <c r="D15" s="11"/>
      <c r="E15" s="306"/>
      <c r="F15" s="332"/>
      <c r="G15" s="11"/>
      <c r="H15" s="288"/>
      <c r="I15" s="288"/>
      <c r="J15" s="387"/>
      <c r="K15" s="288"/>
      <c r="L15" s="288"/>
      <c r="M15" s="387"/>
      <c r="N15" s="347" t="str">
        <f t="shared" si="1"/>
        <v/>
      </c>
    </row>
    <row r="16" spans="1:16" s="1" customFormat="1" ht="12.95" customHeight="1">
      <c r="A16" s="281"/>
      <c r="B16" s="12"/>
      <c r="C16" s="8"/>
      <c r="D16" s="8"/>
      <c r="E16" s="305">
        <v>613000</v>
      </c>
      <c r="F16" s="331"/>
      <c r="G16" s="8" t="s">
        <v>164</v>
      </c>
      <c r="H16" s="293">
        <f t="shared" ref="H16:M16" si="5">SUM(H17:H27)</f>
        <v>79450</v>
      </c>
      <c r="I16" s="293">
        <f t="shared" si="5"/>
        <v>0</v>
      </c>
      <c r="J16" s="387">
        <f t="shared" si="5"/>
        <v>79450</v>
      </c>
      <c r="K16" s="293">
        <f t="shared" si="5"/>
        <v>5223</v>
      </c>
      <c r="L16" s="293">
        <f t="shared" si="5"/>
        <v>0</v>
      </c>
      <c r="M16" s="387">
        <f t="shared" si="5"/>
        <v>5223</v>
      </c>
      <c r="N16" s="346">
        <f t="shared" si="1"/>
        <v>6.573945877910635</v>
      </c>
    </row>
    <row r="17" spans="1:16" ht="12.95" customHeight="1">
      <c r="B17" s="10"/>
      <c r="C17" s="11"/>
      <c r="D17" s="11"/>
      <c r="E17" s="306">
        <v>613100</v>
      </c>
      <c r="F17" s="332"/>
      <c r="G17" s="11" t="s">
        <v>84</v>
      </c>
      <c r="H17" s="363">
        <v>5000</v>
      </c>
      <c r="I17" s="363">
        <v>0</v>
      </c>
      <c r="J17" s="385">
        <f t="shared" ref="J17:J27" si="6">SUM(H17:I17)</f>
        <v>5000</v>
      </c>
      <c r="K17" s="363">
        <v>113</v>
      </c>
      <c r="L17" s="363">
        <v>0</v>
      </c>
      <c r="M17" s="385">
        <f t="shared" ref="M17:M27" si="7">SUM(K17:L17)</f>
        <v>113</v>
      </c>
      <c r="N17" s="347">
        <f t="shared" si="1"/>
        <v>2.2599999999999998</v>
      </c>
    </row>
    <row r="18" spans="1:16" ht="12.95" customHeight="1">
      <c r="B18" s="10"/>
      <c r="C18" s="11"/>
      <c r="D18" s="11"/>
      <c r="E18" s="306">
        <v>613200</v>
      </c>
      <c r="F18" s="332"/>
      <c r="G18" s="11" t="s">
        <v>85</v>
      </c>
      <c r="H18" s="363">
        <v>0</v>
      </c>
      <c r="I18" s="363">
        <v>0</v>
      </c>
      <c r="J18" s="385">
        <f t="shared" si="6"/>
        <v>0</v>
      </c>
      <c r="K18" s="363">
        <v>0</v>
      </c>
      <c r="L18" s="363">
        <v>0</v>
      </c>
      <c r="M18" s="385">
        <f t="shared" si="7"/>
        <v>0</v>
      </c>
      <c r="N18" s="347" t="str">
        <f t="shared" si="1"/>
        <v/>
      </c>
    </row>
    <row r="19" spans="1:16" ht="12.95" customHeight="1">
      <c r="B19" s="10"/>
      <c r="C19" s="11"/>
      <c r="D19" s="11"/>
      <c r="E19" s="306">
        <v>613300</v>
      </c>
      <c r="F19" s="332"/>
      <c r="G19" s="18" t="s">
        <v>200</v>
      </c>
      <c r="H19" s="363">
        <v>3350</v>
      </c>
      <c r="I19" s="363">
        <v>0</v>
      </c>
      <c r="J19" s="385">
        <f t="shared" si="6"/>
        <v>3350</v>
      </c>
      <c r="K19" s="363">
        <v>687</v>
      </c>
      <c r="L19" s="363">
        <v>0</v>
      </c>
      <c r="M19" s="385">
        <f t="shared" si="7"/>
        <v>687</v>
      </c>
      <c r="N19" s="347">
        <f t="shared" si="1"/>
        <v>20.507462686567166</v>
      </c>
    </row>
    <row r="20" spans="1:16" ht="12.95" customHeight="1">
      <c r="B20" s="10"/>
      <c r="C20" s="11"/>
      <c r="D20" s="11"/>
      <c r="E20" s="306">
        <v>613400</v>
      </c>
      <c r="F20" s="332"/>
      <c r="G20" s="11" t="s">
        <v>165</v>
      </c>
      <c r="H20" s="363">
        <v>100</v>
      </c>
      <c r="I20" s="363">
        <v>0</v>
      </c>
      <c r="J20" s="385">
        <f t="shared" si="6"/>
        <v>100</v>
      </c>
      <c r="K20" s="363">
        <v>0</v>
      </c>
      <c r="L20" s="363">
        <v>0</v>
      </c>
      <c r="M20" s="385">
        <f t="shared" si="7"/>
        <v>0</v>
      </c>
      <c r="N20" s="347">
        <f t="shared" si="1"/>
        <v>0</v>
      </c>
    </row>
    <row r="21" spans="1:16" ht="12.95" customHeight="1">
      <c r="B21" s="10"/>
      <c r="C21" s="11"/>
      <c r="D21" s="11"/>
      <c r="E21" s="306">
        <v>613500</v>
      </c>
      <c r="F21" s="332"/>
      <c r="G21" s="11" t="s">
        <v>86</v>
      </c>
      <c r="H21" s="363">
        <v>0</v>
      </c>
      <c r="I21" s="363">
        <v>0</v>
      </c>
      <c r="J21" s="385">
        <f t="shared" si="6"/>
        <v>0</v>
      </c>
      <c r="K21" s="363">
        <v>0</v>
      </c>
      <c r="L21" s="363">
        <v>0</v>
      </c>
      <c r="M21" s="385">
        <f t="shared" si="7"/>
        <v>0</v>
      </c>
      <c r="N21" s="347" t="str">
        <f t="shared" si="1"/>
        <v/>
      </c>
    </row>
    <row r="22" spans="1:16" ht="12.95" customHeight="1">
      <c r="B22" s="10"/>
      <c r="C22" s="11"/>
      <c r="D22" s="11"/>
      <c r="E22" s="306">
        <v>613600</v>
      </c>
      <c r="F22" s="332"/>
      <c r="G22" s="18" t="s">
        <v>201</v>
      </c>
      <c r="H22" s="363">
        <v>0</v>
      </c>
      <c r="I22" s="363">
        <v>0</v>
      </c>
      <c r="J22" s="385">
        <f t="shared" si="6"/>
        <v>0</v>
      </c>
      <c r="K22" s="363">
        <v>0</v>
      </c>
      <c r="L22" s="363">
        <v>0</v>
      </c>
      <c r="M22" s="385">
        <f t="shared" si="7"/>
        <v>0</v>
      </c>
      <c r="N22" s="347" t="str">
        <f t="shared" si="1"/>
        <v/>
      </c>
    </row>
    <row r="23" spans="1:16" ht="12.95" customHeight="1">
      <c r="B23" s="10"/>
      <c r="C23" s="11"/>
      <c r="D23" s="11"/>
      <c r="E23" s="306">
        <v>613700</v>
      </c>
      <c r="F23" s="332"/>
      <c r="G23" s="11" t="s">
        <v>87</v>
      </c>
      <c r="H23" s="363">
        <v>1000</v>
      </c>
      <c r="I23" s="363">
        <v>0</v>
      </c>
      <c r="J23" s="385">
        <f t="shared" si="6"/>
        <v>1000</v>
      </c>
      <c r="K23" s="363">
        <v>42</v>
      </c>
      <c r="L23" s="363">
        <v>0</v>
      </c>
      <c r="M23" s="385">
        <f t="shared" si="7"/>
        <v>42</v>
      </c>
      <c r="N23" s="347">
        <f t="shared" si="1"/>
        <v>4.2</v>
      </c>
    </row>
    <row r="24" spans="1:16" ht="12.95" customHeight="1">
      <c r="B24" s="10"/>
      <c r="C24" s="11"/>
      <c r="D24" s="11"/>
      <c r="E24" s="306">
        <v>613800</v>
      </c>
      <c r="F24" s="332"/>
      <c r="G24" s="11" t="s">
        <v>166</v>
      </c>
      <c r="H24" s="363">
        <v>0</v>
      </c>
      <c r="I24" s="363">
        <v>0</v>
      </c>
      <c r="J24" s="385">
        <f t="shared" si="6"/>
        <v>0</v>
      </c>
      <c r="K24" s="363">
        <v>0</v>
      </c>
      <c r="L24" s="363">
        <v>0</v>
      </c>
      <c r="M24" s="385">
        <f t="shared" si="7"/>
        <v>0</v>
      </c>
      <c r="N24" s="347" t="str">
        <f t="shared" si="1"/>
        <v/>
      </c>
      <c r="P24" s="50"/>
    </row>
    <row r="25" spans="1:16" ht="12.95" customHeight="1">
      <c r="B25" s="10"/>
      <c r="C25" s="11"/>
      <c r="D25" s="11"/>
      <c r="E25" s="306">
        <v>613900</v>
      </c>
      <c r="F25" s="332"/>
      <c r="G25" s="11" t="s">
        <v>167</v>
      </c>
      <c r="H25" s="365">
        <v>20000</v>
      </c>
      <c r="I25" s="365">
        <v>0</v>
      </c>
      <c r="J25" s="385">
        <f t="shared" si="6"/>
        <v>20000</v>
      </c>
      <c r="K25" s="365">
        <v>4381</v>
      </c>
      <c r="L25" s="365">
        <v>0</v>
      </c>
      <c r="M25" s="385">
        <f t="shared" si="7"/>
        <v>4381</v>
      </c>
      <c r="N25" s="347">
        <f t="shared" si="1"/>
        <v>21.905000000000001</v>
      </c>
      <c r="P25" s="50"/>
    </row>
    <row r="26" spans="1:16" ht="12.95" customHeight="1">
      <c r="B26" s="10"/>
      <c r="C26" s="11"/>
      <c r="D26" s="11"/>
      <c r="E26" s="306">
        <v>613900</v>
      </c>
      <c r="F26" s="332"/>
      <c r="G26" s="189" t="s">
        <v>535</v>
      </c>
      <c r="H26" s="363">
        <v>0</v>
      </c>
      <c r="I26" s="363">
        <v>0</v>
      </c>
      <c r="J26" s="385">
        <f t="shared" si="6"/>
        <v>0</v>
      </c>
      <c r="K26" s="363">
        <v>0</v>
      </c>
      <c r="L26" s="363">
        <v>0</v>
      </c>
      <c r="M26" s="385">
        <f t="shared" si="7"/>
        <v>0</v>
      </c>
      <c r="N26" s="347" t="str">
        <f t="shared" si="1"/>
        <v/>
      </c>
    </row>
    <row r="27" spans="1:16" ht="12.95" customHeight="1">
      <c r="B27" s="10"/>
      <c r="C27" s="11"/>
      <c r="D27" s="11"/>
      <c r="E27" s="306">
        <v>613900</v>
      </c>
      <c r="F27" s="332" t="s">
        <v>668</v>
      </c>
      <c r="G27" s="18" t="s">
        <v>547</v>
      </c>
      <c r="H27" s="363">
        <v>50000</v>
      </c>
      <c r="I27" s="363">
        <v>0</v>
      </c>
      <c r="J27" s="385">
        <f t="shared" si="6"/>
        <v>50000</v>
      </c>
      <c r="K27" s="363">
        <v>0</v>
      </c>
      <c r="L27" s="363">
        <v>0</v>
      </c>
      <c r="M27" s="385">
        <f t="shared" si="7"/>
        <v>0</v>
      </c>
      <c r="N27" s="347">
        <f t="shared" si="1"/>
        <v>0</v>
      </c>
    </row>
    <row r="28" spans="1:16" ht="12.95" customHeight="1">
      <c r="B28" s="10"/>
      <c r="C28" s="11"/>
      <c r="D28" s="11"/>
      <c r="E28" s="306"/>
      <c r="F28" s="332"/>
      <c r="G28" s="11"/>
      <c r="H28" s="288"/>
      <c r="I28" s="288"/>
      <c r="J28" s="387"/>
      <c r="K28" s="288"/>
      <c r="L28" s="288"/>
      <c r="M28" s="387"/>
      <c r="N28" s="347" t="str">
        <f t="shared" si="1"/>
        <v/>
      </c>
    </row>
    <row r="29" spans="1:16" s="1" customFormat="1" ht="12.95" customHeight="1">
      <c r="A29" s="281"/>
      <c r="B29" s="12"/>
      <c r="C29" s="8"/>
      <c r="D29" s="8"/>
      <c r="E29" s="305">
        <v>614000</v>
      </c>
      <c r="F29" s="331"/>
      <c r="G29" s="8" t="s">
        <v>202</v>
      </c>
      <c r="H29" s="288">
        <f t="shared" ref="H29:M29" si="8">SUM(H30:H30)</f>
        <v>1000000</v>
      </c>
      <c r="I29" s="288">
        <f t="shared" si="8"/>
        <v>0</v>
      </c>
      <c r="J29" s="387">
        <f t="shared" si="8"/>
        <v>1000000</v>
      </c>
      <c r="K29" s="288">
        <f t="shared" si="8"/>
        <v>74617</v>
      </c>
      <c r="L29" s="288">
        <f t="shared" si="8"/>
        <v>0</v>
      </c>
      <c r="M29" s="387">
        <f t="shared" si="8"/>
        <v>74617</v>
      </c>
      <c r="N29" s="346">
        <f t="shared" si="1"/>
        <v>7.4617000000000004</v>
      </c>
    </row>
    <row r="30" spans="1:16" s="1" customFormat="1" ht="12.95" customHeight="1">
      <c r="A30" s="281"/>
      <c r="B30" s="12"/>
      <c r="C30" s="8"/>
      <c r="D30" s="47"/>
      <c r="E30" s="311">
        <v>614500</v>
      </c>
      <c r="F30" s="337" t="s">
        <v>669</v>
      </c>
      <c r="G30" s="74" t="s">
        <v>631</v>
      </c>
      <c r="H30" s="296">
        <v>1000000</v>
      </c>
      <c r="I30" s="296">
        <v>0</v>
      </c>
      <c r="J30" s="385">
        <f>SUM(H30:I30)</f>
        <v>1000000</v>
      </c>
      <c r="K30" s="296">
        <v>74617</v>
      </c>
      <c r="L30" s="296">
        <v>0</v>
      </c>
      <c r="M30" s="385">
        <f>SUM(K30:L30)</f>
        <v>74617</v>
      </c>
      <c r="N30" s="347">
        <f t="shared" si="1"/>
        <v>7.4617000000000004</v>
      </c>
    </row>
    <row r="31" spans="1:16" ht="12.95" customHeight="1">
      <c r="B31" s="10"/>
      <c r="C31" s="11"/>
      <c r="D31" s="11"/>
      <c r="E31" s="306"/>
      <c r="F31" s="332"/>
      <c r="G31" s="18"/>
      <c r="H31" s="296"/>
      <c r="I31" s="296"/>
      <c r="J31" s="386"/>
      <c r="K31" s="296"/>
      <c r="L31" s="296"/>
      <c r="M31" s="386"/>
      <c r="N31" s="347" t="str">
        <f t="shared" si="1"/>
        <v/>
      </c>
    </row>
    <row r="32" spans="1:16" ht="12.95" customHeight="1">
      <c r="B32" s="12"/>
      <c r="C32" s="8"/>
      <c r="D32" s="8"/>
      <c r="E32" s="305">
        <v>821000</v>
      </c>
      <c r="F32" s="331"/>
      <c r="G32" s="8" t="s">
        <v>90</v>
      </c>
      <c r="H32" s="295">
        <f t="shared" ref="H32:M32" si="9">SUM(H33:H34)</f>
        <v>1000</v>
      </c>
      <c r="I32" s="295">
        <f t="shared" si="9"/>
        <v>0</v>
      </c>
      <c r="J32" s="387">
        <f t="shared" si="9"/>
        <v>1000</v>
      </c>
      <c r="K32" s="295">
        <f t="shared" si="9"/>
        <v>0</v>
      </c>
      <c r="L32" s="295">
        <f t="shared" si="9"/>
        <v>0</v>
      </c>
      <c r="M32" s="387">
        <f t="shared" si="9"/>
        <v>0</v>
      </c>
      <c r="N32" s="346">
        <f t="shared" si="1"/>
        <v>0</v>
      </c>
    </row>
    <row r="33" spans="1:14" ht="12.95" customHeight="1">
      <c r="B33" s="10"/>
      <c r="C33" s="11"/>
      <c r="D33" s="11"/>
      <c r="E33" s="306">
        <v>821200</v>
      </c>
      <c r="F33" s="332"/>
      <c r="G33" s="11" t="s">
        <v>91</v>
      </c>
      <c r="H33" s="296">
        <v>0</v>
      </c>
      <c r="I33" s="296">
        <v>0</v>
      </c>
      <c r="J33" s="385">
        <f t="shared" ref="J33:J34" si="10">SUM(H33:I33)</f>
        <v>0</v>
      </c>
      <c r="K33" s="296">
        <v>0</v>
      </c>
      <c r="L33" s="296">
        <v>0</v>
      </c>
      <c r="M33" s="385">
        <f t="shared" ref="M33:M34" si="11">SUM(K33:L33)</f>
        <v>0</v>
      </c>
      <c r="N33" s="347" t="str">
        <f t="shared" si="1"/>
        <v/>
      </c>
    </row>
    <row r="34" spans="1:14" ht="12.95" customHeight="1">
      <c r="B34" s="10"/>
      <c r="C34" s="11"/>
      <c r="D34" s="11"/>
      <c r="E34" s="306">
        <v>821300</v>
      </c>
      <c r="F34" s="332"/>
      <c r="G34" s="11" t="s">
        <v>92</v>
      </c>
      <c r="H34" s="296">
        <v>1000</v>
      </c>
      <c r="I34" s="296">
        <v>0</v>
      </c>
      <c r="J34" s="385">
        <f t="shared" si="10"/>
        <v>1000</v>
      </c>
      <c r="K34" s="296">
        <v>0</v>
      </c>
      <c r="L34" s="296">
        <v>0</v>
      </c>
      <c r="M34" s="385">
        <f t="shared" si="11"/>
        <v>0</v>
      </c>
      <c r="N34" s="347">
        <f t="shared" si="1"/>
        <v>0</v>
      </c>
    </row>
    <row r="35" spans="1:14" ht="12.95" customHeight="1">
      <c r="B35" s="10"/>
      <c r="C35" s="11"/>
      <c r="D35" s="11"/>
      <c r="E35" s="306"/>
      <c r="F35" s="332"/>
      <c r="G35" s="11"/>
      <c r="H35" s="291"/>
      <c r="I35" s="291"/>
      <c r="J35" s="386"/>
      <c r="K35" s="291"/>
      <c r="L35" s="291"/>
      <c r="M35" s="386"/>
      <c r="N35" s="347" t="str">
        <f t="shared" si="1"/>
        <v/>
      </c>
    </row>
    <row r="36" spans="1:14" ht="12.95" customHeight="1">
      <c r="B36" s="12"/>
      <c r="C36" s="8"/>
      <c r="D36" s="8"/>
      <c r="E36" s="305"/>
      <c r="F36" s="331"/>
      <c r="G36" s="8" t="s">
        <v>93</v>
      </c>
      <c r="H36" s="295">
        <v>8</v>
      </c>
      <c r="I36" s="295"/>
      <c r="J36" s="387">
        <v>8</v>
      </c>
      <c r="K36" s="295">
        <v>8</v>
      </c>
      <c r="L36" s="295"/>
      <c r="M36" s="387">
        <v>8</v>
      </c>
      <c r="N36" s="347"/>
    </row>
    <row r="37" spans="1:14" ht="12.95" customHeight="1">
      <c r="B37" s="12"/>
      <c r="C37" s="8"/>
      <c r="D37" s="8"/>
      <c r="E37" s="305"/>
      <c r="F37" s="331"/>
      <c r="G37" s="8" t="s">
        <v>113</v>
      </c>
      <c r="H37" s="288">
        <f t="shared" ref="H37:M37" si="12">H8+H13+H16+H29+H32</f>
        <v>1296020</v>
      </c>
      <c r="I37" s="288">
        <f t="shared" si="12"/>
        <v>0</v>
      </c>
      <c r="J37" s="387">
        <f t="shared" si="12"/>
        <v>1296020</v>
      </c>
      <c r="K37" s="288">
        <f t="shared" si="12"/>
        <v>134858</v>
      </c>
      <c r="L37" s="288">
        <f t="shared" si="12"/>
        <v>0</v>
      </c>
      <c r="M37" s="387">
        <f t="shared" si="12"/>
        <v>134858</v>
      </c>
      <c r="N37" s="346">
        <f t="shared" si="1"/>
        <v>10.40554929707875</v>
      </c>
    </row>
    <row r="38" spans="1:14" ht="12.95" customHeight="1">
      <c r="B38" s="12"/>
      <c r="C38" s="8"/>
      <c r="D38" s="8"/>
      <c r="E38" s="305"/>
      <c r="F38" s="331"/>
      <c r="G38" s="8" t="s">
        <v>94</v>
      </c>
      <c r="H38" s="288">
        <f t="shared" ref="H38:J39" si="13">H37</f>
        <v>1296020</v>
      </c>
      <c r="I38" s="288">
        <f t="shared" si="13"/>
        <v>0</v>
      </c>
      <c r="J38" s="387">
        <f t="shared" si="13"/>
        <v>1296020</v>
      </c>
      <c r="K38" s="288">
        <f t="shared" ref="K38:M38" si="14">K37</f>
        <v>134858</v>
      </c>
      <c r="L38" s="288">
        <f t="shared" si="14"/>
        <v>0</v>
      </c>
      <c r="M38" s="387">
        <f t="shared" si="14"/>
        <v>134858</v>
      </c>
      <c r="N38" s="346">
        <f t="shared" si="1"/>
        <v>10.40554929707875</v>
      </c>
    </row>
    <row r="39" spans="1:14" s="1" customFormat="1" ht="12.95" customHeight="1">
      <c r="A39" s="281"/>
      <c r="B39" s="12"/>
      <c r="C39" s="8"/>
      <c r="D39" s="8"/>
      <c r="E39" s="305"/>
      <c r="F39" s="331"/>
      <c r="G39" s="8" t="s">
        <v>95</v>
      </c>
      <c r="H39" s="288">
        <f t="shared" si="13"/>
        <v>1296020</v>
      </c>
      <c r="I39" s="288">
        <f t="shared" si="13"/>
        <v>0</v>
      </c>
      <c r="J39" s="387">
        <f t="shared" si="13"/>
        <v>1296020</v>
      </c>
      <c r="K39" s="288">
        <f t="shared" ref="K39:M39" si="15">K38</f>
        <v>134858</v>
      </c>
      <c r="L39" s="288">
        <f t="shared" si="15"/>
        <v>0</v>
      </c>
      <c r="M39" s="387">
        <f t="shared" si="15"/>
        <v>134858</v>
      </c>
      <c r="N39" s="346">
        <f t="shared" si="1"/>
        <v>10.40554929707875</v>
      </c>
    </row>
    <row r="40" spans="1:14" s="1" customFormat="1" ht="12.95" customHeight="1" thickBot="1">
      <c r="A40" s="281"/>
      <c r="B40" s="15"/>
      <c r="C40" s="16"/>
      <c r="D40" s="16"/>
      <c r="E40" s="307"/>
      <c r="F40" s="333"/>
      <c r="G40" s="16"/>
      <c r="H40" s="27"/>
      <c r="I40" s="27"/>
      <c r="J40" s="390"/>
      <c r="K40" s="27"/>
      <c r="L40" s="27"/>
      <c r="M40" s="390"/>
      <c r="N40" s="349" t="str">
        <f t="shared" si="1"/>
        <v/>
      </c>
    </row>
    <row r="41" spans="1:14" s="1" customFormat="1" ht="12.95" customHeight="1">
      <c r="A41" s="281"/>
      <c r="B41" s="9"/>
      <c r="C41" s="9"/>
      <c r="D41" s="9"/>
      <c r="E41" s="308"/>
      <c r="F41" s="334"/>
      <c r="G41" s="50"/>
      <c r="H41" s="57"/>
      <c r="I41" s="57"/>
      <c r="J41" s="393"/>
      <c r="K41" s="57"/>
      <c r="L41" s="57"/>
      <c r="M41" s="393"/>
      <c r="N41" s="350" t="str">
        <f t="shared" si="1"/>
        <v/>
      </c>
    </row>
    <row r="42" spans="1:14" s="1" customFormat="1" ht="12.95" customHeight="1">
      <c r="A42" s="281"/>
      <c r="B42" s="50"/>
      <c r="C42" s="9"/>
      <c r="D42" s="9"/>
      <c r="E42" s="308"/>
      <c r="F42" s="334"/>
      <c r="G42" s="9"/>
      <c r="H42" s="57"/>
      <c r="I42" s="57"/>
      <c r="J42" s="393"/>
      <c r="K42" s="57"/>
      <c r="L42" s="57"/>
      <c r="M42" s="393"/>
      <c r="N42" s="350" t="str">
        <f t="shared" si="1"/>
        <v/>
      </c>
    </row>
    <row r="43" spans="1:14" ht="12.95" customHeight="1">
      <c r="B43" s="50"/>
      <c r="E43" s="308"/>
      <c r="F43" s="334"/>
      <c r="J43" s="393"/>
      <c r="M43" s="393"/>
      <c r="N43" s="350" t="str">
        <f t="shared" si="1"/>
        <v/>
      </c>
    </row>
    <row r="44" spans="1:14" ht="12.95" customHeight="1">
      <c r="B44" s="50"/>
      <c r="E44" s="308"/>
      <c r="F44" s="334"/>
      <c r="J44" s="393"/>
      <c r="M44" s="393"/>
      <c r="N44" s="350" t="str">
        <f t="shared" si="1"/>
        <v/>
      </c>
    </row>
    <row r="45" spans="1:14" ht="12.95" customHeight="1">
      <c r="B45" s="50"/>
      <c r="E45" s="308"/>
      <c r="F45" s="334"/>
      <c r="J45" s="393"/>
      <c r="M45" s="393"/>
      <c r="N45" s="350" t="str">
        <f t="shared" si="1"/>
        <v/>
      </c>
    </row>
    <row r="46" spans="1:14" ht="12.95" customHeight="1">
      <c r="E46" s="308"/>
      <c r="F46" s="334"/>
      <c r="J46" s="393"/>
      <c r="M46" s="393"/>
      <c r="N46" s="350" t="str">
        <f t="shared" si="1"/>
        <v/>
      </c>
    </row>
    <row r="47" spans="1:14" ht="12.95" customHeight="1">
      <c r="E47" s="308"/>
      <c r="F47" s="334"/>
      <c r="J47" s="393"/>
      <c r="M47" s="393"/>
      <c r="N47" s="350" t="str">
        <f t="shared" si="1"/>
        <v/>
      </c>
    </row>
    <row r="48" spans="1:14" ht="12.95" customHeight="1">
      <c r="E48" s="308"/>
      <c r="F48" s="334"/>
      <c r="J48" s="393"/>
      <c r="M48" s="393"/>
      <c r="N48" s="350" t="str">
        <f t="shared" si="1"/>
        <v/>
      </c>
    </row>
    <row r="49" spans="5:14" ht="12.95" customHeight="1">
      <c r="E49" s="308"/>
      <c r="F49" s="334"/>
      <c r="J49" s="393"/>
      <c r="M49" s="393"/>
      <c r="N49" s="350" t="str">
        <f t="shared" si="1"/>
        <v/>
      </c>
    </row>
    <row r="50" spans="5:14" ht="12.95" customHeight="1">
      <c r="E50" s="308"/>
      <c r="F50" s="334"/>
      <c r="J50" s="393"/>
      <c r="M50" s="393"/>
      <c r="N50" s="350" t="str">
        <f t="shared" si="1"/>
        <v/>
      </c>
    </row>
    <row r="51" spans="5:14" ht="12.95" customHeight="1">
      <c r="E51" s="308"/>
      <c r="F51" s="334"/>
      <c r="J51" s="393"/>
      <c r="M51" s="393"/>
      <c r="N51" s="350" t="str">
        <f t="shared" si="1"/>
        <v/>
      </c>
    </row>
    <row r="52" spans="5:14" ht="12.95" customHeight="1">
      <c r="E52" s="308"/>
      <c r="F52" s="334"/>
      <c r="J52" s="393"/>
      <c r="M52" s="393"/>
      <c r="N52" s="350" t="str">
        <f t="shared" si="1"/>
        <v/>
      </c>
    </row>
    <row r="53" spans="5:14" ht="12.95" customHeight="1">
      <c r="E53" s="308"/>
      <c r="F53" s="334"/>
      <c r="J53" s="393"/>
      <c r="M53" s="393"/>
      <c r="N53" s="350" t="str">
        <f t="shared" si="1"/>
        <v/>
      </c>
    </row>
    <row r="54" spans="5:14" ht="12.95" customHeight="1">
      <c r="E54" s="308"/>
      <c r="F54" s="334"/>
      <c r="J54" s="393"/>
      <c r="M54" s="393"/>
      <c r="N54" s="350" t="str">
        <f t="shared" si="1"/>
        <v/>
      </c>
    </row>
    <row r="55" spans="5:14" ht="12.95" customHeight="1">
      <c r="E55" s="308"/>
      <c r="F55" s="334"/>
      <c r="J55" s="393"/>
      <c r="M55" s="393"/>
      <c r="N55" s="350" t="str">
        <f t="shared" si="1"/>
        <v/>
      </c>
    </row>
    <row r="56" spans="5:14" ht="12.95" customHeight="1">
      <c r="E56" s="308"/>
      <c r="F56" s="334"/>
      <c r="J56" s="393"/>
      <c r="M56" s="393"/>
      <c r="N56" s="350" t="str">
        <f t="shared" si="1"/>
        <v/>
      </c>
    </row>
    <row r="57" spans="5:14" ht="12.95" customHeight="1">
      <c r="E57" s="308"/>
      <c r="F57" s="334"/>
      <c r="J57" s="393"/>
      <c r="M57" s="393"/>
      <c r="N57" s="350" t="str">
        <f t="shared" si="1"/>
        <v/>
      </c>
    </row>
    <row r="58" spans="5:14" ht="12.95" customHeight="1">
      <c r="E58" s="308"/>
      <c r="F58" s="334"/>
      <c r="J58" s="393"/>
      <c r="M58" s="393"/>
      <c r="N58" s="350" t="str">
        <f t="shared" si="1"/>
        <v/>
      </c>
    </row>
    <row r="59" spans="5:14" ht="12.95" customHeight="1">
      <c r="E59" s="308"/>
      <c r="F59" s="334"/>
      <c r="J59" s="393"/>
      <c r="M59" s="393"/>
      <c r="N59" s="350" t="str">
        <f t="shared" si="1"/>
        <v/>
      </c>
    </row>
    <row r="60" spans="5:14" ht="17.100000000000001" customHeight="1">
      <c r="E60" s="308"/>
      <c r="F60" s="334"/>
      <c r="J60" s="393"/>
      <c r="M60" s="393"/>
      <c r="N60" s="350" t="str">
        <f t="shared" si="1"/>
        <v/>
      </c>
    </row>
    <row r="61" spans="5:14" ht="14.25">
      <c r="E61" s="308"/>
      <c r="F61" s="334"/>
      <c r="J61" s="393"/>
      <c r="M61" s="393"/>
      <c r="N61" s="350" t="str">
        <f t="shared" si="1"/>
        <v/>
      </c>
    </row>
    <row r="62" spans="5:14" ht="14.25">
      <c r="E62" s="308"/>
      <c r="F62" s="334"/>
      <c r="J62" s="393"/>
      <c r="M62" s="393"/>
      <c r="N62" s="350" t="str">
        <f t="shared" si="1"/>
        <v/>
      </c>
    </row>
    <row r="63" spans="5:14" ht="14.25">
      <c r="E63" s="308"/>
      <c r="F63" s="334"/>
      <c r="J63" s="393"/>
      <c r="M63" s="393"/>
      <c r="N63" s="350" t="str">
        <f t="shared" si="1"/>
        <v/>
      </c>
    </row>
    <row r="64" spans="5:14" ht="14.25">
      <c r="E64" s="308"/>
      <c r="F64" s="334"/>
      <c r="J64" s="393"/>
      <c r="M64" s="393"/>
      <c r="N64" s="350" t="str">
        <f t="shared" si="1"/>
        <v/>
      </c>
    </row>
    <row r="65" spans="5:14" ht="14.25">
      <c r="E65" s="308"/>
      <c r="F65" s="334"/>
      <c r="J65" s="393"/>
      <c r="M65" s="393"/>
      <c r="N65" s="350" t="str">
        <f t="shared" si="1"/>
        <v/>
      </c>
    </row>
    <row r="66" spans="5:14" ht="14.25">
      <c r="E66" s="308"/>
      <c r="F66" s="334"/>
      <c r="J66" s="393"/>
      <c r="M66" s="393"/>
      <c r="N66" s="350" t="str">
        <f t="shared" si="1"/>
        <v/>
      </c>
    </row>
    <row r="67" spans="5:14" ht="14.25">
      <c r="E67" s="308"/>
      <c r="F67" s="334"/>
      <c r="J67" s="393"/>
      <c r="M67" s="393"/>
    </row>
    <row r="68" spans="5:14" ht="14.25">
      <c r="E68" s="308"/>
      <c r="F68" s="334"/>
      <c r="J68" s="393"/>
      <c r="M68" s="393"/>
    </row>
    <row r="69" spans="5:14" ht="14.25">
      <c r="E69" s="308"/>
      <c r="F69" s="334"/>
      <c r="J69" s="393"/>
      <c r="M69" s="393"/>
    </row>
    <row r="70" spans="5:14" ht="14.25">
      <c r="E70" s="308"/>
      <c r="F70" s="334"/>
      <c r="J70" s="393"/>
      <c r="M70" s="393"/>
    </row>
    <row r="71" spans="5:14" ht="14.25">
      <c r="E71" s="308"/>
      <c r="F71" s="334"/>
      <c r="J71" s="393"/>
      <c r="M71" s="393"/>
    </row>
    <row r="72" spans="5:14" ht="14.25">
      <c r="E72" s="308"/>
      <c r="F72" s="334"/>
      <c r="J72" s="393"/>
      <c r="M72" s="393"/>
    </row>
    <row r="73" spans="5:14" ht="14.25">
      <c r="E73" s="308"/>
      <c r="F73" s="334"/>
      <c r="J73" s="393"/>
      <c r="M73" s="393"/>
    </row>
    <row r="74" spans="5:14" ht="14.25">
      <c r="E74" s="308"/>
      <c r="F74" s="308"/>
      <c r="J74" s="393"/>
      <c r="M74" s="393"/>
    </row>
    <row r="75" spans="5:14" ht="14.25">
      <c r="E75" s="308"/>
      <c r="F75" s="308"/>
      <c r="J75" s="393"/>
      <c r="M75" s="393"/>
    </row>
    <row r="76" spans="5:14" ht="14.25">
      <c r="E76" s="308"/>
      <c r="F76" s="308"/>
      <c r="J76" s="393"/>
      <c r="M76" s="393"/>
    </row>
    <row r="77" spans="5:14" ht="14.25">
      <c r="E77" s="308"/>
      <c r="F77" s="308"/>
      <c r="J77" s="393"/>
      <c r="M77" s="393"/>
    </row>
    <row r="78" spans="5:14" ht="14.25">
      <c r="E78" s="308"/>
      <c r="F78" s="308"/>
      <c r="J78" s="393"/>
      <c r="M78" s="393"/>
    </row>
    <row r="79" spans="5:14" ht="14.25">
      <c r="E79" s="308"/>
      <c r="F79" s="308"/>
      <c r="J79" s="393"/>
      <c r="M79" s="393"/>
    </row>
    <row r="80" spans="5:14" ht="14.25">
      <c r="E80" s="308"/>
      <c r="F80" s="308"/>
      <c r="J80" s="393"/>
      <c r="M80" s="393"/>
    </row>
    <row r="81" spans="5:13" ht="14.25">
      <c r="E81" s="308"/>
      <c r="F81" s="308"/>
      <c r="J81" s="393"/>
      <c r="M81" s="393"/>
    </row>
    <row r="82" spans="5:13" ht="14.25">
      <c r="E82" s="308"/>
      <c r="F82" s="308"/>
      <c r="J82" s="393"/>
      <c r="M82" s="393"/>
    </row>
    <row r="83" spans="5:13" ht="14.25">
      <c r="E83" s="308"/>
      <c r="F83" s="308"/>
      <c r="J83" s="393"/>
      <c r="M83" s="393"/>
    </row>
    <row r="84" spans="5:13" ht="14.25">
      <c r="E84" s="308"/>
      <c r="F84" s="308"/>
      <c r="J84" s="393"/>
      <c r="M84" s="393"/>
    </row>
    <row r="85" spans="5:13" ht="14.25">
      <c r="E85" s="308"/>
      <c r="F85" s="308"/>
      <c r="J85" s="393"/>
      <c r="M85" s="393"/>
    </row>
    <row r="86" spans="5:13" ht="14.25">
      <c r="E86" s="308"/>
      <c r="F86" s="308"/>
      <c r="J86" s="393"/>
      <c r="M86" s="393"/>
    </row>
    <row r="87" spans="5:13" ht="14.25">
      <c r="E87" s="308"/>
      <c r="F87" s="308"/>
      <c r="J87" s="393"/>
      <c r="M87" s="393"/>
    </row>
    <row r="88" spans="5:13" ht="14.25">
      <c r="E88" s="308"/>
      <c r="F88" s="308"/>
      <c r="J88" s="393"/>
      <c r="M88" s="393"/>
    </row>
    <row r="89" spans="5:13" ht="14.25">
      <c r="E89" s="308"/>
      <c r="F89" s="308"/>
      <c r="J89" s="393"/>
      <c r="M89" s="393"/>
    </row>
    <row r="90" spans="5:13" ht="14.25">
      <c r="E90" s="308"/>
      <c r="F90" s="308"/>
      <c r="J90" s="393"/>
      <c r="M90" s="393"/>
    </row>
    <row r="91" spans="5:13">
      <c r="F91" s="308"/>
    </row>
    <row r="92" spans="5:13">
      <c r="F92" s="308"/>
    </row>
    <row r="93" spans="5:13">
      <c r="F93" s="308"/>
    </row>
    <row r="94" spans="5:13">
      <c r="F94" s="308"/>
    </row>
    <row r="95" spans="5:13">
      <c r="F95" s="308"/>
    </row>
    <row r="96" spans="5:13">
      <c r="F96" s="308"/>
    </row>
  </sheetData>
  <mergeCells count="10">
    <mergeCell ref="N4:N5"/>
    <mergeCell ref="G4:G5"/>
    <mergeCell ref="B2:G2"/>
    <mergeCell ref="H4:J4"/>
    <mergeCell ref="B4:B5"/>
    <mergeCell ref="C4:C5"/>
    <mergeCell ref="D4:D5"/>
    <mergeCell ref="F4:F5"/>
    <mergeCell ref="E4:E5"/>
    <mergeCell ref="K4:M4"/>
  </mergeCells>
  <phoneticPr fontId="2" type="noConversion"/>
  <pageMargins left="0.78740157480314965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19"/>
  <dimension ref="A1:P96"/>
  <sheetViews>
    <sheetView topLeftCell="A17" zoomScaleNormal="100" workbookViewId="0">
      <selection activeCell="K45" sqref="K45"/>
    </sheetView>
  </sheetViews>
  <sheetFormatPr defaultRowHeight="12.75"/>
  <cols>
    <col min="1" max="1" width="9.140625" style="284"/>
    <col min="2" max="2" width="4.7109375" style="9" customWidth="1"/>
    <col min="3" max="3" width="5.140625" style="9" customWidth="1"/>
    <col min="4" max="4" width="5" style="9" customWidth="1"/>
    <col min="5" max="5" width="8.7109375" style="17" customWidth="1"/>
    <col min="6" max="6" width="8.7109375" style="289" customWidth="1"/>
    <col min="7" max="7" width="50.7109375" style="9" customWidth="1"/>
    <col min="8" max="9" width="14.7109375" style="284" customWidth="1"/>
    <col min="10" max="10" width="15.7109375" style="9" customWidth="1"/>
    <col min="11" max="12" width="14.7109375" style="284" customWidth="1"/>
    <col min="13" max="13" width="15.7109375" style="284" customWidth="1"/>
    <col min="14" max="14" width="7.7109375" style="350" customWidth="1"/>
    <col min="15" max="15" width="11" style="9" bestFit="1" customWidth="1"/>
    <col min="16" max="16384" width="9.140625" style="9"/>
  </cols>
  <sheetData>
    <row r="1" spans="1:16" ht="13.5" thickBot="1"/>
    <row r="2" spans="1:16" s="98" customFormat="1" ht="20.100000000000001" customHeight="1" thickTop="1" thickBot="1">
      <c r="B2" s="590" t="s">
        <v>136</v>
      </c>
      <c r="C2" s="591"/>
      <c r="D2" s="591"/>
      <c r="E2" s="591"/>
      <c r="F2" s="591"/>
      <c r="G2" s="591"/>
      <c r="H2" s="591"/>
      <c r="I2" s="591"/>
      <c r="J2" s="591"/>
      <c r="K2" s="530"/>
      <c r="L2" s="530"/>
      <c r="M2" s="530"/>
      <c r="N2" s="379"/>
    </row>
    <row r="3" spans="1:16" s="1" customFormat="1" ht="8.1" customHeight="1" thickTop="1" thickBot="1">
      <c r="A3" s="281"/>
      <c r="E3" s="2"/>
      <c r="F3" s="282"/>
      <c r="G3" s="531"/>
      <c r="H3" s="367"/>
      <c r="I3" s="367"/>
      <c r="J3" s="367"/>
      <c r="K3" s="367"/>
      <c r="L3" s="367"/>
      <c r="M3" s="367"/>
      <c r="N3" s="344"/>
      <c r="O3" s="368"/>
    </row>
    <row r="4" spans="1:16" s="1" customFormat="1" ht="39" customHeight="1">
      <c r="A4" s="281"/>
      <c r="B4" s="596" t="s">
        <v>78</v>
      </c>
      <c r="C4" s="606" t="s">
        <v>79</v>
      </c>
      <c r="D4" s="607" t="s">
        <v>110</v>
      </c>
      <c r="E4" s="608" t="s">
        <v>594</v>
      </c>
      <c r="F4" s="601" t="s">
        <v>653</v>
      </c>
      <c r="G4" s="602" t="s">
        <v>80</v>
      </c>
      <c r="H4" s="593" t="s">
        <v>647</v>
      </c>
      <c r="I4" s="594"/>
      <c r="J4" s="595"/>
      <c r="K4" s="593" t="s">
        <v>801</v>
      </c>
      <c r="L4" s="594"/>
      <c r="M4" s="595"/>
      <c r="N4" s="604" t="s">
        <v>805</v>
      </c>
    </row>
    <row r="5" spans="1:16" s="281" customFormat="1" ht="27" customHeight="1">
      <c r="B5" s="597"/>
      <c r="C5" s="599"/>
      <c r="D5" s="599"/>
      <c r="E5" s="603"/>
      <c r="F5" s="599"/>
      <c r="G5" s="603"/>
      <c r="H5" s="372" t="s">
        <v>705</v>
      </c>
      <c r="I5" s="372" t="s">
        <v>706</v>
      </c>
      <c r="J5" s="382" t="s">
        <v>413</v>
      </c>
      <c r="K5" s="372" t="s">
        <v>705</v>
      </c>
      <c r="L5" s="372" t="s">
        <v>706</v>
      </c>
      <c r="M5" s="382" t="s">
        <v>413</v>
      </c>
      <c r="N5" s="605"/>
    </row>
    <row r="6" spans="1:16" s="2" customFormat="1" ht="12.95" customHeight="1">
      <c r="A6" s="282"/>
      <c r="B6" s="504">
        <v>1</v>
      </c>
      <c r="C6" s="331">
        <v>2</v>
      </c>
      <c r="D6" s="331">
        <v>3</v>
      </c>
      <c r="E6" s="331">
        <v>4</v>
      </c>
      <c r="F6" s="331">
        <v>5</v>
      </c>
      <c r="G6" s="331">
        <v>6</v>
      </c>
      <c r="H6" s="331">
        <v>7</v>
      </c>
      <c r="I6" s="331">
        <v>8</v>
      </c>
      <c r="J6" s="523" t="s">
        <v>804</v>
      </c>
      <c r="K6" s="331">
        <v>10</v>
      </c>
      <c r="L6" s="331">
        <v>11</v>
      </c>
      <c r="M6" s="523" t="s">
        <v>707</v>
      </c>
      <c r="N6" s="505">
        <v>13</v>
      </c>
    </row>
    <row r="7" spans="1:16" s="2" customFormat="1" ht="12.95" customHeight="1">
      <c r="A7" s="282"/>
      <c r="B7" s="6" t="s">
        <v>135</v>
      </c>
      <c r="C7" s="7" t="s">
        <v>81</v>
      </c>
      <c r="D7" s="7" t="s">
        <v>82</v>
      </c>
      <c r="E7" s="5"/>
      <c r="F7" s="283"/>
      <c r="G7" s="5"/>
      <c r="H7" s="283"/>
      <c r="I7" s="283"/>
      <c r="J7" s="383"/>
      <c r="K7" s="283"/>
      <c r="L7" s="283"/>
      <c r="M7" s="383"/>
      <c r="N7" s="345"/>
    </row>
    <row r="8" spans="1:16" s="2" customFormat="1" ht="12.95" customHeight="1">
      <c r="A8" s="282"/>
      <c r="B8" s="6"/>
      <c r="C8" s="7"/>
      <c r="D8" s="7"/>
      <c r="E8" s="305">
        <v>600000</v>
      </c>
      <c r="F8" s="331"/>
      <c r="G8" s="19" t="s">
        <v>120</v>
      </c>
      <c r="H8" s="278">
        <f t="shared" ref="H8:M8" si="0">H9</f>
        <v>15000</v>
      </c>
      <c r="I8" s="278">
        <f t="shared" si="0"/>
        <v>0</v>
      </c>
      <c r="J8" s="389">
        <f t="shared" si="0"/>
        <v>15000</v>
      </c>
      <c r="K8" s="278">
        <f t="shared" si="0"/>
        <v>1400</v>
      </c>
      <c r="L8" s="278">
        <f t="shared" si="0"/>
        <v>0</v>
      </c>
      <c r="M8" s="389">
        <f t="shared" si="0"/>
        <v>1400</v>
      </c>
      <c r="N8" s="346">
        <f>IF(J8=0,"",M8/J8*100)</f>
        <v>9.3333333333333339</v>
      </c>
    </row>
    <row r="9" spans="1:16" s="2" customFormat="1" ht="12.95" customHeight="1">
      <c r="A9" s="282"/>
      <c r="B9" s="6"/>
      <c r="C9" s="7"/>
      <c r="D9" s="7"/>
      <c r="E9" s="306">
        <v>600000</v>
      </c>
      <c r="F9" s="332"/>
      <c r="G9" s="35" t="s">
        <v>109</v>
      </c>
      <c r="H9" s="280">
        <v>15000</v>
      </c>
      <c r="I9" s="280">
        <v>0</v>
      </c>
      <c r="J9" s="386">
        <f>SUM(H9:I9)</f>
        <v>15000</v>
      </c>
      <c r="K9" s="280">
        <v>1400</v>
      </c>
      <c r="L9" s="280">
        <v>0</v>
      </c>
      <c r="M9" s="386">
        <f>SUM(K9:L9)</f>
        <v>1400</v>
      </c>
      <c r="N9" s="347">
        <f t="shared" ref="N9:N66" si="1">IF(J9=0,"",M9/J9*100)</f>
        <v>9.3333333333333339</v>
      </c>
    </row>
    <row r="10" spans="1:16" s="2" customFormat="1" ht="12.95" customHeight="1">
      <c r="A10" s="282"/>
      <c r="B10" s="6"/>
      <c r="C10" s="7"/>
      <c r="D10" s="7"/>
      <c r="E10" s="305"/>
      <c r="F10" s="331"/>
      <c r="G10" s="5"/>
      <c r="H10" s="280"/>
      <c r="I10" s="280"/>
      <c r="J10" s="386"/>
      <c r="K10" s="280"/>
      <c r="L10" s="280"/>
      <c r="M10" s="386"/>
      <c r="N10" s="347" t="str">
        <f t="shared" si="1"/>
        <v/>
      </c>
    </row>
    <row r="11" spans="1:16" s="1" customFormat="1" ht="12.95" customHeight="1">
      <c r="A11" s="281"/>
      <c r="B11" s="12"/>
      <c r="C11" s="8"/>
      <c r="D11" s="8"/>
      <c r="E11" s="305">
        <v>611000</v>
      </c>
      <c r="F11" s="331"/>
      <c r="G11" s="8" t="s">
        <v>163</v>
      </c>
      <c r="H11" s="210">
        <f t="shared" ref="H11:M11" si="2">SUM(H12:H14)</f>
        <v>384770</v>
      </c>
      <c r="I11" s="210">
        <f t="shared" si="2"/>
        <v>0</v>
      </c>
      <c r="J11" s="384">
        <f t="shared" si="2"/>
        <v>384770</v>
      </c>
      <c r="K11" s="210">
        <f t="shared" si="2"/>
        <v>91344</v>
      </c>
      <c r="L11" s="210">
        <f t="shared" si="2"/>
        <v>0</v>
      </c>
      <c r="M11" s="384">
        <f t="shared" si="2"/>
        <v>91344</v>
      </c>
      <c r="N11" s="346">
        <f t="shared" si="1"/>
        <v>23.739896561582245</v>
      </c>
    </row>
    <row r="12" spans="1:16" ht="12.95" customHeight="1">
      <c r="B12" s="10"/>
      <c r="C12" s="11"/>
      <c r="D12" s="11"/>
      <c r="E12" s="306">
        <v>611100</v>
      </c>
      <c r="F12" s="332"/>
      <c r="G12" s="18" t="s">
        <v>198</v>
      </c>
      <c r="H12" s="212">
        <f>301000+3120+1*7*1980</f>
        <v>317980</v>
      </c>
      <c r="I12" s="212">
        <v>0</v>
      </c>
      <c r="J12" s="386">
        <f t="shared" ref="J12:J14" si="3">SUM(H12:I12)</f>
        <v>317980</v>
      </c>
      <c r="K12" s="212">
        <v>75063</v>
      </c>
      <c r="L12" s="212">
        <v>0</v>
      </c>
      <c r="M12" s="386">
        <f t="shared" ref="M12:M14" si="4">SUM(K12:L12)</f>
        <v>75063</v>
      </c>
      <c r="N12" s="347">
        <f t="shared" si="1"/>
        <v>23.606201647902385</v>
      </c>
    </row>
    <row r="13" spans="1:16" ht="12.95" customHeight="1">
      <c r="B13" s="10"/>
      <c r="C13" s="11"/>
      <c r="D13" s="11"/>
      <c r="E13" s="306">
        <v>611200</v>
      </c>
      <c r="F13" s="332"/>
      <c r="G13" s="11" t="s">
        <v>199</v>
      </c>
      <c r="H13" s="209">
        <f>62350+900+900+7*320+400</f>
        <v>66790</v>
      </c>
      <c r="I13" s="209">
        <v>0</v>
      </c>
      <c r="J13" s="386">
        <f t="shared" si="3"/>
        <v>66790</v>
      </c>
      <c r="K13" s="209">
        <v>16281</v>
      </c>
      <c r="L13" s="209">
        <v>0</v>
      </c>
      <c r="M13" s="386">
        <f t="shared" si="4"/>
        <v>16281</v>
      </c>
      <c r="N13" s="347">
        <f t="shared" si="1"/>
        <v>24.376403653241503</v>
      </c>
    </row>
    <row r="14" spans="1:16" ht="12.95" customHeight="1">
      <c r="B14" s="10"/>
      <c r="C14" s="11"/>
      <c r="D14" s="11"/>
      <c r="E14" s="306">
        <v>611200</v>
      </c>
      <c r="F14" s="332"/>
      <c r="G14" s="189" t="s">
        <v>534</v>
      </c>
      <c r="H14" s="209">
        <v>0</v>
      </c>
      <c r="I14" s="209">
        <v>0</v>
      </c>
      <c r="J14" s="386">
        <f t="shared" si="3"/>
        <v>0</v>
      </c>
      <c r="K14" s="209">
        <v>0</v>
      </c>
      <c r="L14" s="209">
        <v>0</v>
      </c>
      <c r="M14" s="386">
        <f t="shared" si="4"/>
        <v>0</v>
      </c>
      <c r="N14" s="347" t="str">
        <f t="shared" si="1"/>
        <v/>
      </c>
      <c r="P14" s="56"/>
    </row>
    <row r="15" spans="1:16" ht="12.95" customHeight="1">
      <c r="B15" s="10"/>
      <c r="C15" s="11"/>
      <c r="D15" s="11"/>
      <c r="E15" s="306"/>
      <c r="F15" s="332"/>
      <c r="G15" s="18"/>
      <c r="H15" s="209"/>
      <c r="I15" s="209"/>
      <c r="J15" s="385"/>
      <c r="K15" s="209"/>
      <c r="L15" s="209"/>
      <c r="M15" s="385"/>
      <c r="N15" s="347" t="str">
        <f t="shared" si="1"/>
        <v/>
      </c>
    </row>
    <row r="16" spans="1:16" s="1" customFormat="1" ht="12.95" customHeight="1">
      <c r="A16" s="281"/>
      <c r="B16" s="12"/>
      <c r="C16" s="8"/>
      <c r="D16" s="8"/>
      <c r="E16" s="305">
        <v>612000</v>
      </c>
      <c r="F16" s="331"/>
      <c r="G16" s="8" t="s">
        <v>162</v>
      </c>
      <c r="H16" s="210">
        <f t="shared" ref="H16:M16" si="5">H17+H18</f>
        <v>35150</v>
      </c>
      <c r="I16" s="210">
        <f t="shared" si="5"/>
        <v>0</v>
      </c>
      <c r="J16" s="384">
        <f t="shared" si="5"/>
        <v>35150</v>
      </c>
      <c r="K16" s="210">
        <f t="shared" si="5"/>
        <v>8275</v>
      </c>
      <c r="L16" s="210">
        <f t="shared" si="5"/>
        <v>0</v>
      </c>
      <c r="M16" s="384">
        <f t="shared" si="5"/>
        <v>8275</v>
      </c>
      <c r="N16" s="346">
        <f t="shared" si="1"/>
        <v>23.541963015647227</v>
      </c>
    </row>
    <row r="17" spans="1:14" ht="12.95" customHeight="1">
      <c r="B17" s="10"/>
      <c r="C17" s="11"/>
      <c r="D17" s="11"/>
      <c r="E17" s="306">
        <v>612100</v>
      </c>
      <c r="F17" s="332"/>
      <c r="G17" s="13" t="s">
        <v>83</v>
      </c>
      <c r="H17" s="209">
        <f>33230+380+1*7*220</f>
        <v>35150</v>
      </c>
      <c r="I17" s="209">
        <v>0</v>
      </c>
      <c r="J17" s="386">
        <f>SUM(H17:I17)</f>
        <v>35150</v>
      </c>
      <c r="K17" s="209">
        <v>8275</v>
      </c>
      <c r="L17" s="209">
        <v>0</v>
      </c>
      <c r="M17" s="386">
        <f>SUM(K17:L17)</f>
        <v>8275</v>
      </c>
      <c r="N17" s="347">
        <f t="shared" si="1"/>
        <v>23.541963015647227</v>
      </c>
    </row>
    <row r="18" spans="1:14" ht="12.95" customHeight="1">
      <c r="B18" s="10"/>
      <c r="C18" s="11"/>
      <c r="D18" s="11"/>
      <c r="E18" s="306"/>
      <c r="F18" s="332"/>
      <c r="G18" s="11"/>
      <c r="H18" s="279"/>
      <c r="I18" s="279"/>
      <c r="J18" s="386"/>
      <c r="K18" s="279"/>
      <c r="L18" s="279"/>
      <c r="M18" s="386"/>
      <c r="N18" s="347" t="str">
        <f t="shared" si="1"/>
        <v/>
      </c>
    </row>
    <row r="19" spans="1:14" s="1" customFormat="1" ht="12.95" customHeight="1">
      <c r="A19" s="281"/>
      <c r="B19" s="12"/>
      <c r="C19" s="8"/>
      <c r="D19" s="8"/>
      <c r="E19" s="305">
        <v>613000</v>
      </c>
      <c r="F19" s="331"/>
      <c r="G19" s="8" t="s">
        <v>164</v>
      </c>
      <c r="H19" s="293">
        <f t="shared" ref="H19:M19" si="6">SUM(H20:H30)</f>
        <v>115600</v>
      </c>
      <c r="I19" s="293">
        <f t="shared" si="6"/>
        <v>0</v>
      </c>
      <c r="J19" s="387">
        <f t="shared" si="6"/>
        <v>115600</v>
      </c>
      <c r="K19" s="293">
        <f t="shared" si="6"/>
        <v>24732</v>
      </c>
      <c r="L19" s="293">
        <f t="shared" si="6"/>
        <v>0</v>
      </c>
      <c r="M19" s="387">
        <f t="shared" si="6"/>
        <v>24732</v>
      </c>
      <c r="N19" s="346">
        <f t="shared" si="1"/>
        <v>21.394463667820069</v>
      </c>
    </row>
    <row r="20" spans="1:14" ht="12.95" customHeight="1">
      <c r="B20" s="10"/>
      <c r="C20" s="11"/>
      <c r="D20" s="11"/>
      <c r="E20" s="306">
        <v>613100</v>
      </c>
      <c r="F20" s="332"/>
      <c r="G20" s="11" t="s">
        <v>84</v>
      </c>
      <c r="H20" s="279">
        <v>5000</v>
      </c>
      <c r="I20" s="279">
        <v>0</v>
      </c>
      <c r="J20" s="386">
        <f t="shared" ref="J20:J30" si="7">SUM(H20:I20)</f>
        <v>5000</v>
      </c>
      <c r="K20" s="279">
        <v>431</v>
      </c>
      <c r="L20" s="279">
        <v>0</v>
      </c>
      <c r="M20" s="386">
        <f t="shared" ref="M20:M30" si="8">SUM(K20:L20)</f>
        <v>431</v>
      </c>
      <c r="N20" s="347">
        <f t="shared" si="1"/>
        <v>8.6199999999999992</v>
      </c>
    </row>
    <row r="21" spans="1:14" ht="12.95" customHeight="1">
      <c r="B21" s="10"/>
      <c r="C21" s="11"/>
      <c r="D21" s="11"/>
      <c r="E21" s="306">
        <v>613200</v>
      </c>
      <c r="F21" s="332"/>
      <c r="G21" s="11" t="s">
        <v>85</v>
      </c>
      <c r="H21" s="279">
        <v>0</v>
      </c>
      <c r="I21" s="279">
        <v>0</v>
      </c>
      <c r="J21" s="386">
        <f t="shared" si="7"/>
        <v>0</v>
      </c>
      <c r="K21" s="279">
        <v>0</v>
      </c>
      <c r="L21" s="279">
        <v>0</v>
      </c>
      <c r="M21" s="386">
        <f t="shared" si="8"/>
        <v>0</v>
      </c>
      <c r="N21" s="347" t="str">
        <f t="shared" si="1"/>
        <v/>
      </c>
    </row>
    <row r="22" spans="1:14" ht="12.95" customHeight="1">
      <c r="B22" s="10"/>
      <c r="C22" s="11"/>
      <c r="D22" s="11"/>
      <c r="E22" s="306">
        <v>613300</v>
      </c>
      <c r="F22" s="332"/>
      <c r="G22" s="18" t="s">
        <v>200</v>
      </c>
      <c r="H22" s="279">
        <f>640*12</f>
        <v>7680</v>
      </c>
      <c r="I22" s="279">
        <v>0</v>
      </c>
      <c r="J22" s="386">
        <f t="shared" si="7"/>
        <v>7680</v>
      </c>
      <c r="K22" s="279">
        <v>1851</v>
      </c>
      <c r="L22" s="279">
        <v>0</v>
      </c>
      <c r="M22" s="386">
        <f t="shared" si="8"/>
        <v>1851</v>
      </c>
      <c r="N22" s="347">
        <f t="shared" si="1"/>
        <v>24.1015625</v>
      </c>
    </row>
    <row r="23" spans="1:14" ht="12.95" customHeight="1">
      <c r="B23" s="10"/>
      <c r="C23" s="11"/>
      <c r="D23" s="11"/>
      <c r="E23" s="306">
        <v>613400</v>
      </c>
      <c r="F23" s="332"/>
      <c r="G23" s="11" t="s">
        <v>165</v>
      </c>
      <c r="H23" s="279">
        <f>250*12</f>
        <v>3000</v>
      </c>
      <c r="I23" s="279">
        <v>0</v>
      </c>
      <c r="J23" s="386">
        <f t="shared" si="7"/>
        <v>3000</v>
      </c>
      <c r="K23" s="279">
        <v>1549</v>
      </c>
      <c r="L23" s="279">
        <v>0</v>
      </c>
      <c r="M23" s="386">
        <f t="shared" si="8"/>
        <v>1549</v>
      </c>
      <c r="N23" s="347">
        <f t="shared" si="1"/>
        <v>51.633333333333333</v>
      </c>
    </row>
    <row r="24" spans="1:14" ht="12.95" customHeight="1">
      <c r="B24" s="10"/>
      <c r="C24" s="11"/>
      <c r="D24" s="11"/>
      <c r="E24" s="306">
        <v>613500</v>
      </c>
      <c r="F24" s="332"/>
      <c r="G24" s="11" t="s">
        <v>86</v>
      </c>
      <c r="H24" s="280">
        <v>0</v>
      </c>
      <c r="I24" s="280">
        <v>0</v>
      </c>
      <c r="J24" s="386">
        <f t="shared" si="7"/>
        <v>0</v>
      </c>
      <c r="K24" s="280">
        <v>0</v>
      </c>
      <c r="L24" s="280">
        <v>0</v>
      </c>
      <c r="M24" s="386">
        <f t="shared" si="8"/>
        <v>0</v>
      </c>
      <c r="N24" s="347" t="str">
        <f t="shared" si="1"/>
        <v/>
      </c>
    </row>
    <row r="25" spans="1:14" ht="12.95" customHeight="1">
      <c r="B25" s="10"/>
      <c r="C25" s="11"/>
      <c r="D25" s="11"/>
      <c r="E25" s="306">
        <v>613600</v>
      </c>
      <c r="F25" s="332"/>
      <c r="G25" s="18" t="s">
        <v>201</v>
      </c>
      <c r="H25" s="280">
        <v>0</v>
      </c>
      <c r="I25" s="280">
        <v>0</v>
      </c>
      <c r="J25" s="386">
        <f t="shared" si="7"/>
        <v>0</v>
      </c>
      <c r="K25" s="280">
        <v>0</v>
      </c>
      <c r="L25" s="280">
        <v>0</v>
      </c>
      <c r="M25" s="386">
        <f t="shared" si="8"/>
        <v>0</v>
      </c>
      <c r="N25" s="347" t="str">
        <f t="shared" si="1"/>
        <v/>
      </c>
    </row>
    <row r="26" spans="1:14" ht="12.95" customHeight="1">
      <c r="B26" s="10"/>
      <c r="C26" s="11"/>
      <c r="D26" s="11"/>
      <c r="E26" s="306">
        <v>613700</v>
      </c>
      <c r="F26" s="332"/>
      <c r="G26" s="11" t="s">
        <v>87</v>
      </c>
      <c r="H26" s="296">
        <v>1500</v>
      </c>
      <c r="I26" s="296">
        <v>0</v>
      </c>
      <c r="J26" s="386">
        <f t="shared" si="7"/>
        <v>1500</v>
      </c>
      <c r="K26" s="296">
        <v>1066</v>
      </c>
      <c r="L26" s="296">
        <v>0</v>
      </c>
      <c r="M26" s="386">
        <f t="shared" si="8"/>
        <v>1066</v>
      </c>
      <c r="N26" s="347">
        <f t="shared" si="1"/>
        <v>71.066666666666663</v>
      </c>
    </row>
    <row r="27" spans="1:14" ht="12.95" customHeight="1">
      <c r="B27" s="10"/>
      <c r="C27" s="11"/>
      <c r="D27" s="11"/>
      <c r="E27" s="306">
        <v>613800</v>
      </c>
      <c r="F27" s="332"/>
      <c r="G27" s="11" t="s">
        <v>166</v>
      </c>
      <c r="H27" s="280">
        <f>510*12</f>
        <v>6120</v>
      </c>
      <c r="I27" s="280">
        <v>0</v>
      </c>
      <c r="J27" s="386">
        <f t="shared" si="7"/>
        <v>6120</v>
      </c>
      <c r="K27" s="280">
        <v>1313</v>
      </c>
      <c r="L27" s="280">
        <v>0</v>
      </c>
      <c r="M27" s="386">
        <f t="shared" si="8"/>
        <v>1313</v>
      </c>
      <c r="N27" s="347">
        <f t="shared" si="1"/>
        <v>21.454248366013072</v>
      </c>
    </row>
    <row r="28" spans="1:14" ht="12.95" customHeight="1">
      <c r="B28" s="10"/>
      <c r="C28" s="11"/>
      <c r="D28" s="11"/>
      <c r="E28" s="306">
        <v>613900</v>
      </c>
      <c r="F28" s="332"/>
      <c r="G28" s="11" t="s">
        <v>167</v>
      </c>
      <c r="H28" s="277">
        <f>2300*12</f>
        <v>27600</v>
      </c>
      <c r="I28" s="277">
        <v>0</v>
      </c>
      <c r="J28" s="386">
        <f t="shared" si="7"/>
        <v>27600</v>
      </c>
      <c r="K28" s="277">
        <v>4979</v>
      </c>
      <c r="L28" s="277">
        <v>0</v>
      </c>
      <c r="M28" s="386">
        <f t="shared" si="8"/>
        <v>4979</v>
      </c>
      <c r="N28" s="347">
        <f t="shared" si="1"/>
        <v>18.039855072463766</v>
      </c>
    </row>
    <row r="29" spans="1:14" ht="12.95" customHeight="1">
      <c r="B29" s="10"/>
      <c r="C29" s="11"/>
      <c r="D29" s="11"/>
      <c r="E29" s="312">
        <v>613900</v>
      </c>
      <c r="F29" s="338" t="s">
        <v>670</v>
      </c>
      <c r="G29" s="18" t="s">
        <v>538</v>
      </c>
      <c r="H29" s="280">
        <f>12*4600+8000+1500</f>
        <v>64700</v>
      </c>
      <c r="I29" s="280">
        <v>0</v>
      </c>
      <c r="J29" s="386">
        <f t="shared" si="7"/>
        <v>64700</v>
      </c>
      <c r="K29" s="280">
        <v>13543</v>
      </c>
      <c r="L29" s="280">
        <v>0</v>
      </c>
      <c r="M29" s="386">
        <f t="shared" si="8"/>
        <v>13543</v>
      </c>
      <c r="N29" s="347">
        <f t="shared" si="1"/>
        <v>20.931993817619784</v>
      </c>
    </row>
    <row r="30" spans="1:14" ht="12.95" customHeight="1">
      <c r="B30" s="10"/>
      <c r="C30" s="11"/>
      <c r="D30" s="11"/>
      <c r="E30" s="306">
        <v>613900</v>
      </c>
      <c r="F30" s="332"/>
      <c r="G30" s="189" t="s">
        <v>535</v>
      </c>
      <c r="H30" s="280">
        <v>0</v>
      </c>
      <c r="I30" s="280">
        <v>0</v>
      </c>
      <c r="J30" s="386">
        <f t="shared" si="7"/>
        <v>0</v>
      </c>
      <c r="K30" s="280">
        <v>0</v>
      </c>
      <c r="L30" s="280">
        <v>0</v>
      </c>
      <c r="M30" s="386">
        <f t="shared" si="8"/>
        <v>0</v>
      </c>
      <c r="N30" s="347" t="str">
        <f t="shared" si="1"/>
        <v/>
      </c>
    </row>
    <row r="31" spans="1:14" ht="12.95" customHeight="1">
      <c r="B31" s="10"/>
      <c r="C31" s="11"/>
      <c r="D31" s="11"/>
      <c r="E31" s="312"/>
      <c r="F31" s="338"/>
      <c r="G31" s="11"/>
      <c r="H31" s="280"/>
      <c r="I31" s="280"/>
      <c r="J31" s="386"/>
      <c r="K31" s="280"/>
      <c r="L31" s="280"/>
      <c r="M31" s="386"/>
      <c r="N31" s="347" t="str">
        <f t="shared" si="1"/>
        <v/>
      </c>
    </row>
    <row r="32" spans="1:14" s="1" customFormat="1" ht="12.95" customHeight="1">
      <c r="A32" s="281"/>
      <c r="B32" s="12"/>
      <c r="C32" s="8"/>
      <c r="D32" s="23"/>
      <c r="E32" s="305">
        <v>614000</v>
      </c>
      <c r="F32" s="331"/>
      <c r="G32" s="8" t="s">
        <v>202</v>
      </c>
      <c r="H32" s="295">
        <f t="shared" ref="H32:M32" si="9">SUM(H33:H35)</f>
        <v>280000</v>
      </c>
      <c r="I32" s="295">
        <f t="shared" si="9"/>
        <v>0</v>
      </c>
      <c r="J32" s="387">
        <f t="shared" si="9"/>
        <v>280000</v>
      </c>
      <c r="K32" s="295">
        <f t="shared" si="9"/>
        <v>6085</v>
      </c>
      <c r="L32" s="295">
        <f t="shared" si="9"/>
        <v>0</v>
      </c>
      <c r="M32" s="387">
        <f t="shared" si="9"/>
        <v>6085</v>
      </c>
      <c r="N32" s="346">
        <f t="shared" si="1"/>
        <v>2.1732142857142858</v>
      </c>
    </row>
    <row r="33" spans="1:16" ht="12.95" customHeight="1">
      <c r="B33" s="10"/>
      <c r="C33" s="11"/>
      <c r="D33" s="22"/>
      <c r="E33" s="306">
        <v>614100</v>
      </c>
      <c r="F33" s="329" t="s">
        <v>671</v>
      </c>
      <c r="G33" s="36" t="s">
        <v>274</v>
      </c>
      <c r="H33" s="280">
        <v>200000</v>
      </c>
      <c r="I33" s="280">
        <v>0</v>
      </c>
      <c r="J33" s="386">
        <f t="shared" ref="J33:J35" si="10">SUM(H33:I33)</f>
        <v>200000</v>
      </c>
      <c r="K33" s="280">
        <v>0</v>
      </c>
      <c r="L33" s="280">
        <v>0</v>
      </c>
      <c r="M33" s="386">
        <f t="shared" ref="M33:M35" si="11">SUM(K33:L33)</f>
        <v>0</v>
      </c>
      <c r="N33" s="347">
        <f t="shared" si="1"/>
        <v>0</v>
      </c>
      <c r="O33" s="68"/>
      <c r="P33" s="50"/>
    </row>
    <row r="34" spans="1:16" ht="12.95" customHeight="1">
      <c r="B34" s="10"/>
      <c r="C34" s="11"/>
      <c r="D34" s="22"/>
      <c r="E34" s="354">
        <v>614800</v>
      </c>
      <c r="F34" s="340" t="s">
        <v>672</v>
      </c>
      <c r="G34" s="36" t="s">
        <v>111</v>
      </c>
      <c r="H34" s="280">
        <v>60000</v>
      </c>
      <c r="I34" s="280">
        <v>0</v>
      </c>
      <c r="J34" s="386">
        <f t="shared" si="10"/>
        <v>60000</v>
      </c>
      <c r="K34" s="280">
        <v>5170</v>
      </c>
      <c r="L34" s="280">
        <v>0</v>
      </c>
      <c r="M34" s="386">
        <f t="shared" si="11"/>
        <v>5170</v>
      </c>
      <c r="N34" s="347">
        <f t="shared" si="1"/>
        <v>8.6166666666666671</v>
      </c>
      <c r="O34" s="50"/>
    </row>
    <row r="35" spans="1:16" ht="24.75" customHeight="1">
      <c r="B35" s="10"/>
      <c r="C35" s="11"/>
      <c r="D35" s="22"/>
      <c r="E35" s="354">
        <v>614800</v>
      </c>
      <c r="F35" s="340" t="s">
        <v>673</v>
      </c>
      <c r="G35" s="251" t="s">
        <v>595</v>
      </c>
      <c r="H35" s="280">
        <v>20000</v>
      </c>
      <c r="I35" s="280">
        <v>0</v>
      </c>
      <c r="J35" s="386">
        <f t="shared" si="10"/>
        <v>20000</v>
      </c>
      <c r="K35" s="280">
        <v>915</v>
      </c>
      <c r="L35" s="280">
        <v>0</v>
      </c>
      <c r="M35" s="386">
        <f t="shared" si="11"/>
        <v>915</v>
      </c>
      <c r="N35" s="347">
        <f t="shared" si="1"/>
        <v>4.5750000000000002</v>
      </c>
      <c r="O35" s="50"/>
    </row>
    <row r="36" spans="1:16" ht="12.95" customHeight="1">
      <c r="B36" s="10"/>
      <c r="C36" s="11"/>
      <c r="D36" s="22"/>
      <c r="E36" s="355"/>
      <c r="F36" s="341"/>
      <c r="G36" s="36"/>
      <c r="H36" s="280"/>
      <c r="I36" s="280"/>
      <c r="J36" s="386"/>
      <c r="K36" s="280"/>
      <c r="L36" s="280"/>
      <c r="M36" s="386"/>
      <c r="N36" s="347" t="str">
        <f t="shared" si="1"/>
        <v/>
      </c>
    </row>
    <row r="37" spans="1:16" ht="12.95" customHeight="1">
      <c r="B37" s="10"/>
      <c r="C37" s="11"/>
      <c r="D37" s="11"/>
      <c r="E37" s="315">
        <v>616000</v>
      </c>
      <c r="F37" s="342"/>
      <c r="G37" s="24" t="s">
        <v>205</v>
      </c>
      <c r="H37" s="273">
        <f t="shared" ref="H37:M37" si="12">SUM(H38:H39)</f>
        <v>56300</v>
      </c>
      <c r="I37" s="273">
        <f t="shared" si="12"/>
        <v>0</v>
      </c>
      <c r="J37" s="387">
        <f t="shared" si="12"/>
        <v>56300</v>
      </c>
      <c r="K37" s="273">
        <f t="shared" si="12"/>
        <v>0</v>
      </c>
      <c r="L37" s="273">
        <f t="shared" si="12"/>
        <v>0</v>
      </c>
      <c r="M37" s="387">
        <f t="shared" si="12"/>
        <v>0</v>
      </c>
      <c r="N37" s="346">
        <f t="shared" si="1"/>
        <v>0</v>
      </c>
    </row>
    <row r="38" spans="1:16" ht="12.95" customHeight="1">
      <c r="B38" s="10"/>
      <c r="C38" s="11"/>
      <c r="D38" s="11"/>
      <c r="E38" s="313">
        <v>616300</v>
      </c>
      <c r="F38" s="329" t="s">
        <v>674</v>
      </c>
      <c r="G38" s="39" t="s">
        <v>210</v>
      </c>
      <c r="H38" s="280">
        <v>23400</v>
      </c>
      <c r="I38" s="280">
        <v>0</v>
      </c>
      <c r="J38" s="386">
        <f t="shared" ref="J38:J39" si="13">SUM(H38:I38)</f>
        <v>23400</v>
      </c>
      <c r="K38" s="280">
        <v>0</v>
      </c>
      <c r="L38" s="280">
        <v>0</v>
      </c>
      <c r="M38" s="386">
        <f t="shared" ref="M38:M39" si="14">SUM(K38:L38)</f>
        <v>0</v>
      </c>
      <c r="N38" s="347">
        <f t="shared" si="1"/>
        <v>0</v>
      </c>
    </row>
    <row r="39" spans="1:16" ht="12.95" customHeight="1">
      <c r="B39" s="10"/>
      <c r="C39" s="11"/>
      <c r="D39" s="11"/>
      <c r="E39" s="313">
        <v>616300</v>
      </c>
      <c r="F39" s="329" t="s">
        <v>675</v>
      </c>
      <c r="G39" s="39" t="s">
        <v>214</v>
      </c>
      <c r="H39" s="280">
        <v>32900</v>
      </c>
      <c r="I39" s="280">
        <v>0</v>
      </c>
      <c r="J39" s="386">
        <f t="shared" si="13"/>
        <v>32900</v>
      </c>
      <c r="K39" s="280">
        <v>0</v>
      </c>
      <c r="L39" s="280">
        <v>0</v>
      </c>
      <c r="M39" s="386">
        <f t="shared" si="14"/>
        <v>0</v>
      </c>
      <c r="N39" s="347">
        <f t="shared" si="1"/>
        <v>0</v>
      </c>
    </row>
    <row r="40" spans="1:16" ht="12.95" customHeight="1">
      <c r="B40" s="10"/>
      <c r="C40" s="11"/>
      <c r="D40" s="11"/>
      <c r="E40" s="306"/>
      <c r="F40" s="332"/>
      <c r="G40" s="11"/>
      <c r="H40" s="295"/>
      <c r="I40" s="295"/>
      <c r="J40" s="387"/>
      <c r="K40" s="295"/>
      <c r="L40" s="295"/>
      <c r="M40" s="387"/>
      <c r="N40" s="347" t="str">
        <f t="shared" si="1"/>
        <v/>
      </c>
    </row>
    <row r="41" spans="1:16" ht="12.95" customHeight="1">
      <c r="B41" s="12"/>
      <c r="C41" s="8"/>
      <c r="D41" s="8"/>
      <c r="E41" s="305">
        <v>821000</v>
      </c>
      <c r="F41" s="331"/>
      <c r="G41" s="8" t="s">
        <v>90</v>
      </c>
      <c r="H41" s="295">
        <f t="shared" ref="H41:M41" si="15">SUM(H42:H43)</f>
        <v>1500</v>
      </c>
      <c r="I41" s="295">
        <f t="shared" si="15"/>
        <v>0</v>
      </c>
      <c r="J41" s="387">
        <f t="shared" si="15"/>
        <v>1500</v>
      </c>
      <c r="K41" s="295">
        <f t="shared" si="15"/>
        <v>1377</v>
      </c>
      <c r="L41" s="295">
        <f t="shared" si="15"/>
        <v>0</v>
      </c>
      <c r="M41" s="387">
        <f t="shared" si="15"/>
        <v>1377</v>
      </c>
      <c r="N41" s="346">
        <f t="shared" si="1"/>
        <v>91.8</v>
      </c>
    </row>
    <row r="42" spans="1:16" ht="12.95" customHeight="1">
      <c r="B42" s="10"/>
      <c r="C42" s="11"/>
      <c r="D42" s="11"/>
      <c r="E42" s="306">
        <v>821200</v>
      </c>
      <c r="F42" s="332"/>
      <c r="G42" s="11" t="s">
        <v>91</v>
      </c>
      <c r="H42" s="296">
        <v>0</v>
      </c>
      <c r="I42" s="296">
        <v>0</v>
      </c>
      <c r="J42" s="386">
        <f t="shared" ref="J42:J43" si="16">SUM(H42:I42)</f>
        <v>0</v>
      </c>
      <c r="K42" s="296">
        <v>0</v>
      </c>
      <c r="L42" s="296">
        <v>0</v>
      </c>
      <c r="M42" s="386">
        <f t="shared" ref="M42:M43" si="17">SUM(K42:L42)</f>
        <v>0</v>
      </c>
      <c r="N42" s="347" t="str">
        <f t="shared" si="1"/>
        <v/>
      </c>
    </row>
    <row r="43" spans="1:16" s="1" customFormat="1" ht="12.95" customHeight="1">
      <c r="A43" s="281"/>
      <c r="B43" s="10"/>
      <c r="C43" s="11"/>
      <c r="D43" s="11"/>
      <c r="E43" s="306">
        <v>821300</v>
      </c>
      <c r="F43" s="332"/>
      <c r="G43" s="11" t="s">
        <v>92</v>
      </c>
      <c r="H43" s="296">
        <v>1500</v>
      </c>
      <c r="I43" s="296">
        <v>0</v>
      </c>
      <c r="J43" s="386">
        <f t="shared" si="16"/>
        <v>1500</v>
      </c>
      <c r="K43" s="296">
        <v>1377</v>
      </c>
      <c r="L43" s="296">
        <v>0</v>
      </c>
      <c r="M43" s="386">
        <f t="shared" si="17"/>
        <v>1377</v>
      </c>
      <c r="N43" s="347">
        <f t="shared" si="1"/>
        <v>91.8</v>
      </c>
    </row>
    <row r="44" spans="1:16" ht="12.95" customHeight="1">
      <c r="B44" s="10"/>
      <c r="C44" s="11"/>
      <c r="D44" s="11"/>
      <c r="E44" s="306"/>
      <c r="F44" s="332"/>
      <c r="G44" s="11"/>
      <c r="H44" s="280"/>
      <c r="I44" s="280"/>
      <c r="J44" s="386"/>
      <c r="K44" s="280"/>
      <c r="L44" s="280"/>
      <c r="M44" s="386"/>
      <c r="N44" s="347" t="str">
        <f t="shared" si="1"/>
        <v/>
      </c>
    </row>
    <row r="45" spans="1:16" ht="12.95" customHeight="1">
      <c r="B45" s="12"/>
      <c r="C45" s="8"/>
      <c r="D45" s="8"/>
      <c r="E45" s="305">
        <v>823000</v>
      </c>
      <c r="F45" s="331"/>
      <c r="G45" s="8" t="s">
        <v>211</v>
      </c>
      <c r="H45" s="295">
        <f t="shared" ref="H45:M45" si="18">SUM(H46:H47)</f>
        <v>523890</v>
      </c>
      <c r="I45" s="295">
        <f t="shared" si="18"/>
        <v>0</v>
      </c>
      <c r="J45" s="387">
        <f t="shared" si="18"/>
        <v>523890</v>
      </c>
      <c r="K45" s="295">
        <f t="shared" si="18"/>
        <v>215141</v>
      </c>
      <c r="L45" s="295">
        <f t="shared" si="18"/>
        <v>0</v>
      </c>
      <c r="M45" s="387">
        <f t="shared" si="18"/>
        <v>215141</v>
      </c>
      <c r="N45" s="346">
        <f t="shared" si="1"/>
        <v>41.066063486609785</v>
      </c>
    </row>
    <row r="46" spans="1:16" ht="12.95" customHeight="1">
      <c r="B46" s="10"/>
      <c r="C46" s="11"/>
      <c r="D46" s="11"/>
      <c r="E46" s="306">
        <v>823300</v>
      </c>
      <c r="F46" s="332" t="s">
        <v>674</v>
      </c>
      <c r="G46" s="18" t="s">
        <v>599</v>
      </c>
      <c r="H46" s="296">
        <v>93600</v>
      </c>
      <c r="I46" s="296">
        <v>0</v>
      </c>
      <c r="J46" s="386">
        <f t="shared" ref="J46:J47" si="19">SUM(H46:I46)</f>
        <v>93600</v>
      </c>
      <c r="K46" s="296">
        <v>0</v>
      </c>
      <c r="L46" s="296">
        <v>0</v>
      </c>
      <c r="M46" s="386">
        <f t="shared" ref="M46:M47" si="20">SUM(K46:L46)</f>
        <v>0</v>
      </c>
      <c r="N46" s="347">
        <f t="shared" si="1"/>
        <v>0</v>
      </c>
    </row>
    <row r="47" spans="1:16" ht="12.95" customHeight="1">
      <c r="B47" s="10"/>
      <c r="C47" s="11"/>
      <c r="D47" s="11"/>
      <c r="E47" s="306">
        <v>823300</v>
      </c>
      <c r="F47" s="332" t="s">
        <v>675</v>
      </c>
      <c r="G47" s="18" t="s">
        <v>598</v>
      </c>
      <c r="H47" s="296">
        <v>430290</v>
      </c>
      <c r="I47" s="296">
        <v>0</v>
      </c>
      <c r="J47" s="386">
        <f t="shared" si="19"/>
        <v>430290</v>
      </c>
      <c r="K47" s="296">
        <v>215141</v>
      </c>
      <c r="L47" s="296">
        <v>0</v>
      </c>
      <c r="M47" s="386">
        <f t="shared" si="20"/>
        <v>215141</v>
      </c>
      <c r="N47" s="347">
        <f t="shared" si="1"/>
        <v>49.999070394385178</v>
      </c>
    </row>
    <row r="48" spans="1:16" ht="12.95" customHeight="1">
      <c r="B48" s="10"/>
      <c r="C48" s="11"/>
      <c r="D48" s="11"/>
      <c r="E48" s="306"/>
      <c r="F48" s="332"/>
      <c r="G48" s="11"/>
      <c r="H48" s="286"/>
      <c r="I48" s="286"/>
      <c r="J48" s="397"/>
      <c r="K48" s="286"/>
      <c r="L48" s="286"/>
      <c r="M48" s="397"/>
      <c r="N48" s="347" t="str">
        <f t="shared" si="1"/>
        <v/>
      </c>
    </row>
    <row r="49" spans="1:14" ht="12.95" customHeight="1">
      <c r="B49" s="12"/>
      <c r="C49" s="8"/>
      <c r="D49" s="8"/>
      <c r="E49" s="305"/>
      <c r="F49" s="331"/>
      <c r="G49" s="8" t="s">
        <v>93</v>
      </c>
      <c r="H49" s="274">
        <v>16</v>
      </c>
      <c r="I49" s="274"/>
      <c r="J49" s="404">
        <v>16</v>
      </c>
      <c r="K49" s="274">
        <v>15</v>
      </c>
      <c r="L49" s="274"/>
      <c r="M49" s="404">
        <v>15</v>
      </c>
      <c r="N49" s="347"/>
    </row>
    <row r="50" spans="1:14" ht="12.95" customHeight="1">
      <c r="B50" s="12"/>
      <c r="C50" s="8"/>
      <c r="D50" s="8"/>
      <c r="E50" s="305"/>
      <c r="F50" s="331"/>
      <c r="G50" s="8" t="s">
        <v>113</v>
      </c>
      <c r="H50" s="288">
        <f t="shared" ref="H50:J50" si="21">H8+H11+H16+H19+H32+H37+H41+H45</f>
        <v>1412210</v>
      </c>
      <c r="I50" s="288">
        <f t="shared" si="21"/>
        <v>0</v>
      </c>
      <c r="J50" s="387">
        <f t="shared" si="21"/>
        <v>1412210</v>
      </c>
      <c r="K50" s="288">
        <f t="shared" ref="K50:M50" si="22">K8+K11+K16+K19+K32+K37+K41+K45</f>
        <v>348354</v>
      </c>
      <c r="L50" s="288">
        <f t="shared" si="22"/>
        <v>0</v>
      </c>
      <c r="M50" s="387">
        <f t="shared" si="22"/>
        <v>348354</v>
      </c>
      <c r="N50" s="346">
        <f t="shared" si="1"/>
        <v>24.667294524185497</v>
      </c>
    </row>
    <row r="51" spans="1:14" s="1" customFormat="1" ht="12.95" customHeight="1">
      <c r="A51" s="281"/>
      <c r="B51" s="12"/>
      <c r="C51" s="8"/>
      <c r="D51" s="8"/>
      <c r="E51" s="305"/>
      <c r="F51" s="331"/>
      <c r="G51" s="8" t="s">
        <v>94</v>
      </c>
      <c r="H51" s="288">
        <f t="shared" ref="H51:J52" si="23">H50</f>
        <v>1412210</v>
      </c>
      <c r="I51" s="288">
        <f t="shared" si="23"/>
        <v>0</v>
      </c>
      <c r="J51" s="387">
        <f t="shared" si="23"/>
        <v>1412210</v>
      </c>
      <c r="K51" s="288">
        <f t="shared" ref="K51:M51" si="24">K50</f>
        <v>348354</v>
      </c>
      <c r="L51" s="288">
        <f t="shared" si="24"/>
        <v>0</v>
      </c>
      <c r="M51" s="387">
        <f t="shared" si="24"/>
        <v>348354</v>
      </c>
      <c r="N51" s="346">
        <f t="shared" si="1"/>
        <v>24.667294524185497</v>
      </c>
    </row>
    <row r="52" spans="1:14" s="1" customFormat="1" ht="12.95" customHeight="1">
      <c r="A52" s="281"/>
      <c r="B52" s="12"/>
      <c r="C52" s="8"/>
      <c r="D52" s="8"/>
      <c r="E52" s="305"/>
      <c r="F52" s="331"/>
      <c r="G52" s="8" t="s">
        <v>95</v>
      </c>
      <c r="H52" s="288">
        <f t="shared" si="23"/>
        <v>1412210</v>
      </c>
      <c r="I52" s="288">
        <f t="shared" si="23"/>
        <v>0</v>
      </c>
      <c r="J52" s="387">
        <f t="shared" si="23"/>
        <v>1412210</v>
      </c>
      <c r="K52" s="288">
        <f t="shared" ref="K52:M52" si="25">K51</f>
        <v>348354</v>
      </c>
      <c r="L52" s="288">
        <f t="shared" si="25"/>
        <v>0</v>
      </c>
      <c r="M52" s="387">
        <f t="shared" si="25"/>
        <v>348354</v>
      </c>
      <c r="N52" s="346">
        <f t="shared" si="1"/>
        <v>24.667294524185497</v>
      </c>
    </row>
    <row r="53" spans="1:14" s="1" customFormat="1" ht="12.95" customHeight="1" thickBot="1">
      <c r="A53" s="281"/>
      <c r="B53" s="15"/>
      <c r="C53" s="16"/>
      <c r="D53" s="16"/>
      <c r="E53" s="307"/>
      <c r="F53" s="333"/>
      <c r="G53" s="16"/>
      <c r="H53" s="16"/>
      <c r="I53" s="16"/>
      <c r="J53" s="394"/>
      <c r="K53" s="16"/>
      <c r="L53" s="16"/>
      <c r="M53" s="394"/>
      <c r="N53" s="349" t="str">
        <f t="shared" si="1"/>
        <v/>
      </c>
    </row>
    <row r="54" spans="1:14" s="1" customFormat="1" ht="12.95" customHeight="1">
      <c r="A54" s="281"/>
      <c r="B54" s="9"/>
      <c r="C54" s="9"/>
      <c r="D54" s="9"/>
      <c r="E54" s="308"/>
      <c r="F54" s="334"/>
      <c r="G54" s="9"/>
      <c r="H54" s="284"/>
      <c r="I54" s="284"/>
      <c r="J54" s="391"/>
      <c r="K54" s="284"/>
      <c r="L54" s="284"/>
      <c r="M54" s="391"/>
      <c r="N54" s="350" t="str">
        <f t="shared" si="1"/>
        <v/>
      </c>
    </row>
    <row r="55" spans="1:14" ht="12.95" customHeight="1">
      <c r="E55" s="308"/>
      <c r="F55" s="334"/>
      <c r="J55" s="391"/>
      <c r="M55" s="391"/>
      <c r="N55" s="350" t="str">
        <f t="shared" si="1"/>
        <v/>
      </c>
    </row>
    <row r="56" spans="1:14" ht="12.95" customHeight="1">
      <c r="E56" s="308"/>
      <c r="F56" s="334"/>
      <c r="J56" s="391"/>
      <c r="M56" s="391"/>
      <c r="N56" s="350" t="str">
        <f t="shared" si="1"/>
        <v/>
      </c>
    </row>
    <row r="57" spans="1:14" ht="12.95" customHeight="1">
      <c r="E57" s="308"/>
      <c r="F57" s="334"/>
      <c r="J57" s="391"/>
      <c r="M57" s="391"/>
      <c r="N57" s="350" t="str">
        <f t="shared" si="1"/>
        <v/>
      </c>
    </row>
    <row r="58" spans="1:14" ht="12.95" customHeight="1">
      <c r="E58" s="308"/>
      <c r="F58" s="334"/>
      <c r="J58" s="391"/>
      <c r="M58" s="391"/>
      <c r="N58" s="350" t="str">
        <f t="shared" si="1"/>
        <v/>
      </c>
    </row>
    <row r="59" spans="1:14" ht="12.95" customHeight="1">
      <c r="E59" s="308"/>
      <c r="F59" s="334"/>
      <c r="J59" s="391"/>
      <c r="M59" s="391"/>
      <c r="N59" s="350" t="str">
        <f t="shared" si="1"/>
        <v/>
      </c>
    </row>
    <row r="60" spans="1:14" ht="17.100000000000001" customHeight="1">
      <c r="E60" s="308"/>
      <c r="F60" s="334"/>
      <c r="J60" s="391"/>
      <c r="M60" s="391"/>
      <c r="N60" s="350" t="str">
        <f t="shared" si="1"/>
        <v/>
      </c>
    </row>
    <row r="61" spans="1:14" ht="14.25">
      <c r="E61" s="308"/>
      <c r="F61" s="334"/>
      <c r="J61" s="391"/>
      <c r="M61" s="391"/>
      <c r="N61" s="350" t="str">
        <f t="shared" si="1"/>
        <v/>
      </c>
    </row>
    <row r="62" spans="1:14" ht="14.25">
      <c r="E62" s="308"/>
      <c r="F62" s="334"/>
      <c r="J62" s="391"/>
      <c r="M62" s="391"/>
      <c r="N62" s="350" t="str">
        <f t="shared" si="1"/>
        <v/>
      </c>
    </row>
    <row r="63" spans="1:14" ht="14.25">
      <c r="E63" s="308"/>
      <c r="F63" s="334"/>
      <c r="J63" s="391"/>
      <c r="M63" s="391"/>
      <c r="N63" s="350" t="str">
        <f t="shared" si="1"/>
        <v/>
      </c>
    </row>
    <row r="64" spans="1:14" ht="14.25">
      <c r="E64" s="308"/>
      <c r="F64" s="334"/>
      <c r="J64" s="391"/>
      <c r="M64" s="391"/>
      <c r="N64" s="350" t="str">
        <f t="shared" si="1"/>
        <v/>
      </c>
    </row>
    <row r="65" spans="5:14" ht="14.25">
      <c r="E65" s="308"/>
      <c r="F65" s="334"/>
      <c r="J65" s="391"/>
      <c r="M65" s="391"/>
      <c r="N65" s="350" t="str">
        <f t="shared" si="1"/>
        <v/>
      </c>
    </row>
    <row r="66" spans="5:14" ht="14.25">
      <c r="E66" s="308"/>
      <c r="F66" s="334"/>
      <c r="J66" s="391"/>
      <c r="M66" s="391"/>
      <c r="N66" s="350" t="str">
        <f t="shared" si="1"/>
        <v/>
      </c>
    </row>
    <row r="67" spans="5:14" ht="14.25">
      <c r="E67" s="308"/>
      <c r="F67" s="334"/>
      <c r="J67" s="391"/>
      <c r="M67" s="391"/>
    </row>
    <row r="68" spans="5:14" ht="14.25">
      <c r="E68" s="308"/>
      <c r="F68" s="334"/>
      <c r="J68" s="391"/>
      <c r="M68" s="391"/>
    </row>
    <row r="69" spans="5:14" ht="14.25">
      <c r="E69" s="308"/>
      <c r="F69" s="334"/>
      <c r="J69" s="391"/>
      <c r="M69" s="391"/>
    </row>
    <row r="70" spans="5:14" ht="14.25">
      <c r="E70" s="308"/>
      <c r="F70" s="334"/>
      <c r="J70" s="391"/>
      <c r="M70" s="391"/>
    </row>
    <row r="71" spans="5:14" ht="14.25">
      <c r="E71" s="308"/>
      <c r="F71" s="334"/>
      <c r="J71" s="391"/>
      <c r="M71" s="391"/>
    </row>
    <row r="72" spans="5:14" ht="14.25">
      <c r="E72" s="308"/>
      <c r="F72" s="334"/>
      <c r="J72" s="391"/>
      <c r="M72" s="391"/>
    </row>
    <row r="73" spans="5:14" ht="14.25">
      <c r="E73" s="308"/>
      <c r="F73" s="334"/>
      <c r="J73" s="391"/>
      <c r="M73" s="391"/>
    </row>
    <row r="74" spans="5:14" ht="14.25">
      <c r="E74" s="308"/>
      <c r="F74" s="308"/>
      <c r="J74" s="391"/>
      <c r="M74" s="391"/>
    </row>
    <row r="75" spans="5:14" ht="14.25">
      <c r="E75" s="308"/>
      <c r="F75" s="308"/>
      <c r="J75" s="391"/>
      <c r="M75" s="391"/>
    </row>
    <row r="76" spans="5:14" ht="14.25">
      <c r="E76" s="308"/>
      <c r="F76" s="308"/>
      <c r="J76" s="391"/>
      <c r="M76" s="391"/>
    </row>
    <row r="77" spans="5:14" ht="14.25">
      <c r="E77" s="308"/>
      <c r="F77" s="308"/>
      <c r="J77" s="391"/>
      <c r="M77" s="391"/>
    </row>
    <row r="78" spans="5:14" ht="14.25">
      <c r="E78" s="308"/>
      <c r="F78" s="308"/>
      <c r="J78" s="391"/>
      <c r="M78" s="391"/>
    </row>
    <row r="79" spans="5:14" ht="14.25">
      <c r="E79" s="308"/>
      <c r="F79" s="308"/>
      <c r="J79" s="391"/>
      <c r="M79" s="391"/>
    </row>
    <row r="80" spans="5:14" ht="14.25">
      <c r="E80" s="308"/>
      <c r="F80" s="308"/>
      <c r="J80" s="391"/>
      <c r="M80" s="391"/>
    </row>
    <row r="81" spans="5:13" ht="14.25">
      <c r="E81" s="308"/>
      <c r="F81" s="308"/>
      <c r="J81" s="391"/>
      <c r="M81" s="391"/>
    </row>
    <row r="82" spans="5:13" ht="14.25">
      <c r="E82" s="308"/>
      <c r="F82" s="308"/>
      <c r="J82" s="391"/>
      <c r="M82" s="391"/>
    </row>
    <row r="83" spans="5:13" ht="14.25">
      <c r="E83" s="308"/>
      <c r="F83" s="308"/>
      <c r="J83" s="391"/>
      <c r="M83" s="391"/>
    </row>
    <row r="84" spans="5:13" ht="14.25">
      <c r="E84" s="308"/>
      <c r="F84" s="308"/>
      <c r="J84" s="391"/>
      <c r="M84" s="391"/>
    </row>
    <row r="85" spans="5:13" ht="14.25">
      <c r="E85" s="308"/>
      <c r="F85" s="308"/>
      <c r="J85" s="391"/>
      <c r="M85" s="391"/>
    </row>
    <row r="86" spans="5:13" ht="14.25">
      <c r="E86" s="308"/>
      <c r="F86" s="308"/>
      <c r="J86" s="391"/>
      <c r="M86" s="391"/>
    </row>
    <row r="87" spans="5:13" ht="14.25">
      <c r="E87" s="308"/>
      <c r="F87" s="308"/>
      <c r="J87" s="391"/>
      <c r="M87" s="391"/>
    </row>
    <row r="88" spans="5:13" ht="14.25">
      <c r="E88" s="308"/>
      <c r="F88" s="308"/>
      <c r="J88" s="391"/>
      <c r="M88" s="391"/>
    </row>
    <row r="89" spans="5:13" ht="14.25">
      <c r="E89" s="308"/>
      <c r="F89" s="308"/>
      <c r="J89" s="391"/>
      <c r="M89" s="391"/>
    </row>
    <row r="90" spans="5:13" ht="14.25">
      <c r="E90" s="308"/>
      <c r="F90" s="308"/>
      <c r="J90" s="391"/>
      <c r="M90" s="391"/>
    </row>
    <row r="91" spans="5:13">
      <c r="F91" s="308"/>
    </row>
    <row r="92" spans="5:13">
      <c r="F92" s="308"/>
    </row>
    <row r="93" spans="5:13">
      <c r="F93" s="308"/>
    </row>
    <row r="94" spans="5:13">
      <c r="F94" s="308"/>
    </row>
    <row r="95" spans="5:13">
      <c r="F95" s="308"/>
    </row>
    <row r="96" spans="5:13">
      <c r="F96" s="308"/>
    </row>
  </sheetData>
  <mergeCells count="10">
    <mergeCell ref="N4:N5"/>
    <mergeCell ref="G4:G5"/>
    <mergeCell ref="B2:J2"/>
    <mergeCell ref="H4:J4"/>
    <mergeCell ref="B4:B5"/>
    <mergeCell ref="C4:C5"/>
    <mergeCell ref="D4:D5"/>
    <mergeCell ref="F4:F5"/>
    <mergeCell ref="E4:E5"/>
    <mergeCell ref="K4:M4"/>
  </mergeCells>
  <phoneticPr fontId="2" type="noConversion"/>
  <pageMargins left="0.78740157480314965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  <colBreaks count="1" manualBreakCount="1">
    <brk id="14" max="1048575" man="1"/>
  </colBreaks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0"/>
  <dimension ref="A1:P96"/>
  <sheetViews>
    <sheetView topLeftCell="A16" zoomScaleNormal="100" zoomScaleSheetLayoutView="130" workbookViewId="0">
      <selection activeCell="K45" sqref="K45"/>
    </sheetView>
  </sheetViews>
  <sheetFormatPr defaultRowHeight="12.75"/>
  <cols>
    <col min="1" max="1" width="9.140625" style="284"/>
    <col min="2" max="2" width="4.7109375" style="9" customWidth="1"/>
    <col min="3" max="3" width="5.140625" style="9" customWidth="1"/>
    <col min="4" max="4" width="5" style="9" customWidth="1"/>
    <col min="5" max="5" width="8.7109375" style="17" customWidth="1"/>
    <col min="6" max="6" width="8.7109375" style="289" customWidth="1"/>
    <col min="7" max="7" width="50.7109375" style="9" customWidth="1"/>
    <col min="8" max="9" width="14.7109375" style="284" customWidth="1"/>
    <col min="10" max="10" width="15.7109375" style="9" customWidth="1"/>
    <col min="11" max="12" width="14.7109375" style="284" customWidth="1"/>
    <col min="13" max="13" width="15.7109375" style="284" customWidth="1"/>
    <col min="14" max="14" width="7.7109375" style="350" customWidth="1"/>
    <col min="15" max="16384" width="9.140625" style="9"/>
  </cols>
  <sheetData>
    <row r="1" spans="1:16" ht="13.5" thickBot="1"/>
    <row r="2" spans="1:16" s="98" customFormat="1" ht="20.100000000000001" customHeight="1" thickTop="1" thickBot="1">
      <c r="A2" s="376"/>
      <c r="B2" s="590" t="s">
        <v>137</v>
      </c>
      <c r="C2" s="591"/>
      <c r="D2" s="591"/>
      <c r="E2" s="591"/>
      <c r="F2" s="591"/>
      <c r="G2" s="591"/>
      <c r="H2" s="591"/>
      <c r="I2" s="591"/>
      <c r="J2" s="591"/>
      <c r="K2" s="530"/>
      <c r="L2" s="530"/>
      <c r="M2" s="530"/>
      <c r="N2" s="379"/>
    </row>
    <row r="3" spans="1:16" s="1" customFormat="1" ht="8.1" customHeight="1" thickTop="1" thickBot="1">
      <c r="A3" s="281"/>
      <c r="E3" s="2"/>
      <c r="F3" s="282"/>
      <c r="G3" s="531"/>
      <c r="H3" s="92"/>
      <c r="I3" s="92"/>
      <c r="J3" s="92"/>
      <c r="K3" s="92"/>
      <c r="L3" s="92"/>
      <c r="M3" s="92"/>
      <c r="N3" s="344"/>
    </row>
    <row r="4" spans="1:16" s="1" customFormat="1" ht="39" customHeight="1">
      <c r="A4" s="281"/>
      <c r="B4" s="596" t="s">
        <v>78</v>
      </c>
      <c r="C4" s="606" t="s">
        <v>79</v>
      </c>
      <c r="D4" s="607" t="s">
        <v>110</v>
      </c>
      <c r="E4" s="608" t="s">
        <v>594</v>
      </c>
      <c r="F4" s="601" t="s">
        <v>653</v>
      </c>
      <c r="G4" s="602" t="s">
        <v>80</v>
      </c>
      <c r="H4" s="593" t="s">
        <v>647</v>
      </c>
      <c r="I4" s="594"/>
      <c r="J4" s="595"/>
      <c r="K4" s="593" t="s">
        <v>801</v>
      </c>
      <c r="L4" s="594"/>
      <c r="M4" s="595"/>
      <c r="N4" s="604" t="s">
        <v>805</v>
      </c>
    </row>
    <row r="5" spans="1:16" s="281" customFormat="1" ht="27" customHeight="1">
      <c r="B5" s="597"/>
      <c r="C5" s="599"/>
      <c r="D5" s="599"/>
      <c r="E5" s="603"/>
      <c r="F5" s="599"/>
      <c r="G5" s="603"/>
      <c r="H5" s="372" t="s">
        <v>705</v>
      </c>
      <c r="I5" s="372" t="s">
        <v>706</v>
      </c>
      <c r="J5" s="382" t="s">
        <v>413</v>
      </c>
      <c r="K5" s="372" t="s">
        <v>705</v>
      </c>
      <c r="L5" s="372" t="s">
        <v>706</v>
      </c>
      <c r="M5" s="382" t="s">
        <v>413</v>
      </c>
      <c r="N5" s="605"/>
    </row>
    <row r="6" spans="1:16" s="2" customFormat="1" ht="12.95" customHeight="1">
      <c r="A6" s="282"/>
      <c r="B6" s="504">
        <v>1</v>
      </c>
      <c r="C6" s="331">
        <v>2</v>
      </c>
      <c r="D6" s="331">
        <v>3</v>
      </c>
      <c r="E6" s="331">
        <v>4</v>
      </c>
      <c r="F6" s="331">
        <v>5</v>
      </c>
      <c r="G6" s="331">
        <v>6</v>
      </c>
      <c r="H6" s="331">
        <v>7</v>
      </c>
      <c r="I6" s="331">
        <v>8</v>
      </c>
      <c r="J6" s="523" t="s">
        <v>804</v>
      </c>
      <c r="K6" s="331">
        <v>10</v>
      </c>
      <c r="L6" s="331">
        <v>11</v>
      </c>
      <c r="M6" s="523" t="s">
        <v>707</v>
      </c>
      <c r="N6" s="505">
        <v>13</v>
      </c>
    </row>
    <row r="7" spans="1:16" s="2" customFormat="1" ht="12.95" customHeight="1">
      <c r="A7" s="282"/>
      <c r="B7" s="6" t="s">
        <v>138</v>
      </c>
      <c r="C7" s="7" t="s">
        <v>81</v>
      </c>
      <c r="D7" s="7" t="s">
        <v>82</v>
      </c>
      <c r="E7" s="5"/>
      <c r="F7" s="283"/>
      <c r="G7" s="5"/>
      <c r="H7" s="283"/>
      <c r="I7" s="283"/>
      <c r="J7" s="383"/>
      <c r="K7" s="283"/>
      <c r="L7" s="283"/>
      <c r="M7" s="383"/>
      <c r="N7" s="345"/>
    </row>
    <row r="8" spans="1:16" s="1" customFormat="1" ht="12.95" customHeight="1">
      <c r="A8" s="281"/>
      <c r="B8" s="12"/>
      <c r="C8" s="8"/>
      <c r="D8" s="8"/>
      <c r="E8" s="305">
        <v>611000</v>
      </c>
      <c r="F8" s="331"/>
      <c r="G8" s="8" t="s">
        <v>163</v>
      </c>
      <c r="H8" s="210">
        <f t="shared" ref="H8:M8" si="0">SUM(H9:H12)</f>
        <v>255980</v>
      </c>
      <c r="I8" s="210">
        <f t="shared" si="0"/>
        <v>0</v>
      </c>
      <c r="J8" s="384">
        <f t="shared" si="0"/>
        <v>255980</v>
      </c>
      <c r="K8" s="210">
        <f t="shared" si="0"/>
        <v>57728</v>
      </c>
      <c r="L8" s="210">
        <f t="shared" si="0"/>
        <v>0</v>
      </c>
      <c r="M8" s="384">
        <f t="shared" si="0"/>
        <v>57728</v>
      </c>
      <c r="N8" s="346">
        <f>IF(J8=0,"",M8/J8*100)</f>
        <v>22.551761856395032</v>
      </c>
    </row>
    <row r="9" spans="1:16" ht="12.95" customHeight="1">
      <c r="B9" s="10"/>
      <c r="C9" s="11"/>
      <c r="D9" s="11"/>
      <c r="E9" s="306">
        <v>611100</v>
      </c>
      <c r="F9" s="332"/>
      <c r="G9" s="18" t="s">
        <v>198</v>
      </c>
      <c r="H9" s="209">
        <f>200220+2000+4*500+8530</f>
        <v>212750</v>
      </c>
      <c r="I9" s="209">
        <v>0</v>
      </c>
      <c r="J9" s="385">
        <f>SUM(H9:I9)</f>
        <v>212750</v>
      </c>
      <c r="K9" s="209">
        <v>50050</v>
      </c>
      <c r="L9" s="209">
        <v>0</v>
      </c>
      <c r="M9" s="385">
        <f>SUM(K9:L9)</f>
        <v>50050</v>
      </c>
      <c r="N9" s="347">
        <f t="shared" ref="N9:N66" si="1">IF(J9=0,"",M9/J9*100)</f>
        <v>23.525264394829613</v>
      </c>
    </row>
    <row r="10" spans="1:16" ht="12.95" customHeight="1">
      <c r="B10" s="10"/>
      <c r="C10" s="11"/>
      <c r="D10" s="11"/>
      <c r="E10" s="306">
        <v>611200</v>
      </c>
      <c r="F10" s="332"/>
      <c r="G10" s="11" t="s">
        <v>199</v>
      </c>
      <c r="H10" s="209">
        <f>35260+950+4*900+3020+400</f>
        <v>43230</v>
      </c>
      <c r="I10" s="209">
        <v>0</v>
      </c>
      <c r="J10" s="385">
        <f t="shared" ref="J10:J11" si="2">SUM(H10:I10)</f>
        <v>43230</v>
      </c>
      <c r="K10" s="209">
        <v>7678</v>
      </c>
      <c r="L10" s="209">
        <v>0</v>
      </c>
      <c r="M10" s="385">
        <f t="shared" ref="M10:M11" si="3">SUM(K10:L10)</f>
        <v>7678</v>
      </c>
      <c r="N10" s="347">
        <f t="shared" si="1"/>
        <v>17.760814249363868</v>
      </c>
    </row>
    <row r="11" spans="1:16" ht="12.95" customHeight="1">
      <c r="B11" s="10"/>
      <c r="C11" s="11"/>
      <c r="D11" s="11"/>
      <c r="E11" s="306">
        <v>611200</v>
      </c>
      <c r="F11" s="332"/>
      <c r="G11" s="189" t="s">
        <v>534</v>
      </c>
      <c r="H11" s="209">
        <v>0</v>
      </c>
      <c r="I11" s="209">
        <v>0</v>
      </c>
      <c r="J11" s="385">
        <f t="shared" si="2"/>
        <v>0</v>
      </c>
      <c r="K11" s="209">
        <v>0</v>
      </c>
      <c r="L11" s="209">
        <v>0</v>
      </c>
      <c r="M11" s="385">
        <f t="shared" si="3"/>
        <v>0</v>
      </c>
      <c r="N11" s="347" t="str">
        <f t="shared" si="1"/>
        <v/>
      </c>
      <c r="P11" s="56"/>
    </row>
    <row r="12" spans="1:16" ht="12.95" customHeight="1">
      <c r="B12" s="10"/>
      <c r="C12" s="11"/>
      <c r="D12" s="11"/>
      <c r="E12" s="306"/>
      <c r="F12" s="332"/>
      <c r="G12" s="18"/>
      <c r="H12" s="209"/>
      <c r="I12" s="209"/>
      <c r="J12" s="385"/>
      <c r="K12" s="209"/>
      <c r="L12" s="209"/>
      <c r="M12" s="385"/>
      <c r="N12" s="347" t="str">
        <f t="shared" si="1"/>
        <v/>
      </c>
    </row>
    <row r="13" spans="1:16" s="1" customFormat="1" ht="12.95" customHeight="1">
      <c r="A13" s="281"/>
      <c r="B13" s="12"/>
      <c r="C13" s="8"/>
      <c r="D13" s="8"/>
      <c r="E13" s="305">
        <v>612000</v>
      </c>
      <c r="F13" s="331"/>
      <c r="G13" s="8" t="s">
        <v>162</v>
      </c>
      <c r="H13" s="210">
        <f t="shared" ref="H13:M13" si="4">H14</f>
        <v>22720</v>
      </c>
      <c r="I13" s="210">
        <f t="shared" si="4"/>
        <v>0</v>
      </c>
      <c r="J13" s="384">
        <f t="shared" si="4"/>
        <v>22720</v>
      </c>
      <c r="K13" s="210">
        <f t="shared" si="4"/>
        <v>5300</v>
      </c>
      <c r="L13" s="210">
        <f t="shared" si="4"/>
        <v>0</v>
      </c>
      <c r="M13" s="384">
        <f t="shared" si="4"/>
        <v>5300</v>
      </c>
      <c r="N13" s="346">
        <f t="shared" si="1"/>
        <v>23.327464788732392</v>
      </c>
    </row>
    <row r="14" spans="1:16" ht="12.95" customHeight="1">
      <c r="B14" s="10"/>
      <c r="C14" s="11"/>
      <c r="D14" s="11"/>
      <c r="E14" s="306">
        <v>612100</v>
      </c>
      <c r="F14" s="332"/>
      <c r="G14" s="13" t="s">
        <v>83</v>
      </c>
      <c r="H14" s="209">
        <f>21250+250+4*70+940</f>
        <v>22720</v>
      </c>
      <c r="I14" s="209">
        <v>0</v>
      </c>
      <c r="J14" s="385">
        <f>SUM(H14:I14)</f>
        <v>22720</v>
      </c>
      <c r="K14" s="209">
        <v>5300</v>
      </c>
      <c r="L14" s="209">
        <v>0</v>
      </c>
      <c r="M14" s="385">
        <f>SUM(K14:L14)</f>
        <v>5300</v>
      </c>
      <c r="N14" s="347">
        <f t="shared" si="1"/>
        <v>23.327464788732392</v>
      </c>
    </row>
    <row r="15" spans="1:16" ht="12.95" customHeight="1">
      <c r="B15" s="10"/>
      <c r="C15" s="11"/>
      <c r="D15" s="11"/>
      <c r="E15" s="306"/>
      <c r="F15" s="332"/>
      <c r="G15" s="11"/>
      <c r="H15" s="279"/>
      <c r="I15" s="279"/>
      <c r="J15" s="386"/>
      <c r="K15" s="279"/>
      <c r="L15" s="279"/>
      <c r="M15" s="386"/>
      <c r="N15" s="347" t="str">
        <f t="shared" si="1"/>
        <v/>
      </c>
    </row>
    <row r="16" spans="1:16" s="1" customFormat="1" ht="12.95" customHeight="1">
      <c r="A16" s="281"/>
      <c r="B16" s="12"/>
      <c r="C16" s="8"/>
      <c r="D16" s="8"/>
      <c r="E16" s="305">
        <v>613000</v>
      </c>
      <c r="F16" s="331"/>
      <c r="G16" s="8" t="s">
        <v>164</v>
      </c>
      <c r="H16" s="293">
        <f t="shared" ref="H16:M16" si="5">SUM(H17:H26)</f>
        <v>80100</v>
      </c>
      <c r="I16" s="293">
        <f t="shared" si="5"/>
        <v>0</v>
      </c>
      <c r="J16" s="387">
        <f t="shared" si="5"/>
        <v>80100</v>
      </c>
      <c r="K16" s="293">
        <f t="shared" si="5"/>
        <v>21233</v>
      </c>
      <c r="L16" s="293">
        <f t="shared" si="5"/>
        <v>0</v>
      </c>
      <c r="M16" s="387">
        <f t="shared" si="5"/>
        <v>21233</v>
      </c>
      <c r="N16" s="346">
        <f t="shared" si="1"/>
        <v>26.508114856429465</v>
      </c>
      <c r="P16" s="58"/>
    </row>
    <row r="17" spans="1:14" ht="12.95" customHeight="1">
      <c r="B17" s="10"/>
      <c r="C17" s="11"/>
      <c r="D17" s="11"/>
      <c r="E17" s="306">
        <v>613100</v>
      </c>
      <c r="F17" s="332"/>
      <c r="G17" s="11" t="s">
        <v>84</v>
      </c>
      <c r="H17" s="362">
        <v>3500</v>
      </c>
      <c r="I17" s="362">
        <v>0</v>
      </c>
      <c r="J17" s="385">
        <f t="shared" ref="J17:J26" si="6">SUM(H17:I17)</f>
        <v>3500</v>
      </c>
      <c r="K17" s="362">
        <v>913</v>
      </c>
      <c r="L17" s="362">
        <v>0</v>
      </c>
      <c r="M17" s="385">
        <f t="shared" ref="M17:M26" si="7">SUM(K17:L17)</f>
        <v>913</v>
      </c>
      <c r="N17" s="347">
        <f t="shared" si="1"/>
        <v>26.085714285714285</v>
      </c>
    </row>
    <row r="18" spans="1:14" ht="12.95" customHeight="1">
      <c r="B18" s="10"/>
      <c r="C18" s="11"/>
      <c r="D18" s="11"/>
      <c r="E18" s="306">
        <v>613200</v>
      </c>
      <c r="F18" s="332"/>
      <c r="G18" s="11" t="s">
        <v>85</v>
      </c>
      <c r="H18" s="362">
        <v>0</v>
      </c>
      <c r="I18" s="362">
        <v>0</v>
      </c>
      <c r="J18" s="385">
        <f t="shared" si="6"/>
        <v>0</v>
      </c>
      <c r="K18" s="362">
        <v>0</v>
      </c>
      <c r="L18" s="362">
        <v>0</v>
      </c>
      <c r="M18" s="385">
        <f t="shared" si="7"/>
        <v>0</v>
      </c>
      <c r="N18" s="347" t="str">
        <f t="shared" si="1"/>
        <v/>
      </c>
    </row>
    <row r="19" spans="1:14" ht="12.95" customHeight="1">
      <c r="B19" s="10"/>
      <c r="C19" s="11"/>
      <c r="D19" s="11"/>
      <c r="E19" s="306">
        <v>613300</v>
      </c>
      <c r="F19" s="332"/>
      <c r="G19" s="18" t="s">
        <v>200</v>
      </c>
      <c r="H19" s="362">
        <v>16000</v>
      </c>
      <c r="I19" s="362">
        <v>0</v>
      </c>
      <c r="J19" s="385">
        <f t="shared" si="6"/>
        <v>16000</v>
      </c>
      <c r="K19" s="362">
        <v>2788</v>
      </c>
      <c r="L19" s="362">
        <v>0</v>
      </c>
      <c r="M19" s="385">
        <f t="shared" si="7"/>
        <v>2788</v>
      </c>
      <c r="N19" s="347">
        <f t="shared" si="1"/>
        <v>17.424999999999997</v>
      </c>
    </row>
    <row r="20" spans="1:14" ht="12.95" customHeight="1">
      <c r="B20" s="10"/>
      <c r="C20" s="11"/>
      <c r="D20" s="11"/>
      <c r="E20" s="306">
        <v>613400</v>
      </c>
      <c r="F20" s="332"/>
      <c r="G20" s="11" t="s">
        <v>165</v>
      </c>
      <c r="H20" s="364">
        <v>300</v>
      </c>
      <c r="I20" s="364">
        <v>0</v>
      </c>
      <c r="J20" s="385">
        <f t="shared" si="6"/>
        <v>300</v>
      </c>
      <c r="K20" s="364">
        <v>107</v>
      </c>
      <c r="L20" s="364">
        <v>0</v>
      </c>
      <c r="M20" s="385">
        <f t="shared" si="7"/>
        <v>107</v>
      </c>
      <c r="N20" s="347">
        <f t="shared" si="1"/>
        <v>35.666666666666671</v>
      </c>
    </row>
    <row r="21" spans="1:14" ht="12.95" customHeight="1">
      <c r="B21" s="10"/>
      <c r="C21" s="11"/>
      <c r="D21" s="11"/>
      <c r="E21" s="306">
        <v>613500</v>
      </c>
      <c r="F21" s="332"/>
      <c r="G21" s="11" t="s">
        <v>86</v>
      </c>
      <c r="H21" s="364">
        <v>0</v>
      </c>
      <c r="I21" s="364">
        <v>0</v>
      </c>
      <c r="J21" s="385">
        <f t="shared" si="6"/>
        <v>0</v>
      </c>
      <c r="K21" s="364">
        <v>0</v>
      </c>
      <c r="L21" s="364">
        <v>0</v>
      </c>
      <c r="M21" s="385">
        <f t="shared" si="7"/>
        <v>0</v>
      </c>
      <c r="N21" s="347" t="str">
        <f t="shared" si="1"/>
        <v/>
      </c>
    </row>
    <row r="22" spans="1:14" ht="12.95" customHeight="1">
      <c r="B22" s="10"/>
      <c r="C22" s="11"/>
      <c r="D22" s="11"/>
      <c r="E22" s="306">
        <v>613600</v>
      </c>
      <c r="F22" s="332"/>
      <c r="G22" s="18" t="s">
        <v>201</v>
      </c>
      <c r="H22" s="364">
        <v>0</v>
      </c>
      <c r="I22" s="364">
        <v>0</v>
      </c>
      <c r="J22" s="385">
        <f t="shared" si="6"/>
        <v>0</v>
      </c>
      <c r="K22" s="364">
        <v>0</v>
      </c>
      <c r="L22" s="364">
        <v>0</v>
      </c>
      <c r="M22" s="385">
        <f t="shared" si="7"/>
        <v>0</v>
      </c>
      <c r="N22" s="347" t="str">
        <f t="shared" si="1"/>
        <v/>
      </c>
    </row>
    <row r="23" spans="1:14" ht="12.95" customHeight="1">
      <c r="B23" s="10"/>
      <c r="C23" s="11"/>
      <c r="D23" s="11"/>
      <c r="E23" s="306">
        <v>613700</v>
      </c>
      <c r="F23" s="332"/>
      <c r="G23" s="11" t="s">
        <v>87</v>
      </c>
      <c r="H23" s="364">
        <v>300</v>
      </c>
      <c r="I23" s="364">
        <v>0</v>
      </c>
      <c r="J23" s="385">
        <f t="shared" si="6"/>
        <v>300</v>
      </c>
      <c r="K23" s="364">
        <v>77</v>
      </c>
      <c r="L23" s="364">
        <v>0</v>
      </c>
      <c r="M23" s="385">
        <f t="shared" si="7"/>
        <v>77</v>
      </c>
      <c r="N23" s="347">
        <f t="shared" si="1"/>
        <v>25.666666666666664</v>
      </c>
    </row>
    <row r="24" spans="1:14" ht="12.95" customHeight="1">
      <c r="B24" s="10"/>
      <c r="C24" s="11"/>
      <c r="D24" s="11"/>
      <c r="E24" s="306">
        <v>613800</v>
      </c>
      <c r="F24" s="332"/>
      <c r="G24" s="11" t="s">
        <v>166</v>
      </c>
      <c r="H24" s="364">
        <v>0</v>
      </c>
      <c r="I24" s="364">
        <v>0</v>
      </c>
      <c r="J24" s="385">
        <f t="shared" si="6"/>
        <v>0</v>
      </c>
      <c r="K24" s="364">
        <v>0</v>
      </c>
      <c r="L24" s="364">
        <v>0</v>
      </c>
      <c r="M24" s="385">
        <f t="shared" si="7"/>
        <v>0</v>
      </c>
      <c r="N24" s="347" t="str">
        <f t="shared" si="1"/>
        <v/>
      </c>
    </row>
    <row r="25" spans="1:14" ht="12.95" customHeight="1">
      <c r="B25" s="10"/>
      <c r="C25" s="11"/>
      <c r="D25" s="11"/>
      <c r="E25" s="306">
        <v>613900</v>
      </c>
      <c r="F25" s="332"/>
      <c r="G25" s="11" t="s">
        <v>167</v>
      </c>
      <c r="H25" s="365">
        <v>60000</v>
      </c>
      <c r="I25" s="365">
        <v>0</v>
      </c>
      <c r="J25" s="385">
        <f t="shared" si="6"/>
        <v>60000</v>
      </c>
      <c r="K25" s="365">
        <v>17348</v>
      </c>
      <c r="L25" s="365">
        <v>0</v>
      </c>
      <c r="M25" s="385">
        <f t="shared" si="7"/>
        <v>17348</v>
      </c>
      <c r="N25" s="347">
        <f t="shared" si="1"/>
        <v>28.913333333333334</v>
      </c>
    </row>
    <row r="26" spans="1:14" ht="12.95" customHeight="1">
      <c r="B26" s="10"/>
      <c r="C26" s="11"/>
      <c r="D26" s="11"/>
      <c r="E26" s="306">
        <v>613900</v>
      </c>
      <c r="F26" s="332"/>
      <c r="G26" s="189" t="s">
        <v>535</v>
      </c>
      <c r="H26" s="364">
        <v>0</v>
      </c>
      <c r="I26" s="364">
        <v>0</v>
      </c>
      <c r="J26" s="385">
        <f t="shared" si="6"/>
        <v>0</v>
      </c>
      <c r="K26" s="364">
        <v>0</v>
      </c>
      <c r="L26" s="364">
        <v>0</v>
      </c>
      <c r="M26" s="385">
        <f t="shared" si="7"/>
        <v>0</v>
      </c>
      <c r="N26" s="347" t="str">
        <f t="shared" si="1"/>
        <v/>
      </c>
    </row>
    <row r="27" spans="1:14" ht="12.95" customHeight="1">
      <c r="B27" s="10"/>
      <c r="C27" s="11"/>
      <c r="D27" s="11"/>
      <c r="E27" s="306"/>
      <c r="F27" s="332"/>
      <c r="G27" s="11"/>
      <c r="H27" s="295"/>
      <c r="I27" s="295"/>
      <c r="J27" s="387"/>
      <c r="K27" s="295"/>
      <c r="L27" s="295"/>
      <c r="M27" s="387"/>
      <c r="N27" s="347" t="str">
        <f t="shared" si="1"/>
        <v/>
      </c>
    </row>
    <row r="28" spans="1:14" s="1" customFormat="1" ht="12.95" customHeight="1">
      <c r="A28" s="281"/>
      <c r="B28" s="12"/>
      <c r="C28" s="8"/>
      <c r="D28" s="8"/>
      <c r="E28" s="305">
        <v>614000</v>
      </c>
      <c r="F28" s="331"/>
      <c r="G28" s="8" t="s">
        <v>202</v>
      </c>
      <c r="H28" s="295">
        <f t="shared" ref="H28:I28" si="8">SUM(H29:H32)</f>
        <v>3734000</v>
      </c>
      <c r="I28" s="295">
        <f t="shared" si="8"/>
        <v>266000</v>
      </c>
      <c r="J28" s="387">
        <f t="shared" ref="J28:L28" si="9">SUM(J29:J32)</f>
        <v>4000000</v>
      </c>
      <c r="K28" s="295">
        <f t="shared" si="9"/>
        <v>554849</v>
      </c>
      <c r="L28" s="295">
        <f t="shared" si="9"/>
        <v>65852</v>
      </c>
      <c r="M28" s="387">
        <f t="shared" ref="M28" si="10">SUM(M29:M32)</f>
        <v>620701</v>
      </c>
      <c r="N28" s="346">
        <f t="shared" si="1"/>
        <v>15.517524999999999</v>
      </c>
    </row>
    <row r="29" spans="1:14" ht="12.95" customHeight="1">
      <c r="B29" s="10"/>
      <c r="C29" s="11"/>
      <c r="D29" s="22"/>
      <c r="E29" s="306">
        <v>614100</v>
      </c>
      <c r="F29" s="332" t="s">
        <v>676</v>
      </c>
      <c r="G29" s="526" t="s">
        <v>789</v>
      </c>
      <c r="H29" s="296">
        <v>420000</v>
      </c>
      <c r="I29" s="296">
        <v>0</v>
      </c>
      <c r="J29" s="385">
        <f t="shared" ref="J29:J32" si="11">SUM(H29:I29)</f>
        <v>420000</v>
      </c>
      <c r="K29" s="296">
        <v>0</v>
      </c>
      <c r="L29" s="296">
        <v>0</v>
      </c>
      <c r="M29" s="385">
        <f t="shared" ref="M29" si="12">SUM(K29:L29)</f>
        <v>0</v>
      </c>
      <c r="N29" s="347">
        <f t="shared" si="1"/>
        <v>0</v>
      </c>
    </row>
    <row r="30" spans="1:14" ht="12.95" customHeight="1">
      <c r="B30" s="10"/>
      <c r="C30" s="11"/>
      <c r="D30" s="11"/>
      <c r="E30" s="306">
        <v>614200</v>
      </c>
      <c r="F30" s="332"/>
      <c r="G30" s="18" t="s">
        <v>105</v>
      </c>
      <c r="H30" s="296">
        <v>0</v>
      </c>
      <c r="I30" s="296">
        <v>0</v>
      </c>
      <c r="J30" s="385">
        <f>SUM(H30:I30)</f>
        <v>0</v>
      </c>
      <c r="K30" s="296">
        <v>0</v>
      </c>
      <c r="L30" s="296">
        <v>0</v>
      </c>
      <c r="M30" s="385">
        <f>SUM(K30:L30)</f>
        <v>0</v>
      </c>
      <c r="N30" s="347" t="str">
        <f t="shared" si="1"/>
        <v/>
      </c>
    </row>
    <row r="31" spans="1:14" s="284" customFormat="1" ht="12.95" customHeight="1">
      <c r="B31" s="285"/>
      <c r="C31" s="286"/>
      <c r="D31" s="286"/>
      <c r="E31" s="306">
        <v>614200</v>
      </c>
      <c r="F31" s="335" t="s">
        <v>795</v>
      </c>
      <c r="G31" s="290" t="s">
        <v>697</v>
      </c>
      <c r="H31" s="296">
        <v>60000</v>
      </c>
      <c r="I31" s="296">
        <v>0</v>
      </c>
      <c r="J31" s="385">
        <f t="shared" si="11"/>
        <v>60000</v>
      </c>
      <c r="K31" s="296">
        <v>16950</v>
      </c>
      <c r="L31" s="296">
        <v>0</v>
      </c>
      <c r="M31" s="385">
        <f t="shared" ref="M31:M32" si="13">SUM(K31:L31)</f>
        <v>16950</v>
      </c>
      <c r="N31" s="347">
        <f t="shared" si="1"/>
        <v>28.249999999999996</v>
      </c>
    </row>
    <row r="32" spans="1:14" s="284" customFormat="1" ht="12.95" customHeight="1">
      <c r="B32" s="285"/>
      <c r="C32" s="286"/>
      <c r="D32" s="286"/>
      <c r="E32" s="306">
        <v>614200</v>
      </c>
      <c r="F32" s="335" t="s">
        <v>796</v>
      </c>
      <c r="G32" s="290" t="s">
        <v>698</v>
      </c>
      <c r="H32" s="296">
        <f>3580000-60000-266000</f>
        <v>3254000</v>
      </c>
      <c r="I32" s="296">
        <v>266000</v>
      </c>
      <c r="J32" s="385">
        <f t="shared" si="11"/>
        <v>3520000</v>
      </c>
      <c r="K32" s="296">
        <f>603751-65852</f>
        <v>537899</v>
      </c>
      <c r="L32" s="296">
        <v>65852</v>
      </c>
      <c r="M32" s="385">
        <f t="shared" si="13"/>
        <v>603751</v>
      </c>
      <c r="N32" s="347">
        <f t="shared" si="1"/>
        <v>17.152017045454546</v>
      </c>
    </row>
    <row r="33" spans="1:15" ht="12.95" customHeight="1">
      <c r="B33" s="10"/>
      <c r="C33" s="11"/>
      <c r="D33" s="11"/>
      <c r="E33" s="306"/>
      <c r="F33" s="332"/>
      <c r="G33" s="11"/>
      <c r="H33" s="280"/>
      <c r="I33" s="280"/>
      <c r="J33" s="386"/>
      <c r="K33" s="280"/>
      <c r="L33" s="280"/>
      <c r="M33" s="386"/>
      <c r="N33" s="347" t="str">
        <f t="shared" si="1"/>
        <v/>
      </c>
    </row>
    <row r="34" spans="1:15" ht="12.95" customHeight="1">
      <c r="B34" s="12"/>
      <c r="C34" s="8"/>
      <c r="D34" s="8"/>
      <c r="E34" s="305">
        <v>821000</v>
      </c>
      <c r="F34" s="331"/>
      <c r="G34" s="8" t="s">
        <v>90</v>
      </c>
      <c r="H34" s="295">
        <f t="shared" ref="H34:M34" si="14">H35+H36</f>
        <v>1500</v>
      </c>
      <c r="I34" s="295">
        <f t="shared" si="14"/>
        <v>0</v>
      </c>
      <c r="J34" s="387">
        <f t="shared" si="14"/>
        <v>1500</v>
      </c>
      <c r="K34" s="295">
        <f t="shared" si="14"/>
        <v>240</v>
      </c>
      <c r="L34" s="295">
        <f t="shared" si="14"/>
        <v>0</v>
      </c>
      <c r="M34" s="387">
        <f t="shared" si="14"/>
        <v>240</v>
      </c>
      <c r="N34" s="346">
        <f t="shared" si="1"/>
        <v>16</v>
      </c>
    </row>
    <row r="35" spans="1:15" s="1" customFormat="1" ht="12.95" customHeight="1">
      <c r="A35" s="281"/>
      <c r="B35" s="10"/>
      <c r="C35" s="11"/>
      <c r="D35" s="11"/>
      <c r="E35" s="306">
        <v>821200</v>
      </c>
      <c r="F35" s="332"/>
      <c r="G35" s="11" t="s">
        <v>91</v>
      </c>
      <c r="H35" s="280">
        <v>0</v>
      </c>
      <c r="I35" s="280">
        <v>0</v>
      </c>
      <c r="J35" s="385">
        <f t="shared" ref="J35:J36" si="15">SUM(H35:I35)</f>
        <v>0</v>
      </c>
      <c r="K35" s="280">
        <v>0</v>
      </c>
      <c r="L35" s="280">
        <v>0</v>
      </c>
      <c r="M35" s="385">
        <f t="shared" ref="M35:M36" si="16">SUM(K35:L35)</f>
        <v>0</v>
      </c>
      <c r="N35" s="347" t="str">
        <f t="shared" si="1"/>
        <v/>
      </c>
      <c r="O35" s="1" t="s">
        <v>175</v>
      </c>
    </row>
    <row r="36" spans="1:15" ht="12.95" customHeight="1">
      <c r="B36" s="10"/>
      <c r="C36" s="11"/>
      <c r="D36" s="11"/>
      <c r="E36" s="306">
        <v>821300</v>
      </c>
      <c r="F36" s="332"/>
      <c r="G36" s="11" t="s">
        <v>92</v>
      </c>
      <c r="H36" s="280">
        <v>1500</v>
      </c>
      <c r="I36" s="280">
        <v>0</v>
      </c>
      <c r="J36" s="385">
        <f t="shared" si="15"/>
        <v>1500</v>
      </c>
      <c r="K36" s="280">
        <v>240</v>
      </c>
      <c r="L36" s="280">
        <v>0</v>
      </c>
      <c r="M36" s="385">
        <f t="shared" si="16"/>
        <v>240</v>
      </c>
      <c r="N36" s="347">
        <f t="shared" si="1"/>
        <v>16</v>
      </c>
    </row>
    <row r="37" spans="1:15" ht="12.95" customHeight="1">
      <c r="B37" s="10"/>
      <c r="C37" s="11"/>
      <c r="D37" s="11"/>
      <c r="E37" s="306"/>
      <c r="F37" s="332"/>
      <c r="G37" s="11"/>
      <c r="H37" s="280"/>
      <c r="I37" s="280"/>
      <c r="J37" s="386"/>
      <c r="K37" s="280"/>
      <c r="L37" s="280"/>
      <c r="M37" s="386"/>
      <c r="N37" s="347" t="str">
        <f t="shared" si="1"/>
        <v/>
      </c>
    </row>
    <row r="38" spans="1:15" ht="12.95" customHeight="1">
      <c r="B38" s="12"/>
      <c r="C38" s="8"/>
      <c r="D38" s="8"/>
      <c r="E38" s="305"/>
      <c r="F38" s="331"/>
      <c r="G38" s="8" t="s">
        <v>93</v>
      </c>
      <c r="H38" s="295">
        <v>10</v>
      </c>
      <c r="I38" s="295"/>
      <c r="J38" s="387">
        <v>10</v>
      </c>
      <c r="K38" s="295">
        <v>9</v>
      </c>
      <c r="L38" s="295"/>
      <c r="M38" s="387">
        <v>9</v>
      </c>
      <c r="N38" s="347"/>
    </row>
    <row r="39" spans="1:15" s="1" customFormat="1" ht="12.95" customHeight="1">
      <c r="A39" s="281"/>
      <c r="B39" s="12"/>
      <c r="C39" s="8"/>
      <c r="D39" s="8"/>
      <c r="E39" s="305"/>
      <c r="F39" s="331"/>
      <c r="G39" s="8" t="s">
        <v>113</v>
      </c>
      <c r="H39" s="288">
        <f t="shared" ref="H39:M39" si="17">H8+H13+H16+H28+H34</f>
        <v>4094300</v>
      </c>
      <c r="I39" s="288">
        <f t="shared" si="17"/>
        <v>266000</v>
      </c>
      <c r="J39" s="387">
        <f t="shared" si="17"/>
        <v>4360300</v>
      </c>
      <c r="K39" s="288">
        <f t="shared" si="17"/>
        <v>639350</v>
      </c>
      <c r="L39" s="288">
        <f t="shared" si="17"/>
        <v>65852</v>
      </c>
      <c r="M39" s="387">
        <f t="shared" si="17"/>
        <v>705202</v>
      </c>
      <c r="N39" s="346">
        <f t="shared" si="1"/>
        <v>16.173244960209161</v>
      </c>
    </row>
    <row r="40" spans="1:15" s="1" customFormat="1" ht="12.95" customHeight="1">
      <c r="A40" s="281"/>
      <c r="B40" s="12"/>
      <c r="C40" s="8"/>
      <c r="D40" s="8"/>
      <c r="E40" s="305"/>
      <c r="F40" s="331"/>
      <c r="G40" s="8" t="s">
        <v>94</v>
      </c>
      <c r="H40" s="288">
        <f t="shared" ref="H40:J41" si="18">H39</f>
        <v>4094300</v>
      </c>
      <c r="I40" s="288">
        <f t="shared" si="18"/>
        <v>266000</v>
      </c>
      <c r="J40" s="387">
        <f t="shared" si="18"/>
        <v>4360300</v>
      </c>
      <c r="K40" s="288">
        <f t="shared" ref="K40:M40" si="19">K39</f>
        <v>639350</v>
      </c>
      <c r="L40" s="288">
        <f t="shared" si="19"/>
        <v>65852</v>
      </c>
      <c r="M40" s="387">
        <f t="shared" si="19"/>
        <v>705202</v>
      </c>
      <c r="N40" s="346">
        <f t="shared" si="1"/>
        <v>16.173244960209161</v>
      </c>
    </row>
    <row r="41" spans="1:15" s="1" customFormat="1" ht="12.95" customHeight="1">
      <c r="A41" s="281"/>
      <c r="B41" s="12"/>
      <c r="C41" s="8"/>
      <c r="D41" s="8"/>
      <c r="E41" s="305"/>
      <c r="F41" s="331"/>
      <c r="G41" s="8" t="s">
        <v>95</v>
      </c>
      <c r="H41" s="288">
        <f t="shared" si="18"/>
        <v>4094300</v>
      </c>
      <c r="I41" s="288">
        <f t="shared" si="18"/>
        <v>266000</v>
      </c>
      <c r="J41" s="387">
        <f t="shared" si="18"/>
        <v>4360300</v>
      </c>
      <c r="K41" s="288">
        <f t="shared" ref="K41:M41" si="20">K40</f>
        <v>639350</v>
      </c>
      <c r="L41" s="288">
        <f t="shared" si="20"/>
        <v>65852</v>
      </c>
      <c r="M41" s="387">
        <f t="shared" si="20"/>
        <v>705202</v>
      </c>
      <c r="N41" s="346">
        <f t="shared" si="1"/>
        <v>16.173244960209161</v>
      </c>
    </row>
    <row r="42" spans="1:15" s="1" customFormat="1" ht="12.95" customHeight="1" thickBot="1">
      <c r="A42" s="281"/>
      <c r="B42" s="15"/>
      <c r="C42" s="16"/>
      <c r="D42" s="16"/>
      <c r="E42" s="307"/>
      <c r="F42" s="333"/>
      <c r="G42" s="16"/>
      <c r="H42" s="16"/>
      <c r="I42" s="16"/>
      <c r="J42" s="394"/>
      <c r="K42" s="16"/>
      <c r="L42" s="16"/>
      <c r="M42" s="394"/>
      <c r="N42" s="349" t="str">
        <f t="shared" si="1"/>
        <v/>
      </c>
    </row>
    <row r="43" spans="1:15" ht="12.95" customHeight="1">
      <c r="E43" s="308"/>
      <c r="F43" s="334"/>
      <c r="J43" s="391"/>
      <c r="M43" s="391"/>
      <c r="N43" s="350" t="str">
        <f t="shared" si="1"/>
        <v/>
      </c>
    </row>
    <row r="44" spans="1:15" ht="12.95" customHeight="1">
      <c r="E44" s="308"/>
      <c r="F44" s="334"/>
      <c r="J44" s="391"/>
      <c r="M44" s="391"/>
      <c r="N44" s="350" t="str">
        <f t="shared" si="1"/>
        <v/>
      </c>
    </row>
    <row r="45" spans="1:15" ht="12.95" customHeight="1">
      <c r="B45" s="50"/>
      <c r="E45" s="308"/>
      <c r="F45" s="334"/>
      <c r="J45" s="391"/>
      <c r="M45" s="391"/>
      <c r="N45" s="350" t="str">
        <f t="shared" si="1"/>
        <v/>
      </c>
    </row>
    <row r="46" spans="1:15" ht="12.95" customHeight="1">
      <c r="B46" s="50"/>
      <c r="E46" s="308"/>
      <c r="F46" s="334"/>
      <c r="J46" s="391"/>
      <c r="M46" s="391"/>
      <c r="N46" s="350" t="str">
        <f t="shared" si="1"/>
        <v/>
      </c>
    </row>
    <row r="47" spans="1:15" ht="12.95" customHeight="1">
      <c r="B47" s="50"/>
      <c r="E47" s="308"/>
      <c r="F47" s="334"/>
      <c r="J47" s="391"/>
      <c r="M47" s="391"/>
      <c r="N47" s="350" t="str">
        <f t="shared" si="1"/>
        <v/>
      </c>
    </row>
    <row r="48" spans="1:15" ht="12.95" customHeight="1">
      <c r="B48" s="50"/>
      <c r="E48" s="308"/>
      <c r="F48" s="334"/>
      <c r="J48" s="391"/>
      <c r="M48" s="391"/>
      <c r="N48" s="350" t="str">
        <f t="shared" si="1"/>
        <v/>
      </c>
    </row>
    <row r="49" spans="2:14" ht="12.95" customHeight="1">
      <c r="B49" s="50"/>
      <c r="E49" s="308"/>
      <c r="F49" s="334"/>
      <c r="J49" s="391"/>
      <c r="M49" s="391"/>
      <c r="N49" s="350" t="str">
        <f t="shared" si="1"/>
        <v/>
      </c>
    </row>
    <row r="50" spans="2:14" ht="12.95" customHeight="1">
      <c r="E50" s="308"/>
      <c r="F50" s="334"/>
      <c r="J50" s="391"/>
      <c r="M50" s="391"/>
      <c r="N50" s="350" t="str">
        <f t="shared" si="1"/>
        <v/>
      </c>
    </row>
    <row r="51" spans="2:14" ht="12.95" customHeight="1">
      <c r="E51" s="308"/>
      <c r="F51" s="334"/>
      <c r="J51" s="391"/>
      <c r="M51" s="391"/>
      <c r="N51" s="350" t="str">
        <f t="shared" si="1"/>
        <v/>
      </c>
    </row>
    <row r="52" spans="2:14" ht="12.95" customHeight="1">
      <c r="E52" s="308"/>
      <c r="F52" s="334"/>
      <c r="J52" s="391"/>
      <c r="M52" s="391"/>
      <c r="N52" s="350" t="str">
        <f t="shared" si="1"/>
        <v/>
      </c>
    </row>
    <row r="53" spans="2:14" ht="12.95" customHeight="1">
      <c r="E53" s="308"/>
      <c r="F53" s="334"/>
      <c r="J53" s="391"/>
      <c r="M53" s="391"/>
      <c r="N53" s="350" t="str">
        <f t="shared" si="1"/>
        <v/>
      </c>
    </row>
    <row r="54" spans="2:14" ht="12.95" customHeight="1">
      <c r="E54" s="308"/>
      <c r="F54" s="334"/>
      <c r="J54" s="391"/>
      <c r="M54" s="391"/>
      <c r="N54" s="350" t="str">
        <f t="shared" si="1"/>
        <v/>
      </c>
    </row>
    <row r="55" spans="2:14" ht="12.95" customHeight="1">
      <c r="E55" s="308"/>
      <c r="F55" s="334"/>
      <c r="J55" s="391"/>
      <c r="M55" s="391"/>
      <c r="N55" s="350" t="str">
        <f t="shared" si="1"/>
        <v/>
      </c>
    </row>
    <row r="56" spans="2:14" ht="12.95" customHeight="1">
      <c r="E56" s="308"/>
      <c r="F56" s="334"/>
      <c r="J56" s="391"/>
      <c r="M56" s="391"/>
      <c r="N56" s="350" t="str">
        <f t="shared" si="1"/>
        <v/>
      </c>
    </row>
    <row r="57" spans="2:14" ht="12.95" customHeight="1">
      <c r="E57" s="308"/>
      <c r="F57" s="334"/>
      <c r="J57" s="391"/>
      <c r="M57" s="391"/>
      <c r="N57" s="350" t="str">
        <f t="shared" si="1"/>
        <v/>
      </c>
    </row>
    <row r="58" spans="2:14" ht="12.95" customHeight="1">
      <c r="E58" s="308"/>
      <c r="F58" s="334"/>
      <c r="J58" s="391"/>
      <c r="M58" s="391"/>
      <c r="N58" s="350" t="str">
        <f t="shared" si="1"/>
        <v/>
      </c>
    </row>
    <row r="59" spans="2:14" ht="12.95" customHeight="1">
      <c r="E59" s="308"/>
      <c r="F59" s="334"/>
      <c r="J59" s="391"/>
      <c r="M59" s="391"/>
      <c r="N59" s="350" t="str">
        <f t="shared" si="1"/>
        <v/>
      </c>
    </row>
    <row r="60" spans="2:14" ht="17.100000000000001" customHeight="1">
      <c r="E60" s="308"/>
      <c r="F60" s="334"/>
      <c r="J60" s="391"/>
      <c r="M60" s="391"/>
      <c r="N60" s="350" t="str">
        <f t="shared" si="1"/>
        <v/>
      </c>
    </row>
    <row r="61" spans="2:14" ht="17.100000000000001" customHeight="1">
      <c r="E61" s="308"/>
      <c r="F61" s="334"/>
      <c r="J61" s="391"/>
      <c r="M61" s="391"/>
      <c r="N61" s="350" t="str">
        <f t="shared" si="1"/>
        <v/>
      </c>
    </row>
    <row r="62" spans="2:14" ht="17.100000000000001" customHeight="1">
      <c r="E62" s="308"/>
      <c r="F62" s="334"/>
      <c r="J62" s="391"/>
      <c r="M62" s="391"/>
      <c r="N62" s="350" t="str">
        <f t="shared" si="1"/>
        <v/>
      </c>
    </row>
    <row r="63" spans="2:14" ht="14.25">
      <c r="E63" s="308"/>
      <c r="F63" s="334"/>
      <c r="J63" s="391"/>
      <c r="M63" s="391"/>
      <c r="N63" s="350" t="str">
        <f t="shared" si="1"/>
        <v/>
      </c>
    </row>
    <row r="64" spans="2:14" ht="14.25">
      <c r="E64" s="308"/>
      <c r="F64" s="334"/>
      <c r="J64" s="391"/>
      <c r="M64" s="391"/>
      <c r="N64" s="350" t="str">
        <f t="shared" si="1"/>
        <v/>
      </c>
    </row>
    <row r="65" spans="5:14" ht="14.25">
      <c r="E65" s="308"/>
      <c r="F65" s="334"/>
      <c r="J65" s="391"/>
      <c r="M65" s="391"/>
      <c r="N65" s="350" t="str">
        <f t="shared" si="1"/>
        <v/>
      </c>
    </row>
    <row r="66" spans="5:14" ht="14.25">
      <c r="E66" s="308"/>
      <c r="F66" s="334"/>
      <c r="J66" s="391"/>
      <c r="M66" s="391"/>
      <c r="N66" s="350" t="str">
        <f t="shared" si="1"/>
        <v/>
      </c>
    </row>
    <row r="67" spans="5:14" ht="14.25">
      <c r="E67" s="308"/>
      <c r="F67" s="334"/>
      <c r="J67" s="391"/>
      <c r="M67" s="391"/>
    </row>
    <row r="68" spans="5:14" ht="14.25">
      <c r="E68" s="308"/>
      <c r="F68" s="334"/>
      <c r="J68" s="391"/>
      <c r="M68" s="391"/>
    </row>
    <row r="69" spans="5:14" ht="14.25">
      <c r="E69" s="308"/>
      <c r="F69" s="334"/>
      <c r="J69" s="391"/>
      <c r="M69" s="391"/>
    </row>
    <row r="70" spans="5:14" ht="14.25">
      <c r="E70" s="308"/>
      <c r="F70" s="334"/>
      <c r="J70" s="391"/>
      <c r="M70" s="391"/>
    </row>
    <row r="71" spans="5:14" ht="14.25">
      <c r="E71" s="308"/>
      <c r="F71" s="334"/>
      <c r="J71" s="391"/>
      <c r="M71" s="391"/>
    </row>
    <row r="72" spans="5:14" ht="14.25">
      <c r="E72" s="308"/>
      <c r="F72" s="334"/>
      <c r="J72" s="391"/>
      <c r="M72" s="391"/>
    </row>
    <row r="73" spans="5:14" ht="14.25">
      <c r="E73" s="308"/>
      <c r="F73" s="334"/>
      <c r="J73" s="391"/>
      <c r="M73" s="391"/>
    </row>
    <row r="74" spans="5:14" ht="14.25">
      <c r="E74" s="308"/>
      <c r="F74" s="308"/>
      <c r="J74" s="391"/>
      <c r="M74" s="391"/>
    </row>
    <row r="75" spans="5:14" ht="14.25">
      <c r="E75" s="308"/>
      <c r="F75" s="308"/>
      <c r="J75" s="391"/>
      <c r="M75" s="391"/>
    </row>
    <row r="76" spans="5:14" ht="14.25">
      <c r="E76" s="308"/>
      <c r="F76" s="308"/>
      <c r="J76" s="391"/>
      <c r="M76" s="391"/>
    </row>
    <row r="77" spans="5:14" ht="14.25">
      <c r="E77" s="308"/>
      <c r="F77" s="308"/>
      <c r="J77" s="391"/>
      <c r="M77" s="391"/>
    </row>
    <row r="78" spans="5:14" ht="14.25">
      <c r="E78" s="308"/>
      <c r="F78" s="308"/>
      <c r="J78" s="391"/>
      <c r="M78" s="391"/>
    </row>
    <row r="79" spans="5:14" ht="14.25">
      <c r="E79" s="308"/>
      <c r="F79" s="308"/>
      <c r="J79" s="391"/>
      <c r="M79" s="391"/>
    </row>
    <row r="80" spans="5:14" ht="14.25">
      <c r="E80" s="308"/>
      <c r="F80" s="308"/>
      <c r="J80" s="391"/>
      <c r="M80" s="391"/>
    </row>
    <row r="81" spans="5:13" ht="14.25">
      <c r="E81" s="308"/>
      <c r="F81" s="308"/>
      <c r="J81" s="391"/>
      <c r="M81" s="391"/>
    </row>
    <row r="82" spans="5:13" ht="14.25">
      <c r="E82" s="308"/>
      <c r="F82" s="308"/>
      <c r="J82" s="391"/>
      <c r="M82" s="391"/>
    </row>
    <row r="83" spans="5:13" ht="14.25">
      <c r="E83" s="308"/>
      <c r="F83" s="308"/>
      <c r="J83" s="391"/>
      <c r="M83" s="391"/>
    </row>
    <row r="84" spans="5:13" ht="14.25">
      <c r="E84" s="308"/>
      <c r="F84" s="308"/>
      <c r="J84" s="391"/>
      <c r="M84" s="391"/>
    </row>
    <row r="85" spans="5:13" ht="14.25">
      <c r="E85" s="308"/>
      <c r="F85" s="308"/>
      <c r="J85" s="391"/>
      <c r="M85" s="391"/>
    </row>
    <row r="86" spans="5:13" ht="14.25">
      <c r="E86" s="308"/>
      <c r="F86" s="308"/>
      <c r="J86" s="391"/>
      <c r="M86" s="391"/>
    </row>
    <row r="87" spans="5:13" ht="14.25">
      <c r="E87" s="308"/>
      <c r="F87" s="308"/>
      <c r="J87" s="391"/>
      <c r="M87" s="391"/>
    </row>
    <row r="88" spans="5:13" ht="14.25">
      <c r="E88" s="308"/>
      <c r="F88" s="308"/>
      <c r="J88" s="391"/>
      <c r="M88" s="391"/>
    </row>
    <row r="89" spans="5:13" ht="14.25">
      <c r="E89" s="308"/>
      <c r="F89" s="308"/>
      <c r="J89" s="391"/>
      <c r="M89" s="391"/>
    </row>
    <row r="90" spans="5:13" ht="14.25">
      <c r="E90" s="308"/>
      <c r="F90" s="308"/>
      <c r="J90" s="391"/>
      <c r="M90" s="391"/>
    </row>
    <row r="91" spans="5:13">
      <c r="F91" s="308"/>
    </row>
    <row r="92" spans="5:13">
      <c r="F92" s="308"/>
    </row>
    <row r="93" spans="5:13">
      <c r="F93" s="308"/>
    </row>
    <row r="94" spans="5:13">
      <c r="F94" s="308"/>
    </row>
    <row r="95" spans="5:13">
      <c r="F95" s="308"/>
    </row>
    <row r="96" spans="5:13">
      <c r="F96" s="308"/>
    </row>
  </sheetData>
  <mergeCells count="10">
    <mergeCell ref="N4:N5"/>
    <mergeCell ref="G4:G5"/>
    <mergeCell ref="B2:J2"/>
    <mergeCell ref="H4:J4"/>
    <mergeCell ref="B4:B5"/>
    <mergeCell ref="C4:C5"/>
    <mergeCell ref="D4:D5"/>
    <mergeCell ref="F4:F5"/>
    <mergeCell ref="E4:E5"/>
    <mergeCell ref="K4:M4"/>
  </mergeCells>
  <phoneticPr fontId="2" type="noConversion"/>
  <pageMargins left="0.78740157480314965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1"/>
  <dimension ref="A1:P96"/>
  <sheetViews>
    <sheetView topLeftCell="A28" zoomScaleNormal="100" zoomScaleSheetLayoutView="100" workbookViewId="0">
      <selection activeCell="N38" sqref="N38"/>
    </sheetView>
  </sheetViews>
  <sheetFormatPr defaultRowHeight="12.75"/>
  <cols>
    <col min="1" max="1" width="9.140625" style="284"/>
    <col min="2" max="2" width="4.7109375" style="9" customWidth="1"/>
    <col min="3" max="3" width="5.140625" style="9" customWidth="1"/>
    <col min="4" max="4" width="5" style="9" customWidth="1"/>
    <col min="5" max="5" width="8.7109375" style="17" customWidth="1"/>
    <col min="6" max="6" width="8.7109375" style="289" customWidth="1"/>
    <col min="7" max="7" width="50.7109375" style="9" customWidth="1"/>
    <col min="8" max="9" width="14.7109375" style="57" customWidth="1"/>
    <col min="10" max="10" width="15.7109375" style="57" customWidth="1"/>
    <col min="11" max="12" width="14.7109375" style="57" customWidth="1"/>
    <col min="13" max="13" width="15.7109375" style="57" customWidth="1"/>
    <col min="14" max="14" width="7.7109375" style="350" customWidth="1"/>
    <col min="15" max="16384" width="9.140625" style="9"/>
  </cols>
  <sheetData>
    <row r="1" spans="1:16" ht="13.5" thickBot="1"/>
    <row r="2" spans="1:16" s="98" customFormat="1" ht="20.100000000000001" customHeight="1" thickTop="1" thickBot="1">
      <c r="A2" s="376"/>
      <c r="B2" s="590" t="s">
        <v>178</v>
      </c>
      <c r="C2" s="591"/>
      <c r="D2" s="591"/>
      <c r="E2" s="591"/>
      <c r="F2" s="591"/>
      <c r="G2" s="591"/>
      <c r="H2" s="377"/>
      <c r="I2" s="377"/>
      <c r="J2" s="377"/>
      <c r="K2" s="377"/>
      <c r="L2" s="377"/>
      <c r="M2" s="377"/>
      <c r="N2" s="380"/>
    </row>
    <row r="3" spans="1:16" s="1" customFormat="1" ht="8.1" customHeight="1" thickTop="1" thickBot="1">
      <c r="A3" s="281"/>
      <c r="E3" s="2"/>
      <c r="F3" s="282"/>
      <c r="G3" s="531"/>
      <c r="H3" s="92"/>
      <c r="I3" s="92"/>
      <c r="J3" s="92"/>
      <c r="K3" s="92"/>
      <c r="L3" s="92"/>
      <c r="M3" s="92"/>
      <c r="N3" s="344"/>
    </row>
    <row r="4" spans="1:16" s="1" customFormat="1" ht="39" customHeight="1">
      <c r="A4" s="281"/>
      <c r="B4" s="596" t="s">
        <v>78</v>
      </c>
      <c r="C4" s="606" t="s">
        <v>79</v>
      </c>
      <c r="D4" s="607" t="s">
        <v>110</v>
      </c>
      <c r="E4" s="608" t="s">
        <v>594</v>
      </c>
      <c r="F4" s="601" t="s">
        <v>653</v>
      </c>
      <c r="G4" s="602" t="s">
        <v>80</v>
      </c>
      <c r="H4" s="593" t="s">
        <v>647</v>
      </c>
      <c r="I4" s="594"/>
      <c r="J4" s="595"/>
      <c r="K4" s="593" t="s">
        <v>801</v>
      </c>
      <c r="L4" s="594"/>
      <c r="M4" s="595"/>
      <c r="N4" s="604" t="s">
        <v>805</v>
      </c>
    </row>
    <row r="5" spans="1:16" s="281" customFormat="1" ht="27" customHeight="1">
      <c r="B5" s="597"/>
      <c r="C5" s="599"/>
      <c r="D5" s="599"/>
      <c r="E5" s="603"/>
      <c r="F5" s="599"/>
      <c r="G5" s="603"/>
      <c r="H5" s="372" t="s">
        <v>705</v>
      </c>
      <c r="I5" s="372" t="s">
        <v>706</v>
      </c>
      <c r="J5" s="382" t="s">
        <v>413</v>
      </c>
      <c r="K5" s="372" t="s">
        <v>705</v>
      </c>
      <c r="L5" s="372" t="s">
        <v>706</v>
      </c>
      <c r="M5" s="382" t="s">
        <v>413</v>
      </c>
      <c r="N5" s="605"/>
    </row>
    <row r="6" spans="1:16" s="2" customFormat="1" ht="12.95" customHeight="1">
      <c r="A6" s="282"/>
      <c r="B6" s="504">
        <v>1</v>
      </c>
      <c r="C6" s="331">
        <v>2</v>
      </c>
      <c r="D6" s="331">
        <v>3</v>
      </c>
      <c r="E6" s="331">
        <v>4</v>
      </c>
      <c r="F6" s="331">
        <v>5</v>
      </c>
      <c r="G6" s="331">
        <v>6</v>
      </c>
      <c r="H6" s="331">
        <v>7</v>
      </c>
      <c r="I6" s="331">
        <v>8</v>
      </c>
      <c r="J6" s="523" t="s">
        <v>804</v>
      </c>
      <c r="K6" s="331">
        <v>10</v>
      </c>
      <c r="L6" s="331">
        <v>11</v>
      </c>
      <c r="M6" s="523" t="s">
        <v>707</v>
      </c>
      <c r="N6" s="505">
        <v>13</v>
      </c>
    </row>
    <row r="7" spans="1:16" s="2" customFormat="1" ht="12.95" customHeight="1">
      <c r="A7" s="282"/>
      <c r="B7" s="6" t="s">
        <v>139</v>
      </c>
      <c r="C7" s="7" t="s">
        <v>81</v>
      </c>
      <c r="D7" s="7" t="s">
        <v>82</v>
      </c>
      <c r="E7" s="5"/>
      <c r="F7" s="283"/>
      <c r="G7" s="5"/>
      <c r="H7" s="86"/>
      <c r="I7" s="86"/>
      <c r="J7" s="392"/>
      <c r="K7" s="86"/>
      <c r="L7" s="86"/>
      <c r="M7" s="392"/>
      <c r="N7" s="345"/>
    </row>
    <row r="8" spans="1:16" s="1" customFormat="1" ht="12.95" customHeight="1">
      <c r="A8" s="281"/>
      <c r="B8" s="12"/>
      <c r="C8" s="8"/>
      <c r="D8" s="8"/>
      <c r="E8" s="305">
        <v>611000</v>
      </c>
      <c r="F8" s="331"/>
      <c r="G8" s="8" t="s">
        <v>163</v>
      </c>
      <c r="H8" s="210">
        <f t="shared" ref="H8:M8" si="0">SUM(H9:H12)</f>
        <v>247350</v>
      </c>
      <c r="I8" s="210">
        <f t="shared" si="0"/>
        <v>0</v>
      </c>
      <c r="J8" s="384">
        <f t="shared" si="0"/>
        <v>247350</v>
      </c>
      <c r="K8" s="210">
        <f t="shared" si="0"/>
        <v>58084</v>
      </c>
      <c r="L8" s="210">
        <f t="shared" si="0"/>
        <v>0</v>
      </c>
      <c r="M8" s="384">
        <f t="shared" si="0"/>
        <v>58084</v>
      </c>
      <c r="N8" s="346">
        <f>IF(J8=0,"",M8/J8*100)</f>
        <v>23.482514655346677</v>
      </c>
    </row>
    <row r="9" spans="1:16" ht="12.95" customHeight="1">
      <c r="B9" s="10"/>
      <c r="C9" s="11"/>
      <c r="D9" s="11"/>
      <c r="E9" s="306">
        <v>611100</v>
      </c>
      <c r="F9" s="332"/>
      <c r="G9" s="18" t="s">
        <v>198</v>
      </c>
      <c r="H9" s="212">
        <f>197600+1970+11700-4170</f>
        <v>207100</v>
      </c>
      <c r="I9" s="212">
        <v>0</v>
      </c>
      <c r="J9" s="385">
        <f>SUM(H9:I9)</f>
        <v>207100</v>
      </c>
      <c r="K9" s="212">
        <v>49174</v>
      </c>
      <c r="L9" s="212">
        <v>0</v>
      </c>
      <c r="M9" s="385">
        <f>SUM(K9:L9)</f>
        <v>49174</v>
      </c>
      <c r="N9" s="347">
        <f t="shared" ref="N9:N66" si="1">IF(J9=0,"",M9/J9*100)</f>
        <v>23.744084983099953</v>
      </c>
    </row>
    <row r="10" spans="1:16" ht="12.95" customHeight="1">
      <c r="B10" s="10"/>
      <c r="C10" s="11"/>
      <c r="D10" s="11"/>
      <c r="E10" s="306">
        <v>611200</v>
      </c>
      <c r="F10" s="332"/>
      <c r="G10" s="11" t="s">
        <v>199</v>
      </c>
      <c r="H10" s="212">
        <f>36500+750+3000</f>
        <v>40250</v>
      </c>
      <c r="I10" s="212">
        <v>0</v>
      </c>
      <c r="J10" s="385">
        <f t="shared" ref="J10:J11" si="2">SUM(H10:I10)</f>
        <v>40250</v>
      </c>
      <c r="K10" s="212">
        <v>8910</v>
      </c>
      <c r="L10" s="212">
        <v>0</v>
      </c>
      <c r="M10" s="385">
        <f t="shared" ref="M10:M11" si="3">SUM(K10:L10)</f>
        <v>8910</v>
      </c>
      <c r="N10" s="347">
        <f t="shared" si="1"/>
        <v>22.136645962732921</v>
      </c>
    </row>
    <row r="11" spans="1:16" ht="12.95" customHeight="1">
      <c r="B11" s="10"/>
      <c r="C11" s="11"/>
      <c r="D11" s="11"/>
      <c r="E11" s="306">
        <v>611200</v>
      </c>
      <c r="F11" s="332"/>
      <c r="G11" s="189" t="s">
        <v>534</v>
      </c>
      <c r="H11" s="209">
        <v>0</v>
      </c>
      <c r="I11" s="209">
        <v>0</v>
      </c>
      <c r="J11" s="385">
        <f t="shared" si="2"/>
        <v>0</v>
      </c>
      <c r="K11" s="209">
        <v>0</v>
      </c>
      <c r="L11" s="209">
        <v>0</v>
      </c>
      <c r="M11" s="385">
        <f t="shared" si="3"/>
        <v>0</v>
      </c>
      <c r="N11" s="347" t="str">
        <f t="shared" si="1"/>
        <v/>
      </c>
      <c r="P11" s="56"/>
    </row>
    <row r="12" spans="1:16" ht="12.95" customHeight="1">
      <c r="B12" s="10"/>
      <c r="C12" s="11"/>
      <c r="D12" s="11"/>
      <c r="E12" s="306"/>
      <c r="F12" s="332"/>
      <c r="G12" s="18"/>
      <c r="H12" s="212"/>
      <c r="I12" s="212"/>
      <c r="J12" s="385"/>
      <c r="K12" s="212"/>
      <c r="L12" s="212"/>
      <c r="M12" s="385"/>
      <c r="N12" s="347" t="str">
        <f t="shared" si="1"/>
        <v/>
      </c>
    </row>
    <row r="13" spans="1:16" s="1" customFormat="1" ht="12.95" customHeight="1">
      <c r="A13" s="281"/>
      <c r="B13" s="12"/>
      <c r="C13" s="8"/>
      <c r="D13" s="8"/>
      <c r="E13" s="305">
        <v>612000</v>
      </c>
      <c r="F13" s="331"/>
      <c r="G13" s="8" t="s">
        <v>162</v>
      </c>
      <c r="H13" s="210">
        <f t="shared" ref="H13:M13" si="4">H14</f>
        <v>21930</v>
      </c>
      <c r="I13" s="210">
        <f t="shared" si="4"/>
        <v>0</v>
      </c>
      <c r="J13" s="384">
        <f t="shared" si="4"/>
        <v>21930</v>
      </c>
      <c r="K13" s="210">
        <f t="shared" si="4"/>
        <v>5212</v>
      </c>
      <c r="L13" s="210">
        <f t="shared" si="4"/>
        <v>0</v>
      </c>
      <c r="M13" s="384">
        <f t="shared" si="4"/>
        <v>5212</v>
      </c>
      <c r="N13" s="346">
        <f t="shared" si="1"/>
        <v>23.766529867761058</v>
      </c>
    </row>
    <row r="14" spans="1:16" ht="12.95" customHeight="1">
      <c r="B14" s="10"/>
      <c r="C14" s="11"/>
      <c r="D14" s="11"/>
      <c r="E14" s="306">
        <v>612100</v>
      </c>
      <c r="F14" s="332"/>
      <c r="G14" s="13" t="s">
        <v>83</v>
      </c>
      <c r="H14" s="212">
        <f>21020+210+700</f>
        <v>21930</v>
      </c>
      <c r="I14" s="212">
        <v>0</v>
      </c>
      <c r="J14" s="385">
        <f>SUM(H14:I14)</f>
        <v>21930</v>
      </c>
      <c r="K14" s="212">
        <v>5212</v>
      </c>
      <c r="L14" s="212">
        <v>0</v>
      </c>
      <c r="M14" s="385">
        <f>SUM(K14:L14)</f>
        <v>5212</v>
      </c>
      <c r="N14" s="347">
        <f t="shared" si="1"/>
        <v>23.766529867761058</v>
      </c>
    </row>
    <row r="15" spans="1:16" ht="12.95" customHeight="1">
      <c r="B15" s="10"/>
      <c r="C15" s="11"/>
      <c r="D15" s="11"/>
      <c r="E15" s="306"/>
      <c r="F15" s="332"/>
      <c r="G15" s="11"/>
      <c r="H15" s="291"/>
      <c r="I15" s="291"/>
      <c r="J15" s="386"/>
      <c r="K15" s="291"/>
      <c r="L15" s="291"/>
      <c r="M15" s="386"/>
      <c r="N15" s="347" t="str">
        <f t="shared" si="1"/>
        <v/>
      </c>
    </row>
    <row r="16" spans="1:16" s="1" customFormat="1" ht="12.95" customHeight="1">
      <c r="A16" s="281"/>
      <c r="B16" s="12"/>
      <c r="C16" s="8"/>
      <c r="D16" s="8"/>
      <c r="E16" s="305">
        <v>613000</v>
      </c>
      <c r="F16" s="331"/>
      <c r="G16" s="8" t="s">
        <v>164</v>
      </c>
      <c r="H16" s="293">
        <f t="shared" ref="H16:M16" si="5">SUM(H17:H27)</f>
        <v>19600</v>
      </c>
      <c r="I16" s="293">
        <f t="shared" si="5"/>
        <v>200000</v>
      </c>
      <c r="J16" s="387">
        <f t="shared" si="5"/>
        <v>219600</v>
      </c>
      <c r="K16" s="293">
        <f t="shared" si="5"/>
        <v>2604</v>
      </c>
      <c r="L16" s="293">
        <f t="shared" si="5"/>
        <v>40007</v>
      </c>
      <c r="M16" s="387">
        <f t="shared" si="5"/>
        <v>42611</v>
      </c>
      <c r="N16" s="346">
        <f t="shared" si="1"/>
        <v>19.403916211293261</v>
      </c>
    </row>
    <row r="17" spans="1:15" ht="12.95" customHeight="1">
      <c r="B17" s="10"/>
      <c r="C17" s="11"/>
      <c r="D17" s="11"/>
      <c r="E17" s="306">
        <v>613100</v>
      </c>
      <c r="F17" s="332"/>
      <c r="G17" s="11" t="s">
        <v>84</v>
      </c>
      <c r="H17" s="291">
        <v>1800</v>
      </c>
      <c r="I17" s="291">
        <v>0</v>
      </c>
      <c r="J17" s="385">
        <f t="shared" ref="J17:J27" si="6">SUM(H17:I17)</f>
        <v>1800</v>
      </c>
      <c r="K17" s="291">
        <v>86</v>
      </c>
      <c r="L17" s="291">
        <v>0</v>
      </c>
      <c r="M17" s="385">
        <f t="shared" ref="M17:M27" si="7">SUM(K17:L17)</f>
        <v>86</v>
      </c>
      <c r="N17" s="347">
        <f t="shared" si="1"/>
        <v>4.7777777777777777</v>
      </c>
    </row>
    <row r="18" spans="1:15" ht="12.95" customHeight="1">
      <c r="B18" s="10"/>
      <c r="C18" s="11"/>
      <c r="D18" s="11"/>
      <c r="E18" s="306">
        <v>613200</v>
      </c>
      <c r="F18" s="332"/>
      <c r="G18" s="11" t="s">
        <v>85</v>
      </c>
      <c r="H18" s="291">
        <v>0</v>
      </c>
      <c r="I18" s="291">
        <v>0</v>
      </c>
      <c r="J18" s="385">
        <f t="shared" si="6"/>
        <v>0</v>
      </c>
      <c r="K18" s="291">
        <v>0</v>
      </c>
      <c r="L18" s="291">
        <v>0</v>
      </c>
      <c r="M18" s="385">
        <f t="shared" si="7"/>
        <v>0</v>
      </c>
      <c r="N18" s="347" t="str">
        <f t="shared" si="1"/>
        <v/>
      </c>
    </row>
    <row r="19" spans="1:15" ht="12.95" customHeight="1">
      <c r="B19" s="10"/>
      <c r="C19" s="11"/>
      <c r="D19" s="11"/>
      <c r="E19" s="306">
        <v>613300</v>
      </c>
      <c r="F19" s="332"/>
      <c r="G19" s="18" t="s">
        <v>200</v>
      </c>
      <c r="H19" s="363">
        <v>6800</v>
      </c>
      <c r="I19" s="363">
        <v>0</v>
      </c>
      <c r="J19" s="385">
        <f t="shared" si="6"/>
        <v>6800</v>
      </c>
      <c r="K19" s="363">
        <v>1660</v>
      </c>
      <c r="L19" s="363">
        <v>0</v>
      </c>
      <c r="M19" s="385">
        <f t="shared" si="7"/>
        <v>1660</v>
      </c>
      <c r="N19" s="347">
        <f t="shared" si="1"/>
        <v>24.411764705882351</v>
      </c>
    </row>
    <row r="20" spans="1:15" ht="12.95" customHeight="1">
      <c r="B20" s="10"/>
      <c r="C20" s="11"/>
      <c r="D20" s="11"/>
      <c r="E20" s="306">
        <v>613400</v>
      </c>
      <c r="F20" s="332"/>
      <c r="G20" s="11" t="s">
        <v>165</v>
      </c>
      <c r="H20" s="363">
        <v>0</v>
      </c>
      <c r="I20" s="363">
        <v>0</v>
      </c>
      <c r="J20" s="385">
        <f t="shared" si="6"/>
        <v>0</v>
      </c>
      <c r="K20" s="363">
        <v>0</v>
      </c>
      <c r="L20" s="363">
        <v>0</v>
      </c>
      <c r="M20" s="385">
        <f t="shared" si="7"/>
        <v>0</v>
      </c>
      <c r="N20" s="347" t="str">
        <f t="shared" si="1"/>
        <v/>
      </c>
    </row>
    <row r="21" spans="1:15" ht="12.95" customHeight="1">
      <c r="B21" s="10"/>
      <c r="C21" s="11"/>
      <c r="D21" s="11"/>
      <c r="E21" s="306">
        <v>613500</v>
      </c>
      <c r="F21" s="332"/>
      <c r="G21" s="11" t="s">
        <v>86</v>
      </c>
      <c r="H21" s="365">
        <v>0</v>
      </c>
      <c r="I21" s="365">
        <v>0</v>
      </c>
      <c r="J21" s="385">
        <f t="shared" si="6"/>
        <v>0</v>
      </c>
      <c r="K21" s="365">
        <v>0</v>
      </c>
      <c r="L21" s="365">
        <v>0</v>
      </c>
      <c r="M21" s="385">
        <f t="shared" si="7"/>
        <v>0</v>
      </c>
      <c r="N21" s="347" t="str">
        <f t="shared" si="1"/>
        <v/>
      </c>
    </row>
    <row r="22" spans="1:15" ht="12.95" customHeight="1">
      <c r="B22" s="10"/>
      <c r="C22" s="11"/>
      <c r="D22" s="11"/>
      <c r="E22" s="306">
        <v>613600</v>
      </c>
      <c r="F22" s="332"/>
      <c r="G22" s="18" t="s">
        <v>201</v>
      </c>
      <c r="H22" s="365">
        <v>0</v>
      </c>
      <c r="I22" s="365">
        <v>0</v>
      </c>
      <c r="J22" s="385">
        <f t="shared" si="6"/>
        <v>0</v>
      </c>
      <c r="K22" s="365">
        <v>0</v>
      </c>
      <c r="L22" s="365">
        <v>0</v>
      </c>
      <c r="M22" s="385">
        <f t="shared" si="7"/>
        <v>0</v>
      </c>
      <c r="N22" s="347" t="str">
        <f t="shared" si="1"/>
        <v/>
      </c>
    </row>
    <row r="23" spans="1:15" ht="12.95" customHeight="1">
      <c r="B23" s="10"/>
      <c r="C23" s="11"/>
      <c r="D23" s="11"/>
      <c r="E23" s="312">
        <v>613700</v>
      </c>
      <c r="F23" s="338"/>
      <c r="G23" s="11" t="s">
        <v>87</v>
      </c>
      <c r="H23" s="365">
        <v>1000</v>
      </c>
      <c r="I23" s="365">
        <v>0</v>
      </c>
      <c r="J23" s="385">
        <f t="shared" si="6"/>
        <v>1000</v>
      </c>
      <c r="K23" s="365">
        <v>72</v>
      </c>
      <c r="L23" s="365">
        <v>0</v>
      </c>
      <c r="M23" s="385">
        <f t="shared" si="7"/>
        <v>72</v>
      </c>
      <c r="N23" s="347">
        <f t="shared" si="1"/>
        <v>7.1999999999999993</v>
      </c>
    </row>
    <row r="24" spans="1:15" ht="12.95" customHeight="1">
      <c r="B24" s="10"/>
      <c r="C24" s="11"/>
      <c r="D24" s="22"/>
      <c r="E24" s="306">
        <v>613700</v>
      </c>
      <c r="F24" s="329" t="s">
        <v>677</v>
      </c>
      <c r="G24" s="37" t="s">
        <v>88</v>
      </c>
      <c r="H24" s="365">
        <v>0</v>
      </c>
      <c r="I24" s="365">
        <v>200000</v>
      </c>
      <c r="J24" s="385">
        <f t="shared" si="6"/>
        <v>200000</v>
      </c>
      <c r="K24" s="365">
        <v>0</v>
      </c>
      <c r="L24" s="365">
        <v>40007</v>
      </c>
      <c r="M24" s="385">
        <f t="shared" si="7"/>
        <v>40007</v>
      </c>
      <c r="N24" s="347">
        <f t="shared" si="1"/>
        <v>20.003499999999999</v>
      </c>
    </row>
    <row r="25" spans="1:15" ht="12.95" customHeight="1">
      <c r="B25" s="10"/>
      <c r="C25" s="11"/>
      <c r="D25" s="11"/>
      <c r="E25" s="314">
        <v>613800</v>
      </c>
      <c r="F25" s="339"/>
      <c r="G25" s="11" t="s">
        <v>166</v>
      </c>
      <c r="H25" s="365">
        <v>0</v>
      </c>
      <c r="I25" s="365">
        <v>0</v>
      </c>
      <c r="J25" s="385">
        <f t="shared" si="6"/>
        <v>0</v>
      </c>
      <c r="K25" s="365">
        <v>0</v>
      </c>
      <c r="L25" s="365">
        <v>0</v>
      </c>
      <c r="M25" s="385">
        <f t="shared" si="7"/>
        <v>0</v>
      </c>
      <c r="N25" s="347" t="str">
        <f t="shared" si="1"/>
        <v/>
      </c>
    </row>
    <row r="26" spans="1:15" ht="12.95" customHeight="1">
      <c r="B26" s="10"/>
      <c r="C26" s="11"/>
      <c r="D26" s="11"/>
      <c r="E26" s="306">
        <v>613900</v>
      </c>
      <c r="F26" s="332"/>
      <c r="G26" s="11" t="s">
        <v>167</v>
      </c>
      <c r="H26" s="365">
        <v>10000</v>
      </c>
      <c r="I26" s="365">
        <v>0</v>
      </c>
      <c r="J26" s="385">
        <f t="shared" si="6"/>
        <v>10000</v>
      </c>
      <c r="K26" s="365">
        <v>786</v>
      </c>
      <c r="L26" s="365">
        <v>0</v>
      </c>
      <c r="M26" s="385">
        <f t="shared" si="7"/>
        <v>786</v>
      </c>
      <c r="N26" s="347">
        <f t="shared" si="1"/>
        <v>7.86</v>
      </c>
      <c r="O26" s="68"/>
    </row>
    <row r="27" spans="1:15" ht="12.95" customHeight="1">
      <c r="B27" s="10"/>
      <c r="C27" s="11"/>
      <c r="D27" s="11"/>
      <c r="E27" s="306">
        <v>613900</v>
      </c>
      <c r="F27" s="332"/>
      <c r="G27" s="189" t="s">
        <v>535</v>
      </c>
      <c r="H27" s="365">
        <v>0</v>
      </c>
      <c r="I27" s="365">
        <v>0</v>
      </c>
      <c r="J27" s="385">
        <f t="shared" si="6"/>
        <v>0</v>
      </c>
      <c r="K27" s="365">
        <v>0</v>
      </c>
      <c r="L27" s="365">
        <v>0</v>
      </c>
      <c r="M27" s="385">
        <f t="shared" si="7"/>
        <v>0</v>
      </c>
      <c r="N27" s="347" t="str">
        <f t="shared" si="1"/>
        <v/>
      </c>
    </row>
    <row r="28" spans="1:15" ht="12.95" customHeight="1">
      <c r="B28" s="10"/>
      <c r="C28" s="11"/>
      <c r="D28" s="11"/>
      <c r="E28" s="306"/>
      <c r="F28" s="332"/>
      <c r="G28" s="11"/>
      <c r="H28" s="296"/>
      <c r="I28" s="296"/>
      <c r="J28" s="386"/>
      <c r="K28" s="296"/>
      <c r="L28" s="296"/>
      <c r="M28" s="386"/>
      <c r="N28" s="347" t="str">
        <f t="shared" si="1"/>
        <v/>
      </c>
    </row>
    <row r="29" spans="1:15" s="1" customFormat="1" ht="12.95" customHeight="1">
      <c r="A29" s="281"/>
      <c r="B29" s="12"/>
      <c r="C29" s="8"/>
      <c r="D29" s="8"/>
      <c r="E29" s="305">
        <v>614000</v>
      </c>
      <c r="F29" s="331"/>
      <c r="G29" s="8" t="s">
        <v>202</v>
      </c>
      <c r="H29" s="295">
        <f t="shared" ref="H29:M29" si="8">SUM(H30:H31)</f>
        <v>30000</v>
      </c>
      <c r="I29" s="295">
        <f t="shared" si="8"/>
        <v>180000</v>
      </c>
      <c r="J29" s="387">
        <f t="shared" si="8"/>
        <v>210000</v>
      </c>
      <c r="K29" s="295">
        <f t="shared" si="8"/>
        <v>0</v>
      </c>
      <c r="L29" s="295">
        <f t="shared" si="8"/>
        <v>0</v>
      </c>
      <c r="M29" s="387">
        <f t="shared" si="8"/>
        <v>0</v>
      </c>
      <c r="N29" s="346">
        <f t="shared" si="1"/>
        <v>0</v>
      </c>
    </row>
    <row r="30" spans="1:15" ht="12.95" customHeight="1">
      <c r="B30" s="10"/>
      <c r="C30" s="11"/>
      <c r="D30" s="22"/>
      <c r="E30" s="314">
        <v>614100</v>
      </c>
      <c r="F30" s="339" t="s">
        <v>678</v>
      </c>
      <c r="G30" s="41" t="s">
        <v>176</v>
      </c>
      <c r="H30" s="296">
        <v>0</v>
      </c>
      <c r="I30" s="296">
        <v>180000</v>
      </c>
      <c r="J30" s="385">
        <f t="shared" ref="J30:J31" si="9">SUM(H30:I30)</f>
        <v>180000</v>
      </c>
      <c r="K30" s="296">
        <v>0</v>
      </c>
      <c r="L30" s="296">
        <v>0</v>
      </c>
      <c r="M30" s="385">
        <f t="shared" ref="M30:M31" si="10">SUM(K30:L30)</f>
        <v>0</v>
      </c>
      <c r="N30" s="347">
        <f t="shared" si="1"/>
        <v>0</v>
      </c>
    </row>
    <row r="31" spans="1:15" ht="12.95" customHeight="1">
      <c r="B31" s="10"/>
      <c r="C31" s="11"/>
      <c r="D31" s="11"/>
      <c r="E31" s="306">
        <v>614100</v>
      </c>
      <c r="F31" s="332" t="s">
        <v>679</v>
      </c>
      <c r="G31" s="18" t="s">
        <v>215</v>
      </c>
      <c r="H31" s="296">
        <v>30000</v>
      </c>
      <c r="I31" s="296">
        <v>0</v>
      </c>
      <c r="J31" s="385">
        <f t="shared" si="9"/>
        <v>30000</v>
      </c>
      <c r="K31" s="296">
        <v>0</v>
      </c>
      <c r="L31" s="296">
        <v>0</v>
      </c>
      <c r="M31" s="385">
        <f t="shared" si="10"/>
        <v>0</v>
      </c>
      <c r="N31" s="347">
        <f t="shared" si="1"/>
        <v>0</v>
      </c>
    </row>
    <row r="32" spans="1:15" ht="12.95" customHeight="1">
      <c r="B32" s="10"/>
      <c r="C32" s="11"/>
      <c r="D32" s="11"/>
      <c r="E32" s="306"/>
      <c r="F32" s="332"/>
      <c r="G32" s="11"/>
      <c r="H32" s="296"/>
      <c r="I32" s="296"/>
      <c r="J32" s="386"/>
      <c r="K32" s="296"/>
      <c r="L32" s="296"/>
      <c r="M32" s="386"/>
      <c r="N32" s="347" t="str">
        <f t="shared" si="1"/>
        <v/>
      </c>
    </row>
    <row r="33" spans="1:16" s="1" customFormat="1" ht="12.95" customHeight="1">
      <c r="A33" s="281"/>
      <c r="B33" s="12"/>
      <c r="C33" s="8"/>
      <c r="D33" s="8"/>
      <c r="E33" s="305">
        <v>821000</v>
      </c>
      <c r="F33" s="331"/>
      <c r="G33" s="8" t="s">
        <v>90</v>
      </c>
      <c r="H33" s="295">
        <f t="shared" ref="H33:M33" si="11">SUM(H34:H36)</f>
        <v>2000</v>
      </c>
      <c r="I33" s="295">
        <f t="shared" si="11"/>
        <v>892000</v>
      </c>
      <c r="J33" s="387">
        <f t="shared" si="11"/>
        <v>894000</v>
      </c>
      <c r="K33" s="295">
        <f t="shared" si="11"/>
        <v>189</v>
      </c>
      <c r="L33" s="295">
        <f t="shared" si="11"/>
        <v>0</v>
      </c>
      <c r="M33" s="387">
        <f t="shared" si="11"/>
        <v>189</v>
      </c>
      <c r="N33" s="346">
        <f t="shared" si="1"/>
        <v>2.1140939597315434E-2</v>
      </c>
    </row>
    <row r="34" spans="1:16" ht="12.95" customHeight="1">
      <c r="B34" s="10"/>
      <c r="C34" s="11"/>
      <c r="D34" s="11"/>
      <c r="E34" s="306">
        <v>821200</v>
      </c>
      <c r="F34" s="332"/>
      <c r="G34" s="11" t="s">
        <v>91</v>
      </c>
      <c r="H34" s="296">
        <v>0</v>
      </c>
      <c r="I34" s="296">
        <v>0</v>
      </c>
      <c r="J34" s="385">
        <f t="shared" ref="J34:J36" si="12">SUM(H34:I34)</f>
        <v>0</v>
      </c>
      <c r="K34" s="296">
        <v>0</v>
      </c>
      <c r="L34" s="296">
        <v>0</v>
      </c>
      <c r="M34" s="385">
        <f t="shared" ref="M34:M36" si="13">SUM(K34:L34)</f>
        <v>0</v>
      </c>
      <c r="N34" s="347" t="str">
        <f t="shared" si="1"/>
        <v/>
      </c>
    </row>
    <row r="35" spans="1:16" ht="12.95" customHeight="1">
      <c r="B35" s="10"/>
      <c r="C35" s="11"/>
      <c r="D35" s="11"/>
      <c r="E35" s="306">
        <v>821300</v>
      </c>
      <c r="F35" s="332"/>
      <c r="G35" s="11" t="s">
        <v>92</v>
      </c>
      <c r="H35" s="296">
        <v>2000</v>
      </c>
      <c r="I35" s="296">
        <v>0</v>
      </c>
      <c r="J35" s="385">
        <f t="shared" si="12"/>
        <v>2000</v>
      </c>
      <c r="K35" s="296">
        <v>189</v>
      </c>
      <c r="L35" s="296">
        <v>0</v>
      </c>
      <c r="M35" s="385">
        <f t="shared" si="13"/>
        <v>189</v>
      </c>
      <c r="N35" s="347">
        <f t="shared" si="1"/>
        <v>9.4499999999999993</v>
      </c>
    </row>
    <row r="36" spans="1:16" ht="12.95" customHeight="1">
      <c r="B36" s="10"/>
      <c r="C36" s="11"/>
      <c r="D36" s="11"/>
      <c r="E36" s="309">
        <v>821600</v>
      </c>
      <c r="F36" s="335"/>
      <c r="G36" s="69" t="s">
        <v>104</v>
      </c>
      <c r="H36" s="296">
        <v>0</v>
      </c>
      <c r="I36" s="296">
        <v>892000</v>
      </c>
      <c r="J36" s="385">
        <f t="shared" si="12"/>
        <v>892000</v>
      </c>
      <c r="K36" s="296">
        <v>0</v>
      </c>
      <c r="L36" s="296">
        <v>0</v>
      </c>
      <c r="M36" s="385">
        <f t="shared" si="13"/>
        <v>0</v>
      </c>
      <c r="N36" s="347">
        <f t="shared" si="1"/>
        <v>0</v>
      </c>
      <c r="P36" s="57"/>
    </row>
    <row r="37" spans="1:16" ht="12.95" customHeight="1">
      <c r="B37" s="10"/>
      <c r="C37" s="11"/>
      <c r="D37" s="11"/>
      <c r="E37" s="306"/>
      <c r="F37" s="332"/>
      <c r="G37" s="11"/>
      <c r="H37" s="295"/>
      <c r="I37" s="295"/>
      <c r="J37" s="387"/>
      <c r="K37" s="295"/>
      <c r="L37" s="295"/>
      <c r="M37" s="387"/>
      <c r="N37" s="347" t="str">
        <f t="shared" si="1"/>
        <v/>
      </c>
    </row>
    <row r="38" spans="1:16" s="1" customFormat="1" ht="12.95" customHeight="1">
      <c r="A38" s="281"/>
      <c r="B38" s="12"/>
      <c r="C38" s="8"/>
      <c r="D38" s="8"/>
      <c r="E38" s="305"/>
      <c r="F38" s="331"/>
      <c r="G38" s="8" t="s">
        <v>93</v>
      </c>
      <c r="H38" s="295">
        <v>10</v>
      </c>
      <c r="I38" s="295"/>
      <c r="J38" s="387">
        <v>10</v>
      </c>
      <c r="K38" s="295">
        <v>9</v>
      </c>
      <c r="L38" s="295"/>
      <c r="M38" s="387">
        <v>9</v>
      </c>
      <c r="N38" s="347"/>
    </row>
    <row r="39" spans="1:16" s="1" customFormat="1" ht="12.95" customHeight="1">
      <c r="A39" s="281"/>
      <c r="B39" s="12"/>
      <c r="C39" s="8"/>
      <c r="D39" s="8"/>
      <c r="E39" s="305"/>
      <c r="F39" s="331"/>
      <c r="G39" s="8" t="s">
        <v>113</v>
      </c>
      <c r="H39" s="288">
        <f t="shared" ref="H39:M39" si="14">H8+H13+H16+H29+H33</f>
        <v>320880</v>
      </c>
      <c r="I39" s="288">
        <f t="shared" si="14"/>
        <v>1272000</v>
      </c>
      <c r="J39" s="387">
        <f t="shared" si="14"/>
        <v>1592880</v>
      </c>
      <c r="K39" s="288">
        <f t="shared" si="14"/>
        <v>66089</v>
      </c>
      <c r="L39" s="288">
        <f t="shared" si="14"/>
        <v>40007</v>
      </c>
      <c r="M39" s="387">
        <f t="shared" si="14"/>
        <v>106096</v>
      </c>
      <c r="N39" s="346">
        <f t="shared" si="1"/>
        <v>6.6606398473205761</v>
      </c>
    </row>
    <row r="40" spans="1:16" s="1" customFormat="1" ht="12.95" customHeight="1">
      <c r="A40" s="281"/>
      <c r="B40" s="12"/>
      <c r="C40" s="8"/>
      <c r="D40" s="8"/>
      <c r="E40" s="305"/>
      <c r="F40" s="331"/>
      <c r="G40" s="8" t="s">
        <v>94</v>
      </c>
      <c r="H40" s="288">
        <f t="shared" ref="H40:J41" si="15">H39</f>
        <v>320880</v>
      </c>
      <c r="I40" s="288">
        <f t="shared" si="15"/>
        <v>1272000</v>
      </c>
      <c r="J40" s="387">
        <f t="shared" si="15"/>
        <v>1592880</v>
      </c>
      <c r="K40" s="288">
        <f t="shared" ref="K40:M40" si="16">K39</f>
        <v>66089</v>
      </c>
      <c r="L40" s="288">
        <f t="shared" si="16"/>
        <v>40007</v>
      </c>
      <c r="M40" s="387">
        <f t="shared" si="16"/>
        <v>106096</v>
      </c>
      <c r="N40" s="346">
        <f t="shared" si="1"/>
        <v>6.6606398473205761</v>
      </c>
    </row>
    <row r="41" spans="1:16" s="1" customFormat="1" ht="12.95" customHeight="1">
      <c r="A41" s="281"/>
      <c r="B41" s="12"/>
      <c r="C41" s="8"/>
      <c r="D41" s="8"/>
      <c r="E41" s="305"/>
      <c r="F41" s="331"/>
      <c r="G41" s="8" t="s">
        <v>95</v>
      </c>
      <c r="H41" s="288">
        <f t="shared" si="15"/>
        <v>320880</v>
      </c>
      <c r="I41" s="288">
        <f t="shared" si="15"/>
        <v>1272000</v>
      </c>
      <c r="J41" s="387">
        <f t="shared" si="15"/>
        <v>1592880</v>
      </c>
      <c r="K41" s="288">
        <f t="shared" ref="K41:M41" si="17">K40</f>
        <v>66089</v>
      </c>
      <c r="L41" s="288">
        <f t="shared" si="17"/>
        <v>40007</v>
      </c>
      <c r="M41" s="387">
        <f t="shared" si="17"/>
        <v>106096</v>
      </c>
      <c r="N41" s="346">
        <f t="shared" si="1"/>
        <v>6.6606398473205761</v>
      </c>
    </row>
    <row r="42" spans="1:16" ht="12.95" customHeight="1" thickBot="1">
      <c r="B42" s="15"/>
      <c r="C42" s="16"/>
      <c r="D42" s="16"/>
      <c r="E42" s="307"/>
      <c r="F42" s="333"/>
      <c r="G42" s="16"/>
      <c r="H42" s="27"/>
      <c r="I42" s="27"/>
      <c r="J42" s="390"/>
      <c r="K42" s="27"/>
      <c r="L42" s="27"/>
      <c r="M42" s="390"/>
      <c r="N42" s="349" t="str">
        <f t="shared" si="1"/>
        <v/>
      </c>
    </row>
    <row r="43" spans="1:16" ht="12.95" customHeight="1">
      <c r="E43" s="308"/>
      <c r="F43" s="334"/>
      <c r="J43" s="393"/>
      <c r="M43" s="393"/>
      <c r="N43" s="350" t="str">
        <f t="shared" si="1"/>
        <v/>
      </c>
    </row>
    <row r="44" spans="1:16" ht="12.95" customHeight="1">
      <c r="B44" s="50"/>
      <c r="E44" s="308"/>
      <c r="F44" s="334"/>
      <c r="J44" s="393"/>
      <c r="M44" s="393"/>
      <c r="N44" s="350" t="str">
        <f t="shared" si="1"/>
        <v/>
      </c>
    </row>
    <row r="45" spans="1:16" ht="12.95" customHeight="1">
      <c r="B45" s="50"/>
      <c r="E45" s="308"/>
      <c r="F45" s="334"/>
      <c r="J45" s="393"/>
      <c r="M45" s="393"/>
      <c r="N45" s="350" t="str">
        <f t="shared" si="1"/>
        <v/>
      </c>
    </row>
    <row r="46" spans="1:16" ht="12.95" customHeight="1">
      <c r="B46" s="50"/>
      <c r="E46" s="308"/>
      <c r="F46" s="334"/>
      <c r="J46" s="393"/>
      <c r="M46" s="393"/>
      <c r="N46" s="350" t="str">
        <f t="shared" si="1"/>
        <v/>
      </c>
    </row>
    <row r="47" spans="1:16" ht="12.95" customHeight="1">
      <c r="E47" s="308"/>
      <c r="F47" s="334"/>
      <c r="J47" s="393"/>
      <c r="M47" s="393"/>
      <c r="N47" s="350" t="str">
        <f t="shared" si="1"/>
        <v/>
      </c>
    </row>
    <row r="48" spans="1:16" ht="12.95" customHeight="1">
      <c r="E48" s="308"/>
      <c r="F48" s="334"/>
      <c r="J48" s="393"/>
      <c r="M48" s="393"/>
      <c r="N48" s="350" t="str">
        <f t="shared" si="1"/>
        <v/>
      </c>
    </row>
    <row r="49" spans="5:14" ht="12.95" customHeight="1">
      <c r="E49" s="308"/>
      <c r="F49" s="334"/>
      <c r="J49" s="393"/>
      <c r="M49" s="393"/>
      <c r="N49" s="350" t="str">
        <f t="shared" si="1"/>
        <v/>
      </c>
    </row>
    <row r="50" spans="5:14" ht="12.95" customHeight="1">
      <c r="E50" s="308"/>
      <c r="F50" s="334"/>
      <c r="J50" s="393"/>
      <c r="M50" s="393"/>
      <c r="N50" s="350" t="str">
        <f t="shared" si="1"/>
        <v/>
      </c>
    </row>
    <row r="51" spans="5:14" ht="12.95" customHeight="1">
      <c r="E51" s="308"/>
      <c r="F51" s="334"/>
      <c r="J51" s="393"/>
      <c r="M51" s="393"/>
      <c r="N51" s="350" t="str">
        <f t="shared" si="1"/>
        <v/>
      </c>
    </row>
    <row r="52" spans="5:14" ht="12.95" customHeight="1">
      <c r="E52" s="308"/>
      <c r="F52" s="334"/>
      <c r="J52" s="393"/>
      <c r="M52" s="393"/>
      <c r="N52" s="350" t="str">
        <f t="shared" si="1"/>
        <v/>
      </c>
    </row>
    <row r="53" spans="5:14" ht="12.95" customHeight="1">
      <c r="E53" s="308"/>
      <c r="F53" s="334"/>
      <c r="J53" s="393"/>
      <c r="M53" s="393"/>
      <c r="N53" s="350" t="str">
        <f t="shared" si="1"/>
        <v/>
      </c>
    </row>
    <row r="54" spans="5:14" ht="12.95" customHeight="1">
      <c r="E54" s="308"/>
      <c r="F54" s="334"/>
      <c r="J54" s="393"/>
      <c r="M54" s="393"/>
      <c r="N54" s="350" t="str">
        <f t="shared" si="1"/>
        <v/>
      </c>
    </row>
    <row r="55" spans="5:14" ht="12.95" customHeight="1">
      <c r="E55" s="308"/>
      <c r="F55" s="334"/>
      <c r="J55" s="393"/>
      <c r="M55" s="393"/>
      <c r="N55" s="350" t="str">
        <f t="shared" si="1"/>
        <v/>
      </c>
    </row>
    <row r="56" spans="5:14" ht="12.95" customHeight="1">
      <c r="E56" s="308"/>
      <c r="F56" s="334"/>
      <c r="J56" s="393"/>
      <c r="M56" s="393"/>
      <c r="N56" s="350" t="str">
        <f t="shared" si="1"/>
        <v/>
      </c>
    </row>
    <row r="57" spans="5:14" ht="12.95" customHeight="1">
      <c r="E57" s="308"/>
      <c r="F57" s="334"/>
      <c r="J57" s="393"/>
      <c r="M57" s="393"/>
      <c r="N57" s="350" t="str">
        <f t="shared" si="1"/>
        <v/>
      </c>
    </row>
    <row r="58" spans="5:14" ht="12.95" customHeight="1">
      <c r="E58" s="308"/>
      <c r="F58" s="334"/>
      <c r="J58" s="393"/>
      <c r="M58" s="393"/>
      <c r="N58" s="350" t="str">
        <f t="shared" si="1"/>
        <v/>
      </c>
    </row>
    <row r="59" spans="5:14" ht="12.95" customHeight="1">
      <c r="E59" s="308"/>
      <c r="F59" s="334"/>
      <c r="J59" s="393"/>
      <c r="M59" s="393"/>
      <c r="N59" s="350" t="str">
        <f t="shared" si="1"/>
        <v/>
      </c>
    </row>
    <row r="60" spans="5:14" ht="17.100000000000001" customHeight="1">
      <c r="E60" s="308"/>
      <c r="F60" s="334"/>
      <c r="J60" s="393"/>
      <c r="M60" s="393"/>
      <c r="N60" s="350" t="str">
        <f t="shared" si="1"/>
        <v/>
      </c>
    </row>
    <row r="61" spans="5:14" ht="14.25">
      <c r="E61" s="308"/>
      <c r="F61" s="334"/>
      <c r="J61" s="393"/>
      <c r="M61" s="393"/>
      <c r="N61" s="350" t="str">
        <f t="shared" si="1"/>
        <v/>
      </c>
    </row>
    <row r="62" spans="5:14" ht="14.25">
      <c r="E62" s="308"/>
      <c r="F62" s="334"/>
      <c r="J62" s="393"/>
      <c r="M62" s="393"/>
      <c r="N62" s="350" t="str">
        <f t="shared" si="1"/>
        <v/>
      </c>
    </row>
    <row r="63" spans="5:14" ht="14.25">
      <c r="E63" s="308"/>
      <c r="F63" s="334"/>
      <c r="J63" s="393"/>
      <c r="M63" s="393"/>
      <c r="N63" s="350" t="str">
        <f t="shared" si="1"/>
        <v/>
      </c>
    </row>
    <row r="64" spans="5:14" ht="14.25">
      <c r="E64" s="308"/>
      <c r="F64" s="334"/>
      <c r="J64" s="393"/>
      <c r="M64" s="393"/>
      <c r="N64" s="350" t="str">
        <f t="shared" si="1"/>
        <v/>
      </c>
    </row>
    <row r="65" spans="5:14" ht="14.25">
      <c r="E65" s="308"/>
      <c r="F65" s="334"/>
      <c r="J65" s="393"/>
      <c r="M65" s="393"/>
      <c r="N65" s="350" t="str">
        <f t="shared" si="1"/>
        <v/>
      </c>
    </row>
    <row r="66" spans="5:14" ht="14.25">
      <c r="E66" s="308"/>
      <c r="F66" s="334"/>
      <c r="J66" s="393"/>
      <c r="M66" s="393"/>
      <c r="N66" s="350" t="str">
        <f t="shared" si="1"/>
        <v/>
      </c>
    </row>
    <row r="67" spans="5:14" ht="14.25">
      <c r="E67" s="308"/>
      <c r="F67" s="334"/>
      <c r="J67" s="393"/>
      <c r="M67" s="393"/>
    </row>
    <row r="68" spans="5:14" ht="14.25">
      <c r="E68" s="308"/>
      <c r="F68" s="334"/>
      <c r="J68" s="393"/>
      <c r="M68" s="393"/>
    </row>
    <row r="69" spans="5:14" ht="14.25">
      <c r="E69" s="308"/>
      <c r="F69" s="334"/>
      <c r="J69" s="393"/>
      <c r="M69" s="393"/>
    </row>
    <row r="70" spans="5:14" ht="14.25">
      <c r="E70" s="308"/>
      <c r="F70" s="334"/>
      <c r="J70" s="393"/>
      <c r="M70" s="393"/>
    </row>
    <row r="71" spans="5:14" ht="14.25">
      <c r="E71" s="308"/>
      <c r="F71" s="334"/>
      <c r="J71" s="393"/>
      <c r="M71" s="393"/>
    </row>
    <row r="72" spans="5:14" ht="14.25">
      <c r="E72" s="308"/>
      <c r="F72" s="334"/>
      <c r="J72" s="393"/>
      <c r="M72" s="393"/>
    </row>
    <row r="73" spans="5:14" ht="14.25">
      <c r="E73" s="308"/>
      <c r="F73" s="334"/>
      <c r="J73" s="393"/>
      <c r="M73" s="393"/>
    </row>
    <row r="74" spans="5:14" ht="14.25">
      <c r="E74" s="308"/>
      <c r="F74" s="308"/>
      <c r="J74" s="393"/>
      <c r="M74" s="393"/>
    </row>
    <row r="75" spans="5:14" ht="14.25">
      <c r="E75" s="308"/>
      <c r="F75" s="308"/>
      <c r="J75" s="393"/>
      <c r="M75" s="393"/>
    </row>
    <row r="76" spans="5:14" ht="14.25">
      <c r="E76" s="308"/>
      <c r="F76" s="308"/>
      <c r="J76" s="393"/>
      <c r="M76" s="393"/>
    </row>
    <row r="77" spans="5:14" ht="14.25">
      <c r="E77" s="308"/>
      <c r="F77" s="308"/>
      <c r="J77" s="393"/>
      <c r="M77" s="393"/>
    </row>
    <row r="78" spans="5:14" ht="14.25">
      <c r="E78" s="308"/>
      <c r="F78" s="308"/>
      <c r="J78" s="393"/>
      <c r="M78" s="393"/>
    </row>
    <row r="79" spans="5:14" ht="14.25">
      <c r="E79" s="308"/>
      <c r="F79" s="308"/>
      <c r="J79" s="393"/>
      <c r="M79" s="393"/>
    </row>
    <row r="80" spans="5:14" ht="14.25">
      <c r="E80" s="308"/>
      <c r="F80" s="308"/>
      <c r="J80" s="393"/>
      <c r="M80" s="393"/>
    </row>
    <row r="81" spans="5:13" ht="14.25">
      <c r="E81" s="308"/>
      <c r="F81" s="308"/>
      <c r="J81" s="393"/>
      <c r="M81" s="393"/>
    </row>
    <row r="82" spans="5:13" ht="14.25">
      <c r="E82" s="308"/>
      <c r="F82" s="308"/>
      <c r="J82" s="393"/>
      <c r="M82" s="393"/>
    </row>
    <row r="83" spans="5:13" ht="14.25">
      <c r="E83" s="308"/>
      <c r="F83" s="308"/>
      <c r="J83" s="393"/>
      <c r="M83" s="393"/>
    </row>
    <row r="84" spans="5:13" ht="14.25">
      <c r="E84" s="308"/>
      <c r="F84" s="308"/>
      <c r="J84" s="393"/>
      <c r="M84" s="393"/>
    </row>
    <row r="85" spans="5:13" ht="14.25">
      <c r="E85" s="308"/>
      <c r="F85" s="308"/>
      <c r="J85" s="393"/>
      <c r="M85" s="393"/>
    </row>
    <row r="86" spans="5:13" ht="14.25">
      <c r="E86" s="308"/>
      <c r="F86" s="308"/>
      <c r="J86" s="393"/>
      <c r="M86" s="393"/>
    </row>
    <row r="87" spans="5:13" ht="14.25">
      <c r="E87" s="308"/>
      <c r="F87" s="308"/>
      <c r="J87" s="393"/>
      <c r="M87" s="393"/>
    </row>
    <row r="88" spans="5:13" ht="14.25">
      <c r="E88" s="308"/>
      <c r="F88" s="308"/>
      <c r="J88" s="393"/>
      <c r="M88" s="393"/>
    </row>
    <row r="89" spans="5:13" ht="14.25">
      <c r="E89" s="308"/>
      <c r="F89" s="308"/>
      <c r="J89" s="393"/>
      <c r="M89" s="393"/>
    </row>
    <row r="90" spans="5:13" ht="14.25">
      <c r="E90" s="308"/>
      <c r="F90" s="308"/>
      <c r="J90" s="393"/>
      <c r="M90" s="393"/>
    </row>
    <row r="91" spans="5:13">
      <c r="F91" s="308"/>
    </row>
    <row r="92" spans="5:13">
      <c r="F92" s="308"/>
    </row>
    <row r="93" spans="5:13">
      <c r="F93" s="308"/>
    </row>
    <row r="94" spans="5:13">
      <c r="F94" s="308"/>
    </row>
    <row r="95" spans="5:13">
      <c r="F95" s="308"/>
    </row>
    <row r="96" spans="5:13">
      <c r="F96" s="308"/>
    </row>
  </sheetData>
  <mergeCells count="10">
    <mergeCell ref="N4:N5"/>
    <mergeCell ref="G4:G5"/>
    <mergeCell ref="B2:G2"/>
    <mergeCell ref="H4:J4"/>
    <mergeCell ref="B4:B5"/>
    <mergeCell ref="C4:C5"/>
    <mergeCell ref="D4:D5"/>
    <mergeCell ref="F4:F5"/>
    <mergeCell ref="E4:E5"/>
    <mergeCell ref="K4:M4"/>
  </mergeCells>
  <phoneticPr fontId="2" type="noConversion"/>
  <pageMargins left="0.78740157480314965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22"/>
  <dimension ref="A1:P96"/>
  <sheetViews>
    <sheetView topLeftCell="A28" zoomScaleNormal="100" zoomScaleSheetLayoutView="100" workbookViewId="0">
      <selection activeCell="K45" sqref="K45"/>
    </sheetView>
  </sheetViews>
  <sheetFormatPr defaultRowHeight="12.75"/>
  <cols>
    <col min="1" max="1" width="9.140625" style="284"/>
    <col min="2" max="2" width="4.7109375" style="9" customWidth="1"/>
    <col min="3" max="3" width="5.140625" style="9" customWidth="1"/>
    <col min="4" max="4" width="5" style="9" customWidth="1"/>
    <col min="5" max="5" width="8.7109375" style="17" customWidth="1"/>
    <col min="6" max="6" width="8.7109375" style="289" customWidth="1"/>
    <col min="7" max="7" width="50.7109375" style="9" customWidth="1"/>
    <col min="8" max="9" width="14.7109375" style="284" customWidth="1"/>
    <col min="10" max="10" width="15.7109375" style="9" customWidth="1"/>
    <col min="11" max="12" width="14.7109375" style="284" customWidth="1"/>
    <col min="13" max="13" width="15.7109375" style="284" customWidth="1"/>
    <col min="14" max="14" width="7.7109375" style="350" customWidth="1"/>
    <col min="15" max="16384" width="9.140625" style="9"/>
  </cols>
  <sheetData>
    <row r="1" spans="1:16" ht="13.5" thickBot="1"/>
    <row r="2" spans="1:16" s="98" customFormat="1" ht="20.100000000000001" customHeight="1" thickTop="1" thickBot="1">
      <c r="A2" s="376"/>
      <c r="B2" s="590" t="s">
        <v>140</v>
      </c>
      <c r="C2" s="591"/>
      <c r="D2" s="591"/>
      <c r="E2" s="591"/>
      <c r="F2" s="591"/>
      <c r="G2" s="591"/>
      <c r="H2" s="591"/>
      <c r="I2" s="591"/>
      <c r="J2" s="591"/>
      <c r="K2" s="530"/>
      <c r="L2" s="530"/>
      <c r="M2" s="530"/>
      <c r="N2" s="379"/>
    </row>
    <row r="3" spans="1:16" s="1" customFormat="1" ht="8.1" customHeight="1" thickTop="1" thickBot="1">
      <c r="A3" s="281"/>
      <c r="E3" s="2"/>
      <c r="F3" s="282"/>
      <c r="G3" s="531"/>
      <c r="H3" s="92"/>
      <c r="I3" s="92"/>
      <c r="J3" s="92"/>
      <c r="K3" s="92"/>
      <c r="L3" s="92"/>
      <c r="M3" s="92"/>
      <c r="N3" s="344"/>
    </row>
    <row r="4" spans="1:16" s="1" customFormat="1" ht="39" customHeight="1">
      <c r="A4" s="281"/>
      <c r="B4" s="596" t="s">
        <v>78</v>
      </c>
      <c r="C4" s="606" t="s">
        <v>79</v>
      </c>
      <c r="D4" s="607" t="s">
        <v>110</v>
      </c>
      <c r="E4" s="608" t="s">
        <v>594</v>
      </c>
      <c r="F4" s="601" t="s">
        <v>653</v>
      </c>
      <c r="G4" s="602" t="s">
        <v>80</v>
      </c>
      <c r="H4" s="593" t="s">
        <v>647</v>
      </c>
      <c r="I4" s="594"/>
      <c r="J4" s="595"/>
      <c r="K4" s="593" t="s">
        <v>801</v>
      </c>
      <c r="L4" s="594"/>
      <c r="M4" s="595"/>
      <c r="N4" s="604" t="s">
        <v>805</v>
      </c>
    </row>
    <row r="5" spans="1:16" s="281" customFormat="1" ht="27" customHeight="1">
      <c r="B5" s="597"/>
      <c r="C5" s="599"/>
      <c r="D5" s="599"/>
      <c r="E5" s="603"/>
      <c r="F5" s="599"/>
      <c r="G5" s="603"/>
      <c r="H5" s="372" t="s">
        <v>705</v>
      </c>
      <c r="I5" s="372" t="s">
        <v>706</v>
      </c>
      <c r="J5" s="382" t="s">
        <v>413</v>
      </c>
      <c r="K5" s="372" t="s">
        <v>705</v>
      </c>
      <c r="L5" s="372" t="s">
        <v>706</v>
      </c>
      <c r="M5" s="382" t="s">
        <v>413</v>
      </c>
      <c r="N5" s="605"/>
    </row>
    <row r="6" spans="1:16" s="2" customFormat="1" ht="12.95" customHeight="1">
      <c r="A6" s="282"/>
      <c r="B6" s="504">
        <v>1</v>
      </c>
      <c r="C6" s="331">
        <v>2</v>
      </c>
      <c r="D6" s="331">
        <v>3</v>
      </c>
      <c r="E6" s="331">
        <v>4</v>
      </c>
      <c r="F6" s="331">
        <v>5</v>
      </c>
      <c r="G6" s="331">
        <v>6</v>
      </c>
      <c r="H6" s="331">
        <v>7</v>
      </c>
      <c r="I6" s="331">
        <v>8</v>
      </c>
      <c r="J6" s="523" t="s">
        <v>804</v>
      </c>
      <c r="K6" s="331">
        <v>10</v>
      </c>
      <c r="L6" s="331">
        <v>11</v>
      </c>
      <c r="M6" s="523" t="s">
        <v>707</v>
      </c>
      <c r="N6" s="505">
        <v>13</v>
      </c>
    </row>
    <row r="7" spans="1:16" s="2" customFormat="1" ht="12.95" customHeight="1">
      <c r="A7" s="282"/>
      <c r="B7" s="6" t="s">
        <v>141</v>
      </c>
      <c r="C7" s="7" t="s">
        <v>81</v>
      </c>
      <c r="D7" s="7" t="s">
        <v>82</v>
      </c>
      <c r="E7" s="5"/>
      <c r="F7" s="283"/>
      <c r="G7" s="5"/>
      <c r="H7" s="283"/>
      <c r="I7" s="283"/>
      <c r="J7" s="383"/>
      <c r="K7" s="283"/>
      <c r="L7" s="283"/>
      <c r="M7" s="383"/>
      <c r="N7" s="345"/>
    </row>
    <row r="8" spans="1:16" s="1" customFormat="1" ht="12.95" customHeight="1">
      <c r="A8" s="281"/>
      <c r="B8" s="12"/>
      <c r="C8" s="8"/>
      <c r="D8" s="8"/>
      <c r="E8" s="305">
        <v>611000</v>
      </c>
      <c r="F8" s="331"/>
      <c r="G8" s="8" t="s">
        <v>163</v>
      </c>
      <c r="H8" s="210">
        <f t="shared" ref="H8:M8" si="0">SUM(H9:H12)</f>
        <v>608050</v>
      </c>
      <c r="I8" s="210">
        <f t="shared" si="0"/>
        <v>0</v>
      </c>
      <c r="J8" s="384">
        <f t="shared" si="0"/>
        <v>608050</v>
      </c>
      <c r="K8" s="210">
        <f t="shared" si="0"/>
        <v>138283</v>
      </c>
      <c r="L8" s="210">
        <f t="shared" si="0"/>
        <v>0</v>
      </c>
      <c r="M8" s="384">
        <f t="shared" si="0"/>
        <v>138283</v>
      </c>
      <c r="N8" s="346">
        <f>IF(J8=0,"",M8/J8*100)</f>
        <v>22.742044239782913</v>
      </c>
    </row>
    <row r="9" spans="1:16" ht="12.95" customHeight="1">
      <c r="B9" s="10"/>
      <c r="C9" s="11"/>
      <c r="D9" s="11"/>
      <c r="E9" s="306">
        <v>611100</v>
      </c>
      <c r="F9" s="332"/>
      <c r="G9" s="18" t="s">
        <v>198</v>
      </c>
      <c r="H9" s="209">
        <f>496000+3500+1*9*1430</f>
        <v>512370</v>
      </c>
      <c r="I9" s="209">
        <v>0</v>
      </c>
      <c r="J9" s="385">
        <f>SUM(H9:I9)</f>
        <v>512370</v>
      </c>
      <c r="K9" s="209">
        <v>118140</v>
      </c>
      <c r="L9" s="209">
        <v>0</v>
      </c>
      <c r="M9" s="385">
        <f>SUM(K9:L9)</f>
        <v>118140</v>
      </c>
      <c r="N9" s="347">
        <f t="shared" ref="N9:N66" si="1">IF(J9=0,"",M9/J9*100)</f>
        <v>23.057556063001346</v>
      </c>
    </row>
    <row r="10" spans="1:16" ht="12.95" customHeight="1">
      <c r="B10" s="10"/>
      <c r="C10" s="11"/>
      <c r="D10" s="11"/>
      <c r="E10" s="306">
        <v>611200</v>
      </c>
      <c r="F10" s="332"/>
      <c r="G10" s="11" t="s">
        <v>199</v>
      </c>
      <c r="H10" s="213">
        <f>91500+1300+9*320</f>
        <v>95680</v>
      </c>
      <c r="I10" s="213">
        <v>0</v>
      </c>
      <c r="J10" s="385">
        <f t="shared" ref="J10:J11" si="2">SUM(H10:I10)</f>
        <v>95680</v>
      </c>
      <c r="K10" s="213">
        <v>20143</v>
      </c>
      <c r="L10" s="213">
        <v>0</v>
      </c>
      <c r="M10" s="385">
        <f t="shared" ref="M10:M11" si="3">SUM(K10:L10)</f>
        <v>20143</v>
      </c>
      <c r="N10" s="347">
        <f t="shared" si="1"/>
        <v>21.052466555183948</v>
      </c>
    </row>
    <row r="11" spans="1:16" ht="12.95" customHeight="1">
      <c r="B11" s="10"/>
      <c r="C11" s="11"/>
      <c r="D11" s="11"/>
      <c r="E11" s="306">
        <v>611200</v>
      </c>
      <c r="F11" s="332"/>
      <c r="G11" s="189" t="s">
        <v>534</v>
      </c>
      <c r="H11" s="209">
        <v>0</v>
      </c>
      <c r="I11" s="209">
        <v>0</v>
      </c>
      <c r="J11" s="385">
        <f t="shared" si="2"/>
        <v>0</v>
      </c>
      <c r="K11" s="209">
        <v>0</v>
      </c>
      <c r="L11" s="209">
        <v>0</v>
      </c>
      <c r="M11" s="385">
        <f t="shared" si="3"/>
        <v>0</v>
      </c>
      <c r="N11" s="347" t="str">
        <f t="shared" si="1"/>
        <v/>
      </c>
      <c r="P11" s="56"/>
    </row>
    <row r="12" spans="1:16" ht="12.95" customHeight="1">
      <c r="B12" s="10"/>
      <c r="C12" s="11"/>
      <c r="D12" s="11"/>
      <c r="E12" s="306"/>
      <c r="F12" s="332"/>
      <c r="G12" s="18"/>
      <c r="H12" s="209"/>
      <c r="I12" s="209"/>
      <c r="J12" s="385"/>
      <c r="K12" s="209"/>
      <c r="L12" s="209"/>
      <c r="M12" s="385"/>
      <c r="N12" s="347" t="str">
        <f t="shared" si="1"/>
        <v/>
      </c>
    </row>
    <row r="13" spans="1:16" s="1" customFormat="1" ht="12.95" customHeight="1">
      <c r="A13" s="281"/>
      <c r="B13" s="12"/>
      <c r="C13" s="8"/>
      <c r="D13" s="8"/>
      <c r="E13" s="305">
        <v>612000</v>
      </c>
      <c r="F13" s="331"/>
      <c r="G13" s="8" t="s">
        <v>162</v>
      </c>
      <c r="H13" s="210">
        <f t="shared" ref="H13:M13" si="4">H14</f>
        <v>54570</v>
      </c>
      <c r="I13" s="210">
        <f t="shared" si="4"/>
        <v>0</v>
      </c>
      <c r="J13" s="384">
        <f t="shared" si="4"/>
        <v>54570</v>
      </c>
      <c r="K13" s="210">
        <f t="shared" si="4"/>
        <v>13095</v>
      </c>
      <c r="L13" s="210">
        <f t="shared" si="4"/>
        <v>0</v>
      </c>
      <c r="M13" s="384">
        <f t="shared" si="4"/>
        <v>13095</v>
      </c>
      <c r="N13" s="346">
        <f t="shared" si="1"/>
        <v>23.99670148433205</v>
      </c>
    </row>
    <row r="14" spans="1:16" ht="12.95" customHeight="1">
      <c r="B14" s="10"/>
      <c r="C14" s="11"/>
      <c r="D14" s="11"/>
      <c r="E14" s="306">
        <v>612100</v>
      </c>
      <c r="F14" s="332"/>
      <c r="G14" s="13" t="s">
        <v>83</v>
      </c>
      <c r="H14" s="209">
        <f>52700+430+1*9*160</f>
        <v>54570</v>
      </c>
      <c r="I14" s="209">
        <v>0</v>
      </c>
      <c r="J14" s="385">
        <f>SUM(H14:I14)</f>
        <v>54570</v>
      </c>
      <c r="K14" s="209">
        <v>13095</v>
      </c>
      <c r="L14" s="209">
        <v>0</v>
      </c>
      <c r="M14" s="385">
        <f>SUM(K14:L14)</f>
        <v>13095</v>
      </c>
      <c r="N14" s="347">
        <f t="shared" si="1"/>
        <v>23.99670148433205</v>
      </c>
    </row>
    <row r="15" spans="1:16" ht="12.95" customHeight="1">
      <c r="B15" s="10"/>
      <c r="C15" s="11"/>
      <c r="D15" s="11"/>
      <c r="E15" s="306"/>
      <c r="F15" s="332"/>
      <c r="G15" s="11"/>
      <c r="H15" s="279"/>
      <c r="I15" s="279"/>
      <c r="J15" s="386"/>
      <c r="K15" s="279"/>
      <c r="L15" s="279"/>
      <c r="M15" s="386"/>
      <c r="N15" s="347" t="str">
        <f t="shared" si="1"/>
        <v/>
      </c>
    </row>
    <row r="16" spans="1:16" s="1" customFormat="1" ht="12.95" customHeight="1">
      <c r="A16" s="281"/>
      <c r="B16" s="12"/>
      <c r="C16" s="8"/>
      <c r="D16" s="8"/>
      <c r="E16" s="305">
        <v>613000</v>
      </c>
      <c r="F16" s="331"/>
      <c r="G16" s="8" t="s">
        <v>164</v>
      </c>
      <c r="H16" s="293">
        <f t="shared" ref="H16:M16" si="5">SUM(H17:H26)</f>
        <v>82610</v>
      </c>
      <c r="I16" s="293">
        <f t="shared" si="5"/>
        <v>0</v>
      </c>
      <c r="J16" s="387">
        <f t="shared" si="5"/>
        <v>82610</v>
      </c>
      <c r="K16" s="293">
        <f t="shared" si="5"/>
        <v>21828</v>
      </c>
      <c r="L16" s="293">
        <f t="shared" si="5"/>
        <v>0</v>
      </c>
      <c r="M16" s="387">
        <f t="shared" si="5"/>
        <v>21828</v>
      </c>
      <c r="N16" s="346">
        <f t="shared" si="1"/>
        <v>26.422951216559738</v>
      </c>
    </row>
    <row r="17" spans="1:16" ht="12.95" customHeight="1">
      <c r="B17" s="10"/>
      <c r="C17" s="11"/>
      <c r="D17" s="11"/>
      <c r="E17" s="306">
        <v>613100</v>
      </c>
      <c r="F17" s="332"/>
      <c r="G17" s="11" t="s">
        <v>84</v>
      </c>
      <c r="H17" s="364">
        <v>10500</v>
      </c>
      <c r="I17" s="364">
        <v>0</v>
      </c>
      <c r="J17" s="385">
        <f t="shared" ref="J17:J26" si="6">SUM(H17:I17)</f>
        <v>10500</v>
      </c>
      <c r="K17" s="364">
        <v>1171</v>
      </c>
      <c r="L17" s="364">
        <v>0</v>
      </c>
      <c r="M17" s="385">
        <f t="shared" ref="M17:M26" si="7">SUM(K17:L17)</f>
        <v>1171</v>
      </c>
      <c r="N17" s="347">
        <f t="shared" si="1"/>
        <v>11.152380952380952</v>
      </c>
    </row>
    <row r="18" spans="1:16" ht="12.95" customHeight="1">
      <c r="B18" s="10"/>
      <c r="C18" s="11"/>
      <c r="D18" s="11"/>
      <c r="E18" s="306">
        <v>613200</v>
      </c>
      <c r="F18" s="332"/>
      <c r="G18" s="11" t="s">
        <v>85</v>
      </c>
      <c r="H18" s="364">
        <v>0</v>
      </c>
      <c r="I18" s="364">
        <v>0</v>
      </c>
      <c r="J18" s="385">
        <f t="shared" si="6"/>
        <v>0</v>
      </c>
      <c r="K18" s="364">
        <v>0</v>
      </c>
      <c r="L18" s="364">
        <v>0</v>
      </c>
      <c r="M18" s="385">
        <f t="shared" si="7"/>
        <v>0</v>
      </c>
      <c r="N18" s="347" t="str">
        <f t="shared" si="1"/>
        <v/>
      </c>
    </row>
    <row r="19" spans="1:16" ht="12.95" customHeight="1">
      <c r="B19" s="10"/>
      <c r="C19" s="11"/>
      <c r="D19" s="11"/>
      <c r="E19" s="306">
        <v>613300</v>
      </c>
      <c r="F19" s="332"/>
      <c r="G19" s="18" t="s">
        <v>200</v>
      </c>
      <c r="H19" s="364">
        <v>5800</v>
      </c>
      <c r="I19" s="364">
        <v>0</v>
      </c>
      <c r="J19" s="385">
        <f t="shared" si="6"/>
        <v>5800</v>
      </c>
      <c r="K19" s="364">
        <v>1168</v>
      </c>
      <c r="L19" s="364">
        <v>0</v>
      </c>
      <c r="M19" s="385">
        <f t="shared" si="7"/>
        <v>1168</v>
      </c>
      <c r="N19" s="347">
        <f t="shared" si="1"/>
        <v>20.137931034482758</v>
      </c>
    </row>
    <row r="20" spans="1:16" ht="12.95" customHeight="1">
      <c r="B20" s="10"/>
      <c r="C20" s="11"/>
      <c r="D20" s="11"/>
      <c r="E20" s="306">
        <v>613400</v>
      </c>
      <c r="F20" s="332"/>
      <c r="G20" s="11" t="s">
        <v>165</v>
      </c>
      <c r="H20" s="364">
        <v>2100</v>
      </c>
      <c r="I20" s="364">
        <v>0</v>
      </c>
      <c r="J20" s="385">
        <f t="shared" si="6"/>
        <v>2100</v>
      </c>
      <c r="K20" s="364">
        <v>326</v>
      </c>
      <c r="L20" s="364">
        <v>0</v>
      </c>
      <c r="M20" s="385">
        <f t="shared" si="7"/>
        <v>326</v>
      </c>
      <c r="N20" s="347">
        <f t="shared" si="1"/>
        <v>15.523809523809524</v>
      </c>
    </row>
    <row r="21" spans="1:16" ht="12.95" customHeight="1">
      <c r="B21" s="10"/>
      <c r="C21" s="11"/>
      <c r="D21" s="11"/>
      <c r="E21" s="306">
        <v>613500</v>
      </c>
      <c r="F21" s="332"/>
      <c r="G21" s="11" t="s">
        <v>86</v>
      </c>
      <c r="H21" s="364">
        <v>500</v>
      </c>
      <c r="I21" s="364">
        <v>0</v>
      </c>
      <c r="J21" s="385">
        <f t="shared" si="6"/>
        <v>500</v>
      </c>
      <c r="K21" s="364">
        <v>0</v>
      </c>
      <c r="L21" s="364">
        <v>0</v>
      </c>
      <c r="M21" s="385">
        <f t="shared" si="7"/>
        <v>0</v>
      </c>
      <c r="N21" s="347">
        <f t="shared" si="1"/>
        <v>0</v>
      </c>
    </row>
    <row r="22" spans="1:16" ht="12.95" customHeight="1">
      <c r="B22" s="10"/>
      <c r="C22" s="11"/>
      <c r="D22" s="11"/>
      <c r="E22" s="306">
        <v>613600</v>
      </c>
      <c r="F22" s="332"/>
      <c r="G22" s="18" t="s">
        <v>201</v>
      </c>
      <c r="H22" s="364">
        <v>5500</v>
      </c>
      <c r="I22" s="364">
        <v>0</v>
      </c>
      <c r="J22" s="385">
        <f t="shared" si="6"/>
        <v>5500</v>
      </c>
      <c r="K22" s="364">
        <v>1251</v>
      </c>
      <c r="L22" s="364">
        <v>0</v>
      </c>
      <c r="M22" s="385">
        <f t="shared" si="7"/>
        <v>1251</v>
      </c>
      <c r="N22" s="347">
        <f t="shared" si="1"/>
        <v>22.745454545454546</v>
      </c>
    </row>
    <row r="23" spans="1:16" ht="12.95" customHeight="1">
      <c r="B23" s="10"/>
      <c r="C23" s="11"/>
      <c r="D23" s="11"/>
      <c r="E23" s="306">
        <v>613700</v>
      </c>
      <c r="F23" s="332"/>
      <c r="G23" s="11" t="s">
        <v>87</v>
      </c>
      <c r="H23" s="364">
        <v>7500</v>
      </c>
      <c r="I23" s="364">
        <v>0</v>
      </c>
      <c r="J23" s="385">
        <f t="shared" si="6"/>
        <v>7500</v>
      </c>
      <c r="K23" s="364">
        <v>3255</v>
      </c>
      <c r="L23" s="364">
        <v>0</v>
      </c>
      <c r="M23" s="385">
        <f t="shared" si="7"/>
        <v>3255</v>
      </c>
      <c r="N23" s="347">
        <f t="shared" si="1"/>
        <v>43.4</v>
      </c>
    </row>
    <row r="24" spans="1:16" ht="12.95" customHeight="1">
      <c r="B24" s="10"/>
      <c r="C24" s="11"/>
      <c r="D24" s="11"/>
      <c r="E24" s="306">
        <v>613800</v>
      </c>
      <c r="F24" s="332"/>
      <c r="G24" s="11" t="s">
        <v>166</v>
      </c>
      <c r="H24" s="364">
        <v>710</v>
      </c>
      <c r="I24" s="364">
        <v>0</v>
      </c>
      <c r="J24" s="385">
        <f t="shared" si="6"/>
        <v>710</v>
      </c>
      <c r="K24" s="364">
        <v>0</v>
      </c>
      <c r="L24" s="364">
        <v>0</v>
      </c>
      <c r="M24" s="385">
        <f t="shared" si="7"/>
        <v>0</v>
      </c>
      <c r="N24" s="347">
        <f t="shared" si="1"/>
        <v>0</v>
      </c>
    </row>
    <row r="25" spans="1:16" ht="12.95" customHeight="1">
      <c r="B25" s="10"/>
      <c r="C25" s="11"/>
      <c r="D25" s="11"/>
      <c r="E25" s="306">
        <v>613900</v>
      </c>
      <c r="F25" s="332"/>
      <c r="G25" s="11" t="s">
        <v>167</v>
      </c>
      <c r="H25" s="364">
        <v>50000</v>
      </c>
      <c r="I25" s="364">
        <v>0</v>
      </c>
      <c r="J25" s="385">
        <f t="shared" si="6"/>
        <v>50000</v>
      </c>
      <c r="K25" s="364">
        <v>14657</v>
      </c>
      <c r="L25" s="364">
        <v>0</v>
      </c>
      <c r="M25" s="385">
        <f t="shared" si="7"/>
        <v>14657</v>
      </c>
      <c r="N25" s="347">
        <f t="shared" si="1"/>
        <v>29.314</v>
      </c>
      <c r="O25" s="68"/>
    </row>
    <row r="26" spans="1:16" ht="12.95" customHeight="1">
      <c r="B26" s="10"/>
      <c r="C26" s="11"/>
      <c r="D26" s="11"/>
      <c r="E26" s="306">
        <v>613900</v>
      </c>
      <c r="F26" s="332"/>
      <c r="G26" s="189" t="s">
        <v>535</v>
      </c>
      <c r="H26" s="364">
        <v>0</v>
      </c>
      <c r="I26" s="364">
        <v>0</v>
      </c>
      <c r="J26" s="385">
        <f t="shared" si="6"/>
        <v>0</v>
      </c>
      <c r="K26" s="364">
        <v>0</v>
      </c>
      <c r="L26" s="364">
        <v>0</v>
      </c>
      <c r="M26" s="385">
        <f t="shared" si="7"/>
        <v>0</v>
      </c>
      <c r="N26" s="347" t="str">
        <f t="shared" si="1"/>
        <v/>
      </c>
    </row>
    <row r="27" spans="1:16" ht="12.95" customHeight="1">
      <c r="B27" s="10"/>
      <c r="C27" s="11"/>
      <c r="D27" s="11"/>
      <c r="E27" s="306"/>
      <c r="F27" s="332"/>
      <c r="G27" s="11"/>
      <c r="H27" s="295"/>
      <c r="I27" s="295"/>
      <c r="J27" s="387"/>
      <c r="K27" s="295"/>
      <c r="L27" s="295"/>
      <c r="M27" s="387"/>
      <c r="N27" s="347" t="str">
        <f t="shared" si="1"/>
        <v/>
      </c>
    </row>
    <row r="28" spans="1:16" s="1" customFormat="1" ht="12.95" customHeight="1">
      <c r="A28" s="281"/>
      <c r="B28" s="12"/>
      <c r="C28" s="8"/>
      <c r="D28" s="8"/>
      <c r="E28" s="305">
        <v>614000</v>
      </c>
      <c r="F28" s="331"/>
      <c r="G28" s="8" t="s">
        <v>202</v>
      </c>
      <c r="H28" s="295">
        <f t="shared" ref="H28" si="8">SUM(H29:H32)</f>
        <v>1172220</v>
      </c>
      <c r="I28" s="295">
        <f t="shared" ref="I28:K28" si="9">SUM(I29:I32)</f>
        <v>577780</v>
      </c>
      <c r="J28" s="387">
        <f t="shared" si="9"/>
        <v>1750000</v>
      </c>
      <c r="K28" s="295">
        <f t="shared" si="9"/>
        <v>0</v>
      </c>
      <c r="L28" s="295">
        <f t="shared" ref="L28:M28" si="10">SUM(L29:L32)</f>
        <v>0</v>
      </c>
      <c r="M28" s="387">
        <f t="shared" si="10"/>
        <v>0</v>
      </c>
      <c r="N28" s="346">
        <f t="shared" si="1"/>
        <v>0</v>
      </c>
    </row>
    <row r="29" spans="1:16" s="1" customFormat="1" ht="12.95" customHeight="1">
      <c r="A29" s="281"/>
      <c r="B29" s="12"/>
      <c r="C29" s="8"/>
      <c r="D29" s="23"/>
      <c r="E29" s="306">
        <v>614100</v>
      </c>
      <c r="F29" s="332" t="s">
        <v>681</v>
      </c>
      <c r="G29" s="13" t="s">
        <v>161</v>
      </c>
      <c r="H29" s="296">
        <v>0</v>
      </c>
      <c r="I29" s="296">
        <v>150000</v>
      </c>
      <c r="J29" s="385">
        <f t="shared" ref="J29:J32" si="11">SUM(H29:I29)</f>
        <v>150000</v>
      </c>
      <c r="K29" s="296">
        <v>0</v>
      </c>
      <c r="L29" s="296">
        <v>0</v>
      </c>
      <c r="M29" s="385">
        <f t="shared" ref="M29:M32" si="12">SUM(K29:L29)</f>
        <v>0</v>
      </c>
      <c r="N29" s="347">
        <f t="shared" si="1"/>
        <v>0</v>
      </c>
    </row>
    <row r="30" spans="1:16" ht="12.95" customHeight="1">
      <c r="B30" s="10"/>
      <c r="C30" s="11"/>
      <c r="D30" s="11"/>
      <c r="E30" s="306">
        <v>614500</v>
      </c>
      <c r="F30" s="332" t="s">
        <v>680</v>
      </c>
      <c r="G30" s="21" t="s">
        <v>391</v>
      </c>
      <c r="H30" s="296">
        <v>1100000</v>
      </c>
      <c r="I30" s="296">
        <v>0</v>
      </c>
      <c r="J30" s="385">
        <f t="shared" si="11"/>
        <v>1100000</v>
      </c>
      <c r="K30" s="296">
        <v>0</v>
      </c>
      <c r="L30" s="296">
        <v>0</v>
      </c>
      <c r="M30" s="385">
        <f t="shared" si="12"/>
        <v>0</v>
      </c>
      <c r="N30" s="347">
        <f t="shared" si="1"/>
        <v>0</v>
      </c>
    </row>
    <row r="31" spans="1:16" ht="12.95" customHeight="1">
      <c r="B31" s="10"/>
      <c r="C31" s="11"/>
      <c r="D31" s="11"/>
      <c r="E31" s="306">
        <v>614500</v>
      </c>
      <c r="F31" s="332" t="s">
        <v>682</v>
      </c>
      <c r="G31" s="21" t="s">
        <v>392</v>
      </c>
      <c r="H31" s="296">
        <v>32220</v>
      </c>
      <c r="I31" s="296">
        <f>259680+8100</f>
        <v>267780</v>
      </c>
      <c r="J31" s="385">
        <f t="shared" si="11"/>
        <v>300000</v>
      </c>
      <c r="K31" s="296">
        <v>0</v>
      </c>
      <c r="L31" s="296">
        <v>0</v>
      </c>
      <c r="M31" s="385">
        <f t="shared" si="12"/>
        <v>0</v>
      </c>
      <c r="N31" s="347">
        <f t="shared" si="1"/>
        <v>0</v>
      </c>
      <c r="P31" s="57"/>
    </row>
    <row r="32" spans="1:16" ht="12.95" customHeight="1">
      <c r="B32" s="10"/>
      <c r="C32" s="11"/>
      <c r="D32" s="11"/>
      <c r="E32" s="306">
        <v>614500</v>
      </c>
      <c r="F32" s="332" t="s">
        <v>683</v>
      </c>
      <c r="G32" s="21" t="s">
        <v>393</v>
      </c>
      <c r="H32" s="296">
        <v>40000</v>
      </c>
      <c r="I32" s="296">
        <f>110000+50000</f>
        <v>160000</v>
      </c>
      <c r="J32" s="385">
        <f t="shared" si="11"/>
        <v>200000</v>
      </c>
      <c r="K32" s="296">
        <v>0</v>
      </c>
      <c r="L32" s="296">
        <v>0</v>
      </c>
      <c r="M32" s="385">
        <f t="shared" si="12"/>
        <v>0</v>
      </c>
      <c r="N32" s="347">
        <f t="shared" si="1"/>
        <v>0</v>
      </c>
    </row>
    <row r="33" spans="1:14" ht="12.95" customHeight="1">
      <c r="B33" s="10"/>
      <c r="C33" s="11"/>
      <c r="D33" s="11"/>
      <c r="E33" s="306"/>
      <c r="F33" s="332"/>
      <c r="G33" s="18"/>
      <c r="H33" s="280"/>
      <c r="I33" s="280"/>
      <c r="J33" s="386"/>
      <c r="K33" s="280"/>
      <c r="L33" s="280"/>
      <c r="M33" s="386"/>
      <c r="N33" s="347" t="str">
        <f t="shared" si="1"/>
        <v/>
      </c>
    </row>
    <row r="34" spans="1:14" s="1" customFormat="1" ht="12.95" customHeight="1">
      <c r="A34" s="281"/>
      <c r="B34" s="12"/>
      <c r="C34" s="8"/>
      <c r="D34" s="8"/>
      <c r="E34" s="305">
        <v>821000</v>
      </c>
      <c r="F34" s="331"/>
      <c r="G34" s="8" t="s">
        <v>90</v>
      </c>
      <c r="H34" s="295">
        <f t="shared" ref="H34:M34" si="13">SUM(H35:H37)</f>
        <v>10000</v>
      </c>
      <c r="I34" s="295">
        <f t="shared" si="13"/>
        <v>30000</v>
      </c>
      <c r="J34" s="387">
        <f t="shared" si="13"/>
        <v>40000</v>
      </c>
      <c r="K34" s="295">
        <f t="shared" si="13"/>
        <v>3222</v>
      </c>
      <c r="L34" s="295">
        <f t="shared" si="13"/>
        <v>30000</v>
      </c>
      <c r="M34" s="387">
        <f t="shared" si="13"/>
        <v>33222</v>
      </c>
      <c r="N34" s="346">
        <f t="shared" si="1"/>
        <v>83.055000000000007</v>
      </c>
    </row>
    <row r="35" spans="1:14" ht="12.95" customHeight="1">
      <c r="B35" s="10"/>
      <c r="C35" s="11"/>
      <c r="D35" s="11"/>
      <c r="E35" s="306">
        <v>821200</v>
      </c>
      <c r="F35" s="332"/>
      <c r="G35" s="11" t="s">
        <v>91</v>
      </c>
      <c r="H35" s="280">
        <v>0</v>
      </c>
      <c r="I35" s="280">
        <v>0</v>
      </c>
      <c r="J35" s="385">
        <f t="shared" ref="J35:J36" si="14">SUM(H35:I35)</f>
        <v>0</v>
      </c>
      <c r="K35" s="280">
        <v>0</v>
      </c>
      <c r="L35" s="280">
        <v>0</v>
      </c>
      <c r="M35" s="385">
        <f t="shared" ref="M35:M36" si="15">SUM(K35:L35)</f>
        <v>0</v>
      </c>
      <c r="N35" s="347" t="str">
        <f t="shared" si="1"/>
        <v/>
      </c>
    </row>
    <row r="36" spans="1:14" ht="12.95" customHeight="1">
      <c r="B36" s="10"/>
      <c r="C36" s="11"/>
      <c r="D36" s="11"/>
      <c r="E36" s="306">
        <v>821300</v>
      </c>
      <c r="F36" s="332"/>
      <c r="G36" s="11" t="s">
        <v>92</v>
      </c>
      <c r="H36" s="280">
        <v>10000</v>
      </c>
      <c r="I36" s="280">
        <v>30000</v>
      </c>
      <c r="J36" s="385">
        <f t="shared" si="14"/>
        <v>40000</v>
      </c>
      <c r="K36" s="280">
        <v>3222</v>
      </c>
      <c r="L36" s="280">
        <v>30000</v>
      </c>
      <c r="M36" s="385">
        <f t="shared" si="15"/>
        <v>33222</v>
      </c>
      <c r="N36" s="347">
        <f t="shared" si="1"/>
        <v>83.055000000000007</v>
      </c>
    </row>
    <row r="37" spans="1:14" ht="12.95" customHeight="1">
      <c r="B37" s="10"/>
      <c r="C37" s="11"/>
      <c r="D37" s="11"/>
      <c r="E37" s="306"/>
      <c r="F37" s="332"/>
      <c r="G37" s="18"/>
      <c r="H37" s="280"/>
      <c r="I37" s="280"/>
      <c r="J37" s="386"/>
      <c r="K37" s="280"/>
      <c r="L37" s="280"/>
      <c r="M37" s="386"/>
      <c r="N37" s="347" t="str">
        <f t="shared" si="1"/>
        <v/>
      </c>
    </row>
    <row r="38" spans="1:14" s="1" customFormat="1" ht="12.95" customHeight="1">
      <c r="A38" s="281"/>
      <c r="B38" s="12"/>
      <c r="C38" s="8"/>
      <c r="D38" s="8"/>
      <c r="E38" s="305"/>
      <c r="F38" s="331"/>
      <c r="G38" s="8" t="s">
        <v>93</v>
      </c>
      <c r="H38" s="288">
        <v>24</v>
      </c>
      <c r="I38" s="288"/>
      <c r="J38" s="387">
        <v>24</v>
      </c>
      <c r="K38" s="288">
        <v>23</v>
      </c>
      <c r="L38" s="288"/>
      <c r="M38" s="387">
        <v>23</v>
      </c>
      <c r="N38" s="347"/>
    </row>
    <row r="39" spans="1:14" s="1" customFormat="1" ht="12.95" customHeight="1">
      <c r="A39" s="281"/>
      <c r="B39" s="12"/>
      <c r="C39" s="8"/>
      <c r="D39" s="8"/>
      <c r="E39" s="305"/>
      <c r="F39" s="331"/>
      <c r="G39" s="8" t="s">
        <v>113</v>
      </c>
      <c r="H39" s="288">
        <f t="shared" ref="H39:M39" si="16">H8+H13+H16+H28+H34</f>
        <v>1927450</v>
      </c>
      <c r="I39" s="288">
        <f t="shared" si="16"/>
        <v>607780</v>
      </c>
      <c r="J39" s="387">
        <f t="shared" si="16"/>
        <v>2535230</v>
      </c>
      <c r="K39" s="288">
        <f t="shared" si="16"/>
        <v>176428</v>
      </c>
      <c r="L39" s="288">
        <f t="shared" si="16"/>
        <v>30000</v>
      </c>
      <c r="M39" s="387">
        <f t="shared" si="16"/>
        <v>206428</v>
      </c>
      <c r="N39" s="346">
        <f t="shared" si="1"/>
        <v>8.1423776146542917</v>
      </c>
    </row>
    <row r="40" spans="1:14" s="1" customFormat="1" ht="12.95" customHeight="1">
      <c r="A40" s="281"/>
      <c r="B40" s="12"/>
      <c r="C40" s="8"/>
      <c r="D40" s="8"/>
      <c r="E40" s="305"/>
      <c r="F40" s="331"/>
      <c r="G40" s="8" t="s">
        <v>94</v>
      </c>
      <c r="H40" s="288">
        <f t="shared" ref="H40:J41" si="17">H39</f>
        <v>1927450</v>
      </c>
      <c r="I40" s="288">
        <f t="shared" si="17"/>
        <v>607780</v>
      </c>
      <c r="J40" s="387">
        <f t="shared" si="17"/>
        <v>2535230</v>
      </c>
      <c r="K40" s="288">
        <f t="shared" ref="K40:M40" si="18">K39</f>
        <v>176428</v>
      </c>
      <c r="L40" s="288">
        <f t="shared" si="18"/>
        <v>30000</v>
      </c>
      <c r="M40" s="387">
        <f t="shared" si="18"/>
        <v>206428</v>
      </c>
      <c r="N40" s="346">
        <f t="shared" si="1"/>
        <v>8.1423776146542917</v>
      </c>
    </row>
    <row r="41" spans="1:14" s="1" customFormat="1" ht="12.95" customHeight="1">
      <c r="A41" s="281"/>
      <c r="B41" s="12"/>
      <c r="C41" s="8"/>
      <c r="D41" s="8"/>
      <c r="E41" s="305"/>
      <c r="F41" s="331"/>
      <c r="G41" s="8" t="s">
        <v>95</v>
      </c>
      <c r="H41" s="288">
        <f t="shared" si="17"/>
        <v>1927450</v>
      </c>
      <c r="I41" s="288">
        <f t="shared" si="17"/>
        <v>607780</v>
      </c>
      <c r="J41" s="387">
        <f t="shared" si="17"/>
        <v>2535230</v>
      </c>
      <c r="K41" s="288">
        <f t="shared" ref="K41:M41" si="19">K40</f>
        <v>176428</v>
      </c>
      <c r="L41" s="288">
        <f t="shared" si="19"/>
        <v>30000</v>
      </c>
      <c r="M41" s="387">
        <f t="shared" si="19"/>
        <v>206428</v>
      </c>
      <c r="N41" s="346">
        <f t="shared" si="1"/>
        <v>8.1423776146542917</v>
      </c>
    </row>
    <row r="42" spans="1:14" ht="12.95" customHeight="1" thickBot="1">
      <c r="B42" s="15"/>
      <c r="C42" s="16"/>
      <c r="D42" s="16"/>
      <c r="E42" s="307"/>
      <c r="F42" s="333"/>
      <c r="G42" s="16"/>
      <c r="H42" s="27"/>
      <c r="I42" s="27"/>
      <c r="J42" s="390"/>
      <c r="K42" s="27"/>
      <c r="L42" s="27"/>
      <c r="M42" s="390"/>
      <c r="N42" s="349" t="str">
        <f t="shared" si="1"/>
        <v/>
      </c>
    </row>
    <row r="43" spans="1:14" ht="12.95" customHeight="1">
      <c r="E43" s="308"/>
      <c r="F43" s="334"/>
      <c r="J43" s="391"/>
      <c r="M43" s="391"/>
      <c r="N43" s="350" t="str">
        <f t="shared" si="1"/>
        <v/>
      </c>
    </row>
    <row r="44" spans="1:14" ht="12.95" customHeight="1">
      <c r="B44" s="50"/>
      <c r="E44" s="308"/>
      <c r="F44" s="334"/>
      <c r="J44" s="391"/>
      <c r="M44" s="391"/>
      <c r="N44" s="350" t="str">
        <f t="shared" si="1"/>
        <v/>
      </c>
    </row>
    <row r="45" spans="1:14" ht="12.95" customHeight="1">
      <c r="B45" s="50"/>
      <c r="E45" s="308"/>
      <c r="F45" s="334"/>
      <c r="J45" s="391"/>
      <c r="M45" s="391"/>
      <c r="N45" s="350" t="str">
        <f t="shared" si="1"/>
        <v/>
      </c>
    </row>
    <row r="46" spans="1:14" ht="12.95" customHeight="1">
      <c r="B46" s="50"/>
      <c r="E46" s="308"/>
      <c r="F46" s="334"/>
      <c r="J46" s="391"/>
      <c r="M46" s="391"/>
      <c r="N46" s="350" t="str">
        <f t="shared" si="1"/>
        <v/>
      </c>
    </row>
    <row r="47" spans="1:14" ht="12.95" customHeight="1">
      <c r="E47" s="308"/>
      <c r="F47" s="334"/>
      <c r="J47" s="391"/>
      <c r="M47" s="391"/>
      <c r="N47" s="350" t="str">
        <f t="shared" si="1"/>
        <v/>
      </c>
    </row>
    <row r="48" spans="1:14" ht="12.95" customHeight="1">
      <c r="E48" s="308"/>
      <c r="F48" s="334"/>
      <c r="J48" s="391"/>
      <c r="M48" s="391"/>
      <c r="N48" s="350" t="str">
        <f t="shared" si="1"/>
        <v/>
      </c>
    </row>
    <row r="49" spans="5:14" ht="12.95" customHeight="1">
      <c r="E49" s="308"/>
      <c r="F49" s="334"/>
      <c r="J49" s="391"/>
      <c r="M49" s="391"/>
      <c r="N49" s="350" t="str">
        <f t="shared" si="1"/>
        <v/>
      </c>
    </row>
    <row r="50" spans="5:14" ht="12.95" customHeight="1">
      <c r="E50" s="308"/>
      <c r="F50" s="334"/>
      <c r="J50" s="391"/>
      <c r="M50" s="391"/>
      <c r="N50" s="350" t="str">
        <f t="shared" si="1"/>
        <v/>
      </c>
    </row>
    <row r="51" spans="5:14" ht="12.95" customHeight="1">
      <c r="E51" s="308"/>
      <c r="F51" s="334"/>
      <c r="J51" s="391"/>
      <c r="M51" s="391"/>
      <c r="N51" s="350" t="str">
        <f t="shared" si="1"/>
        <v/>
      </c>
    </row>
    <row r="52" spans="5:14" ht="12.95" customHeight="1">
      <c r="E52" s="308"/>
      <c r="F52" s="334"/>
      <c r="J52" s="391"/>
      <c r="M52" s="391"/>
      <c r="N52" s="350" t="str">
        <f t="shared" si="1"/>
        <v/>
      </c>
    </row>
    <row r="53" spans="5:14" ht="12.95" customHeight="1">
      <c r="E53" s="308"/>
      <c r="F53" s="334"/>
      <c r="J53" s="391"/>
      <c r="M53" s="391"/>
      <c r="N53" s="350" t="str">
        <f t="shared" si="1"/>
        <v/>
      </c>
    </row>
    <row r="54" spans="5:14" ht="12.95" customHeight="1">
      <c r="E54" s="308"/>
      <c r="F54" s="334"/>
      <c r="J54" s="391"/>
      <c r="M54" s="391"/>
      <c r="N54" s="350" t="str">
        <f t="shared" si="1"/>
        <v/>
      </c>
    </row>
    <row r="55" spans="5:14" ht="12.95" customHeight="1">
      <c r="E55" s="308"/>
      <c r="F55" s="334"/>
      <c r="J55" s="391"/>
      <c r="M55" s="391"/>
      <c r="N55" s="350" t="str">
        <f t="shared" si="1"/>
        <v/>
      </c>
    </row>
    <row r="56" spans="5:14" ht="12.95" customHeight="1">
      <c r="E56" s="308"/>
      <c r="F56" s="334"/>
      <c r="J56" s="391"/>
      <c r="M56" s="391"/>
      <c r="N56" s="350" t="str">
        <f t="shared" si="1"/>
        <v/>
      </c>
    </row>
    <row r="57" spans="5:14" ht="12.95" customHeight="1">
      <c r="E57" s="308"/>
      <c r="F57" s="334"/>
      <c r="J57" s="391"/>
      <c r="M57" s="391"/>
      <c r="N57" s="350" t="str">
        <f t="shared" si="1"/>
        <v/>
      </c>
    </row>
    <row r="58" spans="5:14" ht="12.95" customHeight="1">
      <c r="E58" s="308"/>
      <c r="F58" s="334"/>
      <c r="J58" s="391"/>
      <c r="M58" s="391"/>
      <c r="N58" s="350" t="str">
        <f t="shared" si="1"/>
        <v/>
      </c>
    </row>
    <row r="59" spans="5:14" ht="12.95" customHeight="1">
      <c r="E59" s="308"/>
      <c r="F59" s="334"/>
      <c r="J59" s="391"/>
      <c r="M59" s="391"/>
      <c r="N59" s="350" t="str">
        <f t="shared" si="1"/>
        <v/>
      </c>
    </row>
    <row r="60" spans="5:14" ht="17.100000000000001" customHeight="1">
      <c r="E60" s="308"/>
      <c r="F60" s="334"/>
      <c r="J60" s="391"/>
      <c r="M60" s="391"/>
      <c r="N60" s="350" t="str">
        <f t="shared" si="1"/>
        <v/>
      </c>
    </row>
    <row r="61" spans="5:14" ht="14.25">
      <c r="E61" s="308"/>
      <c r="F61" s="334"/>
      <c r="J61" s="391"/>
      <c r="M61" s="391"/>
      <c r="N61" s="350" t="str">
        <f t="shared" si="1"/>
        <v/>
      </c>
    </row>
    <row r="62" spans="5:14" ht="14.25">
      <c r="E62" s="308"/>
      <c r="F62" s="334"/>
      <c r="J62" s="391"/>
      <c r="M62" s="391"/>
      <c r="N62" s="350" t="str">
        <f t="shared" si="1"/>
        <v/>
      </c>
    </row>
    <row r="63" spans="5:14" ht="14.25">
      <c r="E63" s="308"/>
      <c r="F63" s="334"/>
      <c r="J63" s="391"/>
      <c r="M63" s="391"/>
      <c r="N63" s="350" t="str">
        <f t="shared" si="1"/>
        <v/>
      </c>
    </row>
    <row r="64" spans="5:14" ht="14.25">
      <c r="E64" s="308"/>
      <c r="F64" s="334"/>
      <c r="J64" s="391"/>
      <c r="M64" s="391"/>
      <c r="N64" s="350" t="str">
        <f t="shared" si="1"/>
        <v/>
      </c>
    </row>
    <row r="65" spans="5:14" ht="14.25">
      <c r="E65" s="308"/>
      <c r="F65" s="334"/>
      <c r="J65" s="391"/>
      <c r="M65" s="391"/>
      <c r="N65" s="350" t="str">
        <f t="shared" si="1"/>
        <v/>
      </c>
    </row>
    <row r="66" spans="5:14" ht="14.25">
      <c r="E66" s="308"/>
      <c r="F66" s="334"/>
      <c r="J66" s="391"/>
      <c r="M66" s="391"/>
      <c r="N66" s="350" t="str">
        <f t="shared" si="1"/>
        <v/>
      </c>
    </row>
    <row r="67" spans="5:14" ht="14.25">
      <c r="E67" s="308"/>
      <c r="F67" s="334"/>
      <c r="J67" s="391"/>
      <c r="M67" s="391"/>
    </row>
    <row r="68" spans="5:14" ht="14.25">
      <c r="E68" s="308"/>
      <c r="F68" s="334"/>
      <c r="J68" s="391"/>
      <c r="M68" s="391"/>
    </row>
    <row r="69" spans="5:14" ht="14.25">
      <c r="E69" s="308"/>
      <c r="F69" s="334"/>
      <c r="J69" s="391"/>
      <c r="M69" s="391"/>
    </row>
    <row r="70" spans="5:14" ht="14.25">
      <c r="E70" s="308"/>
      <c r="F70" s="334"/>
      <c r="J70" s="391"/>
      <c r="M70" s="391"/>
    </row>
    <row r="71" spans="5:14" ht="14.25">
      <c r="E71" s="308"/>
      <c r="F71" s="334"/>
      <c r="J71" s="391"/>
      <c r="M71" s="391"/>
    </row>
    <row r="72" spans="5:14" ht="14.25">
      <c r="E72" s="308"/>
      <c r="F72" s="334"/>
      <c r="J72" s="391"/>
      <c r="M72" s="391"/>
    </row>
    <row r="73" spans="5:14" ht="14.25">
      <c r="E73" s="308"/>
      <c r="F73" s="334"/>
      <c r="J73" s="391"/>
      <c r="M73" s="391"/>
    </row>
    <row r="74" spans="5:14" ht="14.25">
      <c r="E74" s="308"/>
      <c r="F74" s="308"/>
      <c r="J74" s="391"/>
      <c r="M74" s="391"/>
    </row>
    <row r="75" spans="5:14" ht="14.25">
      <c r="E75" s="308"/>
      <c r="F75" s="308"/>
      <c r="J75" s="391"/>
      <c r="M75" s="391"/>
    </row>
    <row r="76" spans="5:14" ht="14.25">
      <c r="E76" s="308"/>
      <c r="F76" s="308"/>
      <c r="J76" s="391"/>
      <c r="M76" s="391"/>
    </row>
    <row r="77" spans="5:14" ht="14.25">
      <c r="E77" s="308"/>
      <c r="F77" s="308"/>
      <c r="J77" s="391"/>
      <c r="M77" s="391"/>
    </row>
    <row r="78" spans="5:14" ht="14.25">
      <c r="E78" s="308"/>
      <c r="F78" s="308"/>
      <c r="J78" s="391"/>
      <c r="M78" s="391"/>
    </row>
    <row r="79" spans="5:14" ht="14.25">
      <c r="E79" s="308"/>
      <c r="F79" s="308"/>
      <c r="J79" s="391"/>
      <c r="M79" s="391"/>
    </row>
    <row r="80" spans="5:14" ht="14.25">
      <c r="E80" s="308"/>
      <c r="F80" s="308"/>
      <c r="J80" s="391"/>
      <c r="M80" s="391"/>
    </row>
    <row r="81" spans="5:13" ht="14.25">
      <c r="E81" s="308"/>
      <c r="F81" s="308"/>
      <c r="J81" s="391"/>
      <c r="M81" s="391"/>
    </row>
    <row r="82" spans="5:13" ht="14.25">
      <c r="E82" s="308"/>
      <c r="F82" s="308"/>
      <c r="J82" s="391"/>
      <c r="M82" s="391"/>
    </row>
    <row r="83" spans="5:13" ht="14.25">
      <c r="E83" s="308"/>
      <c r="F83" s="308"/>
      <c r="J83" s="391"/>
      <c r="M83" s="391"/>
    </row>
    <row r="84" spans="5:13" ht="14.25">
      <c r="E84" s="308"/>
      <c r="F84" s="308"/>
      <c r="J84" s="391"/>
      <c r="M84" s="391"/>
    </row>
    <row r="85" spans="5:13" ht="14.25">
      <c r="E85" s="308"/>
      <c r="F85" s="308"/>
      <c r="J85" s="391"/>
      <c r="M85" s="391"/>
    </row>
    <row r="86" spans="5:13" ht="14.25">
      <c r="E86" s="308"/>
      <c r="F86" s="308"/>
      <c r="J86" s="391"/>
      <c r="M86" s="391"/>
    </row>
    <row r="87" spans="5:13" ht="14.25">
      <c r="E87" s="308"/>
      <c r="F87" s="308"/>
      <c r="J87" s="391"/>
      <c r="M87" s="391"/>
    </row>
    <row r="88" spans="5:13" ht="14.25">
      <c r="E88" s="308"/>
      <c r="F88" s="308"/>
      <c r="J88" s="391"/>
      <c r="M88" s="391"/>
    </row>
    <row r="89" spans="5:13" ht="14.25">
      <c r="E89" s="308"/>
      <c r="F89" s="308"/>
      <c r="J89" s="391"/>
      <c r="M89" s="391"/>
    </row>
    <row r="90" spans="5:13" ht="14.25">
      <c r="E90" s="308"/>
      <c r="F90" s="308"/>
      <c r="J90" s="391"/>
      <c r="M90" s="391"/>
    </row>
    <row r="91" spans="5:13">
      <c r="F91" s="308"/>
    </row>
    <row r="92" spans="5:13">
      <c r="F92" s="308"/>
    </row>
    <row r="93" spans="5:13">
      <c r="F93" s="308"/>
    </row>
    <row r="94" spans="5:13">
      <c r="F94" s="308"/>
    </row>
    <row r="95" spans="5:13">
      <c r="F95" s="308"/>
    </row>
    <row r="96" spans="5:13">
      <c r="F96" s="308"/>
    </row>
  </sheetData>
  <mergeCells count="10">
    <mergeCell ref="N4:N5"/>
    <mergeCell ref="G4:G5"/>
    <mergeCell ref="B2:J2"/>
    <mergeCell ref="H4:J4"/>
    <mergeCell ref="B4:B5"/>
    <mergeCell ref="C4:C5"/>
    <mergeCell ref="D4:D5"/>
    <mergeCell ref="F4:F5"/>
    <mergeCell ref="E4:E5"/>
    <mergeCell ref="K4:M4"/>
  </mergeCells>
  <phoneticPr fontId="2" type="noConversion"/>
  <pageMargins left="0.78740157480314965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23"/>
  <dimension ref="A1:P93"/>
  <sheetViews>
    <sheetView topLeftCell="A31" zoomScaleNormal="100" zoomScaleSheetLayoutView="100" workbookViewId="0">
      <selection activeCell="K45" sqref="K45"/>
    </sheetView>
  </sheetViews>
  <sheetFormatPr defaultRowHeight="12.75"/>
  <cols>
    <col min="1" max="1" width="9.140625" style="284"/>
    <col min="2" max="2" width="4.7109375" style="9" customWidth="1"/>
    <col min="3" max="3" width="5.140625" style="9" customWidth="1"/>
    <col min="4" max="4" width="5" style="9" customWidth="1"/>
    <col min="5" max="5" width="8.7109375" style="17" customWidth="1"/>
    <col min="6" max="6" width="8.7109375" style="289" customWidth="1"/>
    <col min="7" max="7" width="50.7109375" style="9" customWidth="1"/>
    <col min="8" max="9" width="14.7109375" style="284" customWidth="1"/>
    <col min="10" max="10" width="15.7109375" style="9" customWidth="1"/>
    <col min="11" max="12" width="14.7109375" style="284" customWidth="1"/>
    <col min="13" max="13" width="15.7109375" style="284" customWidth="1"/>
    <col min="14" max="14" width="7.7109375" style="350" customWidth="1"/>
    <col min="15" max="16384" width="9.140625" style="9"/>
  </cols>
  <sheetData>
    <row r="1" spans="1:16" ht="13.5" thickBot="1"/>
    <row r="2" spans="1:16" s="98" customFormat="1" ht="20.100000000000001" customHeight="1" thickTop="1" thickBot="1">
      <c r="A2" s="376"/>
      <c r="B2" s="590" t="s">
        <v>142</v>
      </c>
      <c r="C2" s="591"/>
      <c r="D2" s="591"/>
      <c r="E2" s="591"/>
      <c r="F2" s="591"/>
      <c r="G2" s="591"/>
      <c r="H2" s="378"/>
      <c r="I2" s="378"/>
      <c r="J2" s="378"/>
      <c r="K2" s="378"/>
      <c r="L2" s="378"/>
      <c r="M2" s="378"/>
      <c r="N2" s="380"/>
    </row>
    <row r="3" spans="1:16" s="1" customFormat="1" ht="8.1" customHeight="1" thickTop="1" thickBot="1">
      <c r="A3" s="281"/>
      <c r="E3" s="2"/>
      <c r="F3" s="282"/>
      <c r="G3" s="531"/>
      <c r="H3" s="92"/>
      <c r="I3" s="92"/>
      <c r="J3" s="92"/>
      <c r="K3" s="92"/>
      <c r="L3" s="92"/>
      <c r="M3" s="92"/>
      <c r="N3" s="344"/>
    </row>
    <row r="4" spans="1:16" s="1" customFormat="1" ht="39" customHeight="1">
      <c r="A4" s="281"/>
      <c r="B4" s="596" t="s">
        <v>78</v>
      </c>
      <c r="C4" s="606" t="s">
        <v>79</v>
      </c>
      <c r="D4" s="607" t="s">
        <v>110</v>
      </c>
      <c r="E4" s="608" t="s">
        <v>594</v>
      </c>
      <c r="F4" s="601" t="s">
        <v>653</v>
      </c>
      <c r="G4" s="602" t="s">
        <v>80</v>
      </c>
      <c r="H4" s="593" t="s">
        <v>647</v>
      </c>
      <c r="I4" s="594"/>
      <c r="J4" s="595"/>
      <c r="K4" s="593" t="s">
        <v>801</v>
      </c>
      <c r="L4" s="594"/>
      <c r="M4" s="595"/>
      <c r="N4" s="604" t="s">
        <v>805</v>
      </c>
    </row>
    <row r="5" spans="1:16" s="281" customFormat="1" ht="27" customHeight="1">
      <c r="B5" s="597"/>
      <c r="C5" s="599"/>
      <c r="D5" s="599"/>
      <c r="E5" s="603"/>
      <c r="F5" s="599"/>
      <c r="G5" s="603"/>
      <c r="H5" s="372" t="s">
        <v>705</v>
      </c>
      <c r="I5" s="372" t="s">
        <v>706</v>
      </c>
      <c r="J5" s="382" t="s">
        <v>413</v>
      </c>
      <c r="K5" s="372" t="s">
        <v>705</v>
      </c>
      <c r="L5" s="372" t="s">
        <v>706</v>
      </c>
      <c r="M5" s="382" t="s">
        <v>413</v>
      </c>
      <c r="N5" s="605"/>
    </row>
    <row r="6" spans="1:16" s="524" customFormat="1" ht="11.1" customHeight="1">
      <c r="B6" s="504">
        <v>1</v>
      </c>
      <c r="C6" s="331">
        <v>2</v>
      </c>
      <c r="D6" s="331">
        <v>3</v>
      </c>
      <c r="E6" s="331">
        <v>4</v>
      </c>
      <c r="F6" s="331">
        <v>5</v>
      </c>
      <c r="G6" s="331">
        <v>6</v>
      </c>
      <c r="H6" s="331">
        <v>7</v>
      </c>
      <c r="I6" s="331">
        <v>8</v>
      </c>
      <c r="J6" s="523" t="s">
        <v>804</v>
      </c>
      <c r="K6" s="331">
        <v>10</v>
      </c>
      <c r="L6" s="331">
        <v>11</v>
      </c>
      <c r="M6" s="523" t="s">
        <v>707</v>
      </c>
      <c r="N6" s="505">
        <v>13</v>
      </c>
    </row>
    <row r="7" spans="1:16" s="2" customFormat="1" ht="12.95" customHeight="1">
      <c r="A7" s="282"/>
      <c r="B7" s="6" t="s">
        <v>143</v>
      </c>
      <c r="C7" s="7" t="s">
        <v>81</v>
      </c>
      <c r="D7" s="7" t="s">
        <v>82</v>
      </c>
      <c r="E7" s="5"/>
      <c r="F7" s="283"/>
      <c r="G7" s="5"/>
      <c r="H7" s="283"/>
      <c r="I7" s="283"/>
      <c r="J7" s="383"/>
      <c r="K7" s="283"/>
      <c r="L7" s="283"/>
      <c r="M7" s="383"/>
      <c r="N7" s="345"/>
    </row>
    <row r="8" spans="1:16" s="1" customFormat="1" ht="12.95" customHeight="1">
      <c r="A8" s="281"/>
      <c r="B8" s="12"/>
      <c r="C8" s="8"/>
      <c r="D8" s="8"/>
      <c r="E8" s="305">
        <v>611000</v>
      </c>
      <c r="F8" s="331"/>
      <c r="G8" s="8" t="s">
        <v>163</v>
      </c>
      <c r="H8" s="222">
        <f t="shared" ref="H8:M8" si="0">SUM(H9:H12)</f>
        <v>301600</v>
      </c>
      <c r="I8" s="222">
        <f t="shared" si="0"/>
        <v>0</v>
      </c>
      <c r="J8" s="384">
        <f t="shared" si="0"/>
        <v>301600</v>
      </c>
      <c r="K8" s="222">
        <f t="shared" si="0"/>
        <v>73369</v>
      </c>
      <c r="L8" s="222">
        <f t="shared" si="0"/>
        <v>0</v>
      </c>
      <c r="M8" s="384">
        <f t="shared" si="0"/>
        <v>73369</v>
      </c>
      <c r="N8" s="346">
        <f>IF(J8=0,"",M8/J8*100)</f>
        <v>24.326591511936339</v>
      </c>
    </row>
    <row r="9" spans="1:16" ht="12.95" customHeight="1">
      <c r="B9" s="10"/>
      <c r="C9" s="11"/>
      <c r="D9" s="11"/>
      <c r="E9" s="306">
        <v>611100</v>
      </c>
      <c r="F9" s="332"/>
      <c r="G9" s="18" t="s">
        <v>198</v>
      </c>
      <c r="H9" s="224">
        <f>242100+2100+2*500+1*10*1430</f>
        <v>259500</v>
      </c>
      <c r="I9" s="224">
        <v>0</v>
      </c>
      <c r="J9" s="385">
        <f>SUM(H9:I9)</f>
        <v>259500</v>
      </c>
      <c r="K9" s="224">
        <v>63909</v>
      </c>
      <c r="L9" s="224">
        <v>0</v>
      </c>
      <c r="M9" s="385">
        <f>SUM(K9:L9)</f>
        <v>63909</v>
      </c>
      <c r="N9" s="347">
        <f t="shared" ref="N9:N66" si="1">IF(J9=0,"",M9/J9*100)</f>
        <v>24.627745664739884</v>
      </c>
    </row>
    <row r="10" spans="1:16" ht="12.95" customHeight="1">
      <c r="B10" s="10"/>
      <c r="C10" s="11"/>
      <c r="D10" s="11"/>
      <c r="E10" s="306">
        <v>611200</v>
      </c>
      <c r="F10" s="332"/>
      <c r="G10" s="11" t="s">
        <v>199</v>
      </c>
      <c r="H10" s="224">
        <f>36400+750+2*900+1*10*21*15</f>
        <v>42100</v>
      </c>
      <c r="I10" s="224">
        <v>0</v>
      </c>
      <c r="J10" s="385">
        <f t="shared" ref="J10:J11" si="2">SUM(H10:I10)</f>
        <v>42100</v>
      </c>
      <c r="K10" s="224">
        <v>9460</v>
      </c>
      <c r="L10" s="224">
        <v>0</v>
      </c>
      <c r="M10" s="385">
        <f t="shared" ref="M10:M11" si="3">SUM(K10:L10)</f>
        <v>9460</v>
      </c>
      <c r="N10" s="347">
        <f t="shared" si="1"/>
        <v>22.470308788598576</v>
      </c>
      <c r="P10" s="57"/>
    </row>
    <row r="11" spans="1:16" ht="12.95" customHeight="1">
      <c r="B11" s="10"/>
      <c r="C11" s="11"/>
      <c r="D11" s="11"/>
      <c r="E11" s="306">
        <v>611200</v>
      </c>
      <c r="F11" s="332"/>
      <c r="G11" s="189" t="s">
        <v>534</v>
      </c>
      <c r="H11" s="223">
        <v>0</v>
      </c>
      <c r="I11" s="223">
        <v>0</v>
      </c>
      <c r="J11" s="385">
        <f t="shared" si="2"/>
        <v>0</v>
      </c>
      <c r="K11" s="223">
        <v>0</v>
      </c>
      <c r="L11" s="223">
        <v>0</v>
      </c>
      <c r="M11" s="385">
        <f t="shared" si="3"/>
        <v>0</v>
      </c>
      <c r="N11" s="347" t="str">
        <f t="shared" si="1"/>
        <v/>
      </c>
      <c r="P11" s="56"/>
    </row>
    <row r="12" spans="1:16" ht="8.1" customHeight="1">
      <c r="B12" s="10"/>
      <c r="C12" s="11"/>
      <c r="D12" s="11"/>
      <c r="E12" s="306"/>
      <c r="F12" s="332"/>
      <c r="G12" s="18"/>
      <c r="H12" s="224"/>
      <c r="I12" s="224"/>
      <c r="J12" s="385"/>
      <c r="K12" s="224"/>
      <c r="L12" s="224"/>
      <c r="M12" s="385"/>
      <c r="N12" s="347" t="str">
        <f t="shared" si="1"/>
        <v/>
      </c>
    </row>
    <row r="13" spans="1:16" s="1" customFormat="1" ht="12.95" customHeight="1">
      <c r="A13" s="281"/>
      <c r="B13" s="12"/>
      <c r="C13" s="8"/>
      <c r="D13" s="8"/>
      <c r="E13" s="305">
        <v>612000</v>
      </c>
      <c r="F13" s="331"/>
      <c r="G13" s="8" t="s">
        <v>162</v>
      </c>
      <c r="H13" s="222">
        <f t="shared" ref="H13:M13" si="4">H14</f>
        <v>27660</v>
      </c>
      <c r="I13" s="222">
        <f t="shared" si="4"/>
        <v>0</v>
      </c>
      <c r="J13" s="384">
        <f t="shared" si="4"/>
        <v>27660</v>
      </c>
      <c r="K13" s="222">
        <f t="shared" si="4"/>
        <v>6765</v>
      </c>
      <c r="L13" s="222">
        <f t="shared" si="4"/>
        <v>0</v>
      </c>
      <c r="M13" s="384">
        <f t="shared" si="4"/>
        <v>6765</v>
      </c>
      <c r="N13" s="346">
        <f t="shared" si="1"/>
        <v>24.457700650759222</v>
      </c>
    </row>
    <row r="14" spans="1:16" ht="12.95" customHeight="1">
      <c r="B14" s="10"/>
      <c r="C14" s="11"/>
      <c r="D14" s="11"/>
      <c r="E14" s="306">
        <v>612100</v>
      </c>
      <c r="F14" s="332"/>
      <c r="G14" s="13" t="s">
        <v>83</v>
      </c>
      <c r="H14" s="224">
        <f>25700+220+2*70+1*10*160</f>
        <v>27660</v>
      </c>
      <c r="I14" s="224">
        <v>0</v>
      </c>
      <c r="J14" s="385">
        <f>SUM(H14:I14)</f>
        <v>27660</v>
      </c>
      <c r="K14" s="224">
        <v>6765</v>
      </c>
      <c r="L14" s="224">
        <v>0</v>
      </c>
      <c r="M14" s="385">
        <f>SUM(K14:L14)</f>
        <v>6765</v>
      </c>
      <c r="N14" s="347">
        <f t="shared" si="1"/>
        <v>24.457700650759222</v>
      </c>
    </row>
    <row r="15" spans="1:16" ht="8.1" customHeight="1">
      <c r="B15" s="10"/>
      <c r="C15" s="11"/>
      <c r="D15" s="11"/>
      <c r="E15" s="306"/>
      <c r="F15" s="332"/>
      <c r="G15" s="11"/>
      <c r="H15" s="296"/>
      <c r="I15" s="296"/>
      <c r="J15" s="386"/>
      <c r="K15" s="296"/>
      <c r="L15" s="296"/>
      <c r="M15" s="386"/>
      <c r="N15" s="347" t="str">
        <f t="shared" si="1"/>
        <v/>
      </c>
    </row>
    <row r="16" spans="1:16" s="1" customFormat="1" ht="12.95" customHeight="1">
      <c r="A16" s="281"/>
      <c r="B16" s="12"/>
      <c r="C16" s="8"/>
      <c r="D16" s="8"/>
      <c r="E16" s="305">
        <v>613000</v>
      </c>
      <c r="F16" s="331"/>
      <c r="G16" s="8" t="s">
        <v>164</v>
      </c>
      <c r="H16" s="295">
        <f t="shared" ref="H16:M16" si="5">SUM(H17:H28)</f>
        <v>87900</v>
      </c>
      <c r="I16" s="295">
        <f t="shared" si="5"/>
        <v>0</v>
      </c>
      <c r="J16" s="387">
        <f t="shared" si="5"/>
        <v>87900</v>
      </c>
      <c r="K16" s="295">
        <f t="shared" si="5"/>
        <v>16234</v>
      </c>
      <c r="L16" s="295">
        <f t="shared" si="5"/>
        <v>0</v>
      </c>
      <c r="M16" s="387">
        <f t="shared" si="5"/>
        <v>16234</v>
      </c>
      <c r="N16" s="346">
        <f t="shared" si="1"/>
        <v>18.468714448236632</v>
      </c>
    </row>
    <row r="17" spans="1:15" ht="12.95" customHeight="1">
      <c r="B17" s="10"/>
      <c r="C17" s="11"/>
      <c r="D17" s="11"/>
      <c r="E17" s="306">
        <v>613100</v>
      </c>
      <c r="F17" s="332"/>
      <c r="G17" s="11" t="s">
        <v>84</v>
      </c>
      <c r="H17" s="365">
        <v>4500</v>
      </c>
      <c r="I17" s="365">
        <v>0</v>
      </c>
      <c r="J17" s="385">
        <f t="shared" ref="J17:J28" si="6">SUM(H17:I17)</f>
        <v>4500</v>
      </c>
      <c r="K17" s="365">
        <v>1473</v>
      </c>
      <c r="L17" s="365">
        <v>0</v>
      </c>
      <c r="M17" s="385">
        <f t="shared" ref="M17:M28" si="7">SUM(K17:L17)</f>
        <v>1473</v>
      </c>
      <c r="N17" s="347">
        <f t="shared" si="1"/>
        <v>32.733333333333334</v>
      </c>
    </row>
    <row r="18" spans="1:15" ht="12.95" customHeight="1">
      <c r="B18" s="10"/>
      <c r="C18" s="11"/>
      <c r="D18" s="11"/>
      <c r="E18" s="306">
        <v>613200</v>
      </c>
      <c r="F18" s="332"/>
      <c r="G18" s="11" t="s">
        <v>85</v>
      </c>
      <c r="H18" s="365">
        <v>0</v>
      </c>
      <c r="I18" s="365">
        <v>0</v>
      </c>
      <c r="J18" s="385">
        <f t="shared" si="6"/>
        <v>0</v>
      </c>
      <c r="K18" s="365">
        <v>0</v>
      </c>
      <c r="L18" s="365">
        <v>0</v>
      </c>
      <c r="M18" s="385">
        <f t="shared" si="7"/>
        <v>0</v>
      </c>
      <c r="N18" s="347" t="str">
        <f t="shared" si="1"/>
        <v/>
      </c>
    </row>
    <row r="19" spans="1:15" ht="12.95" customHeight="1">
      <c r="B19" s="10"/>
      <c r="C19" s="11"/>
      <c r="D19" s="11"/>
      <c r="E19" s="306">
        <v>613300</v>
      </c>
      <c r="F19" s="332"/>
      <c r="G19" s="18" t="s">
        <v>200</v>
      </c>
      <c r="H19" s="365">
        <v>3700</v>
      </c>
      <c r="I19" s="365">
        <v>0</v>
      </c>
      <c r="J19" s="385">
        <f t="shared" si="6"/>
        <v>3700</v>
      </c>
      <c r="K19" s="365">
        <v>814</v>
      </c>
      <c r="L19" s="365">
        <v>0</v>
      </c>
      <c r="M19" s="385">
        <f t="shared" si="7"/>
        <v>814</v>
      </c>
      <c r="N19" s="347">
        <f t="shared" si="1"/>
        <v>22</v>
      </c>
    </row>
    <row r="20" spans="1:15" ht="12.95" customHeight="1">
      <c r="B20" s="10"/>
      <c r="C20" s="11"/>
      <c r="D20" s="11"/>
      <c r="E20" s="306">
        <v>613400</v>
      </c>
      <c r="F20" s="332"/>
      <c r="G20" s="11" t="s">
        <v>165</v>
      </c>
      <c r="H20" s="365">
        <v>7700</v>
      </c>
      <c r="I20" s="365">
        <v>0</v>
      </c>
      <c r="J20" s="385">
        <f t="shared" si="6"/>
        <v>7700</v>
      </c>
      <c r="K20" s="365">
        <v>110</v>
      </c>
      <c r="L20" s="365">
        <v>0</v>
      </c>
      <c r="M20" s="385">
        <f t="shared" si="7"/>
        <v>110</v>
      </c>
      <c r="N20" s="347">
        <f t="shared" si="1"/>
        <v>1.4285714285714286</v>
      </c>
    </row>
    <row r="21" spans="1:15" ht="12.95" customHeight="1">
      <c r="B21" s="10"/>
      <c r="C21" s="11"/>
      <c r="D21" s="11"/>
      <c r="E21" s="306">
        <v>613500</v>
      </c>
      <c r="F21" s="332"/>
      <c r="G21" s="11" t="s">
        <v>86</v>
      </c>
      <c r="H21" s="365">
        <v>0</v>
      </c>
      <c r="I21" s="365">
        <v>0</v>
      </c>
      <c r="J21" s="385">
        <f t="shared" si="6"/>
        <v>0</v>
      </c>
      <c r="K21" s="365">
        <v>0</v>
      </c>
      <c r="L21" s="365">
        <v>0</v>
      </c>
      <c r="M21" s="385">
        <f t="shared" si="7"/>
        <v>0</v>
      </c>
      <c r="N21" s="347" t="str">
        <f t="shared" si="1"/>
        <v/>
      </c>
    </row>
    <row r="22" spans="1:15" ht="12.95" customHeight="1">
      <c r="B22" s="10"/>
      <c r="C22" s="11"/>
      <c r="D22" s="11"/>
      <c r="E22" s="306">
        <v>613600</v>
      </c>
      <c r="F22" s="332"/>
      <c r="G22" s="18" t="s">
        <v>201</v>
      </c>
      <c r="H22" s="365">
        <v>0</v>
      </c>
      <c r="I22" s="365">
        <v>0</v>
      </c>
      <c r="J22" s="385">
        <f t="shared" si="6"/>
        <v>0</v>
      </c>
      <c r="K22" s="365">
        <v>0</v>
      </c>
      <c r="L22" s="365">
        <v>0</v>
      </c>
      <c r="M22" s="385">
        <f t="shared" si="7"/>
        <v>0</v>
      </c>
      <c r="N22" s="347" t="str">
        <f t="shared" si="1"/>
        <v/>
      </c>
    </row>
    <row r="23" spans="1:15" ht="12.95" customHeight="1">
      <c r="B23" s="10"/>
      <c r="C23" s="11"/>
      <c r="D23" s="11"/>
      <c r="E23" s="306">
        <v>613700</v>
      </c>
      <c r="F23" s="332"/>
      <c r="G23" s="11" t="s">
        <v>87</v>
      </c>
      <c r="H23" s="365">
        <v>1000</v>
      </c>
      <c r="I23" s="365">
        <v>0</v>
      </c>
      <c r="J23" s="385">
        <f t="shared" si="6"/>
        <v>1000</v>
      </c>
      <c r="K23" s="365">
        <v>128</v>
      </c>
      <c r="L23" s="365">
        <v>0</v>
      </c>
      <c r="M23" s="385">
        <f t="shared" si="7"/>
        <v>128</v>
      </c>
      <c r="N23" s="347">
        <f t="shared" si="1"/>
        <v>12.8</v>
      </c>
    </row>
    <row r="24" spans="1:15" ht="12.95" customHeight="1">
      <c r="B24" s="10"/>
      <c r="C24" s="11"/>
      <c r="D24" s="11"/>
      <c r="E24" s="306">
        <v>613800</v>
      </c>
      <c r="F24" s="332"/>
      <c r="G24" s="11" t="s">
        <v>166</v>
      </c>
      <c r="H24" s="365">
        <v>0</v>
      </c>
      <c r="I24" s="365">
        <v>0</v>
      </c>
      <c r="J24" s="385">
        <f t="shared" si="6"/>
        <v>0</v>
      </c>
      <c r="K24" s="365">
        <v>0</v>
      </c>
      <c r="L24" s="365">
        <v>0</v>
      </c>
      <c r="M24" s="385">
        <f t="shared" si="7"/>
        <v>0</v>
      </c>
      <c r="N24" s="347" t="str">
        <f t="shared" si="1"/>
        <v/>
      </c>
    </row>
    <row r="25" spans="1:15" ht="12.95" customHeight="1">
      <c r="B25" s="10"/>
      <c r="C25" s="11"/>
      <c r="D25" s="11"/>
      <c r="E25" s="306">
        <v>613800</v>
      </c>
      <c r="F25" s="332"/>
      <c r="G25" s="18" t="s">
        <v>186</v>
      </c>
      <c r="H25" s="365">
        <v>0</v>
      </c>
      <c r="I25" s="365">
        <v>0</v>
      </c>
      <c r="J25" s="385">
        <f t="shared" si="6"/>
        <v>0</v>
      </c>
      <c r="K25" s="365">
        <v>0</v>
      </c>
      <c r="L25" s="365">
        <v>0</v>
      </c>
      <c r="M25" s="385">
        <f t="shared" si="7"/>
        <v>0</v>
      </c>
      <c r="N25" s="347" t="str">
        <f t="shared" si="1"/>
        <v/>
      </c>
    </row>
    <row r="26" spans="1:15" ht="12.95" customHeight="1">
      <c r="B26" s="10"/>
      <c r="C26" s="11"/>
      <c r="D26" s="11"/>
      <c r="E26" s="306">
        <v>613900</v>
      </c>
      <c r="F26" s="332"/>
      <c r="G26" s="18" t="s">
        <v>167</v>
      </c>
      <c r="H26" s="365">
        <v>11000</v>
      </c>
      <c r="I26" s="365">
        <v>0</v>
      </c>
      <c r="J26" s="385">
        <f t="shared" si="6"/>
        <v>11000</v>
      </c>
      <c r="K26" s="365">
        <v>5418</v>
      </c>
      <c r="L26" s="365">
        <v>0</v>
      </c>
      <c r="M26" s="385">
        <f t="shared" si="7"/>
        <v>5418</v>
      </c>
      <c r="N26" s="347">
        <f t="shared" si="1"/>
        <v>49.254545454545458</v>
      </c>
    </row>
    <row r="27" spans="1:15" ht="12.95" customHeight="1">
      <c r="B27" s="10"/>
      <c r="C27" s="11"/>
      <c r="D27" s="11"/>
      <c r="E27" s="306">
        <v>613900</v>
      </c>
      <c r="F27" s="332" t="s">
        <v>684</v>
      </c>
      <c r="G27" s="18" t="s">
        <v>180</v>
      </c>
      <c r="H27" s="365">
        <v>60000</v>
      </c>
      <c r="I27" s="365">
        <v>0</v>
      </c>
      <c r="J27" s="385">
        <f t="shared" si="6"/>
        <v>60000</v>
      </c>
      <c r="K27" s="365">
        <v>8291</v>
      </c>
      <c r="L27" s="365">
        <v>0</v>
      </c>
      <c r="M27" s="385">
        <f t="shared" si="7"/>
        <v>8291</v>
      </c>
      <c r="N27" s="347">
        <f t="shared" si="1"/>
        <v>13.818333333333332</v>
      </c>
    </row>
    <row r="28" spans="1:15" ht="12.95" customHeight="1">
      <c r="B28" s="10"/>
      <c r="C28" s="11"/>
      <c r="D28" s="11"/>
      <c r="E28" s="306">
        <v>613900</v>
      </c>
      <c r="F28" s="332"/>
      <c r="G28" s="189" t="s">
        <v>535</v>
      </c>
      <c r="H28" s="365">
        <v>0</v>
      </c>
      <c r="I28" s="365">
        <v>0</v>
      </c>
      <c r="J28" s="385">
        <f t="shared" si="6"/>
        <v>0</v>
      </c>
      <c r="K28" s="365">
        <v>0</v>
      </c>
      <c r="L28" s="365">
        <v>0</v>
      </c>
      <c r="M28" s="385">
        <f t="shared" si="7"/>
        <v>0</v>
      </c>
      <c r="N28" s="347" t="str">
        <f t="shared" si="1"/>
        <v/>
      </c>
    </row>
    <row r="29" spans="1:15" ht="8.1" customHeight="1">
      <c r="B29" s="10"/>
      <c r="C29" s="11"/>
      <c r="D29" s="11"/>
      <c r="E29" s="306"/>
      <c r="F29" s="332"/>
      <c r="G29" s="11"/>
      <c r="H29" s="296"/>
      <c r="I29" s="296"/>
      <c r="J29" s="386"/>
      <c r="K29" s="296"/>
      <c r="L29" s="296"/>
      <c r="M29" s="386"/>
      <c r="N29" s="347" t="str">
        <f t="shared" si="1"/>
        <v/>
      </c>
    </row>
    <row r="30" spans="1:15" s="1" customFormat="1" ht="12.95" customHeight="1">
      <c r="A30" s="281"/>
      <c r="B30" s="12"/>
      <c r="C30" s="8"/>
      <c r="D30" s="8"/>
      <c r="E30" s="305">
        <v>614000</v>
      </c>
      <c r="F30" s="331"/>
      <c r="G30" s="8" t="s">
        <v>202</v>
      </c>
      <c r="H30" s="295">
        <f t="shared" ref="H30:M30" si="8">SUM(H31:H39)</f>
        <v>1180000</v>
      </c>
      <c r="I30" s="295">
        <f t="shared" si="8"/>
        <v>0</v>
      </c>
      <c r="J30" s="387">
        <f t="shared" si="8"/>
        <v>1180000</v>
      </c>
      <c r="K30" s="295">
        <f t="shared" si="8"/>
        <v>176496</v>
      </c>
      <c r="L30" s="295">
        <f t="shared" si="8"/>
        <v>0</v>
      </c>
      <c r="M30" s="387">
        <f t="shared" si="8"/>
        <v>176496</v>
      </c>
      <c r="N30" s="346">
        <f t="shared" si="1"/>
        <v>14.957288135593219</v>
      </c>
    </row>
    <row r="31" spans="1:15" s="98" customFormat="1" ht="28.5" customHeight="1">
      <c r="B31" s="93"/>
      <c r="C31" s="94"/>
      <c r="D31" s="95"/>
      <c r="E31" s="310">
        <v>614100</v>
      </c>
      <c r="F31" s="336" t="s">
        <v>685</v>
      </c>
      <c r="G31" s="96" t="s">
        <v>218</v>
      </c>
      <c r="H31" s="275">
        <v>150000</v>
      </c>
      <c r="I31" s="275">
        <v>0</v>
      </c>
      <c r="J31" s="385">
        <f t="shared" ref="J31:J39" si="9">SUM(H31:I31)</f>
        <v>150000</v>
      </c>
      <c r="K31" s="275">
        <v>0</v>
      </c>
      <c r="L31" s="275">
        <v>0</v>
      </c>
      <c r="M31" s="385">
        <f t="shared" ref="M31:M39" si="10">SUM(K31:L31)</f>
        <v>0</v>
      </c>
      <c r="N31" s="347">
        <f t="shared" si="1"/>
        <v>0</v>
      </c>
      <c r="O31" s="97"/>
    </row>
    <row r="32" spans="1:15" ht="12.95" customHeight="1">
      <c r="B32" s="10"/>
      <c r="C32" s="11"/>
      <c r="D32" s="11"/>
      <c r="E32" s="311">
        <v>614100</v>
      </c>
      <c r="F32" s="337"/>
      <c r="G32" s="74" t="s">
        <v>100</v>
      </c>
      <c r="H32" s="296">
        <v>0</v>
      </c>
      <c r="I32" s="296">
        <v>0</v>
      </c>
      <c r="J32" s="385">
        <f t="shared" si="9"/>
        <v>0</v>
      </c>
      <c r="K32" s="296">
        <v>0</v>
      </c>
      <c r="L32" s="296">
        <v>0</v>
      </c>
      <c r="M32" s="385">
        <f t="shared" si="10"/>
        <v>0</v>
      </c>
      <c r="N32" s="347" t="str">
        <f t="shared" si="1"/>
        <v/>
      </c>
    </row>
    <row r="33" spans="1:15" s="284" customFormat="1" ht="12.95" customHeight="1">
      <c r="B33" s="285"/>
      <c r="C33" s="286"/>
      <c r="D33" s="286"/>
      <c r="E33" s="311">
        <v>614100</v>
      </c>
      <c r="F33" s="337" t="s">
        <v>793</v>
      </c>
      <c r="G33" s="235" t="s">
        <v>686</v>
      </c>
      <c r="H33" s="296">
        <v>280000</v>
      </c>
      <c r="I33" s="296">
        <v>0</v>
      </c>
      <c r="J33" s="385">
        <f t="shared" si="9"/>
        <v>280000</v>
      </c>
      <c r="K33" s="296">
        <v>56250</v>
      </c>
      <c r="L33" s="296">
        <v>0</v>
      </c>
      <c r="M33" s="385">
        <f t="shared" si="10"/>
        <v>56250</v>
      </c>
      <c r="N33" s="347">
        <f t="shared" si="1"/>
        <v>20.089285714285715</v>
      </c>
    </row>
    <row r="34" spans="1:15" s="284" customFormat="1" ht="12.95" customHeight="1">
      <c r="B34" s="285"/>
      <c r="C34" s="286"/>
      <c r="D34" s="286"/>
      <c r="E34" s="311">
        <v>614100</v>
      </c>
      <c r="F34" s="337" t="s">
        <v>794</v>
      </c>
      <c r="G34" s="235" t="s">
        <v>687</v>
      </c>
      <c r="H34" s="296">
        <v>60000</v>
      </c>
      <c r="I34" s="296">
        <v>0</v>
      </c>
      <c r="J34" s="385">
        <f t="shared" si="9"/>
        <v>60000</v>
      </c>
      <c r="K34" s="296">
        <v>3100</v>
      </c>
      <c r="L34" s="296">
        <v>0</v>
      </c>
      <c r="M34" s="385">
        <f t="shared" si="10"/>
        <v>3100</v>
      </c>
      <c r="N34" s="347">
        <f t="shared" si="1"/>
        <v>5.166666666666667</v>
      </c>
    </row>
    <row r="35" spans="1:15" ht="12.95" customHeight="1">
      <c r="B35" s="10"/>
      <c r="C35" s="11"/>
      <c r="D35" s="11"/>
      <c r="E35" s="311">
        <v>614100</v>
      </c>
      <c r="F35" s="337" t="s">
        <v>688</v>
      </c>
      <c r="G35" s="74" t="s">
        <v>394</v>
      </c>
      <c r="H35" s="296">
        <v>335000</v>
      </c>
      <c r="I35" s="296">
        <v>0</v>
      </c>
      <c r="J35" s="385">
        <f t="shared" si="9"/>
        <v>335000</v>
      </c>
      <c r="K35" s="296">
        <v>64496</v>
      </c>
      <c r="L35" s="296">
        <v>0</v>
      </c>
      <c r="M35" s="385">
        <f t="shared" si="10"/>
        <v>64496</v>
      </c>
      <c r="N35" s="347">
        <f t="shared" si="1"/>
        <v>19.252537313432835</v>
      </c>
    </row>
    <row r="36" spans="1:15" ht="12.95" customHeight="1">
      <c r="B36" s="10"/>
      <c r="C36" s="11"/>
      <c r="D36" s="11"/>
      <c r="E36" s="306">
        <v>614200</v>
      </c>
      <c r="F36" s="332" t="s">
        <v>689</v>
      </c>
      <c r="G36" s="21" t="s">
        <v>112</v>
      </c>
      <c r="H36" s="296">
        <v>150000</v>
      </c>
      <c r="I36" s="296">
        <v>0</v>
      </c>
      <c r="J36" s="385">
        <f t="shared" si="9"/>
        <v>150000</v>
      </c>
      <c r="K36" s="296">
        <v>42750</v>
      </c>
      <c r="L36" s="296">
        <v>0</v>
      </c>
      <c r="M36" s="385">
        <f t="shared" si="10"/>
        <v>42750</v>
      </c>
      <c r="N36" s="347">
        <f t="shared" si="1"/>
        <v>28.499999999999996</v>
      </c>
    </row>
    <row r="37" spans="1:15" s="98" customFormat="1" ht="27.75" customHeight="1">
      <c r="B37" s="93"/>
      <c r="C37" s="94"/>
      <c r="D37" s="94"/>
      <c r="E37" s="310">
        <v>614200</v>
      </c>
      <c r="F37" s="336" t="s">
        <v>690</v>
      </c>
      <c r="G37" s="99" t="s">
        <v>779</v>
      </c>
      <c r="H37" s="275">
        <v>15000</v>
      </c>
      <c r="I37" s="275">
        <v>0</v>
      </c>
      <c r="J37" s="385">
        <f t="shared" si="9"/>
        <v>15000</v>
      </c>
      <c r="K37" s="275">
        <v>0</v>
      </c>
      <c r="L37" s="275">
        <v>0</v>
      </c>
      <c r="M37" s="385">
        <f t="shared" si="10"/>
        <v>0</v>
      </c>
      <c r="N37" s="347">
        <f t="shared" si="1"/>
        <v>0</v>
      </c>
    </row>
    <row r="38" spans="1:15" ht="12.95" customHeight="1">
      <c r="B38" s="10"/>
      <c r="C38" s="11"/>
      <c r="D38" s="11"/>
      <c r="E38" s="306">
        <v>614300</v>
      </c>
      <c r="F38" s="332" t="s">
        <v>691</v>
      </c>
      <c r="G38" s="21" t="s">
        <v>101</v>
      </c>
      <c r="H38" s="296">
        <v>40000</v>
      </c>
      <c r="I38" s="296">
        <v>0</v>
      </c>
      <c r="J38" s="385">
        <f t="shared" si="9"/>
        <v>40000</v>
      </c>
      <c r="K38" s="296">
        <v>9900</v>
      </c>
      <c r="L38" s="296">
        <v>0</v>
      </c>
      <c r="M38" s="385">
        <f t="shared" si="10"/>
        <v>9900</v>
      </c>
      <c r="N38" s="347">
        <f t="shared" si="1"/>
        <v>24.75</v>
      </c>
    </row>
    <row r="39" spans="1:15" ht="12.95" customHeight="1">
      <c r="B39" s="10"/>
      <c r="C39" s="11"/>
      <c r="D39" s="11"/>
      <c r="E39" s="306">
        <v>614300</v>
      </c>
      <c r="F39" s="332" t="s">
        <v>692</v>
      </c>
      <c r="G39" s="21" t="s">
        <v>102</v>
      </c>
      <c r="H39" s="296">
        <v>150000</v>
      </c>
      <c r="I39" s="296">
        <v>0</v>
      </c>
      <c r="J39" s="385">
        <f t="shared" si="9"/>
        <v>150000</v>
      </c>
      <c r="K39" s="296">
        <v>0</v>
      </c>
      <c r="L39" s="296">
        <v>0</v>
      </c>
      <c r="M39" s="385">
        <f t="shared" si="10"/>
        <v>0</v>
      </c>
      <c r="N39" s="347">
        <f t="shared" si="1"/>
        <v>0</v>
      </c>
      <c r="O39" s="68"/>
    </row>
    <row r="40" spans="1:15" ht="8.1" customHeight="1">
      <c r="B40" s="10"/>
      <c r="C40" s="11"/>
      <c r="D40" s="11"/>
      <c r="E40" s="306"/>
      <c r="F40" s="332"/>
      <c r="G40" s="21"/>
      <c r="H40" s="296"/>
      <c r="I40" s="296"/>
      <c r="J40" s="386"/>
      <c r="K40" s="296"/>
      <c r="L40" s="296"/>
      <c r="M40" s="386"/>
      <c r="N40" s="347" t="str">
        <f t="shared" si="1"/>
        <v/>
      </c>
      <c r="O40" s="68"/>
    </row>
    <row r="41" spans="1:15" ht="12.95" customHeight="1">
      <c r="B41" s="10"/>
      <c r="C41" s="11"/>
      <c r="D41" s="11"/>
      <c r="E41" s="305">
        <v>616000</v>
      </c>
      <c r="F41" s="331"/>
      <c r="G41" s="24" t="s">
        <v>203</v>
      </c>
      <c r="H41" s="295">
        <f t="shared" ref="H41:M41" si="11">H42</f>
        <v>2560</v>
      </c>
      <c r="I41" s="295">
        <f t="shared" si="11"/>
        <v>0</v>
      </c>
      <c r="J41" s="387">
        <f t="shared" si="11"/>
        <v>2560</v>
      </c>
      <c r="K41" s="295">
        <f t="shared" si="11"/>
        <v>1615</v>
      </c>
      <c r="L41" s="295">
        <f t="shared" si="11"/>
        <v>0</v>
      </c>
      <c r="M41" s="387">
        <f t="shared" si="11"/>
        <v>1615</v>
      </c>
      <c r="N41" s="346">
        <f t="shared" si="1"/>
        <v>63.0859375</v>
      </c>
    </row>
    <row r="42" spans="1:15" ht="12.95" customHeight="1">
      <c r="B42" s="10"/>
      <c r="C42" s="11"/>
      <c r="D42" s="11"/>
      <c r="E42" s="306">
        <v>616300</v>
      </c>
      <c r="F42" s="332"/>
      <c r="G42" s="39" t="s">
        <v>212</v>
      </c>
      <c r="H42" s="296">
        <v>2560</v>
      </c>
      <c r="I42" s="296">
        <v>0</v>
      </c>
      <c r="J42" s="385">
        <f>SUM(H42:I42)</f>
        <v>2560</v>
      </c>
      <c r="K42" s="296">
        <v>1615</v>
      </c>
      <c r="L42" s="296">
        <v>0</v>
      </c>
      <c r="M42" s="385">
        <f>SUM(K42:L42)</f>
        <v>1615</v>
      </c>
      <c r="N42" s="347">
        <f t="shared" si="1"/>
        <v>63.0859375</v>
      </c>
    </row>
    <row r="43" spans="1:15" ht="8.1" customHeight="1">
      <c r="B43" s="10"/>
      <c r="C43" s="11"/>
      <c r="D43" s="11"/>
      <c r="E43" s="306"/>
      <c r="F43" s="332"/>
      <c r="G43" s="11"/>
      <c r="H43" s="280"/>
      <c r="I43" s="280"/>
      <c r="J43" s="386"/>
      <c r="K43" s="280"/>
      <c r="L43" s="280"/>
      <c r="M43" s="386"/>
      <c r="N43" s="347" t="str">
        <f t="shared" si="1"/>
        <v/>
      </c>
    </row>
    <row r="44" spans="1:15" s="1" customFormat="1" ht="12.95" customHeight="1">
      <c r="A44" s="281"/>
      <c r="B44" s="12"/>
      <c r="C44" s="8"/>
      <c r="D44" s="8"/>
      <c r="E44" s="305">
        <v>821000</v>
      </c>
      <c r="F44" s="331"/>
      <c r="G44" s="8" t="s">
        <v>90</v>
      </c>
      <c r="H44" s="295">
        <f t="shared" ref="H44:M44" si="12">SUM(H45:H46)</f>
        <v>2500</v>
      </c>
      <c r="I44" s="295">
        <f t="shared" si="12"/>
        <v>0</v>
      </c>
      <c r="J44" s="387">
        <f t="shared" si="12"/>
        <v>2500</v>
      </c>
      <c r="K44" s="295">
        <f t="shared" si="12"/>
        <v>1931</v>
      </c>
      <c r="L44" s="295">
        <f t="shared" si="12"/>
        <v>0</v>
      </c>
      <c r="M44" s="387">
        <f t="shared" si="12"/>
        <v>1931</v>
      </c>
      <c r="N44" s="346">
        <f t="shared" si="1"/>
        <v>77.239999999999995</v>
      </c>
    </row>
    <row r="45" spans="1:15" ht="12.95" customHeight="1">
      <c r="B45" s="10"/>
      <c r="C45" s="11"/>
      <c r="D45" s="11"/>
      <c r="E45" s="306">
        <v>821200</v>
      </c>
      <c r="F45" s="332"/>
      <c r="G45" s="11" t="s">
        <v>91</v>
      </c>
      <c r="H45" s="280">
        <v>0</v>
      </c>
      <c r="I45" s="280">
        <v>0</v>
      </c>
      <c r="J45" s="385">
        <f t="shared" ref="J45:J46" si="13">SUM(H45:I45)</f>
        <v>0</v>
      </c>
      <c r="K45" s="280">
        <v>0</v>
      </c>
      <c r="L45" s="280">
        <v>0</v>
      </c>
      <c r="M45" s="385">
        <f t="shared" ref="M45:M46" si="14">SUM(K45:L45)</f>
        <v>0</v>
      </c>
      <c r="N45" s="347" t="str">
        <f t="shared" si="1"/>
        <v/>
      </c>
    </row>
    <row r="46" spans="1:15" ht="12.95" customHeight="1">
      <c r="B46" s="10"/>
      <c r="C46" s="11"/>
      <c r="D46" s="11"/>
      <c r="E46" s="306">
        <v>821300</v>
      </c>
      <c r="F46" s="332"/>
      <c r="G46" s="11" t="s">
        <v>92</v>
      </c>
      <c r="H46" s="296">
        <v>2500</v>
      </c>
      <c r="I46" s="296">
        <v>0</v>
      </c>
      <c r="J46" s="385">
        <f t="shared" si="13"/>
        <v>2500</v>
      </c>
      <c r="K46" s="296">
        <v>1931</v>
      </c>
      <c r="L46" s="296">
        <v>0</v>
      </c>
      <c r="M46" s="385">
        <f t="shared" si="14"/>
        <v>1931</v>
      </c>
      <c r="N46" s="347">
        <f t="shared" si="1"/>
        <v>77.239999999999995</v>
      </c>
    </row>
    <row r="47" spans="1:15" ht="8.1" customHeight="1">
      <c r="B47" s="10"/>
      <c r="C47" s="11"/>
      <c r="D47" s="11"/>
      <c r="E47" s="306"/>
      <c r="F47" s="332"/>
      <c r="G47" s="11"/>
      <c r="H47" s="280"/>
      <c r="I47" s="280"/>
      <c r="J47" s="386"/>
      <c r="K47" s="280"/>
      <c r="L47" s="280"/>
      <c r="M47" s="386"/>
      <c r="N47" s="347" t="str">
        <f t="shared" si="1"/>
        <v/>
      </c>
    </row>
    <row r="48" spans="1:15" ht="12.95" customHeight="1">
      <c r="B48" s="10"/>
      <c r="C48" s="11"/>
      <c r="D48" s="11"/>
      <c r="E48" s="305">
        <v>823000</v>
      </c>
      <c r="F48" s="331"/>
      <c r="G48" s="8" t="s">
        <v>204</v>
      </c>
      <c r="H48" s="295">
        <f t="shared" ref="H48:M48" si="15">H49</f>
        <v>75000</v>
      </c>
      <c r="I48" s="295">
        <f t="shared" si="15"/>
        <v>0</v>
      </c>
      <c r="J48" s="387">
        <f t="shared" si="15"/>
        <v>75000</v>
      </c>
      <c r="K48" s="295">
        <f t="shared" si="15"/>
        <v>35586</v>
      </c>
      <c r="L48" s="295">
        <f t="shared" si="15"/>
        <v>0</v>
      </c>
      <c r="M48" s="387">
        <f t="shared" si="15"/>
        <v>35586</v>
      </c>
      <c r="N48" s="346">
        <f t="shared" si="1"/>
        <v>47.448</v>
      </c>
    </row>
    <row r="49" spans="1:14" ht="12.95" customHeight="1">
      <c r="B49" s="10"/>
      <c r="C49" s="11"/>
      <c r="D49" s="11"/>
      <c r="E49" s="306">
        <v>823300</v>
      </c>
      <c r="F49" s="332"/>
      <c r="G49" s="18" t="s">
        <v>185</v>
      </c>
      <c r="H49" s="296">
        <v>75000</v>
      </c>
      <c r="I49" s="296">
        <v>0</v>
      </c>
      <c r="J49" s="385">
        <f>SUM(H49:I49)</f>
        <v>75000</v>
      </c>
      <c r="K49" s="296">
        <v>35586</v>
      </c>
      <c r="L49" s="296">
        <v>0</v>
      </c>
      <c r="M49" s="385">
        <f>SUM(K49:L49)</f>
        <v>35586</v>
      </c>
      <c r="N49" s="347">
        <f t="shared" si="1"/>
        <v>47.448</v>
      </c>
    </row>
    <row r="50" spans="1:14" ht="8.1" customHeight="1">
      <c r="B50" s="10"/>
      <c r="C50" s="11"/>
      <c r="D50" s="11"/>
      <c r="E50" s="306"/>
      <c r="F50" s="332"/>
      <c r="G50" s="18"/>
      <c r="H50" s="280"/>
      <c r="I50" s="280"/>
      <c r="J50" s="386"/>
      <c r="K50" s="280"/>
      <c r="L50" s="280"/>
      <c r="M50" s="386"/>
      <c r="N50" s="347" t="str">
        <f t="shared" si="1"/>
        <v/>
      </c>
    </row>
    <row r="51" spans="1:14" s="1" customFormat="1" ht="12.95" customHeight="1">
      <c r="A51" s="281"/>
      <c r="B51" s="12"/>
      <c r="C51" s="8"/>
      <c r="D51" s="8"/>
      <c r="E51" s="305"/>
      <c r="F51" s="331"/>
      <c r="G51" s="8" t="s">
        <v>93</v>
      </c>
      <c r="H51" s="288">
        <v>11</v>
      </c>
      <c r="I51" s="288"/>
      <c r="J51" s="387">
        <v>11</v>
      </c>
      <c r="K51" s="288">
        <v>11</v>
      </c>
      <c r="L51" s="288"/>
      <c r="M51" s="387">
        <v>11</v>
      </c>
      <c r="N51" s="347"/>
    </row>
    <row r="52" spans="1:14" s="1" customFormat="1" ht="12.95" customHeight="1">
      <c r="A52" s="281"/>
      <c r="B52" s="12"/>
      <c r="C52" s="8"/>
      <c r="D52" s="8"/>
      <c r="E52" s="305"/>
      <c r="F52" s="331"/>
      <c r="G52" s="8" t="s">
        <v>113</v>
      </c>
      <c r="H52" s="288">
        <f t="shared" ref="H52:I52" si="16">H8+H13+H16+H30+H41+H44+H48</f>
        <v>1677220</v>
      </c>
      <c r="I52" s="288">
        <f t="shared" si="16"/>
        <v>0</v>
      </c>
      <c r="J52" s="387">
        <f>J8+J13+J16+J30+J41+J44+J48</f>
        <v>1677220</v>
      </c>
      <c r="K52" s="288">
        <f t="shared" ref="K52:L52" si="17">K8+K13+K16+K30+K41+K44+K48</f>
        <v>311996</v>
      </c>
      <c r="L52" s="288">
        <f t="shared" si="17"/>
        <v>0</v>
      </c>
      <c r="M52" s="387">
        <f>M8+M13+M16+M30+M41+M44+M48</f>
        <v>311996</v>
      </c>
      <c r="N52" s="346">
        <f t="shared" si="1"/>
        <v>18.60197231132469</v>
      </c>
    </row>
    <row r="53" spans="1:14" s="1" customFormat="1" ht="12.95" customHeight="1">
      <c r="A53" s="281"/>
      <c r="B53" s="12"/>
      <c r="C53" s="8"/>
      <c r="D53" s="8"/>
      <c r="E53" s="305"/>
      <c r="F53" s="331"/>
      <c r="G53" s="8" t="s">
        <v>94</v>
      </c>
      <c r="H53" s="286"/>
      <c r="I53" s="286"/>
      <c r="J53" s="397"/>
      <c r="K53" s="286"/>
      <c r="L53" s="286"/>
      <c r="M53" s="397"/>
      <c r="N53" s="348" t="str">
        <f t="shared" si="1"/>
        <v/>
      </c>
    </row>
    <row r="54" spans="1:14" s="1" customFormat="1" ht="12.95" customHeight="1">
      <c r="A54" s="281"/>
      <c r="B54" s="12"/>
      <c r="C54" s="8"/>
      <c r="D54" s="8"/>
      <c r="E54" s="305"/>
      <c r="F54" s="331"/>
      <c r="G54" s="8" t="s">
        <v>95</v>
      </c>
      <c r="H54" s="286"/>
      <c r="I54" s="286"/>
      <c r="J54" s="397"/>
      <c r="K54" s="286"/>
      <c r="L54" s="286"/>
      <c r="M54" s="397"/>
      <c r="N54" s="348" t="str">
        <f t="shared" si="1"/>
        <v/>
      </c>
    </row>
    <row r="55" spans="1:14" ht="8.1" customHeight="1" thickBot="1">
      <c r="B55" s="15"/>
      <c r="C55" s="16"/>
      <c r="D55" s="16"/>
      <c r="E55" s="307"/>
      <c r="F55" s="333"/>
      <c r="G55" s="16"/>
      <c r="H55" s="16"/>
      <c r="I55" s="16"/>
      <c r="J55" s="394"/>
      <c r="K55" s="16"/>
      <c r="L55" s="16"/>
      <c r="M55" s="394"/>
      <c r="N55" s="349" t="str">
        <f t="shared" si="1"/>
        <v/>
      </c>
    </row>
    <row r="56" spans="1:14" ht="12.95" customHeight="1">
      <c r="E56" s="308"/>
      <c r="F56" s="334"/>
      <c r="J56" s="391"/>
      <c r="M56" s="391"/>
      <c r="N56" s="350" t="str">
        <f t="shared" si="1"/>
        <v/>
      </c>
    </row>
    <row r="57" spans="1:14" ht="17.100000000000001" customHeight="1">
      <c r="E57" s="308"/>
      <c r="F57" s="334"/>
      <c r="J57" s="391"/>
      <c r="M57" s="391"/>
      <c r="N57" s="350" t="str">
        <f t="shared" si="1"/>
        <v/>
      </c>
    </row>
    <row r="58" spans="1:14" ht="17.100000000000001" customHeight="1">
      <c r="B58" s="50"/>
      <c r="E58" s="308"/>
      <c r="F58" s="334"/>
      <c r="J58" s="391"/>
      <c r="M58" s="391"/>
      <c r="N58" s="350" t="str">
        <f t="shared" si="1"/>
        <v/>
      </c>
    </row>
    <row r="59" spans="1:14" ht="17.100000000000001" customHeight="1">
      <c r="B59" s="50"/>
      <c r="E59" s="308"/>
      <c r="F59" s="334"/>
      <c r="J59" s="391"/>
      <c r="M59" s="391"/>
      <c r="N59" s="350" t="str">
        <f t="shared" si="1"/>
        <v/>
      </c>
    </row>
    <row r="60" spans="1:14" ht="14.25">
      <c r="B60" s="50"/>
      <c r="E60" s="308"/>
      <c r="F60" s="334"/>
      <c r="J60" s="391"/>
      <c r="M60" s="391"/>
      <c r="N60" s="350" t="str">
        <f t="shared" si="1"/>
        <v/>
      </c>
    </row>
    <row r="61" spans="1:14" ht="14.25">
      <c r="B61" s="50"/>
      <c r="E61" s="308"/>
      <c r="F61" s="334"/>
      <c r="J61" s="391"/>
      <c r="M61" s="391"/>
      <c r="N61" s="350" t="str">
        <f t="shared" si="1"/>
        <v/>
      </c>
    </row>
    <row r="62" spans="1:14" ht="14.25">
      <c r="E62" s="308"/>
      <c r="F62" s="334"/>
      <c r="J62" s="391"/>
      <c r="M62" s="391"/>
      <c r="N62" s="350" t="str">
        <f t="shared" si="1"/>
        <v/>
      </c>
    </row>
    <row r="63" spans="1:14" ht="14.25">
      <c r="E63" s="308"/>
      <c r="F63" s="334"/>
      <c r="J63" s="391"/>
      <c r="M63" s="391"/>
      <c r="N63" s="350" t="str">
        <f t="shared" si="1"/>
        <v/>
      </c>
    </row>
    <row r="64" spans="1:14" ht="14.25">
      <c r="E64" s="308"/>
      <c r="F64" s="334"/>
      <c r="J64" s="391"/>
      <c r="M64" s="391"/>
      <c r="N64" s="350" t="str">
        <f t="shared" si="1"/>
        <v/>
      </c>
    </row>
    <row r="65" spans="5:14" ht="14.25">
      <c r="E65" s="308"/>
      <c r="F65" s="334"/>
      <c r="J65" s="391"/>
      <c r="M65" s="391"/>
      <c r="N65" s="350" t="str">
        <f t="shared" si="1"/>
        <v/>
      </c>
    </row>
    <row r="66" spans="5:14" ht="14.25">
      <c r="E66" s="308"/>
      <c r="F66" s="334"/>
      <c r="J66" s="391"/>
      <c r="M66" s="391"/>
      <c r="N66" s="350" t="str">
        <f t="shared" si="1"/>
        <v/>
      </c>
    </row>
    <row r="67" spans="5:14" ht="14.25">
      <c r="E67" s="308"/>
      <c r="F67" s="334"/>
      <c r="J67" s="391"/>
      <c r="M67" s="391"/>
    </row>
    <row r="68" spans="5:14" ht="14.25">
      <c r="E68" s="308"/>
      <c r="F68" s="334"/>
      <c r="J68" s="391"/>
      <c r="M68" s="391"/>
    </row>
    <row r="69" spans="5:14" ht="14.25">
      <c r="E69" s="308"/>
      <c r="F69" s="334"/>
      <c r="J69" s="391"/>
      <c r="M69" s="391"/>
    </row>
    <row r="70" spans="5:14" ht="14.25">
      <c r="E70" s="308"/>
      <c r="F70" s="334"/>
      <c r="J70" s="391"/>
      <c r="M70" s="391"/>
    </row>
    <row r="71" spans="5:14" ht="14.25">
      <c r="E71" s="308"/>
      <c r="F71" s="308"/>
      <c r="J71" s="391"/>
      <c r="M71" s="391"/>
    </row>
    <row r="72" spans="5:14" ht="14.25">
      <c r="E72" s="308"/>
      <c r="F72" s="308"/>
      <c r="J72" s="391"/>
      <c r="M72" s="391"/>
    </row>
    <row r="73" spans="5:14" ht="14.25">
      <c r="E73" s="308"/>
      <c r="F73" s="308"/>
      <c r="J73" s="391"/>
      <c r="M73" s="391"/>
    </row>
    <row r="74" spans="5:14" ht="14.25">
      <c r="E74" s="308"/>
      <c r="F74" s="308"/>
      <c r="J74" s="391"/>
      <c r="M74" s="391"/>
    </row>
    <row r="75" spans="5:14" ht="14.25">
      <c r="E75" s="308"/>
      <c r="F75" s="308"/>
      <c r="J75" s="391"/>
      <c r="M75" s="391"/>
    </row>
    <row r="76" spans="5:14" ht="14.25">
      <c r="E76" s="308"/>
      <c r="F76" s="308"/>
      <c r="J76" s="391"/>
      <c r="M76" s="391"/>
    </row>
    <row r="77" spans="5:14" ht="14.25">
      <c r="E77" s="308"/>
      <c r="F77" s="308"/>
      <c r="J77" s="391"/>
      <c r="M77" s="391"/>
    </row>
    <row r="78" spans="5:14" ht="14.25">
      <c r="E78" s="308"/>
      <c r="F78" s="308"/>
      <c r="J78" s="391"/>
      <c r="M78" s="391"/>
    </row>
    <row r="79" spans="5:14" ht="14.25">
      <c r="E79" s="308"/>
      <c r="F79" s="308"/>
      <c r="J79" s="391"/>
      <c r="M79" s="391"/>
    </row>
    <row r="80" spans="5:14" ht="14.25">
      <c r="E80" s="308"/>
      <c r="F80" s="308"/>
      <c r="J80" s="391"/>
      <c r="M80" s="391"/>
    </row>
    <row r="81" spans="5:13" ht="14.25">
      <c r="E81" s="308"/>
      <c r="F81" s="308"/>
      <c r="J81" s="391"/>
      <c r="M81" s="391"/>
    </row>
    <row r="82" spans="5:13" ht="14.25">
      <c r="E82" s="308"/>
      <c r="F82" s="308"/>
      <c r="J82" s="391"/>
      <c r="M82" s="391"/>
    </row>
    <row r="83" spans="5:13" ht="14.25">
      <c r="E83" s="308"/>
      <c r="F83" s="308"/>
      <c r="J83" s="391"/>
      <c r="M83" s="391"/>
    </row>
    <row r="84" spans="5:13" ht="14.25">
      <c r="E84" s="308"/>
      <c r="F84" s="308"/>
      <c r="J84" s="391"/>
      <c r="M84" s="391"/>
    </row>
    <row r="85" spans="5:13" ht="14.25">
      <c r="E85" s="308"/>
      <c r="F85" s="308"/>
      <c r="J85" s="391"/>
      <c r="M85" s="391"/>
    </row>
    <row r="86" spans="5:13" ht="14.25">
      <c r="E86" s="308"/>
      <c r="F86" s="308"/>
      <c r="J86" s="391"/>
      <c r="M86" s="391"/>
    </row>
    <row r="87" spans="5:13" ht="14.25">
      <c r="E87" s="308"/>
      <c r="F87" s="308"/>
      <c r="J87" s="391"/>
      <c r="M87" s="391"/>
    </row>
    <row r="88" spans="5:13">
      <c r="F88" s="308"/>
    </row>
    <row r="89" spans="5:13">
      <c r="F89" s="308"/>
    </row>
    <row r="90" spans="5:13">
      <c r="F90" s="308"/>
    </row>
    <row r="91" spans="5:13">
      <c r="F91" s="308"/>
    </row>
    <row r="92" spans="5:13">
      <c r="F92" s="308"/>
    </row>
    <row r="93" spans="5:13">
      <c r="F93" s="308"/>
    </row>
  </sheetData>
  <mergeCells count="10">
    <mergeCell ref="N4:N5"/>
    <mergeCell ref="G4:G5"/>
    <mergeCell ref="B2:G2"/>
    <mergeCell ref="H4:J4"/>
    <mergeCell ref="B4:B5"/>
    <mergeCell ref="C4:C5"/>
    <mergeCell ref="D4:D5"/>
    <mergeCell ref="F4:F5"/>
    <mergeCell ref="E4:E5"/>
    <mergeCell ref="K4:M4"/>
  </mergeCells>
  <phoneticPr fontId="2" type="noConversion"/>
  <pageMargins left="0.78740157480314965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25"/>
  <dimension ref="A1:Q96"/>
  <sheetViews>
    <sheetView zoomScaleNormal="100" zoomScaleSheetLayoutView="100" workbookViewId="0">
      <selection activeCell="K45" sqref="K45"/>
    </sheetView>
  </sheetViews>
  <sheetFormatPr defaultRowHeight="12.75"/>
  <cols>
    <col min="1" max="1" width="9.140625" style="284"/>
    <col min="2" max="2" width="4.7109375" style="9" customWidth="1"/>
    <col min="3" max="3" width="5.140625" style="9" customWidth="1"/>
    <col min="4" max="4" width="5" style="9" customWidth="1"/>
    <col min="5" max="5" width="8.7109375" style="17" customWidth="1"/>
    <col min="6" max="6" width="8.7109375" style="289" customWidth="1"/>
    <col min="7" max="7" width="50.7109375" style="9" customWidth="1"/>
    <col min="8" max="9" width="14.7109375" style="57" customWidth="1"/>
    <col min="10" max="10" width="15.7109375" style="57" customWidth="1"/>
    <col min="11" max="12" width="14.7109375" style="57" customWidth="1"/>
    <col min="13" max="13" width="15.7109375" style="57" customWidth="1"/>
    <col min="14" max="14" width="7.7109375" style="350" customWidth="1"/>
    <col min="15" max="15" width="9.140625" style="9"/>
    <col min="16" max="16" width="10.140625" style="9" bestFit="1" customWidth="1"/>
    <col min="17" max="16384" width="9.140625" style="9"/>
  </cols>
  <sheetData>
    <row r="1" spans="1:17" ht="13.5" thickBot="1"/>
    <row r="2" spans="1:17" s="98" customFormat="1" ht="20.100000000000001" customHeight="1" thickTop="1" thickBot="1">
      <c r="B2" s="590" t="s">
        <v>168</v>
      </c>
      <c r="C2" s="591"/>
      <c r="D2" s="591"/>
      <c r="E2" s="591"/>
      <c r="F2" s="591"/>
      <c r="G2" s="591"/>
      <c r="H2" s="377"/>
      <c r="I2" s="377"/>
      <c r="J2" s="377"/>
      <c r="K2" s="377"/>
      <c r="L2" s="377"/>
      <c r="M2" s="377"/>
      <c r="N2" s="380"/>
    </row>
    <row r="3" spans="1:17" s="1" customFormat="1" ht="8.1" customHeight="1" thickTop="1" thickBot="1">
      <c r="A3" s="281"/>
      <c r="E3" s="2"/>
      <c r="F3" s="282"/>
      <c r="G3" s="531"/>
      <c r="H3" s="92"/>
      <c r="I3" s="92"/>
      <c r="J3" s="92"/>
      <c r="K3" s="92"/>
      <c r="L3" s="92"/>
      <c r="M3" s="92"/>
      <c r="N3" s="344"/>
    </row>
    <row r="4" spans="1:17" s="1" customFormat="1" ht="39" customHeight="1">
      <c r="A4" s="281"/>
      <c r="B4" s="596" t="s">
        <v>78</v>
      </c>
      <c r="C4" s="606" t="s">
        <v>79</v>
      </c>
      <c r="D4" s="607" t="s">
        <v>110</v>
      </c>
      <c r="E4" s="608" t="s">
        <v>594</v>
      </c>
      <c r="F4" s="601" t="s">
        <v>653</v>
      </c>
      <c r="G4" s="602" t="s">
        <v>80</v>
      </c>
      <c r="H4" s="593" t="s">
        <v>647</v>
      </c>
      <c r="I4" s="594"/>
      <c r="J4" s="595"/>
      <c r="K4" s="593" t="s">
        <v>801</v>
      </c>
      <c r="L4" s="594"/>
      <c r="M4" s="595"/>
      <c r="N4" s="604" t="s">
        <v>805</v>
      </c>
    </row>
    <row r="5" spans="1:17" s="281" customFormat="1" ht="27" customHeight="1">
      <c r="B5" s="597"/>
      <c r="C5" s="599"/>
      <c r="D5" s="599"/>
      <c r="E5" s="603"/>
      <c r="F5" s="599"/>
      <c r="G5" s="603"/>
      <c r="H5" s="372" t="s">
        <v>705</v>
      </c>
      <c r="I5" s="372" t="s">
        <v>706</v>
      </c>
      <c r="J5" s="382" t="s">
        <v>413</v>
      </c>
      <c r="K5" s="372" t="s">
        <v>705</v>
      </c>
      <c r="L5" s="372" t="s">
        <v>706</v>
      </c>
      <c r="M5" s="382" t="s">
        <v>413</v>
      </c>
      <c r="N5" s="605"/>
    </row>
    <row r="6" spans="1:17" s="2" customFormat="1" ht="12.95" customHeight="1">
      <c r="A6" s="282"/>
      <c r="B6" s="504">
        <v>1</v>
      </c>
      <c r="C6" s="331">
        <v>2</v>
      </c>
      <c r="D6" s="331">
        <v>3</v>
      </c>
      <c r="E6" s="331">
        <v>4</v>
      </c>
      <c r="F6" s="331">
        <v>5</v>
      </c>
      <c r="G6" s="331">
        <v>6</v>
      </c>
      <c r="H6" s="331">
        <v>7</v>
      </c>
      <c r="I6" s="331">
        <v>8</v>
      </c>
      <c r="J6" s="523" t="s">
        <v>804</v>
      </c>
      <c r="K6" s="331">
        <v>10</v>
      </c>
      <c r="L6" s="331">
        <v>11</v>
      </c>
      <c r="M6" s="523" t="s">
        <v>707</v>
      </c>
      <c r="N6" s="505">
        <v>13</v>
      </c>
    </row>
    <row r="7" spans="1:17" s="2" customFormat="1" ht="12.95" customHeight="1">
      <c r="A7" s="282"/>
      <c r="B7" s="6" t="s">
        <v>143</v>
      </c>
      <c r="C7" s="7" t="s">
        <v>132</v>
      </c>
      <c r="D7" s="7" t="s">
        <v>117</v>
      </c>
      <c r="E7" s="5"/>
      <c r="F7" s="283"/>
      <c r="G7" s="5"/>
      <c r="H7" s="86"/>
      <c r="I7" s="86"/>
      <c r="J7" s="392"/>
      <c r="K7" s="86"/>
      <c r="L7" s="86"/>
      <c r="M7" s="392"/>
      <c r="N7" s="345"/>
    </row>
    <row r="8" spans="1:17" s="1" customFormat="1" ht="12.95" customHeight="1">
      <c r="A8" s="281"/>
      <c r="B8" s="12"/>
      <c r="C8" s="8"/>
      <c r="D8" s="8"/>
      <c r="E8" s="305">
        <v>611000</v>
      </c>
      <c r="F8" s="331"/>
      <c r="G8" s="8" t="s">
        <v>163</v>
      </c>
      <c r="H8" s="210">
        <f t="shared" ref="H8:M8" si="0">SUM(H9:H12)</f>
        <v>1130030</v>
      </c>
      <c r="I8" s="210">
        <f t="shared" si="0"/>
        <v>0</v>
      </c>
      <c r="J8" s="384">
        <f t="shared" si="0"/>
        <v>1130030</v>
      </c>
      <c r="K8" s="210">
        <f t="shared" si="0"/>
        <v>262355</v>
      </c>
      <c r="L8" s="210">
        <f t="shared" si="0"/>
        <v>0</v>
      </c>
      <c r="M8" s="384">
        <f t="shared" si="0"/>
        <v>262355</v>
      </c>
      <c r="N8" s="346">
        <f>IF(J8=0,"",M8/J8*100)</f>
        <v>23.216640266187625</v>
      </c>
      <c r="P8" s="58"/>
      <c r="Q8" s="58"/>
    </row>
    <row r="9" spans="1:17" ht="12.95" customHeight="1">
      <c r="B9" s="10"/>
      <c r="C9" s="11"/>
      <c r="D9" s="11"/>
      <c r="E9" s="306">
        <v>611100</v>
      </c>
      <c r="F9" s="332"/>
      <c r="G9" s="18" t="s">
        <v>198</v>
      </c>
      <c r="H9" s="212">
        <f>899200+0+11310+4*500</f>
        <v>912510</v>
      </c>
      <c r="I9" s="212">
        <v>0</v>
      </c>
      <c r="J9" s="385">
        <f>SUM(H9:I9)</f>
        <v>912510</v>
      </c>
      <c r="K9" s="212">
        <v>221829</v>
      </c>
      <c r="L9" s="212">
        <v>0</v>
      </c>
      <c r="M9" s="385">
        <f>SUM(K9:L9)</f>
        <v>221829</v>
      </c>
      <c r="N9" s="347">
        <f t="shared" ref="N9:N66" si="1">IF(J9=0,"",M9/J9*100)</f>
        <v>24.309760988920669</v>
      </c>
    </row>
    <row r="10" spans="1:17" ht="12.95" customHeight="1">
      <c r="B10" s="10"/>
      <c r="C10" s="11"/>
      <c r="D10" s="11"/>
      <c r="E10" s="306">
        <v>611200</v>
      </c>
      <c r="F10" s="332"/>
      <c r="G10" s="11" t="s">
        <v>199</v>
      </c>
      <c r="H10" s="212">
        <f>199200+3000+11720+4*900</f>
        <v>217520</v>
      </c>
      <c r="I10" s="212">
        <v>0</v>
      </c>
      <c r="J10" s="385">
        <f t="shared" ref="J10:J11" si="2">SUM(H10:I10)</f>
        <v>217520</v>
      </c>
      <c r="K10" s="212">
        <v>40526</v>
      </c>
      <c r="L10" s="212">
        <v>0</v>
      </c>
      <c r="M10" s="385">
        <f t="shared" ref="M10:M11" si="3">SUM(K10:L10)</f>
        <v>40526</v>
      </c>
      <c r="N10" s="347">
        <f t="shared" si="1"/>
        <v>18.630930489150423</v>
      </c>
      <c r="P10" s="57"/>
    </row>
    <row r="11" spans="1:17" ht="12.95" customHeight="1">
      <c r="B11" s="10"/>
      <c r="C11" s="11"/>
      <c r="D11" s="11"/>
      <c r="E11" s="306">
        <v>611200</v>
      </c>
      <c r="F11" s="332"/>
      <c r="G11" s="189" t="s">
        <v>534</v>
      </c>
      <c r="H11" s="209">
        <v>0</v>
      </c>
      <c r="I11" s="209">
        <v>0</v>
      </c>
      <c r="J11" s="385">
        <f t="shared" si="2"/>
        <v>0</v>
      </c>
      <c r="K11" s="209">
        <v>0</v>
      </c>
      <c r="L11" s="209">
        <v>0</v>
      </c>
      <c r="M11" s="385">
        <f t="shared" si="3"/>
        <v>0</v>
      </c>
      <c r="N11" s="347" t="str">
        <f t="shared" si="1"/>
        <v/>
      </c>
      <c r="P11" s="56"/>
    </row>
    <row r="12" spans="1:17" ht="12.95" customHeight="1">
      <c r="B12" s="10"/>
      <c r="C12" s="11"/>
      <c r="D12" s="11"/>
      <c r="E12" s="306"/>
      <c r="F12" s="332"/>
      <c r="G12" s="18"/>
      <c r="H12" s="212"/>
      <c r="I12" s="212"/>
      <c r="J12" s="385"/>
      <c r="K12" s="212"/>
      <c r="L12" s="212"/>
      <c r="M12" s="385"/>
      <c r="N12" s="347" t="str">
        <f t="shared" si="1"/>
        <v/>
      </c>
    </row>
    <row r="13" spans="1:17" s="1" customFormat="1" ht="12.95" customHeight="1">
      <c r="A13" s="281"/>
      <c r="B13" s="12"/>
      <c r="C13" s="8"/>
      <c r="D13" s="8"/>
      <c r="E13" s="305">
        <v>612000</v>
      </c>
      <c r="F13" s="331"/>
      <c r="G13" s="8" t="s">
        <v>162</v>
      </c>
      <c r="H13" s="210">
        <f t="shared" ref="H13:M13" si="4">H14</f>
        <v>95990</v>
      </c>
      <c r="I13" s="210">
        <f t="shared" si="4"/>
        <v>0</v>
      </c>
      <c r="J13" s="384">
        <f t="shared" si="4"/>
        <v>95990</v>
      </c>
      <c r="K13" s="210">
        <f t="shared" si="4"/>
        <v>23540</v>
      </c>
      <c r="L13" s="210">
        <f t="shared" si="4"/>
        <v>0</v>
      </c>
      <c r="M13" s="384">
        <f t="shared" si="4"/>
        <v>23540</v>
      </c>
      <c r="N13" s="346">
        <f t="shared" si="1"/>
        <v>24.523387852901344</v>
      </c>
    </row>
    <row r="14" spans="1:17" ht="12.95" customHeight="1">
      <c r="B14" s="10"/>
      <c r="C14" s="11"/>
      <c r="D14" s="11"/>
      <c r="E14" s="306">
        <v>612100</v>
      </c>
      <c r="F14" s="332"/>
      <c r="G14" s="13" t="s">
        <v>83</v>
      </c>
      <c r="H14" s="212">
        <f>95200+510+4*70</f>
        <v>95990</v>
      </c>
      <c r="I14" s="212">
        <v>0</v>
      </c>
      <c r="J14" s="385">
        <f>SUM(H14:I14)</f>
        <v>95990</v>
      </c>
      <c r="K14" s="212">
        <v>23540</v>
      </c>
      <c r="L14" s="212">
        <v>0</v>
      </c>
      <c r="M14" s="385">
        <f>SUM(K14:L14)</f>
        <v>23540</v>
      </c>
      <c r="N14" s="347">
        <f t="shared" si="1"/>
        <v>24.523387852901344</v>
      </c>
    </row>
    <row r="15" spans="1:17" ht="12.95" customHeight="1">
      <c r="B15" s="10"/>
      <c r="C15" s="11"/>
      <c r="D15" s="11"/>
      <c r="E15" s="306"/>
      <c r="F15" s="332"/>
      <c r="G15" s="11"/>
      <c r="H15" s="291"/>
      <c r="I15" s="291"/>
      <c r="J15" s="386"/>
      <c r="K15" s="291"/>
      <c r="L15" s="291"/>
      <c r="M15" s="386"/>
      <c r="N15" s="347" t="str">
        <f t="shared" si="1"/>
        <v/>
      </c>
    </row>
    <row r="16" spans="1:17" s="1" customFormat="1" ht="12.95" customHeight="1">
      <c r="A16" s="281"/>
      <c r="B16" s="12"/>
      <c r="C16" s="8"/>
      <c r="D16" s="8"/>
      <c r="E16" s="305">
        <v>613000</v>
      </c>
      <c r="F16" s="331"/>
      <c r="G16" s="8" t="s">
        <v>164</v>
      </c>
      <c r="H16" s="293">
        <f t="shared" ref="H16:M16" si="5">SUM(H17:H26)</f>
        <v>153500</v>
      </c>
      <c r="I16" s="293">
        <f t="shared" si="5"/>
        <v>0</v>
      </c>
      <c r="J16" s="387">
        <f t="shared" si="5"/>
        <v>153500</v>
      </c>
      <c r="K16" s="293">
        <f t="shared" si="5"/>
        <v>29805</v>
      </c>
      <c r="L16" s="293">
        <f t="shared" si="5"/>
        <v>0</v>
      </c>
      <c r="M16" s="387">
        <f t="shared" si="5"/>
        <v>29805</v>
      </c>
      <c r="N16" s="346">
        <f t="shared" si="1"/>
        <v>19.416938110749186</v>
      </c>
    </row>
    <row r="17" spans="1:15" ht="12.95" customHeight="1">
      <c r="B17" s="10"/>
      <c r="C17" s="11"/>
      <c r="D17" s="11"/>
      <c r="E17" s="306">
        <v>613100</v>
      </c>
      <c r="F17" s="332"/>
      <c r="G17" s="11" t="s">
        <v>84</v>
      </c>
      <c r="H17" s="363">
        <v>5000</v>
      </c>
      <c r="I17" s="363">
        <v>0</v>
      </c>
      <c r="J17" s="385">
        <f t="shared" ref="J17:J26" si="6">SUM(H17:I17)</f>
        <v>5000</v>
      </c>
      <c r="K17" s="363">
        <v>0</v>
      </c>
      <c r="L17" s="363">
        <v>0</v>
      </c>
      <c r="M17" s="385">
        <f t="shared" ref="M17:M26" si="7">SUM(K17:L17)</f>
        <v>0</v>
      </c>
      <c r="N17" s="347">
        <f t="shared" si="1"/>
        <v>0</v>
      </c>
    </row>
    <row r="18" spans="1:15" ht="12.95" customHeight="1">
      <c r="B18" s="10"/>
      <c r="C18" s="11"/>
      <c r="D18" s="11"/>
      <c r="E18" s="306">
        <v>613200</v>
      </c>
      <c r="F18" s="332"/>
      <c r="G18" s="11" t="s">
        <v>85</v>
      </c>
      <c r="H18" s="363">
        <v>60000</v>
      </c>
      <c r="I18" s="363">
        <v>0</v>
      </c>
      <c r="J18" s="385">
        <f t="shared" si="6"/>
        <v>60000</v>
      </c>
      <c r="K18" s="363">
        <v>10308</v>
      </c>
      <c r="L18" s="363">
        <v>0</v>
      </c>
      <c r="M18" s="385">
        <f t="shared" si="7"/>
        <v>10308</v>
      </c>
      <c r="N18" s="347">
        <f t="shared" si="1"/>
        <v>17.18</v>
      </c>
    </row>
    <row r="19" spans="1:15" ht="12.95" customHeight="1">
      <c r="B19" s="10"/>
      <c r="C19" s="11"/>
      <c r="D19" s="11"/>
      <c r="E19" s="306">
        <v>613300</v>
      </c>
      <c r="F19" s="332"/>
      <c r="G19" s="18" t="s">
        <v>200</v>
      </c>
      <c r="H19" s="363">
        <v>10500</v>
      </c>
      <c r="I19" s="363">
        <v>0</v>
      </c>
      <c r="J19" s="385">
        <f t="shared" si="6"/>
        <v>10500</v>
      </c>
      <c r="K19" s="363">
        <v>2259</v>
      </c>
      <c r="L19" s="363">
        <v>0</v>
      </c>
      <c r="M19" s="385">
        <f t="shared" si="7"/>
        <v>2259</v>
      </c>
      <c r="N19" s="347">
        <f t="shared" si="1"/>
        <v>21.514285714285712</v>
      </c>
    </row>
    <row r="20" spans="1:15" ht="12.95" customHeight="1">
      <c r="B20" s="10"/>
      <c r="C20" s="11"/>
      <c r="D20" s="11"/>
      <c r="E20" s="306">
        <v>613400</v>
      </c>
      <c r="F20" s="332"/>
      <c r="G20" s="11" t="s">
        <v>165</v>
      </c>
      <c r="H20" s="363">
        <v>22000</v>
      </c>
      <c r="I20" s="363">
        <v>0</v>
      </c>
      <c r="J20" s="385">
        <f t="shared" si="6"/>
        <v>22000</v>
      </c>
      <c r="K20" s="363">
        <v>6186</v>
      </c>
      <c r="L20" s="363">
        <v>0</v>
      </c>
      <c r="M20" s="385">
        <f t="shared" si="7"/>
        <v>6186</v>
      </c>
      <c r="N20" s="347">
        <f t="shared" si="1"/>
        <v>28.118181818181821</v>
      </c>
    </row>
    <row r="21" spans="1:15" ht="12.95" customHeight="1">
      <c r="B21" s="10"/>
      <c r="C21" s="11"/>
      <c r="D21" s="11"/>
      <c r="E21" s="306">
        <v>613500</v>
      </c>
      <c r="F21" s="332"/>
      <c r="G21" s="11" t="s">
        <v>86</v>
      </c>
      <c r="H21" s="365">
        <v>2000</v>
      </c>
      <c r="I21" s="365">
        <v>0</v>
      </c>
      <c r="J21" s="385">
        <f t="shared" si="6"/>
        <v>2000</v>
      </c>
      <c r="K21" s="365">
        <v>161</v>
      </c>
      <c r="L21" s="365">
        <v>0</v>
      </c>
      <c r="M21" s="385">
        <f t="shared" si="7"/>
        <v>161</v>
      </c>
      <c r="N21" s="347">
        <f t="shared" si="1"/>
        <v>8.0500000000000007</v>
      </c>
    </row>
    <row r="22" spans="1:15" ht="12.95" customHeight="1">
      <c r="B22" s="10"/>
      <c r="C22" s="11"/>
      <c r="D22" s="11"/>
      <c r="E22" s="306">
        <v>613600</v>
      </c>
      <c r="F22" s="332"/>
      <c r="G22" s="18" t="s">
        <v>201</v>
      </c>
      <c r="H22" s="363">
        <v>0</v>
      </c>
      <c r="I22" s="363">
        <v>0</v>
      </c>
      <c r="J22" s="385">
        <f t="shared" si="6"/>
        <v>0</v>
      </c>
      <c r="K22" s="363">
        <v>0</v>
      </c>
      <c r="L22" s="363">
        <v>0</v>
      </c>
      <c r="M22" s="385">
        <f t="shared" si="7"/>
        <v>0</v>
      </c>
      <c r="N22" s="347" t="str">
        <f t="shared" si="1"/>
        <v/>
      </c>
    </row>
    <row r="23" spans="1:15" ht="12.95" customHeight="1">
      <c r="B23" s="10"/>
      <c r="C23" s="11"/>
      <c r="D23" s="11"/>
      <c r="E23" s="306">
        <v>613700</v>
      </c>
      <c r="F23" s="332"/>
      <c r="G23" s="11" t="s">
        <v>87</v>
      </c>
      <c r="H23" s="363">
        <v>15000</v>
      </c>
      <c r="I23" s="363">
        <v>0</v>
      </c>
      <c r="J23" s="385">
        <f t="shared" si="6"/>
        <v>15000</v>
      </c>
      <c r="K23" s="363">
        <v>3994</v>
      </c>
      <c r="L23" s="363">
        <v>0</v>
      </c>
      <c r="M23" s="385">
        <f t="shared" si="7"/>
        <v>3994</v>
      </c>
      <c r="N23" s="347">
        <f t="shared" si="1"/>
        <v>26.626666666666665</v>
      </c>
    </row>
    <row r="24" spans="1:15" ht="12.95" customHeight="1">
      <c r="B24" s="10"/>
      <c r="C24" s="11"/>
      <c r="D24" s="11"/>
      <c r="E24" s="306">
        <v>613800</v>
      </c>
      <c r="F24" s="332"/>
      <c r="G24" s="11" t="s">
        <v>166</v>
      </c>
      <c r="H24" s="363">
        <v>0</v>
      </c>
      <c r="I24" s="363">
        <v>0</v>
      </c>
      <c r="J24" s="385">
        <f t="shared" si="6"/>
        <v>0</v>
      </c>
      <c r="K24" s="363">
        <v>0</v>
      </c>
      <c r="L24" s="363">
        <v>0</v>
      </c>
      <c r="M24" s="385">
        <f t="shared" si="7"/>
        <v>0</v>
      </c>
      <c r="N24" s="347" t="str">
        <f t="shared" si="1"/>
        <v/>
      </c>
    </row>
    <row r="25" spans="1:15" ht="12.95" customHeight="1">
      <c r="B25" s="10"/>
      <c r="C25" s="11"/>
      <c r="D25" s="11"/>
      <c r="E25" s="306">
        <v>613900</v>
      </c>
      <c r="F25" s="332"/>
      <c r="G25" s="11" t="s">
        <v>167</v>
      </c>
      <c r="H25" s="365">
        <v>39000</v>
      </c>
      <c r="I25" s="365">
        <v>0</v>
      </c>
      <c r="J25" s="385">
        <f t="shared" si="6"/>
        <v>39000</v>
      </c>
      <c r="K25" s="365">
        <v>6897</v>
      </c>
      <c r="L25" s="365">
        <v>0</v>
      </c>
      <c r="M25" s="385">
        <f t="shared" si="7"/>
        <v>6897</v>
      </c>
      <c r="N25" s="347">
        <f t="shared" si="1"/>
        <v>17.684615384615384</v>
      </c>
    </row>
    <row r="26" spans="1:15" ht="12.95" customHeight="1">
      <c r="B26" s="10"/>
      <c r="C26" s="11"/>
      <c r="D26" s="11"/>
      <c r="E26" s="306">
        <v>613900</v>
      </c>
      <c r="F26" s="332"/>
      <c r="G26" s="189" t="s">
        <v>535</v>
      </c>
      <c r="H26" s="359">
        <v>0</v>
      </c>
      <c r="I26" s="359">
        <v>0</v>
      </c>
      <c r="J26" s="385">
        <f t="shared" si="6"/>
        <v>0</v>
      </c>
      <c r="K26" s="359">
        <v>0</v>
      </c>
      <c r="L26" s="359">
        <v>0</v>
      </c>
      <c r="M26" s="385">
        <f t="shared" si="7"/>
        <v>0</v>
      </c>
      <c r="N26" s="347" t="str">
        <f t="shared" si="1"/>
        <v/>
      </c>
    </row>
    <row r="27" spans="1:15" s="1" customFormat="1" ht="12.95" customHeight="1">
      <c r="A27" s="281"/>
      <c r="B27" s="12"/>
      <c r="C27" s="8"/>
      <c r="D27" s="8"/>
      <c r="E27" s="305"/>
      <c r="F27" s="331"/>
      <c r="G27" s="8"/>
      <c r="H27" s="291"/>
      <c r="I27" s="291"/>
      <c r="J27" s="386"/>
      <c r="K27" s="291"/>
      <c r="L27" s="291"/>
      <c r="M27" s="386"/>
      <c r="N27" s="347" t="str">
        <f t="shared" si="1"/>
        <v/>
      </c>
    </row>
    <row r="28" spans="1:15" s="1" customFormat="1" ht="12.95" customHeight="1">
      <c r="A28" s="281"/>
      <c r="B28" s="12"/>
      <c r="C28" s="8"/>
      <c r="D28" s="8"/>
      <c r="E28" s="305">
        <v>821000</v>
      </c>
      <c r="F28" s="331"/>
      <c r="G28" s="8" t="s">
        <v>90</v>
      </c>
      <c r="H28" s="288">
        <f t="shared" ref="H28:M28" si="8">SUM(H29:H31)</f>
        <v>10000</v>
      </c>
      <c r="I28" s="288">
        <f t="shared" si="8"/>
        <v>0</v>
      </c>
      <c r="J28" s="387">
        <f t="shared" si="8"/>
        <v>10000</v>
      </c>
      <c r="K28" s="288">
        <f t="shared" si="8"/>
        <v>0</v>
      </c>
      <c r="L28" s="288">
        <f t="shared" si="8"/>
        <v>0</v>
      </c>
      <c r="M28" s="387">
        <f t="shared" si="8"/>
        <v>0</v>
      </c>
      <c r="N28" s="346">
        <f t="shared" si="1"/>
        <v>0</v>
      </c>
    </row>
    <row r="29" spans="1:15" ht="12.95" customHeight="1">
      <c r="B29" s="10"/>
      <c r="C29" s="11"/>
      <c r="D29" s="11"/>
      <c r="E29" s="306">
        <v>821200</v>
      </c>
      <c r="F29" s="332"/>
      <c r="G29" s="11" t="s">
        <v>91</v>
      </c>
      <c r="H29" s="296">
        <v>5000</v>
      </c>
      <c r="I29" s="296">
        <v>0</v>
      </c>
      <c r="J29" s="385">
        <f t="shared" ref="J29:J30" si="9">SUM(H29:I29)</f>
        <v>5000</v>
      </c>
      <c r="K29" s="296">
        <v>0</v>
      </c>
      <c r="L29" s="296">
        <v>0</v>
      </c>
      <c r="M29" s="385">
        <f t="shared" ref="M29:M30" si="10">SUM(K29:L29)</f>
        <v>0</v>
      </c>
      <c r="N29" s="347">
        <f t="shared" si="1"/>
        <v>0</v>
      </c>
      <c r="O29" s="50"/>
    </row>
    <row r="30" spans="1:15" ht="12.95" customHeight="1">
      <c r="B30" s="10"/>
      <c r="C30" s="11"/>
      <c r="D30" s="11"/>
      <c r="E30" s="306">
        <v>821300</v>
      </c>
      <c r="F30" s="332"/>
      <c r="G30" s="11" t="s">
        <v>92</v>
      </c>
      <c r="H30" s="296">
        <v>5000</v>
      </c>
      <c r="I30" s="296">
        <v>0</v>
      </c>
      <c r="J30" s="385">
        <f t="shared" si="9"/>
        <v>5000</v>
      </c>
      <c r="K30" s="296">
        <v>0</v>
      </c>
      <c r="L30" s="296">
        <v>0</v>
      </c>
      <c r="M30" s="385">
        <f t="shared" si="10"/>
        <v>0</v>
      </c>
      <c r="N30" s="347">
        <f t="shared" si="1"/>
        <v>0</v>
      </c>
    </row>
    <row r="31" spans="1:15" ht="12.95" customHeight="1">
      <c r="B31" s="10"/>
      <c r="C31" s="11"/>
      <c r="D31" s="11"/>
      <c r="E31" s="306"/>
      <c r="F31" s="332"/>
      <c r="G31" s="18"/>
      <c r="H31" s="291"/>
      <c r="I31" s="291"/>
      <c r="J31" s="386"/>
      <c r="K31" s="291"/>
      <c r="L31" s="291"/>
      <c r="M31" s="386"/>
      <c r="N31" s="347" t="str">
        <f t="shared" si="1"/>
        <v/>
      </c>
    </row>
    <row r="32" spans="1:15" s="1" customFormat="1" ht="12.95" customHeight="1">
      <c r="A32" s="281"/>
      <c r="B32" s="12"/>
      <c r="C32" s="8"/>
      <c r="D32" s="8"/>
      <c r="E32" s="305"/>
      <c r="F32" s="331"/>
      <c r="G32" s="8" t="s">
        <v>93</v>
      </c>
      <c r="H32" s="278" t="s">
        <v>606</v>
      </c>
      <c r="I32" s="278"/>
      <c r="J32" s="389" t="s">
        <v>606</v>
      </c>
      <c r="K32" s="278" t="s">
        <v>825</v>
      </c>
      <c r="L32" s="278"/>
      <c r="M32" s="389" t="s">
        <v>825</v>
      </c>
      <c r="N32" s="347"/>
    </row>
    <row r="33" spans="1:17" s="1" customFormat="1" ht="12.95" customHeight="1">
      <c r="A33" s="281"/>
      <c r="B33" s="12"/>
      <c r="C33" s="8"/>
      <c r="D33" s="8"/>
      <c r="E33" s="305"/>
      <c r="F33" s="331"/>
      <c r="G33" s="8" t="s">
        <v>113</v>
      </c>
      <c r="H33" s="288">
        <f t="shared" ref="H33:M33" si="11">H8+H13+H16+H28</f>
        <v>1389520</v>
      </c>
      <c r="I33" s="288">
        <f t="shared" si="11"/>
        <v>0</v>
      </c>
      <c r="J33" s="387">
        <f t="shared" si="11"/>
        <v>1389520</v>
      </c>
      <c r="K33" s="288">
        <f t="shared" si="11"/>
        <v>315700</v>
      </c>
      <c r="L33" s="288">
        <f t="shared" si="11"/>
        <v>0</v>
      </c>
      <c r="M33" s="387">
        <f t="shared" si="11"/>
        <v>315700</v>
      </c>
      <c r="N33" s="346">
        <f t="shared" si="1"/>
        <v>22.720075997466751</v>
      </c>
    </row>
    <row r="34" spans="1:17" s="1" customFormat="1" ht="12.95" customHeight="1">
      <c r="A34" s="281"/>
      <c r="B34" s="12"/>
      <c r="C34" s="8"/>
      <c r="D34" s="8"/>
      <c r="E34" s="305"/>
      <c r="F34" s="331"/>
      <c r="G34" s="8" t="s">
        <v>94</v>
      </c>
      <c r="H34" s="288"/>
      <c r="I34" s="288"/>
      <c r="J34" s="387"/>
      <c r="K34" s="288"/>
      <c r="L34" s="288"/>
      <c r="M34" s="387"/>
      <c r="N34" s="347" t="str">
        <f t="shared" si="1"/>
        <v/>
      </c>
      <c r="Q34" s="1" t="s">
        <v>175</v>
      </c>
    </row>
    <row r="35" spans="1:17" s="1" customFormat="1" ht="12.95" customHeight="1">
      <c r="A35" s="281"/>
      <c r="B35" s="12"/>
      <c r="C35" s="8"/>
      <c r="D35" s="8"/>
      <c r="E35" s="305"/>
      <c r="F35" s="331"/>
      <c r="G35" s="8" t="s">
        <v>95</v>
      </c>
      <c r="H35" s="279"/>
      <c r="I35" s="279"/>
      <c r="J35" s="386"/>
      <c r="K35" s="279"/>
      <c r="L35" s="279"/>
      <c r="M35" s="386"/>
      <c r="N35" s="347" t="str">
        <f t="shared" si="1"/>
        <v/>
      </c>
    </row>
    <row r="36" spans="1:17" ht="12.95" customHeight="1" thickBot="1">
      <c r="B36" s="15"/>
      <c r="C36" s="16"/>
      <c r="D36" s="16"/>
      <c r="E36" s="307"/>
      <c r="F36" s="333"/>
      <c r="G36" s="16"/>
      <c r="H36" s="27"/>
      <c r="I36" s="27"/>
      <c r="J36" s="390"/>
      <c r="K36" s="27"/>
      <c r="L36" s="27"/>
      <c r="M36" s="390"/>
      <c r="N36" s="349" t="str">
        <f t="shared" si="1"/>
        <v/>
      </c>
    </row>
    <row r="37" spans="1:17" ht="12.95" customHeight="1">
      <c r="E37" s="308"/>
      <c r="F37" s="334"/>
      <c r="J37" s="393"/>
      <c r="M37" s="393"/>
      <c r="N37" s="350" t="str">
        <f t="shared" si="1"/>
        <v/>
      </c>
    </row>
    <row r="38" spans="1:17" ht="12.95" customHeight="1">
      <c r="B38" s="50"/>
      <c r="E38" s="308"/>
      <c r="F38" s="334"/>
      <c r="J38" s="393"/>
      <c r="M38" s="393"/>
      <c r="N38" s="350" t="str">
        <f t="shared" si="1"/>
        <v/>
      </c>
    </row>
    <row r="39" spans="1:17" ht="12.95" customHeight="1">
      <c r="B39" s="50"/>
      <c r="E39" s="308"/>
      <c r="F39" s="334"/>
      <c r="J39" s="393"/>
      <c r="M39" s="393"/>
      <c r="N39" s="350" t="str">
        <f t="shared" si="1"/>
        <v/>
      </c>
    </row>
    <row r="40" spans="1:17" ht="12.95" customHeight="1">
      <c r="B40" s="50"/>
      <c r="E40" s="308"/>
      <c r="F40" s="334"/>
      <c r="J40" s="393"/>
      <c r="M40" s="393"/>
      <c r="N40" s="350" t="str">
        <f t="shared" si="1"/>
        <v/>
      </c>
    </row>
    <row r="41" spans="1:17" ht="12.95" customHeight="1">
      <c r="B41" s="50"/>
      <c r="E41" s="308"/>
      <c r="F41" s="334"/>
      <c r="J41" s="393"/>
      <c r="M41" s="393"/>
      <c r="N41" s="350" t="str">
        <f t="shared" si="1"/>
        <v/>
      </c>
    </row>
    <row r="42" spans="1:17" ht="12.95" customHeight="1">
      <c r="B42" s="50"/>
      <c r="E42" s="308"/>
      <c r="F42" s="334"/>
      <c r="J42" s="393"/>
      <c r="M42" s="393"/>
      <c r="N42" s="350" t="str">
        <f t="shared" si="1"/>
        <v/>
      </c>
    </row>
    <row r="43" spans="1:17" ht="12.95" customHeight="1">
      <c r="B43" s="50"/>
      <c r="E43" s="308"/>
      <c r="F43" s="334"/>
      <c r="J43" s="393"/>
      <c r="M43" s="393"/>
      <c r="N43" s="350" t="str">
        <f t="shared" si="1"/>
        <v/>
      </c>
    </row>
    <row r="44" spans="1:17" ht="12.95" customHeight="1">
      <c r="B44" s="50"/>
      <c r="E44" s="308"/>
      <c r="F44" s="334"/>
      <c r="J44" s="393"/>
      <c r="M44" s="393"/>
      <c r="N44" s="350" t="str">
        <f t="shared" si="1"/>
        <v/>
      </c>
    </row>
    <row r="45" spans="1:17" ht="12.95" customHeight="1">
      <c r="B45" s="50"/>
      <c r="E45" s="308"/>
      <c r="F45" s="334"/>
      <c r="J45" s="393"/>
      <c r="M45" s="393"/>
      <c r="N45" s="350" t="str">
        <f t="shared" si="1"/>
        <v/>
      </c>
    </row>
    <row r="46" spans="1:17" ht="12.95" customHeight="1">
      <c r="B46" s="50"/>
      <c r="E46" s="308"/>
      <c r="F46" s="334"/>
      <c r="J46" s="393"/>
      <c r="M46" s="393"/>
      <c r="N46" s="350" t="str">
        <f t="shared" si="1"/>
        <v/>
      </c>
    </row>
    <row r="47" spans="1:17" ht="12.95" customHeight="1">
      <c r="B47" s="50"/>
      <c r="E47" s="308"/>
      <c r="F47" s="334"/>
      <c r="J47" s="393"/>
      <c r="M47" s="393"/>
      <c r="N47" s="350" t="str">
        <f t="shared" si="1"/>
        <v/>
      </c>
    </row>
    <row r="48" spans="1:17" ht="12.95" customHeight="1">
      <c r="B48" s="50"/>
      <c r="E48" s="308"/>
      <c r="F48" s="334"/>
      <c r="J48" s="393"/>
      <c r="M48" s="393"/>
      <c r="N48" s="350" t="str">
        <f t="shared" si="1"/>
        <v/>
      </c>
    </row>
    <row r="49" spans="2:14" ht="12.95" customHeight="1">
      <c r="B49" s="50"/>
      <c r="E49" s="308"/>
      <c r="F49" s="334"/>
      <c r="J49" s="393"/>
      <c r="M49" s="393"/>
      <c r="N49" s="350" t="str">
        <f t="shared" si="1"/>
        <v/>
      </c>
    </row>
    <row r="50" spans="2:14" ht="12.95" customHeight="1">
      <c r="B50" s="50"/>
      <c r="E50" s="308"/>
      <c r="F50" s="334"/>
      <c r="J50" s="393"/>
      <c r="M50" s="393"/>
      <c r="N50" s="350" t="str">
        <f t="shared" si="1"/>
        <v/>
      </c>
    </row>
    <row r="51" spans="2:14" ht="12.95" customHeight="1">
      <c r="B51" s="50"/>
      <c r="E51" s="308"/>
      <c r="F51" s="334"/>
      <c r="J51" s="393"/>
      <c r="M51" s="393"/>
      <c r="N51" s="350" t="str">
        <f t="shared" si="1"/>
        <v/>
      </c>
    </row>
    <row r="52" spans="2:14" ht="12.95" customHeight="1">
      <c r="E52" s="308"/>
      <c r="F52" s="334"/>
      <c r="J52" s="393"/>
      <c r="M52" s="393"/>
      <c r="N52" s="350" t="str">
        <f t="shared" si="1"/>
        <v/>
      </c>
    </row>
    <row r="53" spans="2:14" ht="12.95" customHeight="1">
      <c r="E53" s="308"/>
      <c r="F53" s="334"/>
      <c r="J53" s="393"/>
      <c r="M53" s="393"/>
      <c r="N53" s="350" t="str">
        <f t="shared" si="1"/>
        <v/>
      </c>
    </row>
    <row r="54" spans="2:14" ht="12.95" customHeight="1">
      <c r="E54" s="308"/>
      <c r="F54" s="334"/>
      <c r="J54" s="393"/>
      <c r="M54" s="393"/>
      <c r="N54" s="350" t="str">
        <f t="shared" si="1"/>
        <v/>
      </c>
    </row>
    <row r="55" spans="2:14" ht="12.95" customHeight="1">
      <c r="E55" s="308"/>
      <c r="F55" s="334"/>
      <c r="J55" s="393"/>
      <c r="M55" s="393"/>
      <c r="N55" s="350" t="str">
        <f t="shared" si="1"/>
        <v/>
      </c>
    </row>
    <row r="56" spans="2:14" ht="12.95" customHeight="1">
      <c r="E56" s="308"/>
      <c r="F56" s="334"/>
      <c r="J56" s="393"/>
      <c r="M56" s="393"/>
      <c r="N56" s="350" t="str">
        <f t="shared" si="1"/>
        <v/>
      </c>
    </row>
    <row r="57" spans="2:14" ht="12.95" customHeight="1">
      <c r="E57" s="308"/>
      <c r="F57" s="334"/>
      <c r="J57" s="393"/>
      <c r="M57" s="393"/>
      <c r="N57" s="350" t="str">
        <f t="shared" si="1"/>
        <v/>
      </c>
    </row>
    <row r="58" spans="2:14" ht="12.95" customHeight="1">
      <c r="E58" s="308"/>
      <c r="F58" s="334"/>
      <c r="J58" s="393"/>
      <c r="M58" s="393"/>
      <c r="N58" s="350" t="str">
        <f t="shared" si="1"/>
        <v/>
      </c>
    </row>
    <row r="59" spans="2:14" ht="12.95" customHeight="1">
      <c r="E59" s="308"/>
      <c r="F59" s="334"/>
      <c r="J59" s="393"/>
      <c r="M59" s="393"/>
      <c r="N59" s="350" t="str">
        <f t="shared" si="1"/>
        <v/>
      </c>
    </row>
    <row r="60" spans="2:14" ht="17.100000000000001" customHeight="1">
      <c r="E60" s="308"/>
      <c r="F60" s="334"/>
      <c r="J60" s="393"/>
      <c r="M60" s="393"/>
      <c r="N60" s="350" t="str">
        <f t="shared" si="1"/>
        <v/>
      </c>
    </row>
    <row r="61" spans="2:14" ht="14.25">
      <c r="E61" s="308"/>
      <c r="F61" s="334"/>
      <c r="J61" s="393"/>
      <c r="M61" s="393"/>
      <c r="N61" s="350" t="str">
        <f t="shared" si="1"/>
        <v/>
      </c>
    </row>
    <row r="62" spans="2:14" ht="14.25">
      <c r="E62" s="308"/>
      <c r="F62" s="334"/>
      <c r="J62" s="393"/>
      <c r="M62" s="393"/>
      <c r="N62" s="350" t="str">
        <f t="shared" si="1"/>
        <v/>
      </c>
    </row>
    <row r="63" spans="2:14" ht="14.25">
      <c r="E63" s="308"/>
      <c r="F63" s="334"/>
      <c r="J63" s="393"/>
      <c r="M63" s="393"/>
      <c r="N63" s="350" t="str">
        <f t="shared" si="1"/>
        <v/>
      </c>
    </row>
    <row r="64" spans="2:14" ht="14.25">
      <c r="E64" s="308"/>
      <c r="F64" s="334"/>
      <c r="J64" s="393"/>
      <c r="M64" s="393"/>
      <c r="N64" s="350" t="str">
        <f t="shared" si="1"/>
        <v/>
      </c>
    </row>
    <row r="65" spans="5:14" ht="14.25">
      <c r="E65" s="308"/>
      <c r="F65" s="334"/>
      <c r="J65" s="393"/>
      <c r="M65" s="393"/>
      <c r="N65" s="350" t="str">
        <f t="shared" si="1"/>
        <v/>
      </c>
    </row>
    <row r="66" spans="5:14" ht="14.25">
      <c r="E66" s="308"/>
      <c r="F66" s="334"/>
      <c r="J66" s="393"/>
      <c r="M66" s="393"/>
      <c r="N66" s="350" t="str">
        <f t="shared" si="1"/>
        <v/>
      </c>
    </row>
    <row r="67" spans="5:14" ht="14.25">
      <c r="E67" s="308"/>
      <c r="F67" s="334"/>
      <c r="J67" s="393"/>
      <c r="M67" s="393"/>
    </row>
    <row r="68" spans="5:14" ht="14.25">
      <c r="E68" s="308"/>
      <c r="F68" s="334"/>
      <c r="J68" s="393"/>
      <c r="M68" s="393"/>
    </row>
    <row r="69" spans="5:14" ht="14.25">
      <c r="E69" s="308"/>
      <c r="F69" s="334"/>
      <c r="J69" s="393"/>
      <c r="M69" s="393"/>
    </row>
    <row r="70" spans="5:14" ht="14.25">
      <c r="E70" s="308"/>
      <c r="F70" s="334"/>
      <c r="J70" s="393"/>
      <c r="M70" s="393"/>
    </row>
    <row r="71" spans="5:14" ht="14.25">
      <c r="E71" s="308"/>
      <c r="F71" s="334"/>
      <c r="J71" s="393"/>
      <c r="M71" s="393"/>
    </row>
    <row r="72" spans="5:14" ht="14.25">
      <c r="E72" s="308"/>
      <c r="F72" s="334"/>
      <c r="J72" s="393"/>
      <c r="M72" s="393"/>
    </row>
    <row r="73" spans="5:14" ht="14.25">
      <c r="E73" s="308"/>
      <c r="F73" s="334"/>
      <c r="J73" s="393"/>
      <c r="M73" s="393"/>
    </row>
    <row r="74" spans="5:14" ht="14.25">
      <c r="E74" s="308"/>
      <c r="F74" s="308"/>
      <c r="J74" s="393"/>
      <c r="M74" s="393"/>
    </row>
    <row r="75" spans="5:14" ht="14.25">
      <c r="E75" s="308"/>
      <c r="F75" s="308"/>
      <c r="J75" s="393"/>
      <c r="M75" s="393"/>
    </row>
    <row r="76" spans="5:14" ht="14.25">
      <c r="E76" s="308"/>
      <c r="F76" s="308"/>
      <c r="J76" s="393"/>
      <c r="M76" s="393"/>
    </row>
    <row r="77" spans="5:14" ht="14.25">
      <c r="E77" s="308"/>
      <c r="F77" s="308"/>
      <c r="J77" s="393"/>
      <c r="M77" s="393"/>
    </row>
    <row r="78" spans="5:14" ht="14.25">
      <c r="E78" s="308"/>
      <c r="F78" s="308"/>
      <c r="J78" s="393"/>
      <c r="M78" s="393"/>
    </row>
    <row r="79" spans="5:14" ht="14.25">
      <c r="E79" s="308"/>
      <c r="F79" s="308"/>
      <c r="J79" s="393"/>
      <c r="M79" s="393"/>
    </row>
    <row r="80" spans="5:14" ht="14.25">
      <c r="E80" s="308"/>
      <c r="F80" s="308"/>
      <c r="J80" s="393"/>
      <c r="M80" s="393"/>
    </row>
    <row r="81" spans="5:13" ht="14.25">
      <c r="E81" s="308"/>
      <c r="F81" s="308"/>
      <c r="J81" s="393"/>
      <c r="M81" s="393"/>
    </row>
    <row r="82" spans="5:13" ht="14.25">
      <c r="E82" s="308"/>
      <c r="F82" s="308"/>
      <c r="J82" s="393"/>
      <c r="M82" s="393"/>
    </row>
    <row r="83" spans="5:13" ht="14.25">
      <c r="E83" s="308"/>
      <c r="F83" s="308"/>
      <c r="J83" s="393"/>
      <c r="M83" s="393"/>
    </row>
    <row r="84" spans="5:13" ht="14.25">
      <c r="E84" s="308"/>
      <c r="F84" s="308"/>
      <c r="J84" s="393"/>
      <c r="M84" s="393"/>
    </row>
    <row r="85" spans="5:13" ht="14.25">
      <c r="E85" s="308"/>
      <c r="F85" s="308"/>
      <c r="J85" s="393"/>
      <c r="M85" s="393"/>
    </row>
    <row r="86" spans="5:13" ht="14.25">
      <c r="E86" s="308"/>
      <c r="F86" s="308"/>
      <c r="J86" s="393"/>
      <c r="M86" s="393"/>
    </row>
    <row r="87" spans="5:13" ht="14.25">
      <c r="E87" s="308"/>
      <c r="F87" s="308"/>
      <c r="J87" s="393"/>
      <c r="M87" s="393"/>
    </row>
    <row r="88" spans="5:13" ht="14.25">
      <c r="E88" s="308"/>
      <c r="F88" s="308"/>
      <c r="J88" s="393"/>
      <c r="M88" s="393"/>
    </row>
    <row r="89" spans="5:13" ht="14.25">
      <c r="E89" s="308"/>
      <c r="F89" s="308"/>
      <c r="J89" s="393"/>
      <c r="M89" s="393"/>
    </row>
    <row r="90" spans="5:13" ht="14.25">
      <c r="E90" s="308"/>
      <c r="F90" s="308"/>
      <c r="J90" s="393"/>
      <c r="M90" s="393"/>
    </row>
    <row r="91" spans="5:13">
      <c r="F91" s="308"/>
    </row>
    <row r="92" spans="5:13">
      <c r="F92" s="308"/>
    </row>
    <row r="93" spans="5:13">
      <c r="F93" s="308"/>
    </row>
    <row r="94" spans="5:13">
      <c r="F94" s="308"/>
    </row>
    <row r="95" spans="5:13">
      <c r="F95" s="308"/>
    </row>
    <row r="96" spans="5:13">
      <c r="F96" s="308"/>
    </row>
  </sheetData>
  <mergeCells count="10">
    <mergeCell ref="N4:N5"/>
    <mergeCell ref="G4:G5"/>
    <mergeCell ref="B2:G2"/>
    <mergeCell ref="H4:J4"/>
    <mergeCell ref="B4:B5"/>
    <mergeCell ref="C4:C5"/>
    <mergeCell ref="D4:D5"/>
    <mergeCell ref="F4:F5"/>
    <mergeCell ref="E4:E5"/>
    <mergeCell ref="K4:M4"/>
  </mergeCells>
  <phoneticPr fontId="2" type="noConversion"/>
  <pageMargins left="0.78740157480314965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24"/>
  <dimension ref="A1:P96"/>
  <sheetViews>
    <sheetView topLeftCell="A21" zoomScaleNormal="100" zoomScaleSheetLayoutView="100" workbookViewId="0">
      <selection activeCell="K45" sqref="K45"/>
    </sheetView>
  </sheetViews>
  <sheetFormatPr defaultRowHeight="12.75"/>
  <cols>
    <col min="1" max="1" width="9.140625" style="284"/>
    <col min="2" max="2" width="4.7109375" style="9" customWidth="1"/>
    <col min="3" max="3" width="5.140625" style="9" customWidth="1"/>
    <col min="4" max="4" width="5" style="9" customWidth="1"/>
    <col min="5" max="5" width="8.7109375" style="17" customWidth="1"/>
    <col min="6" max="6" width="8.7109375" style="289" customWidth="1"/>
    <col min="7" max="7" width="50.7109375" style="9" customWidth="1"/>
    <col min="8" max="9" width="14.7109375" style="284" customWidth="1"/>
    <col min="10" max="10" width="15.7109375" style="9" customWidth="1"/>
    <col min="11" max="12" width="14.7109375" style="284" customWidth="1"/>
    <col min="13" max="13" width="15.7109375" style="284" customWidth="1"/>
    <col min="14" max="14" width="7.7109375" style="350" customWidth="1"/>
    <col min="15" max="16384" width="9.140625" style="9"/>
  </cols>
  <sheetData>
    <row r="1" spans="1:16" ht="13.5" thickBot="1"/>
    <row r="2" spans="1:16" s="98" customFormat="1" ht="20.100000000000001" customHeight="1" thickTop="1" thickBot="1">
      <c r="A2" s="376"/>
      <c r="B2" s="590" t="s">
        <v>268</v>
      </c>
      <c r="C2" s="591"/>
      <c r="D2" s="591"/>
      <c r="E2" s="591"/>
      <c r="F2" s="591"/>
      <c r="G2" s="591"/>
      <c r="H2" s="609"/>
      <c r="I2" s="378"/>
      <c r="J2" s="378"/>
      <c r="K2" s="378"/>
      <c r="L2" s="378"/>
      <c r="M2" s="378"/>
      <c r="N2" s="380"/>
    </row>
    <row r="3" spans="1:16" s="1" customFormat="1" ht="8.1" customHeight="1" thickTop="1" thickBot="1">
      <c r="A3" s="281"/>
      <c r="E3" s="2"/>
      <c r="F3" s="282"/>
      <c r="G3" s="531"/>
      <c r="H3" s="92"/>
      <c r="I3" s="92"/>
      <c r="J3" s="92"/>
      <c r="K3" s="92"/>
      <c r="L3" s="92"/>
      <c r="M3" s="92"/>
      <c r="N3" s="344"/>
    </row>
    <row r="4" spans="1:16" s="1" customFormat="1" ht="39" customHeight="1">
      <c r="A4" s="281"/>
      <c r="B4" s="596" t="s">
        <v>78</v>
      </c>
      <c r="C4" s="606" t="s">
        <v>79</v>
      </c>
      <c r="D4" s="607" t="s">
        <v>110</v>
      </c>
      <c r="E4" s="608" t="s">
        <v>594</v>
      </c>
      <c r="F4" s="601" t="s">
        <v>653</v>
      </c>
      <c r="G4" s="602" t="s">
        <v>80</v>
      </c>
      <c r="H4" s="593" t="s">
        <v>647</v>
      </c>
      <c r="I4" s="594"/>
      <c r="J4" s="595"/>
      <c r="K4" s="593" t="s">
        <v>801</v>
      </c>
      <c r="L4" s="594"/>
      <c r="M4" s="595"/>
      <c r="N4" s="604" t="s">
        <v>805</v>
      </c>
    </row>
    <row r="5" spans="1:16" s="281" customFormat="1" ht="27" customHeight="1">
      <c r="B5" s="597"/>
      <c r="C5" s="599"/>
      <c r="D5" s="599"/>
      <c r="E5" s="603"/>
      <c r="F5" s="599"/>
      <c r="G5" s="603"/>
      <c r="H5" s="372" t="s">
        <v>705</v>
      </c>
      <c r="I5" s="372" t="s">
        <v>706</v>
      </c>
      <c r="J5" s="382" t="s">
        <v>413</v>
      </c>
      <c r="K5" s="372" t="s">
        <v>705</v>
      </c>
      <c r="L5" s="372" t="s">
        <v>706</v>
      </c>
      <c r="M5" s="382" t="s">
        <v>413</v>
      </c>
      <c r="N5" s="605"/>
    </row>
    <row r="6" spans="1:16" s="2" customFormat="1" ht="12.95" customHeight="1">
      <c r="A6" s="282"/>
      <c r="B6" s="504">
        <v>1</v>
      </c>
      <c r="C6" s="331">
        <v>2</v>
      </c>
      <c r="D6" s="331">
        <v>3</v>
      </c>
      <c r="E6" s="331">
        <v>4</v>
      </c>
      <c r="F6" s="331">
        <v>5</v>
      </c>
      <c r="G6" s="331">
        <v>6</v>
      </c>
      <c r="H6" s="331">
        <v>7</v>
      </c>
      <c r="I6" s="331">
        <v>8</v>
      </c>
      <c r="J6" s="523" t="s">
        <v>804</v>
      </c>
      <c r="K6" s="331">
        <v>10</v>
      </c>
      <c r="L6" s="331">
        <v>11</v>
      </c>
      <c r="M6" s="523" t="s">
        <v>707</v>
      </c>
      <c r="N6" s="505">
        <v>13</v>
      </c>
    </row>
    <row r="7" spans="1:16" s="2" customFormat="1" ht="12.95" customHeight="1">
      <c r="A7" s="282"/>
      <c r="B7" s="79" t="s">
        <v>143</v>
      </c>
      <c r="C7" s="80" t="s">
        <v>132</v>
      </c>
      <c r="D7" s="80" t="s">
        <v>124</v>
      </c>
      <c r="E7" s="5"/>
      <c r="F7" s="283"/>
      <c r="G7" s="5"/>
      <c r="H7" s="283"/>
      <c r="I7" s="283"/>
      <c r="J7" s="383"/>
      <c r="K7" s="283"/>
      <c r="L7" s="283"/>
      <c r="M7" s="383"/>
      <c r="N7" s="345"/>
    </row>
    <row r="8" spans="1:16" s="1" customFormat="1" ht="12.95" customHeight="1">
      <c r="A8" s="281"/>
      <c r="B8" s="12"/>
      <c r="C8" s="8"/>
      <c r="D8" s="8"/>
      <c r="E8" s="305">
        <v>611000</v>
      </c>
      <c r="F8" s="331"/>
      <c r="G8" s="8" t="s">
        <v>163</v>
      </c>
      <c r="H8" s="210">
        <f t="shared" ref="H8:M8" si="0">SUM(H9:H12)</f>
        <v>1051100</v>
      </c>
      <c r="I8" s="210">
        <f t="shared" si="0"/>
        <v>0</v>
      </c>
      <c r="J8" s="384">
        <f t="shared" si="0"/>
        <v>1051100</v>
      </c>
      <c r="K8" s="210">
        <f t="shared" si="0"/>
        <v>254340</v>
      </c>
      <c r="L8" s="210">
        <f t="shared" si="0"/>
        <v>0</v>
      </c>
      <c r="M8" s="384">
        <f t="shared" si="0"/>
        <v>254340</v>
      </c>
      <c r="N8" s="346">
        <f>IF(J8=0,"",M8/J8*100)</f>
        <v>24.197507373228046</v>
      </c>
    </row>
    <row r="9" spans="1:16" ht="12.95" customHeight="1">
      <c r="B9" s="10"/>
      <c r="C9" s="11"/>
      <c r="D9" s="11"/>
      <c r="E9" s="306">
        <v>611100</v>
      </c>
      <c r="F9" s="332"/>
      <c r="G9" s="18" t="s">
        <v>198</v>
      </c>
      <c r="H9" s="212">
        <f>834200+1500+2000+2*500</f>
        <v>838700</v>
      </c>
      <c r="I9" s="212">
        <v>0</v>
      </c>
      <c r="J9" s="385">
        <f>SUM(H9:I9)</f>
        <v>838700</v>
      </c>
      <c r="K9" s="212">
        <v>206847</v>
      </c>
      <c r="L9" s="212">
        <v>0</v>
      </c>
      <c r="M9" s="385">
        <f>SUM(K9:L9)</f>
        <v>206847</v>
      </c>
      <c r="N9" s="347">
        <f t="shared" ref="N9:N66" si="1">IF(J9=0,"",M9/J9*100)</f>
        <v>24.662811493978776</v>
      </c>
    </row>
    <row r="10" spans="1:16" ht="12.95" customHeight="1">
      <c r="B10" s="10"/>
      <c r="C10" s="11"/>
      <c r="D10" s="11"/>
      <c r="E10" s="306">
        <v>611200</v>
      </c>
      <c r="F10" s="332"/>
      <c r="G10" s="11" t="s">
        <v>199</v>
      </c>
      <c r="H10" s="212">
        <f>204400+2700+3500+2*900</f>
        <v>212400</v>
      </c>
      <c r="I10" s="212">
        <v>0</v>
      </c>
      <c r="J10" s="385">
        <f t="shared" ref="J10:J11" si="2">SUM(H10:I10)</f>
        <v>212400</v>
      </c>
      <c r="K10" s="212">
        <v>47493</v>
      </c>
      <c r="L10" s="212">
        <v>0</v>
      </c>
      <c r="M10" s="385">
        <f t="shared" ref="M10:M11" si="3">SUM(K10:L10)</f>
        <v>47493</v>
      </c>
      <c r="N10" s="347">
        <f t="shared" si="1"/>
        <v>22.360169491525426</v>
      </c>
      <c r="P10" s="50"/>
    </row>
    <row r="11" spans="1:16" ht="12.95" customHeight="1">
      <c r="B11" s="10"/>
      <c r="C11" s="11"/>
      <c r="D11" s="11"/>
      <c r="E11" s="306">
        <v>611200</v>
      </c>
      <c r="F11" s="332"/>
      <c r="G11" s="189" t="s">
        <v>534</v>
      </c>
      <c r="H11" s="209">
        <v>0</v>
      </c>
      <c r="I11" s="209">
        <v>0</v>
      </c>
      <c r="J11" s="385">
        <f t="shared" si="2"/>
        <v>0</v>
      </c>
      <c r="K11" s="209">
        <v>0</v>
      </c>
      <c r="L11" s="209">
        <v>0</v>
      </c>
      <c r="M11" s="385">
        <f t="shared" si="3"/>
        <v>0</v>
      </c>
      <c r="N11" s="347" t="str">
        <f t="shared" si="1"/>
        <v/>
      </c>
      <c r="P11" s="56"/>
    </row>
    <row r="12" spans="1:16" ht="12.95" customHeight="1">
      <c r="B12" s="10"/>
      <c r="C12" s="11"/>
      <c r="D12" s="11"/>
      <c r="E12" s="306"/>
      <c r="F12" s="332"/>
      <c r="G12" s="18"/>
      <c r="H12" s="212"/>
      <c r="I12" s="212"/>
      <c r="J12" s="385"/>
      <c r="K12" s="212"/>
      <c r="L12" s="212"/>
      <c r="M12" s="385"/>
      <c r="N12" s="347" t="str">
        <f t="shared" si="1"/>
        <v/>
      </c>
    </row>
    <row r="13" spans="1:16" s="1" customFormat="1" ht="12.95" customHeight="1">
      <c r="A13" s="281"/>
      <c r="B13" s="12"/>
      <c r="C13" s="8"/>
      <c r="D13" s="8"/>
      <c r="E13" s="305">
        <v>612000</v>
      </c>
      <c r="F13" s="331"/>
      <c r="G13" s="8" t="s">
        <v>162</v>
      </c>
      <c r="H13" s="210">
        <f t="shared" ref="H13:M13" si="4">H14</f>
        <v>89570</v>
      </c>
      <c r="I13" s="210">
        <f t="shared" si="4"/>
        <v>0</v>
      </c>
      <c r="J13" s="384">
        <f t="shared" si="4"/>
        <v>89570</v>
      </c>
      <c r="K13" s="210">
        <f t="shared" si="4"/>
        <v>22140</v>
      </c>
      <c r="L13" s="210">
        <f t="shared" si="4"/>
        <v>0</v>
      </c>
      <c r="M13" s="384">
        <f t="shared" si="4"/>
        <v>22140</v>
      </c>
      <c r="N13" s="346">
        <f t="shared" si="1"/>
        <v>24.718097577313834</v>
      </c>
    </row>
    <row r="14" spans="1:16" ht="12.95" customHeight="1">
      <c r="B14" s="10"/>
      <c r="C14" s="11"/>
      <c r="D14" s="11"/>
      <c r="E14" s="306">
        <v>612100</v>
      </c>
      <c r="F14" s="332"/>
      <c r="G14" s="13" t="s">
        <v>83</v>
      </c>
      <c r="H14" s="212">
        <f>88980+450+2*70</f>
        <v>89570</v>
      </c>
      <c r="I14" s="212">
        <v>0</v>
      </c>
      <c r="J14" s="385">
        <f>SUM(H14:I14)</f>
        <v>89570</v>
      </c>
      <c r="K14" s="212">
        <v>22140</v>
      </c>
      <c r="L14" s="212">
        <v>0</v>
      </c>
      <c r="M14" s="385">
        <f>SUM(K14:L14)</f>
        <v>22140</v>
      </c>
      <c r="N14" s="347">
        <f t="shared" si="1"/>
        <v>24.718097577313834</v>
      </c>
    </row>
    <row r="15" spans="1:16" ht="12.95" customHeight="1">
      <c r="B15" s="10"/>
      <c r="C15" s="11"/>
      <c r="D15" s="11"/>
      <c r="E15" s="306"/>
      <c r="F15" s="332"/>
      <c r="G15" s="11"/>
      <c r="H15" s="291"/>
      <c r="I15" s="291"/>
      <c r="J15" s="386"/>
      <c r="K15" s="291"/>
      <c r="L15" s="291"/>
      <c r="M15" s="386"/>
      <c r="N15" s="347" t="str">
        <f t="shared" si="1"/>
        <v/>
      </c>
    </row>
    <row r="16" spans="1:16" s="1" customFormat="1" ht="12.95" customHeight="1">
      <c r="A16" s="281"/>
      <c r="B16" s="12"/>
      <c r="C16" s="8"/>
      <c r="D16" s="8"/>
      <c r="E16" s="305">
        <v>613000</v>
      </c>
      <c r="F16" s="331"/>
      <c r="G16" s="8" t="s">
        <v>164</v>
      </c>
      <c r="H16" s="293">
        <f t="shared" ref="H16:M16" si="5">SUM(H17:H26)</f>
        <v>211950</v>
      </c>
      <c r="I16" s="293">
        <f t="shared" si="5"/>
        <v>0</v>
      </c>
      <c r="J16" s="387">
        <f t="shared" si="5"/>
        <v>211950</v>
      </c>
      <c r="K16" s="293">
        <f t="shared" si="5"/>
        <v>92902</v>
      </c>
      <c r="L16" s="293">
        <f t="shared" si="5"/>
        <v>0</v>
      </c>
      <c r="M16" s="387">
        <f t="shared" si="5"/>
        <v>92902</v>
      </c>
      <c r="N16" s="346">
        <f t="shared" si="1"/>
        <v>43.83203585751356</v>
      </c>
    </row>
    <row r="17" spans="1:15" ht="12.95" customHeight="1">
      <c r="B17" s="10"/>
      <c r="C17" s="11"/>
      <c r="D17" s="11"/>
      <c r="E17" s="306">
        <v>613100</v>
      </c>
      <c r="F17" s="332"/>
      <c r="G17" s="11" t="s">
        <v>84</v>
      </c>
      <c r="H17" s="365">
        <v>5500</v>
      </c>
      <c r="I17" s="365">
        <v>0</v>
      </c>
      <c r="J17" s="385">
        <f t="shared" ref="J17:J26" si="6">SUM(H17:I17)</f>
        <v>5500</v>
      </c>
      <c r="K17" s="365">
        <v>360</v>
      </c>
      <c r="L17" s="365">
        <v>0</v>
      </c>
      <c r="M17" s="385">
        <f t="shared" ref="M17:M26" si="7">SUM(K17:L17)</f>
        <v>360</v>
      </c>
      <c r="N17" s="347">
        <f t="shared" si="1"/>
        <v>6.5454545454545459</v>
      </c>
    </row>
    <row r="18" spans="1:15" ht="12.95" customHeight="1">
      <c r="B18" s="10"/>
      <c r="C18" s="11"/>
      <c r="D18" s="11"/>
      <c r="E18" s="306">
        <v>613200</v>
      </c>
      <c r="F18" s="332"/>
      <c r="G18" s="11" t="s">
        <v>85</v>
      </c>
      <c r="H18" s="363">
        <v>109400</v>
      </c>
      <c r="I18" s="363">
        <v>0</v>
      </c>
      <c r="J18" s="385">
        <f t="shared" si="6"/>
        <v>109400</v>
      </c>
      <c r="K18" s="363">
        <v>74112</v>
      </c>
      <c r="L18" s="363">
        <v>0</v>
      </c>
      <c r="M18" s="385">
        <f t="shared" si="7"/>
        <v>74112</v>
      </c>
      <c r="N18" s="347">
        <f t="shared" si="1"/>
        <v>67.744058500914079</v>
      </c>
    </row>
    <row r="19" spans="1:15" ht="12.95" customHeight="1">
      <c r="B19" s="10"/>
      <c r="C19" s="11"/>
      <c r="D19" s="11"/>
      <c r="E19" s="306">
        <v>613300</v>
      </c>
      <c r="F19" s="332"/>
      <c r="G19" s="18" t="s">
        <v>200</v>
      </c>
      <c r="H19" s="365">
        <v>13900</v>
      </c>
      <c r="I19" s="365">
        <v>0</v>
      </c>
      <c r="J19" s="385">
        <f t="shared" si="6"/>
        <v>13900</v>
      </c>
      <c r="K19" s="365">
        <v>3307</v>
      </c>
      <c r="L19" s="365">
        <v>0</v>
      </c>
      <c r="M19" s="385">
        <f t="shared" si="7"/>
        <v>3307</v>
      </c>
      <c r="N19" s="347">
        <f t="shared" si="1"/>
        <v>23.791366906474821</v>
      </c>
    </row>
    <row r="20" spans="1:15" ht="12.95" customHeight="1">
      <c r="B20" s="10"/>
      <c r="C20" s="11"/>
      <c r="D20" s="11"/>
      <c r="E20" s="306">
        <v>613400</v>
      </c>
      <c r="F20" s="332"/>
      <c r="G20" s="11" t="s">
        <v>165</v>
      </c>
      <c r="H20" s="365">
        <v>28750</v>
      </c>
      <c r="I20" s="365">
        <v>0</v>
      </c>
      <c r="J20" s="385">
        <f t="shared" si="6"/>
        <v>28750</v>
      </c>
      <c r="K20" s="365">
        <v>4970</v>
      </c>
      <c r="L20" s="365">
        <v>0</v>
      </c>
      <c r="M20" s="385">
        <f t="shared" si="7"/>
        <v>4970</v>
      </c>
      <c r="N20" s="347">
        <f t="shared" si="1"/>
        <v>17.286956521739132</v>
      </c>
    </row>
    <row r="21" spans="1:15" ht="12.95" customHeight="1">
      <c r="B21" s="10"/>
      <c r="C21" s="11"/>
      <c r="D21" s="11"/>
      <c r="E21" s="306">
        <v>613500</v>
      </c>
      <c r="F21" s="332"/>
      <c r="G21" s="11" t="s">
        <v>86</v>
      </c>
      <c r="H21" s="365">
        <v>400</v>
      </c>
      <c r="I21" s="365">
        <v>0</v>
      </c>
      <c r="J21" s="385">
        <f t="shared" si="6"/>
        <v>400</v>
      </c>
      <c r="K21" s="365">
        <v>45</v>
      </c>
      <c r="L21" s="365">
        <v>0</v>
      </c>
      <c r="M21" s="385">
        <f t="shared" si="7"/>
        <v>45</v>
      </c>
      <c r="N21" s="347">
        <f t="shared" si="1"/>
        <v>11.25</v>
      </c>
    </row>
    <row r="22" spans="1:15" ht="12.95" customHeight="1">
      <c r="B22" s="10"/>
      <c r="C22" s="11"/>
      <c r="D22" s="11"/>
      <c r="E22" s="306">
        <v>613600</v>
      </c>
      <c r="F22" s="332"/>
      <c r="G22" s="18" t="s">
        <v>201</v>
      </c>
      <c r="H22" s="365">
        <v>0</v>
      </c>
      <c r="I22" s="365">
        <v>0</v>
      </c>
      <c r="J22" s="385">
        <f t="shared" si="6"/>
        <v>0</v>
      </c>
      <c r="K22" s="365">
        <v>0</v>
      </c>
      <c r="L22" s="365">
        <v>0</v>
      </c>
      <c r="M22" s="385">
        <f t="shared" si="7"/>
        <v>0</v>
      </c>
      <c r="N22" s="347" t="str">
        <f t="shared" si="1"/>
        <v/>
      </c>
    </row>
    <row r="23" spans="1:15" ht="12.95" customHeight="1">
      <c r="B23" s="10"/>
      <c r="C23" s="11"/>
      <c r="D23" s="11"/>
      <c r="E23" s="306">
        <v>613700</v>
      </c>
      <c r="F23" s="332"/>
      <c r="G23" s="11" t="s">
        <v>87</v>
      </c>
      <c r="H23" s="365">
        <v>30000</v>
      </c>
      <c r="I23" s="365">
        <v>0</v>
      </c>
      <c r="J23" s="385">
        <f t="shared" si="6"/>
        <v>30000</v>
      </c>
      <c r="K23" s="365">
        <v>6182</v>
      </c>
      <c r="L23" s="365">
        <v>0</v>
      </c>
      <c r="M23" s="385">
        <f t="shared" si="7"/>
        <v>6182</v>
      </c>
      <c r="N23" s="347">
        <f t="shared" si="1"/>
        <v>20.606666666666669</v>
      </c>
    </row>
    <row r="24" spans="1:15" ht="12.95" customHeight="1">
      <c r="B24" s="10"/>
      <c r="C24" s="11"/>
      <c r="D24" s="11"/>
      <c r="E24" s="306">
        <v>613800</v>
      </c>
      <c r="F24" s="332"/>
      <c r="G24" s="11" t="s">
        <v>166</v>
      </c>
      <c r="H24" s="365">
        <v>0</v>
      </c>
      <c r="I24" s="365">
        <v>0</v>
      </c>
      <c r="J24" s="385">
        <f t="shared" si="6"/>
        <v>0</v>
      </c>
      <c r="K24" s="365">
        <v>0</v>
      </c>
      <c r="L24" s="365">
        <v>0</v>
      </c>
      <c r="M24" s="385">
        <f t="shared" si="7"/>
        <v>0</v>
      </c>
      <c r="N24" s="347" t="str">
        <f t="shared" si="1"/>
        <v/>
      </c>
    </row>
    <row r="25" spans="1:15" ht="12.95" customHeight="1">
      <c r="B25" s="10"/>
      <c r="C25" s="11"/>
      <c r="D25" s="11"/>
      <c r="E25" s="306">
        <v>613900</v>
      </c>
      <c r="F25" s="332"/>
      <c r="G25" s="11" t="s">
        <v>167</v>
      </c>
      <c r="H25" s="365">
        <v>24000</v>
      </c>
      <c r="I25" s="365">
        <v>0</v>
      </c>
      <c r="J25" s="385">
        <f t="shared" si="6"/>
        <v>24000</v>
      </c>
      <c r="K25" s="365">
        <v>3926</v>
      </c>
      <c r="L25" s="365">
        <v>0</v>
      </c>
      <c r="M25" s="385">
        <f t="shared" si="7"/>
        <v>3926</v>
      </c>
      <c r="N25" s="347">
        <f t="shared" si="1"/>
        <v>16.358333333333334</v>
      </c>
    </row>
    <row r="26" spans="1:15" ht="12.95" customHeight="1">
      <c r="B26" s="10"/>
      <c r="C26" s="11"/>
      <c r="D26" s="11"/>
      <c r="E26" s="306">
        <v>613900</v>
      </c>
      <c r="F26" s="332"/>
      <c r="G26" s="189" t="s">
        <v>535</v>
      </c>
      <c r="H26" s="361">
        <v>0</v>
      </c>
      <c r="I26" s="361">
        <v>0</v>
      </c>
      <c r="J26" s="385">
        <f t="shared" si="6"/>
        <v>0</v>
      </c>
      <c r="K26" s="361">
        <v>0</v>
      </c>
      <c r="L26" s="361">
        <v>0</v>
      </c>
      <c r="M26" s="385">
        <f t="shared" si="7"/>
        <v>0</v>
      </c>
      <c r="N26" s="347" t="str">
        <f t="shared" si="1"/>
        <v/>
      </c>
    </row>
    <row r="27" spans="1:15" s="1" customFormat="1" ht="12.95" customHeight="1">
      <c r="A27" s="281"/>
      <c r="B27" s="12"/>
      <c r="C27" s="8"/>
      <c r="D27" s="8"/>
      <c r="E27" s="305"/>
      <c r="F27" s="331"/>
      <c r="G27" s="8"/>
      <c r="H27" s="296"/>
      <c r="I27" s="296"/>
      <c r="J27" s="386"/>
      <c r="K27" s="296"/>
      <c r="L27" s="296"/>
      <c r="M27" s="386"/>
      <c r="N27" s="347" t="str">
        <f t="shared" si="1"/>
        <v/>
      </c>
    </row>
    <row r="28" spans="1:15" s="1" customFormat="1" ht="12.95" customHeight="1">
      <c r="A28" s="281"/>
      <c r="B28" s="12"/>
      <c r="C28" s="8"/>
      <c r="D28" s="8"/>
      <c r="E28" s="305">
        <v>821000</v>
      </c>
      <c r="F28" s="331"/>
      <c r="G28" s="8" t="s">
        <v>90</v>
      </c>
      <c r="H28" s="295">
        <f t="shared" ref="H28:M28" si="8">SUM(H29:H30)</f>
        <v>10000</v>
      </c>
      <c r="I28" s="295">
        <f t="shared" si="8"/>
        <v>0</v>
      </c>
      <c r="J28" s="387">
        <f t="shared" si="8"/>
        <v>10000</v>
      </c>
      <c r="K28" s="295">
        <f t="shared" si="8"/>
        <v>0</v>
      </c>
      <c r="L28" s="295">
        <f t="shared" si="8"/>
        <v>0</v>
      </c>
      <c r="M28" s="387">
        <f t="shared" si="8"/>
        <v>0</v>
      </c>
      <c r="N28" s="346">
        <f t="shared" si="1"/>
        <v>0</v>
      </c>
    </row>
    <row r="29" spans="1:15" ht="12.95" customHeight="1">
      <c r="B29" s="10"/>
      <c r="C29" s="11"/>
      <c r="D29" s="11"/>
      <c r="E29" s="309">
        <v>821200</v>
      </c>
      <c r="F29" s="335"/>
      <c r="G29" s="14" t="s">
        <v>91</v>
      </c>
      <c r="H29" s="296">
        <v>5000</v>
      </c>
      <c r="I29" s="296">
        <v>0</v>
      </c>
      <c r="J29" s="385">
        <f t="shared" ref="J29:J30" si="9">SUM(H29:I29)</f>
        <v>5000</v>
      </c>
      <c r="K29" s="296">
        <v>0</v>
      </c>
      <c r="L29" s="296">
        <v>0</v>
      </c>
      <c r="M29" s="385">
        <f t="shared" ref="M29:M30" si="10">SUM(K29:L29)</f>
        <v>0</v>
      </c>
      <c r="N29" s="347">
        <f t="shared" si="1"/>
        <v>0</v>
      </c>
      <c r="O29" s="50"/>
    </row>
    <row r="30" spans="1:15" ht="12.95" customHeight="1">
      <c r="B30" s="10"/>
      <c r="C30" s="11"/>
      <c r="D30" s="11"/>
      <c r="E30" s="306">
        <v>821300</v>
      </c>
      <c r="F30" s="332"/>
      <c r="G30" s="11" t="s">
        <v>92</v>
      </c>
      <c r="H30" s="296">
        <v>5000</v>
      </c>
      <c r="I30" s="296">
        <v>0</v>
      </c>
      <c r="J30" s="385">
        <f t="shared" si="9"/>
        <v>5000</v>
      </c>
      <c r="K30" s="296">
        <v>0</v>
      </c>
      <c r="L30" s="296">
        <v>0</v>
      </c>
      <c r="M30" s="385">
        <f t="shared" si="10"/>
        <v>0</v>
      </c>
      <c r="N30" s="347">
        <f t="shared" si="1"/>
        <v>0</v>
      </c>
    </row>
    <row r="31" spans="1:15" ht="12.95" customHeight="1">
      <c r="B31" s="10"/>
      <c r="C31" s="11"/>
      <c r="D31" s="11"/>
      <c r="E31" s="306"/>
      <c r="F31" s="332"/>
      <c r="G31" s="11"/>
      <c r="H31" s="296"/>
      <c r="I31" s="296"/>
      <c r="J31" s="386"/>
      <c r="K31" s="296"/>
      <c r="L31" s="296"/>
      <c r="M31" s="386"/>
      <c r="N31" s="347" t="str">
        <f t="shared" si="1"/>
        <v/>
      </c>
    </row>
    <row r="32" spans="1:15" s="1" customFormat="1" ht="12.95" customHeight="1">
      <c r="A32" s="281"/>
      <c r="B32" s="12"/>
      <c r="C32" s="8"/>
      <c r="D32" s="8"/>
      <c r="E32" s="305"/>
      <c r="F32" s="331"/>
      <c r="G32" s="8" t="s">
        <v>93</v>
      </c>
      <c r="H32" s="278" t="s">
        <v>797</v>
      </c>
      <c r="I32" s="278"/>
      <c r="J32" s="389" t="s">
        <v>797</v>
      </c>
      <c r="K32" s="278" t="s">
        <v>826</v>
      </c>
      <c r="L32" s="278"/>
      <c r="M32" s="389" t="s">
        <v>826</v>
      </c>
      <c r="N32" s="347"/>
    </row>
    <row r="33" spans="1:14" s="1" customFormat="1" ht="12.95" customHeight="1">
      <c r="A33" s="281"/>
      <c r="B33" s="12"/>
      <c r="C33" s="8"/>
      <c r="D33" s="8"/>
      <c r="E33" s="305"/>
      <c r="F33" s="331"/>
      <c r="G33" s="8" t="s">
        <v>113</v>
      </c>
      <c r="H33" s="288">
        <f t="shared" ref="H33:M33" si="11">H8+H13+H16+H28</f>
        <v>1362620</v>
      </c>
      <c r="I33" s="288">
        <f t="shared" si="11"/>
        <v>0</v>
      </c>
      <c r="J33" s="387">
        <f t="shared" si="11"/>
        <v>1362620</v>
      </c>
      <c r="K33" s="288">
        <f t="shared" si="11"/>
        <v>369382</v>
      </c>
      <c r="L33" s="288">
        <f t="shared" si="11"/>
        <v>0</v>
      </c>
      <c r="M33" s="387">
        <f t="shared" si="11"/>
        <v>369382</v>
      </c>
      <c r="N33" s="346">
        <f t="shared" si="1"/>
        <v>27.108217991809898</v>
      </c>
    </row>
    <row r="34" spans="1:14" s="1" customFormat="1" ht="12.95" customHeight="1">
      <c r="A34" s="281"/>
      <c r="B34" s="12"/>
      <c r="C34" s="8"/>
      <c r="D34" s="8"/>
      <c r="E34" s="305"/>
      <c r="F34" s="331"/>
      <c r="G34" s="8" t="s">
        <v>94</v>
      </c>
      <c r="H34" s="288"/>
      <c r="I34" s="288"/>
      <c r="J34" s="387"/>
      <c r="K34" s="288"/>
      <c r="L34" s="288"/>
      <c r="M34" s="387"/>
      <c r="N34" s="347" t="str">
        <f t="shared" si="1"/>
        <v/>
      </c>
    </row>
    <row r="35" spans="1:14" s="1" customFormat="1" ht="12.95" customHeight="1">
      <c r="A35" s="281"/>
      <c r="B35" s="12"/>
      <c r="C35" s="8"/>
      <c r="D35" s="8"/>
      <c r="E35" s="305"/>
      <c r="F35" s="331"/>
      <c r="G35" s="8" t="s">
        <v>95</v>
      </c>
      <c r="H35" s="279"/>
      <c r="I35" s="279"/>
      <c r="J35" s="386"/>
      <c r="K35" s="279"/>
      <c r="L35" s="279"/>
      <c r="M35" s="386"/>
      <c r="N35" s="347" t="str">
        <f t="shared" si="1"/>
        <v/>
      </c>
    </row>
    <row r="36" spans="1:14" ht="12.95" customHeight="1" thickBot="1">
      <c r="B36" s="15"/>
      <c r="C36" s="16"/>
      <c r="D36" s="16"/>
      <c r="E36" s="307"/>
      <c r="F36" s="333"/>
      <c r="G36" s="16"/>
      <c r="H36" s="27"/>
      <c r="I36" s="27"/>
      <c r="J36" s="390"/>
      <c r="K36" s="27"/>
      <c r="L36" s="27"/>
      <c r="M36" s="390"/>
      <c r="N36" s="349" t="str">
        <f t="shared" si="1"/>
        <v/>
      </c>
    </row>
    <row r="37" spans="1:14" ht="12.95" customHeight="1">
      <c r="E37" s="308"/>
      <c r="F37" s="334"/>
      <c r="J37" s="391"/>
      <c r="M37" s="391"/>
      <c r="N37" s="350" t="str">
        <f t="shared" si="1"/>
        <v/>
      </c>
    </row>
    <row r="38" spans="1:14" ht="12.95" customHeight="1">
      <c r="B38" s="50"/>
      <c r="E38" s="308"/>
      <c r="F38" s="334"/>
      <c r="J38" s="391"/>
      <c r="M38" s="391"/>
      <c r="N38" s="350" t="str">
        <f t="shared" si="1"/>
        <v/>
      </c>
    </row>
    <row r="39" spans="1:14" ht="12.95" customHeight="1">
      <c r="B39" s="50"/>
      <c r="E39" s="308"/>
      <c r="F39" s="334"/>
      <c r="J39" s="391"/>
      <c r="M39" s="391"/>
      <c r="N39" s="350" t="str">
        <f t="shared" si="1"/>
        <v/>
      </c>
    </row>
    <row r="40" spans="1:14" ht="12.95" customHeight="1">
      <c r="B40" s="50"/>
      <c r="E40" s="308"/>
      <c r="F40" s="334"/>
      <c r="J40" s="391"/>
      <c r="M40" s="391"/>
      <c r="N40" s="350" t="str">
        <f t="shared" si="1"/>
        <v/>
      </c>
    </row>
    <row r="41" spans="1:14" ht="12.95" customHeight="1">
      <c r="B41" s="50"/>
      <c r="E41" s="308"/>
      <c r="F41" s="334"/>
      <c r="J41" s="391"/>
      <c r="M41" s="391"/>
      <c r="N41" s="350" t="str">
        <f t="shared" si="1"/>
        <v/>
      </c>
    </row>
    <row r="42" spans="1:14" ht="12.95" customHeight="1">
      <c r="B42" s="50"/>
      <c r="E42" s="308"/>
      <c r="F42" s="334"/>
      <c r="J42" s="391"/>
      <c r="M42" s="391"/>
      <c r="N42" s="350" t="str">
        <f t="shared" si="1"/>
        <v/>
      </c>
    </row>
    <row r="43" spans="1:14" ht="12.95" customHeight="1">
      <c r="E43" s="308"/>
      <c r="F43" s="334"/>
      <c r="J43" s="391"/>
      <c r="M43" s="391"/>
      <c r="N43" s="350" t="str">
        <f t="shared" si="1"/>
        <v/>
      </c>
    </row>
    <row r="44" spans="1:14" ht="12.95" customHeight="1">
      <c r="E44" s="308"/>
      <c r="F44" s="334"/>
      <c r="J44" s="391"/>
      <c r="M44" s="391"/>
      <c r="N44" s="350" t="str">
        <f t="shared" si="1"/>
        <v/>
      </c>
    </row>
    <row r="45" spans="1:14" ht="12.95" customHeight="1">
      <c r="E45" s="308"/>
      <c r="F45" s="334"/>
      <c r="J45" s="391"/>
      <c r="M45" s="391"/>
      <c r="N45" s="350" t="str">
        <f t="shared" si="1"/>
        <v/>
      </c>
    </row>
    <row r="46" spans="1:14" ht="12.95" customHeight="1">
      <c r="E46" s="308"/>
      <c r="F46" s="334"/>
      <c r="J46" s="391"/>
      <c r="M46" s="391"/>
      <c r="N46" s="350" t="str">
        <f t="shared" si="1"/>
        <v/>
      </c>
    </row>
    <row r="47" spans="1:14" ht="12.95" customHeight="1">
      <c r="E47" s="308"/>
      <c r="F47" s="334"/>
      <c r="J47" s="391"/>
      <c r="M47" s="391"/>
      <c r="N47" s="350" t="str">
        <f t="shared" si="1"/>
        <v/>
      </c>
    </row>
    <row r="48" spans="1:14" ht="12.95" customHeight="1">
      <c r="E48" s="308"/>
      <c r="F48" s="334"/>
      <c r="J48" s="391"/>
      <c r="M48" s="391"/>
      <c r="N48" s="350" t="str">
        <f t="shared" si="1"/>
        <v/>
      </c>
    </row>
    <row r="49" spans="5:14" ht="12.95" customHeight="1">
      <c r="E49" s="308"/>
      <c r="F49" s="334"/>
      <c r="J49" s="391"/>
      <c r="M49" s="391"/>
      <c r="N49" s="350" t="str">
        <f t="shared" si="1"/>
        <v/>
      </c>
    </row>
    <row r="50" spans="5:14" ht="12.95" customHeight="1">
      <c r="E50" s="308"/>
      <c r="F50" s="334"/>
      <c r="J50" s="391"/>
      <c r="M50" s="391"/>
      <c r="N50" s="350" t="str">
        <f t="shared" si="1"/>
        <v/>
      </c>
    </row>
    <row r="51" spans="5:14" ht="12.95" customHeight="1">
      <c r="E51" s="308"/>
      <c r="F51" s="334"/>
      <c r="J51" s="391"/>
      <c r="M51" s="391"/>
      <c r="N51" s="350" t="str">
        <f t="shared" si="1"/>
        <v/>
      </c>
    </row>
    <row r="52" spans="5:14" ht="12.95" customHeight="1">
      <c r="E52" s="308"/>
      <c r="F52" s="334"/>
      <c r="J52" s="391"/>
      <c r="M52" s="391"/>
      <c r="N52" s="350" t="str">
        <f t="shared" si="1"/>
        <v/>
      </c>
    </row>
    <row r="53" spans="5:14" ht="12.95" customHeight="1">
      <c r="E53" s="308"/>
      <c r="F53" s="334"/>
      <c r="J53" s="391"/>
      <c r="M53" s="391"/>
      <c r="N53" s="350" t="str">
        <f t="shared" si="1"/>
        <v/>
      </c>
    </row>
    <row r="54" spans="5:14" ht="12.95" customHeight="1">
      <c r="E54" s="308"/>
      <c r="F54" s="334"/>
      <c r="J54" s="391"/>
      <c r="M54" s="391"/>
      <c r="N54" s="350" t="str">
        <f t="shared" si="1"/>
        <v/>
      </c>
    </row>
    <row r="55" spans="5:14" ht="12.95" customHeight="1">
      <c r="E55" s="308"/>
      <c r="F55" s="334"/>
      <c r="J55" s="391"/>
      <c r="M55" s="391"/>
      <c r="N55" s="350" t="str">
        <f t="shared" si="1"/>
        <v/>
      </c>
    </row>
    <row r="56" spans="5:14" ht="12.95" customHeight="1">
      <c r="E56" s="308"/>
      <c r="F56" s="334"/>
      <c r="J56" s="391"/>
      <c r="M56" s="391"/>
      <c r="N56" s="350" t="str">
        <f t="shared" si="1"/>
        <v/>
      </c>
    </row>
    <row r="57" spans="5:14" ht="12.95" customHeight="1">
      <c r="E57" s="308"/>
      <c r="F57" s="334"/>
      <c r="J57" s="391"/>
      <c r="M57" s="391"/>
      <c r="N57" s="350" t="str">
        <f t="shared" si="1"/>
        <v/>
      </c>
    </row>
    <row r="58" spans="5:14" ht="12.95" customHeight="1">
      <c r="E58" s="308"/>
      <c r="F58" s="334"/>
      <c r="J58" s="391"/>
      <c r="M58" s="391"/>
      <c r="N58" s="350" t="str">
        <f t="shared" si="1"/>
        <v/>
      </c>
    </row>
    <row r="59" spans="5:14" ht="12.95" customHeight="1">
      <c r="E59" s="308"/>
      <c r="F59" s="334"/>
      <c r="J59" s="391"/>
      <c r="M59" s="391"/>
      <c r="N59" s="350" t="str">
        <f t="shared" si="1"/>
        <v/>
      </c>
    </row>
    <row r="60" spans="5:14" ht="17.100000000000001" customHeight="1">
      <c r="E60" s="308"/>
      <c r="F60" s="334"/>
      <c r="J60" s="391"/>
      <c r="M60" s="391"/>
      <c r="N60" s="350" t="str">
        <f t="shared" si="1"/>
        <v/>
      </c>
    </row>
    <row r="61" spans="5:14" ht="14.25">
      <c r="E61" s="308"/>
      <c r="F61" s="334"/>
      <c r="J61" s="391"/>
      <c r="M61" s="391"/>
      <c r="N61" s="350" t="str">
        <f t="shared" si="1"/>
        <v/>
      </c>
    </row>
    <row r="62" spans="5:14" ht="14.25">
      <c r="E62" s="308"/>
      <c r="F62" s="334"/>
      <c r="J62" s="391"/>
      <c r="M62" s="391"/>
      <c r="N62" s="350" t="str">
        <f t="shared" si="1"/>
        <v/>
      </c>
    </row>
    <row r="63" spans="5:14" ht="14.25">
      <c r="E63" s="308"/>
      <c r="F63" s="334"/>
      <c r="J63" s="391"/>
      <c r="M63" s="391"/>
      <c r="N63" s="350" t="str">
        <f t="shared" si="1"/>
        <v/>
      </c>
    </row>
    <row r="64" spans="5:14" ht="14.25">
      <c r="E64" s="308"/>
      <c r="F64" s="334"/>
      <c r="J64" s="391"/>
      <c r="M64" s="391"/>
      <c r="N64" s="350" t="str">
        <f t="shared" si="1"/>
        <v/>
      </c>
    </row>
    <row r="65" spans="5:14" ht="14.25">
      <c r="E65" s="308"/>
      <c r="F65" s="334"/>
      <c r="J65" s="391"/>
      <c r="M65" s="391"/>
      <c r="N65" s="350" t="str">
        <f t="shared" si="1"/>
        <v/>
      </c>
    </row>
    <row r="66" spans="5:14" ht="14.25">
      <c r="E66" s="308"/>
      <c r="F66" s="334"/>
      <c r="J66" s="391"/>
      <c r="M66" s="391"/>
      <c r="N66" s="350" t="str">
        <f t="shared" si="1"/>
        <v/>
      </c>
    </row>
    <row r="67" spans="5:14" ht="14.25">
      <c r="E67" s="308"/>
      <c r="F67" s="334"/>
      <c r="J67" s="391"/>
      <c r="M67" s="391"/>
    </row>
    <row r="68" spans="5:14" ht="14.25">
      <c r="E68" s="308"/>
      <c r="F68" s="334"/>
      <c r="J68" s="391"/>
      <c r="M68" s="391"/>
    </row>
    <row r="69" spans="5:14" ht="14.25">
      <c r="E69" s="308"/>
      <c r="F69" s="334"/>
      <c r="J69" s="391"/>
      <c r="M69" s="391"/>
    </row>
    <row r="70" spans="5:14" ht="14.25">
      <c r="E70" s="308"/>
      <c r="F70" s="334"/>
      <c r="J70" s="391"/>
      <c r="M70" s="391"/>
    </row>
    <row r="71" spans="5:14" ht="14.25">
      <c r="E71" s="308"/>
      <c r="F71" s="334"/>
      <c r="J71" s="391"/>
      <c r="M71" s="391"/>
    </row>
    <row r="72" spans="5:14" ht="14.25">
      <c r="E72" s="308"/>
      <c r="F72" s="334"/>
      <c r="J72" s="391"/>
      <c r="M72" s="391"/>
    </row>
    <row r="73" spans="5:14" ht="14.25">
      <c r="E73" s="308"/>
      <c r="F73" s="334"/>
      <c r="J73" s="391"/>
      <c r="M73" s="391"/>
    </row>
    <row r="74" spans="5:14" ht="14.25">
      <c r="E74" s="308"/>
      <c r="F74" s="308"/>
      <c r="J74" s="391"/>
      <c r="M74" s="391"/>
    </row>
    <row r="75" spans="5:14" ht="14.25">
      <c r="E75" s="308"/>
      <c r="F75" s="308"/>
      <c r="J75" s="391"/>
      <c r="M75" s="391"/>
    </row>
    <row r="76" spans="5:14" ht="14.25">
      <c r="E76" s="308"/>
      <c r="F76" s="308"/>
      <c r="J76" s="391"/>
      <c r="M76" s="391"/>
    </row>
    <row r="77" spans="5:14" ht="14.25">
      <c r="E77" s="308"/>
      <c r="F77" s="308"/>
      <c r="J77" s="391"/>
      <c r="M77" s="391"/>
    </row>
    <row r="78" spans="5:14" ht="14.25">
      <c r="E78" s="308"/>
      <c r="F78" s="308"/>
      <c r="J78" s="391"/>
      <c r="M78" s="391"/>
    </row>
    <row r="79" spans="5:14" ht="14.25">
      <c r="E79" s="308"/>
      <c r="F79" s="308"/>
      <c r="J79" s="391"/>
      <c r="M79" s="391"/>
    </row>
    <row r="80" spans="5:14" ht="14.25">
      <c r="E80" s="308"/>
      <c r="F80" s="308"/>
      <c r="J80" s="391"/>
      <c r="M80" s="391"/>
    </row>
    <row r="81" spans="5:13" ht="14.25">
      <c r="E81" s="308"/>
      <c r="F81" s="308"/>
      <c r="J81" s="391"/>
      <c r="M81" s="391"/>
    </row>
    <row r="82" spans="5:13" ht="14.25">
      <c r="E82" s="308"/>
      <c r="F82" s="308"/>
      <c r="J82" s="391"/>
      <c r="M82" s="391"/>
    </row>
    <row r="83" spans="5:13" ht="14.25">
      <c r="E83" s="308"/>
      <c r="F83" s="308"/>
      <c r="J83" s="391"/>
      <c r="M83" s="391"/>
    </row>
    <row r="84" spans="5:13" ht="14.25">
      <c r="E84" s="308"/>
      <c r="F84" s="308"/>
      <c r="J84" s="391"/>
      <c r="M84" s="391"/>
    </row>
    <row r="85" spans="5:13" ht="14.25">
      <c r="E85" s="308"/>
      <c r="F85" s="308"/>
      <c r="J85" s="391"/>
      <c r="M85" s="391"/>
    </row>
    <row r="86" spans="5:13" ht="14.25">
      <c r="E86" s="308"/>
      <c r="F86" s="308"/>
      <c r="J86" s="391"/>
      <c r="M86" s="391"/>
    </row>
    <row r="87" spans="5:13" ht="14.25">
      <c r="E87" s="308"/>
      <c r="F87" s="308"/>
      <c r="J87" s="391"/>
      <c r="M87" s="391"/>
    </row>
    <row r="88" spans="5:13" ht="14.25">
      <c r="E88" s="308"/>
      <c r="F88" s="308"/>
      <c r="J88" s="391"/>
      <c r="M88" s="391"/>
    </row>
    <row r="89" spans="5:13" ht="14.25">
      <c r="E89" s="308"/>
      <c r="F89" s="308"/>
      <c r="J89" s="391"/>
      <c r="M89" s="391"/>
    </row>
    <row r="90" spans="5:13" ht="14.25">
      <c r="E90" s="308"/>
      <c r="F90" s="308"/>
      <c r="J90" s="391"/>
      <c r="M90" s="391"/>
    </row>
    <row r="91" spans="5:13">
      <c r="F91" s="308"/>
    </row>
    <row r="92" spans="5:13">
      <c r="F92" s="308"/>
    </row>
    <row r="93" spans="5:13">
      <c r="F93" s="308"/>
    </row>
    <row r="94" spans="5:13">
      <c r="F94" s="308"/>
    </row>
    <row r="95" spans="5:13">
      <c r="F95" s="308"/>
    </row>
    <row r="96" spans="5:13">
      <c r="F96" s="308"/>
    </row>
  </sheetData>
  <mergeCells count="10">
    <mergeCell ref="B2:H2"/>
    <mergeCell ref="N4:N5"/>
    <mergeCell ref="G4:G5"/>
    <mergeCell ref="H4:J4"/>
    <mergeCell ref="B4:B5"/>
    <mergeCell ref="C4:C5"/>
    <mergeCell ref="D4:D5"/>
    <mergeCell ref="F4:F5"/>
    <mergeCell ref="E4:E5"/>
    <mergeCell ref="K4:M4"/>
  </mergeCells>
  <phoneticPr fontId="2" type="noConversion"/>
  <pageMargins left="0.78740157480314965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33"/>
  <dimension ref="A1:P96"/>
  <sheetViews>
    <sheetView topLeftCell="A31" zoomScaleNormal="100" zoomScaleSheetLayoutView="100" workbookViewId="0">
      <selection activeCell="K45" sqref="K45"/>
    </sheetView>
  </sheetViews>
  <sheetFormatPr defaultRowHeight="12.75"/>
  <cols>
    <col min="1" max="1" width="9.140625" style="284"/>
    <col min="2" max="2" width="4.7109375" style="9" customWidth="1"/>
    <col min="3" max="3" width="5.140625" style="9" customWidth="1"/>
    <col min="4" max="4" width="5" style="9" customWidth="1"/>
    <col min="5" max="5" width="8.7109375" style="17" customWidth="1"/>
    <col min="6" max="6" width="8.7109375" style="289" customWidth="1"/>
    <col min="7" max="7" width="50.7109375" style="9" customWidth="1"/>
    <col min="8" max="9" width="14.7109375" style="284" customWidth="1"/>
    <col min="10" max="10" width="15.7109375" style="9" customWidth="1"/>
    <col min="11" max="12" width="14.7109375" style="284" customWidth="1"/>
    <col min="13" max="13" width="15.7109375" style="284" customWidth="1"/>
    <col min="14" max="14" width="7.7109375" style="350" customWidth="1"/>
    <col min="15" max="15" width="9.140625" style="9"/>
    <col min="16" max="16" width="9.5703125" style="9" bestFit="1" customWidth="1"/>
    <col min="17" max="16384" width="9.140625" style="9"/>
  </cols>
  <sheetData>
    <row r="1" spans="1:16" ht="13.5" thickBot="1"/>
    <row r="2" spans="1:16" s="98" customFormat="1" ht="20.100000000000001" customHeight="1" thickTop="1" thickBot="1">
      <c r="A2" s="376"/>
      <c r="B2" s="590" t="s">
        <v>269</v>
      </c>
      <c r="C2" s="591"/>
      <c r="D2" s="591"/>
      <c r="E2" s="591"/>
      <c r="F2" s="591"/>
      <c r="G2" s="591"/>
      <c r="H2" s="378"/>
      <c r="I2" s="378"/>
      <c r="J2" s="378"/>
      <c r="K2" s="378"/>
      <c r="L2" s="378"/>
      <c r="M2" s="378"/>
      <c r="N2" s="380"/>
    </row>
    <row r="3" spans="1:16" s="1" customFormat="1" ht="8.1" customHeight="1" thickTop="1" thickBot="1">
      <c r="A3" s="281"/>
      <c r="E3" s="2"/>
      <c r="F3" s="282"/>
      <c r="G3" s="531"/>
      <c r="H3" s="92"/>
      <c r="I3" s="92"/>
      <c r="J3" s="92"/>
      <c r="K3" s="92"/>
      <c r="L3" s="92"/>
      <c r="M3" s="92"/>
      <c r="N3" s="344"/>
    </row>
    <row r="4" spans="1:16" s="1" customFormat="1" ht="39" customHeight="1">
      <c r="A4" s="281"/>
      <c r="B4" s="596" t="s">
        <v>78</v>
      </c>
      <c r="C4" s="606" t="s">
        <v>79</v>
      </c>
      <c r="D4" s="607" t="s">
        <v>110</v>
      </c>
      <c r="E4" s="608" t="s">
        <v>594</v>
      </c>
      <c r="F4" s="601" t="s">
        <v>653</v>
      </c>
      <c r="G4" s="602" t="s">
        <v>80</v>
      </c>
      <c r="H4" s="593" t="s">
        <v>647</v>
      </c>
      <c r="I4" s="594"/>
      <c r="J4" s="595"/>
      <c r="K4" s="593" t="s">
        <v>801</v>
      </c>
      <c r="L4" s="594"/>
      <c r="M4" s="595"/>
      <c r="N4" s="604" t="s">
        <v>805</v>
      </c>
    </row>
    <row r="5" spans="1:16" s="281" customFormat="1" ht="27" customHeight="1">
      <c r="B5" s="597"/>
      <c r="C5" s="599"/>
      <c r="D5" s="599"/>
      <c r="E5" s="603"/>
      <c r="F5" s="599"/>
      <c r="G5" s="603"/>
      <c r="H5" s="372" t="s">
        <v>705</v>
      </c>
      <c r="I5" s="372" t="s">
        <v>706</v>
      </c>
      <c r="J5" s="382" t="s">
        <v>413</v>
      </c>
      <c r="K5" s="372" t="s">
        <v>705</v>
      </c>
      <c r="L5" s="372" t="s">
        <v>706</v>
      </c>
      <c r="M5" s="382" t="s">
        <v>413</v>
      </c>
      <c r="N5" s="605"/>
    </row>
    <row r="6" spans="1:16" s="2" customFormat="1" ht="12.95" customHeight="1">
      <c r="A6" s="282"/>
      <c r="B6" s="504">
        <v>1</v>
      </c>
      <c r="C6" s="331">
        <v>2</v>
      </c>
      <c r="D6" s="331">
        <v>3</v>
      </c>
      <c r="E6" s="331">
        <v>4</v>
      </c>
      <c r="F6" s="331">
        <v>5</v>
      </c>
      <c r="G6" s="331">
        <v>6</v>
      </c>
      <c r="H6" s="331">
        <v>7</v>
      </c>
      <c r="I6" s="331">
        <v>8</v>
      </c>
      <c r="J6" s="523" t="s">
        <v>804</v>
      </c>
      <c r="K6" s="331">
        <v>10</v>
      </c>
      <c r="L6" s="331">
        <v>11</v>
      </c>
      <c r="M6" s="523" t="s">
        <v>707</v>
      </c>
      <c r="N6" s="505">
        <v>13</v>
      </c>
    </row>
    <row r="7" spans="1:16" s="2" customFormat="1" ht="12.95" customHeight="1">
      <c r="A7" s="282"/>
      <c r="B7" s="79" t="s">
        <v>143</v>
      </c>
      <c r="C7" s="80" t="s">
        <v>132</v>
      </c>
      <c r="D7" s="80" t="s">
        <v>125</v>
      </c>
      <c r="E7" s="5"/>
      <c r="F7" s="283"/>
      <c r="G7" s="5"/>
      <c r="H7" s="283"/>
      <c r="I7" s="283"/>
      <c r="J7" s="383"/>
      <c r="K7" s="283"/>
      <c r="L7" s="283"/>
      <c r="M7" s="383"/>
      <c r="N7" s="345"/>
    </row>
    <row r="8" spans="1:16" s="1" customFormat="1" ht="12.95" customHeight="1">
      <c r="A8" s="281"/>
      <c r="B8" s="12"/>
      <c r="C8" s="8"/>
      <c r="D8" s="8"/>
      <c r="E8" s="305">
        <v>611000</v>
      </c>
      <c r="F8" s="331"/>
      <c r="G8" s="8" t="s">
        <v>163</v>
      </c>
      <c r="H8" s="210">
        <f t="shared" ref="H8:M8" si="0">SUM(H9:H12)</f>
        <v>868100</v>
      </c>
      <c r="I8" s="210">
        <f t="shared" si="0"/>
        <v>0</v>
      </c>
      <c r="J8" s="384">
        <f t="shared" si="0"/>
        <v>868100</v>
      </c>
      <c r="K8" s="210">
        <f t="shared" si="0"/>
        <v>211054</v>
      </c>
      <c r="L8" s="210">
        <f t="shared" si="0"/>
        <v>0</v>
      </c>
      <c r="M8" s="384">
        <f t="shared" si="0"/>
        <v>211054</v>
      </c>
      <c r="N8" s="346">
        <f>IF(J8=0,"",M8/J8*100)</f>
        <v>24.312176016587948</v>
      </c>
    </row>
    <row r="9" spans="1:16" ht="12.95" customHeight="1">
      <c r="B9" s="10"/>
      <c r="C9" s="11"/>
      <c r="D9" s="11"/>
      <c r="E9" s="306">
        <v>611100</v>
      </c>
      <c r="F9" s="332"/>
      <c r="G9" s="18" t="s">
        <v>198</v>
      </c>
      <c r="H9" s="212">
        <f>703000+1000+2*500</f>
        <v>705000</v>
      </c>
      <c r="I9" s="212">
        <v>0</v>
      </c>
      <c r="J9" s="385">
        <f>SUM(H9:I9)</f>
        <v>705000</v>
      </c>
      <c r="K9" s="212">
        <v>173935</v>
      </c>
      <c r="L9" s="212">
        <v>0</v>
      </c>
      <c r="M9" s="385">
        <f>SUM(K9:L9)</f>
        <v>173935</v>
      </c>
      <c r="N9" s="347">
        <f t="shared" ref="N9:N66" si="1">IF(J9=0,"",M9/J9*100)</f>
        <v>24.671631205673759</v>
      </c>
      <c r="O9" s="50"/>
    </row>
    <row r="10" spans="1:16" ht="12.95" customHeight="1">
      <c r="B10" s="10"/>
      <c r="C10" s="11"/>
      <c r="D10" s="11"/>
      <c r="E10" s="306">
        <v>611200</v>
      </c>
      <c r="F10" s="332"/>
      <c r="G10" s="11" t="s">
        <v>199</v>
      </c>
      <c r="H10" s="212">
        <f>159400+1900+2*900</f>
        <v>163100</v>
      </c>
      <c r="I10" s="212">
        <v>0</v>
      </c>
      <c r="J10" s="385">
        <f t="shared" ref="J10:J11" si="2">SUM(H10:I10)</f>
        <v>163100</v>
      </c>
      <c r="K10" s="212">
        <v>37119</v>
      </c>
      <c r="L10" s="212">
        <v>0</v>
      </c>
      <c r="M10" s="385">
        <f t="shared" ref="M10:M11" si="3">SUM(K10:L10)</f>
        <v>37119</v>
      </c>
      <c r="N10" s="347">
        <f t="shared" si="1"/>
        <v>22.758430410790925</v>
      </c>
    </row>
    <row r="11" spans="1:16" ht="12.95" customHeight="1">
      <c r="B11" s="10"/>
      <c r="C11" s="11"/>
      <c r="D11" s="11"/>
      <c r="E11" s="306">
        <v>611200</v>
      </c>
      <c r="F11" s="332"/>
      <c r="G11" s="189" t="s">
        <v>534</v>
      </c>
      <c r="H11" s="209">
        <v>0</v>
      </c>
      <c r="I11" s="209">
        <v>0</v>
      </c>
      <c r="J11" s="385">
        <f t="shared" si="2"/>
        <v>0</v>
      </c>
      <c r="K11" s="209">
        <v>0</v>
      </c>
      <c r="L11" s="209">
        <v>0</v>
      </c>
      <c r="M11" s="385">
        <f t="shared" si="3"/>
        <v>0</v>
      </c>
      <c r="N11" s="347" t="str">
        <f t="shared" si="1"/>
        <v/>
      </c>
      <c r="P11" s="56"/>
    </row>
    <row r="12" spans="1:16" ht="12.95" customHeight="1">
      <c r="B12" s="10"/>
      <c r="C12" s="11"/>
      <c r="D12" s="11"/>
      <c r="E12" s="306"/>
      <c r="F12" s="332"/>
      <c r="G12" s="18"/>
      <c r="H12" s="212"/>
      <c r="I12" s="212"/>
      <c r="J12" s="385"/>
      <c r="K12" s="212"/>
      <c r="L12" s="212"/>
      <c r="M12" s="385"/>
      <c r="N12" s="347" t="str">
        <f t="shared" si="1"/>
        <v/>
      </c>
    </row>
    <row r="13" spans="1:16" s="1" customFormat="1" ht="12.95" customHeight="1">
      <c r="A13" s="281"/>
      <c r="B13" s="12"/>
      <c r="C13" s="8"/>
      <c r="D13" s="8"/>
      <c r="E13" s="305">
        <v>612000</v>
      </c>
      <c r="F13" s="331"/>
      <c r="G13" s="8" t="s">
        <v>162</v>
      </c>
      <c r="H13" s="210">
        <f t="shared" ref="H13:M13" si="4">H14</f>
        <v>76640</v>
      </c>
      <c r="I13" s="210">
        <f t="shared" si="4"/>
        <v>0</v>
      </c>
      <c r="J13" s="384">
        <f t="shared" si="4"/>
        <v>76640</v>
      </c>
      <c r="K13" s="210">
        <f t="shared" si="4"/>
        <v>18602</v>
      </c>
      <c r="L13" s="210">
        <f t="shared" si="4"/>
        <v>0</v>
      </c>
      <c r="M13" s="384">
        <f t="shared" si="4"/>
        <v>18602</v>
      </c>
      <c r="N13" s="346">
        <f t="shared" si="1"/>
        <v>24.271920668058456</v>
      </c>
    </row>
    <row r="14" spans="1:16" ht="12.95" customHeight="1">
      <c r="B14" s="10"/>
      <c r="C14" s="11"/>
      <c r="D14" s="11"/>
      <c r="E14" s="306">
        <v>612100</v>
      </c>
      <c r="F14" s="332"/>
      <c r="G14" s="13" t="s">
        <v>83</v>
      </c>
      <c r="H14" s="212">
        <f>76100+400+2*70</f>
        <v>76640</v>
      </c>
      <c r="I14" s="212">
        <v>0</v>
      </c>
      <c r="J14" s="385">
        <f>SUM(H14:I14)</f>
        <v>76640</v>
      </c>
      <c r="K14" s="212">
        <v>18602</v>
      </c>
      <c r="L14" s="212">
        <v>0</v>
      </c>
      <c r="M14" s="385">
        <f>SUM(K14:L14)</f>
        <v>18602</v>
      </c>
      <c r="N14" s="347">
        <f t="shared" si="1"/>
        <v>24.271920668058456</v>
      </c>
    </row>
    <row r="15" spans="1:16" ht="12.95" customHeight="1">
      <c r="B15" s="10"/>
      <c r="C15" s="11"/>
      <c r="D15" s="11"/>
      <c r="E15" s="306"/>
      <c r="F15" s="332"/>
      <c r="G15" s="11"/>
      <c r="H15" s="291"/>
      <c r="I15" s="291"/>
      <c r="J15" s="386"/>
      <c r="K15" s="291"/>
      <c r="L15" s="291"/>
      <c r="M15" s="386"/>
      <c r="N15" s="347" t="str">
        <f t="shared" si="1"/>
        <v/>
      </c>
    </row>
    <row r="16" spans="1:16" s="1" customFormat="1" ht="12.95" customHeight="1">
      <c r="A16" s="281"/>
      <c r="B16" s="12"/>
      <c r="C16" s="8"/>
      <c r="D16" s="8"/>
      <c r="E16" s="305">
        <v>613000</v>
      </c>
      <c r="F16" s="331"/>
      <c r="G16" s="8" t="s">
        <v>164</v>
      </c>
      <c r="H16" s="293">
        <f t="shared" ref="H16:M16" si="5">SUM(H17:H27)</f>
        <v>123200</v>
      </c>
      <c r="I16" s="293">
        <f t="shared" si="5"/>
        <v>0</v>
      </c>
      <c r="J16" s="387">
        <f t="shared" si="5"/>
        <v>123200</v>
      </c>
      <c r="K16" s="293">
        <f t="shared" si="5"/>
        <v>30549</v>
      </c>
      <c r="L16" s="293">
        <f t="shared" si="5"/>
        <v>0</v>
      </c>
      <c r="M16" s="387">
        <f t="shared" si="5"/>
        <v>30549</v>
      </c>
      <c r="N16" s="346">
        <f t="shared" si="1"/>
        <v>24.796266233766236</v>
      </c>
    </row>
    <row r="17" spans="1:15" ht="12.95" customHeight="1">
      <c r="B17" s="10"/>
      <c r="C17" s="11"/>
      <c r="D17" s="11"/>
      <c r="E17" s="306">
        <v>613100</v>
      </c>
      <c r="F17" s="332"/>
      <c r="G17" s="11" t="s">
        <v>84</v>
      </c>
      <c r="H17" s="365">
        <v>4000</v>
      </c>
      <c r="I17" s="365">
        <v>0</v>
      </c>
      <c r="J17" s="385">
        <f t="shared" ref="J17:J27" si="6">SUM(H17:I17)</f>
        <v>4000</v>
      </c>
      <c r="K17" s="365">
        <v>325</v>
      </c>
      <c r="L17" s="365">
        <v>0</v>
      </c>
      <c r="M17" s="385">
        <f t="shared" ref="M17:M27" si="7">SUM(K17:L17)</f>
        <v>325</v>
      </c>
      <c r="N17" s="347">
        <f t="shared" si="1"/>
        <v>8.125</v>
      </c>
    </row>
    <row r="18" spans="1:15" ht="12.95" customHeight="1">
      <c r="B18" s="10"/>
      <c r="C18" s="11"/>
      <c r="D18" s="11"/>
      <c r="E18" s="306">
        <v>613200</v>
      </c>
      <c r="F18" s="332"/>
      <c r="G18" s="11" t="s">
        <v>85</v>
      </c>
      <c r="H18" s="363">
        <v>55000</v>
      </c>
      <c r="I18" s="363">
        <v>0</v>
      </c>
      <c r="J18" s="385">
        <f t="shared" si="6"/>
        <v>55000</v>
      </c>
      <c r="K18" s="363">
        <v>18883</v>
      </c>
      <c r="L18" s="363">
        <v>0</v>
      </c>
      <c r="M18" s="385">
        <f t="shared" si="7"/>
        <v>18883</v>
      </c>
      <c r="N18" s="347">
        <f t="shared" si="1"/>
        <v>34.332727272727269</v>
      </c>
    </row>
    <row r="19" spans="1:15" ht="12.95" customHeight="1">
      <c r="B19" s="10"/>
      <c r="C19" s="11"/>
      <c r="D19" s="11"/>
      <c r="E19" s="306">
        <v>613300</v>
      </c>
      <c r="F19" s="332"/>
      <c r="G19" s="18" t="s">
        <v>200</v>
      </c>
      <c r="H19" s="363">
        <v>7500</v>
      </c>
      <c r="I19" s="363">
        <v>0</v>
      </c>
      <c r="J19" s="385">
        <f t="shared" si="6"/>
        <v>7500</v>
      </c>
      <c r="K19" s="363">
        <v>1572</v>
      </c>
      <c r="L19" s="363">
        <v>0</v>
      </c>
      <c r="M19" s="385">
        <f t="shared" si="7"/>
        <v>1572</v>
      </c>
      <c r="N19" s="347">
        <f t="shared" si="1"/>
        <v>20.96</v>
      </c>
    </row>
    <row r="20" spans="1:15" ht="12.95" customHeight="1">
      <c r="B20" s="10"/>
      <c r="C20" s="11"/>
      <c r="D20" s="11"/>
      <c r="E20" s="306">
        <v>613400</v>
      </c>
      <c r="F20" s="332"/>
      <c r="G20" s="11" t="s">
        <v>165</v>
      </c>
      <c r="H20" s="363">
        <v>16200</v>
      </c>
      <c r="I20" s="363">
        <v>0</v>
      </c>
      <c r="J20" s="385">
        <f t="shared" si="6"/>
        <v>16200</v>
      </c>
      <c r="K20" s="363">
        <v>3664</v>
      </c>
      <c r="L20" s="363">
        <v>0</v>
      </c>
      <c r="M20" s="385">
        <f t="shared" si="7"/>
        <v>3664</v>
      </c>
      <c r="N20" s="347">
        <f t="shared" si="1"/>
        <v>22.617283950617285</v>
      </c>
    </row>
    <row r="21" spans="1:15" ht="12.95" customHeight="1">
      <c r="B21" s="10"/>
      <c r="C21" s="11"/>
      <c r="D21" s="11"/>
      <c r="E21" s="306">
        <v>613500</v>
      </c>
      <c r="F21" s="332"/>
      <c r="G21" s="11" t="s">
        <v>86</v>
      </c>
      <c r="H21" s="365">
        <v>3000</v>
      </c>
      <c r="I21" s="365">
        <v>0</v>
      </c>
      <c r="J21" s="385">
        <f t="shared" si="6"/>
        <v>3000</v>
      </c>
      <c r="K21" s="365">
        <v>500</v>
      </c>
      <c r="L21" s="365">
        <v>0</v>
      </c>
      <c r="M21" s="385">
        <f t="shared" si="7"/>
        <v>500</v>
      </c>
      <c r="N21" s="347">
        <f t="shared" si="1"/>
        <v>16.666666666666664</v>
      </c>
    </row>
    <row r="22" spans="1:15" ht="12.95" customHeight="1">
      <c r="B22" s="10"/>
      <c r="C22" s="11"/>
      <c r="D22" s="11"/>
      <c r="E22" s="306">
        <v>613600</v>
      </c>
      <c r="F22" s="332"/>
      <c r="G22" s="18" t="s">
        <v>201</v>
      </c>
      <c r="H22" s="365">
        <v>0</v>
      </c>
      <c r="I22" s="365">
        <v>0</v>
      </c>
      <c r="J22" s="385">
        <f t="shared" si="6"/>
        <v>0</v>
      </c>
      <c r="K22" s="365">
        <v>0</v>
      </c>
      <c r="L22" s="365">
        <v>0</v>
      </c>
      <c r="M22" s="385">
        <f t="shared" si="7"/>
        <v>0</v>
      </c>
      <c r="N22" s="347" t="str">
        <f t="shared" si="1"/>
        <v/>
      </c>
    </row>
    <row r="23" spans="1:15" ht="12.95" customHeight="1">
      <c r="B23" s="10"/>
      <c r="C23" s="11"/>
      <c r="D23" s="11"/>
      <c r="E23" s="306">
        <v>613700</v>
      </c>
      <c r="F23" s="332"/>
      <c r="G23" s="11" t="s">
        <v>87</v>
      </c>
      <c r="H23" s="365">
        <v>14000</v>
      </c>
      <c r="I23" s="365">
        <v>0</v>
      </c>
      <c r="J23" s="385">
        <f t="shared" si="6"/>
        <v>14000</v>
      </c>
      <c r="K23" s="365">
        <v>2695</v>
      </c>
      <c r="L23" s="365">
        <v>0</v>
      </c>
      <c r="M23" s="385">
        <f t="shared" si="7"/>
        <v>2695</v>
      </c>
      <c r="N23" s="347">
        <f t="shared" si="1"/>
        <v>19.25</v>
      </c>
    </row>
    <row r="24" spans="1:15" ht="12.95" customHeight="1">
      <c r="B24" s="10"/>
      <c r="C24" s="11"/>
      <c r="D24" s="11"/>
      <c r="E24" s="306">
        <v>613800</v>
      </c>
      <c r="F24" s="332"/>
      <c r="G24" s="11" t="s">
        <v>166</v>
      </c>
      <c r="H24" s="365">
        <v>0</v>
      </c>
      <c r="I24" s="365">
        <v>0</v>
      </c>
      <c r="J24" s="385">
        <f t="shared" si="6"/>
        <v>0</v>
      </c>
      <c r="K24" s="365">
        <v>0</v>
      </c>
      <c r="L24" s="365">
        <v>0</v>
      </c>
      <c r="M24" s="385">
        <f t="shared" si="7"/>
        <v>0</v>
      </c>
      <c r="N24" s="347" t="str">
        <f t="shared" si="1"/>
        <v/>
      </c>
    </row>
    <row r="25" spans="1:15" ht="12.95" customHeight="1">
      <c r="B25" s="10"/>
      <c r="C25" s="11"/>
      <c r="D25" s="11"/>
      <c r="E25" s="306">
        <v>613900</v>
      </c>
      <c r="F25" s="332"/>
      <c r="G25" s="11" t="s">
        <v>167</v>
      </c>
      <c r="H25" s="360">
        <v>23500</v>
      </c>
      <c r="I25" s="360">
        <v>0</v>
      </c>
      <c r="J25" s="385">
        <f t="shared" si="6"/>
        <v>23500</v>
      </c>
      <c r="K25" s="360">
        <v>2910</v>
      </c>
      <c r="L25" s="360">
        <v>0</v>
      </c>
      <c r="M25" s="385">
        <f t="shared" si="7"/>
        <v>2910</v>
      </c>
      <c r="N25" s="347">
        <f t="shared" si="1"/>
        <v>12.382978723404255</v>
      </c>
    </row>
    <row r="26" spans="1:15" ht="12.95" customHeight="1">
      <c r="B26" s="10"/>
      <c r="C26" s="11"/>
      <c r="D26" s="11"/>
      <c r="E26" s="306">
        <v>613900</v>
      </c>
      <c r="F26" s="332"/>
      <c r="G26" s="189" t="s">
        <v>535</v>
      </c>
      <c r="H26" s="361">
        <v>0</v>
      </c>
      <c r="I26" s="361">
        <v>0</v>
      </c>
      <c r="J26" s="385">
        <f t="shared" si="6"/>
        <v>0</v>
      </c>
      <c r="K26" s="361">
        <v>0</v>
      </c>
      <c r="L26" s="361">
        <v>0</v>
      </c>
      <c r="M26" s="385">
        <f t="shared" si="7"/>
        <v>0</v>
      </c>
      <c r="N26" s="347" t="str">
        <f t="shared" si="1"/>
        <v/>
      </c>
    </row>
    <row r="27" spans="1:15" ht="12.95" customHeight="1">
      <c r="B27" s="10"/>
      <c r="C27" s="11"/>
      <c r="D27" s="11"/>
      <c r="E27" s="306">
        <v>613900</v>
      </c>
      <c r="F27" s="332" t="s">
        <v>693</v>
      </c>
      <c r="G27" s="69" t="s">
        <v>548</v>
      </c>
      <c r="H27" s="365">
        <v>0</v>
      </c>
      <c r="I27" s="365">
        <v>0</v>
      </c>
      <c r="J27" s="385">
        <f t="shared" si="6"/>
        <v>0</v>
      </c>
      <c r="K27" s="365">
        <v>0</v>
      </c>
      <c r="L27" s="365">
        <v>0</v>
      </c>
      <c r="M27" s="385">
        <f t="shared" si="7"/>
        <v>0</v>
      </c>
      <c r="N27" s="347" t="str">
        <f t="shared" si="1"/>
        <v/>
      </c>
    </row>
    <row r="28" spans="1:15" s="1" customFormat="1" ht="12.95" customHeight="1">
      <c r="A28" s="281"/>
      <c r="B28" s="12"/>
      <c r="C28" s="8"/>
      <c r="D28" s="8"/>
      <c r="E28" s="305"/>
      <c r="F28" s="331"/>
      <c r="G28" s="8"/>
      <c r="H28" s="296"/>
      <c r="I28" s="296"/>
      <c r="J28" s="386"/>
      <c r="K28" s="296"/>
      <c r="L28" s="296"/>
      <c r="M28" s="386"/>
      <c r="N28" s="347" t="str">
        <f t="shared" si="1"/>
        <v/>
      </c>
    </row>
    <row r="29" spans="1:15" s="1" customFormat="1" ht="12.95" customHeight="1">
      <c r="A29" s="281"/>
      <c r="B29" s="12"/>
      <c r="C29" s="8"/>
      <c r="D29" s="8"/>
      <c r="E29" s="305">
        <v>821000</v>
      </c>
      <c r="F29" s="331"/>
      <c r="G29" s="8" t="s">
        <v>90</v>
      </c>
      <c r="H29" s="295">
        <f t="shared" ref="H29:M29" si="8">SUM(H30:H31)</f>
        <v>10000</v>
      </c>
      <c r="I29" s="295">
        <f t="shared" si="8"/>
        <v>17090</v>
      </c>
      <c r="J29" s="387">
        <f t="shared" si="8"/>
        <v>27090</v>
      </c>
      <c r="K29" s="295">
        <f t="shared" si="8"/>
        <v>0</v>
      </c>
      <c r="L29" s="295">
        <f t="shared" si="8"/>
        <v>0</v>
      </c>
      <c r="M29" s="387">
        <f t="shared" si="8"/>
        <v>0</v>
      </c>
      <c r="N29" s="346">
        <f t="shared" si="1"/>
        <v>0</v>
      </c>
    </row>
    <row r="30" spans="1:15" ht="12.95" customHeight="1">
      <c r="B30" s="10"/>
      <c r="C30" s="11"/>
      <c r="D30" s="11"/>
      <c r="E30" s="309">
        <v>821200</v>
      </c>
      <c r="F30" s="335"/>
      <c r="G30" s="14" t="s">
        <v>91</v>
      </c>
      <c r="H30" s="296">
        <v>0</v>
      </c>
      <c r="I30" s="296">
        <v>0</v>
      </c>
      <c r="J30" s="385">
        <f t="shared" ref="J30:J31" si="9">SUM(H30:I30)</f>
        <v>0</v>
      </c>
      <c r="K30" s="296">
        <v>0</v>
      </c>
      <c r="L30" s="296">
        <v>0</v>
      </c>
      <c r="M30" s="385">
        <f t="shared" ref="M30:M31" si="10">SUM(K30:L30)</f>
        <v>0</v>
      </c>
      <c r="N30" s="347" t="str">
        <f t="shared" si="1"/>
        <v/>
      </c>
      <c r="O30" s="50"/>
    </row>
    <row r="31" spans="1:15" ht="12.95" customHeight="1">
      <c r="B31" s="10"/>
      <c r="C31" s="11"/>
      <c r="D31" s="11"/>
      <c r="E31" s="306">
        <v>821300</v>
      </c>
      <c r="F31" s="332"/>
      <c r="G31" s="11" t="s">
        <v>92</v>
      </c>
      <c r="H31" s="296">
        <v>10000</v>
      </c>
      <c r="I31" s="296">
        <f>5150+11940</f>
        <v>17090</v>
      </c>
      <c r="J31" s="385">
        <f t="shared" si="9"/>
        <v>27090</v>
      </c>
      <c r="K31" s="296">
        <v>0</v>
      </c>
      <c r="L31" s="296">
        <v>0</v>
      </c>
      <c r="M31" s="385">
        <f t="shared" si="10"/>
        <v>0</v>
      </c>
      <c r="N31" s="347">
        <f t="shared" si="1"/>
        <v>0</v>
      </c>
    </row>
    <row r="32" spans="1:15" ht="12.95" customHeight="1">
      <c r="B32" s="10"/>
      <c r="C32" s="11"/>
      <c r="D32" s="11"/>
      <c r="E32" s="306"/>
      <c r="F32" s="332"/>
      <c r="G32" s="11"/>
      <c r="H32" s="291"/>
      <c r="I32" s="291"/>
      <c r="J32" s="386"/>
      <c r="K32" s="291"/>
      <c r="L32" s="291"/>
      <c r="M32" s="386"/>
      <c r="N32" s="347" t="str">
        <f t="shared" si="1"/>
        <v/>
      </c>
    </row>
    <row r="33" spans="1:14" s="1" customFormat="1" ht="12.95" customHeight="1">
      <c r="A33" s="281"/>
      <c r="B33" s="12"/>
      <c r="C33" s="8"/>
      <c r="D33" s="8"/>
      <c r="E33" s="305"/>
      <c r="F33" s="331"/>
      <c r="G33" s="8" t="s">
        <v>93</v>
      </c>
      <c r="H33" s="278" t="s">
        <v>782</v>
      </c>
      <c r="I33" s="278"/>
      <c r="J33" s="389" t="s">
        <v>782</v>
      </c>
      <c r="K33" s="278" t="s">
        <v>827</v>
      </c>
      <c r="L33" s="278"/>
      <c r="M33" s="389" t="s">
        <v>827</v>
      </c>
      <c r="N33" s="347"/>
    </row>
    <row r="34" spans="1:14" s="1" customFormat="1" ht="12.95" customHeight="1">
      <c r="A34" s="281"/>
      <c r="B34" s="12"/>
      <c r="C34" s="8"/>
      <c r="D34" s="8"/>
      <c r="E34" s="305"/>
      <c r="F34" s="331"/>
      <c r="G34" s="8" t="s">
        <v>113</v>
      </c>
      <c r="H34" s="288">
        <f t="shared" ref="H34:M34" si="11">H8+H13+H16+H29</f>
        <v>1077940</v>
      </c>
      <c r="I34" s="288">
        <f t="shared" si="11"/>
        <v>17090</v>
      </c>
      <c r="J34" s="387">
        <f t="shared" si="11"/>
        <v>1095030</v>
      </c>
      <c r="K34" s="288">
        <f t="shared" si="11"/>
        <v>260205</v>
      </c>
      <c r="L34" s="288">
        <f t="shared" si="11"/>
        <v>0</v>
      </c>
      <c r="M34" s="387">
        <f t="shared" si="11"/>
        <v>260205</v>
      </c>
      <c r="N34" s="346">
        <f t="shared" si="1"/>
        <v>23.762362674995206</v>
      </c>
    </row>
    <row r="35" spans="1:14" s="1" customFormat="1" ht="12.95" customHeight="1">
      <c r="A35" s="281"/>
      <c r="B35" s="12"/>
      <c r="C35" s="8"/>
      <c r="D35" s="8"/>
      <c r="E35" s="305"/>
      <c r="F35" s="331"/>
      <c r="G35" s="8" t="s">
        <v>94</v>
      </c>
      <c r="H35" s="288">
        <f>H34+'22'!H33+'21'!H33</f>
        <v>3830080</v>
      </c>
      <c r="I35" s="288">
        <f>I34+'22'!I33+'21'!I33</f>
        <v>17090</v>
      </c>
      <c r="J35" s="387">
        <f>J34+'22'!J33+'21'!J33</f>
        <v>3847170</v>
      </c>
      <c r="K35" s="288">
        <f>K34+'22'!N33+'21'!N33</f>
        <v>260254.82829398927</v>
      </c>
      <c r="L35" s="288">
        <f>L34+'22'!O33+'21'!O33</f>
        <v>0</v>
      </c>
      <c r="M35" s="387">
        <f>M34+'22'!P33+'21'!P33</f>
        <v>260205</v>
      </c>
      <c r="N35" s="346">
        <f t="shared" si="1"/>
        <v>6.7635430719203988</v>
      </c>
    </row>
    <row r="36" spans="1:14" s="1" customFormat="1" ht="12.95" customHeight="1">
      <c r="A36" s="281"/>
      <c r="B36" s="12"/>
      <c r="C36" s="8"/>
      <c r="D36" s="8"/>
      <c r="E36" s="305"/>
      <c r="F36" s="331"/>
      <c r="G36" s="8" t="s">
        <v>95</v>
      </c>
      <c r="H36" s="279"/>
      <c r="I36" s="279"/>
      <c r="J36" s="386"/>
      <c r="K36" s="279"/>
      <c r="L36" s="279"/>
      <c r="M36" s="386"/>
      <c r="N36" s="348" t="str">
        <f t="shared" si="1"/>
        <v/>
      </c>
    </row>
    <row r="37" spans="1:14" ht="12.95" customHeight="1" thickBot="1">
      <c r="B37" s="15"/>
      <c r="C37" s="16"/>
      <c r="D37" s="16"/>
      <c r="E37" s="307"/>
      <c r="F37" s="333"/>
      <c r="G37" s="16"/>
      <c r="H37" s="27"/>
      <c r="I37" s="27"/>
      <c r="J37" s="390"/>
      <c r="K37" s="27"/>
      <c r="L37" s="27"/>
      <c r="M37" s="390"/>
      <c r="N37" s="349" t="str">
        <f t="shared" si="1"/>
        <v/>
      </c>
    </row>
    <row r="38" spans="1:14" ht="12.95" customHeight="1">
      <c r="E38" s="308"/>
      <c r="F38" s="334"/>
      <c r="J38" s="391"/>
      <c r="M38" s="391"/>
      <c r="N38" s="350" t="str">
        <f t="shared" si="1"/>
        <v/>
      </c>
    </row>
    <row r="39" spans="1:14" ht="12.95" customHeight="1">
      <c r="B39" s="50"/>
      <c r="E39" s="308"/>
      <c r="F39" s="334"/>
      <c r="J39" s="391"/>
      <c r="M39" s="391"/>
      <c r="N39" s="350" t="str">
        <f t="shared" si="1"/>
        <v/>
      </c>
    </row>
    <row r="40" spans="1:14" ht="12.95" customHeight="1">
      <c r="B40" s="50"/>
      <c r="E40" s="308"/>
      <c r="F40" s="334"/>
      <c r="J40" s="391"/>
      <c r="M40" s="391"/>
      <c r="N40" s="350" t="str">
        <f t="shared" si="1"/>
        <v/>
      </c>
    </row>
    <row r="41" spans="1:14" ht="12.95" customHeight="1">
      <c r="B41" s="50"/>
      <c r="E41" s="308"/>
      <c r="F41" s="334"/>
      <c r="J41" s="391"/>
      <c r="M41" s="391"/>
      <c r="N41" s="350" t="str">
        <f t="shared" si="1"/>
        <v/>
      </c>
    </row>
    <row r="42" spans="1:14" ht="12.95" customHeight="1">
      <c r="B42" s="50"/>
      <c r="E42" s="308"/>
      <c r="F42" s="334"/>
      <c r="J42" s="391"/>
      <c r="M42" s="391"/>
      <c r="N42" s="350" t="str">
        <f t="shared" si="1"/>
        <v/>
      </c>
    </row>
    <row r="43" spans="1:14" ht="12.95" customHeight="1">
      <c r="B43" s="50"/>
      <c r="E43" s="308"/>
      <c r="F43" s="334"/>
      <c r="J43" s="391"/>
      <c r="M43" s="391"/>
      <c r="N43" s="350" t="str">
        <f t="shared" si="1"/>
        <v/>
      </c>
    </row>
    <row r="44" spans="1:14" ht="12.95" customHeight="1">
      <c r="E44" s="308"/>
      <c r="F44" s="334"/>
      <c r="J44" s="391"/>
      <c r="M44" s="391"/>
      <c r="N44" s="350" t="str">
        <f t="shared" si="1"/>
        <v/>
      </c>
    </row>
    <row r="45" spans="1:14" ht="12.95" customHeight="1">
      <c r="E45" s="308"/>
      <c r="F45" s="334"/>
      <c r="J45" s="391"/>
      <c r="M45" s="391"/>
      <c r="N45" s="350" t="str">
        <f t="shared" si="1"/>
        <v/>
      </c>
    </row>
    <row r="46" spans="1:14" ht="12.95" customHeight="1">
      <c r="E46" s="308"/>
      <c r="F46" s="334"/>
      <c r="J46" s="391"/>
      <c r="M46" s="391"/>
      <c r="N46" s="350" t="str">
        <f t="shared" si="1"/>
        <v/>
      </c>
    </row>
    <row r="47" spans="1:14" ht="12.95" customHeight="1">
      <c r="E47" s="308"/>
      <c r="F47" s="334"/>
      <c r="J47" s="391"/>
      <c r="M47" s="391"/>
      <c r="N47" s="350" t="str">
        <f t="shared" si="1"/>
        <v/>
      </c>
    </row>
    <row r="48" spans="1:14" ht="12.95" customHeight="1">
      <c r="E48" s="308"/>
      <c r="F48" s="334"/>
      <c r="J48" s="391"/>
      <c r="M48" s="391"/>
      <c r="N48" s="350" t="str">
        <f t="shared" si="1"/>
        <v/>
      </c>
    </row>
    <row r="49" spans="5:14" ht="12.95" customHeight="1">
      <c r="E49" s="308"/>
      <c r="F49" s="334"/>
      <c r="J49" s="391"/>
      <c r="M49" s="391"/>
      <c r="N49" s="350" t="str">
        <f t="shared" si="1"/>
        <v/>
      </c>
    </row>
    <row r="50" spans="5:14" ht="12.95" customHeight="1">
      <c r="E50" s="308"/>
      <c r="F50" s="334"/>
      <c r="J50" s="391"/>
      <c r="M50" s="391"/>
      <c r="N50" s="350" t="str">
        <f t="shared" si="1"/>
        <v/>
      </c>
    </row>
    <row r="51" spans="5:14" ht="12.95" customHeight="1">
      <c r="E51" s="308"/>
      <c r="F51" s="334"/>
      <c r="J51" s="391"/>
      <c r="M51" s="391"/>
      <c r="N51" s="350" t="str">
        <f t="shared" si="1"/>
        <v/>
      </c>
    </row>
    <row r="52" spans="5:14" ht="12.95" customHeight="1">
      <c r="E52" s="308"/>
      <c r="F52" s="334"/>
      <c r="J52" s="391"/>
      <c r="M52" s="391"/>
      <c r="N52" s="350" t="str">
        <f t="shared" si="1"/>
        <v/>
      </c>
    </row>
    <row r="53" spans="5:14" ht="12.95" customHeight="1">
      <c r="E53" s="308"/>
      <c r="F53" s="334"/>
      <c r="J53" s="391"/>
      <c r="M53" s="391"/>
      <c r="N53" s="350" t="str">
        <f t="shared" si="1"/>
        <v/>
      </c>
    </row>
    <row r="54" spans="5:14" ht="12.95" customHeight="1">
      <c r="E54" s="308"/>
      <c r="F54" s="334"/>
      <c r="J54" s="391"/>
      <c r="M54" s="391"/>
      <c r="N54" s="350" t="str">
        <f t="shared" si="1"/>
        <v/>
      </c>
    </row>
    <row r="55" spans="5:14" ht="12.95" customHeight="1">
      <c r="E55" s="308"/>
      <c r="F55" s="334"/>
      <c r="J55" s="391"/>
      <c r="M55" s="391"/>
      <c r="N55" s="350" t="str">
        <f t="shared" si="1"/>
        <v/>
      </c>
    </row>
    <row r="56" spans="5:14" ht="12.95" customHeight="1">
      <c r="E56" s="308"/>
      <c r="F56" s="334"/>
      <c r="J56" s="391"/>
      <c r="M56" s="391"/>
      <c r="N56" s="350" t="str">
        <f t="shared" si="1"/>
        <v/>
      </c>
    </row>
    <row r="57" spans="5:14" ht="12.95" customHeight="1">
      <c r="E57" s="308"/>
      <c r="F57" s="334"/>
      <c r="J57" s="391"/>
      <c r="M57" s="391"/>
      <c r="N57" s="350" t="str">
        <f t="shared" si="1"/>
        <v/>
      </c>
    </row>
    <row r="58" spans="5:14" ht="12.95" customHeight="1">
      <c r="E58" s="308"/>
      <c r="F58" s="334"/>
      <c r="J58" s="391"/>
      <c r="M58" s="391"/>
      <c r="N58" s="350" t="str">
        <f t="shared" si="1"/>
        <v/>
      </c>
    </row>
    <row r="59" spans="5:14" ht="12.95" customHeight="1">
      <c r="E59" s="308"/>
      <c r="F59" s="334"/>
      <c r="J59" s="391"/>
      <c r="M59" s="391"/>
      <c r="N59" s="350" t="str">
        <f t="shared" si="1"/>
        <v/>
      </c>
    </row>
    <row r="60" spans="5:14" ht="17.100000000000001" customHeight="1">
      <c r="E60" s="308"/>
      <c r="F60" s="334"/>
      <c r="J60" s="391"/>
      <c r="M60" s="391"/>
      <c r="N60" s="350" t="str">
        <f t="shared" si="1"/>
        <v/>
      </c>
    </row>
    <row r="61" spans="5:14" ht="14.25">
      <c r="E61" s="308"/>
      <c r="F61" s="334"/>
      <c r="J61" s="391"/>
      <c r="M61" s="391"/>
      <c r="N61" s="350" t="str">
        <f t="shared" si="1"/>
        <v/>
      </c>
    </row>
    <row r="62" spans="5:14" ht="14.25">
      <c r="E62" s="308"/>
      <c r="F62" s="334"/>
      <c r="J62" s="391"/>
      <c r="M62" s="391"/>
      <c r="N62" s="350" t="str">
        <f t="shared" si="1"/>
        <v/>
      </c>
    </row>
    <row r="63" spans="5:14" ht="14.25">
      <c r="E63" s="308"/>
      <c r="F63" s="334"/>
      <c r="J63" s="391"/>
      <c r="M63" s="391"/>
      <c r="N63" s="350" t="str">
        <f t="shared" si="1"/>
        <v/>
      </c>
    </row>
    <row r="64" spans="5:14" ht="14.25">
      <c r="E64" s="308"/>
      <c r="F64" s="334"/>
      <c r="J64" s="391"/>
      <c r="M64" s="391"/>
      <c r="N64" s="350" t="str">
        <f t="shared" si="1"/>
        <v/>
      </c>
    </row>
    <row r="65" spans="5:14" ht="14.25">
      <c r="E65" s="308"/>
      <c r="F65" s="334"/>
      <c r="J65" s="391"/>
      <c r="M65" s="391"/>
      <c r="N65" s="350" t="str">
        <f t="shared" si="1"/>
        <v/>
      </c>
    </row>
    <row r="66" spans="5:14" ht="14.25">
      <c r="E66" s="308"/>
      <c r="F66" s="334"/>
      <c r="J66" s="391"/>
      <c r="M66" s="391"/>
      <c r="N66" s="350" t="str">
        <f t="shared" si="1"/>
        <v/>
      </c>
    </row>
    <row r="67" spans="5:14" ht="14.25">
      <c r="E67" s="308"/>
      <c r="F67" s="334"/>
      <c r="J67" s="391"/>
      <c r="M67" s="391"/>
    </row>
    <row r="68" spans="5:14" ht="14.25">
      <c r="E68" s="308"/>
      <c r="F68" s="334"/>
      <c r="J68" s="391"/>
      <c r="M68" s="391"/>
    </row>
    <row r="69" spans="5:14" ht="14.25">
      <c r="E69" s="308"/>
      <c r="F69" s="334"/>
      <c r="J69" s="391"/>
      <c r="M69" s="391"/>
    </row>
    <row r="70" spans="5:14" ht="14.25">
      <c r="E70" s="308"/>
      <c r="F70" s="334"/>
      <c r="J70" s="391"/>
      <c r="M70" s="391"/>
    </row>
    <row r="71" spans="5:14" ht="14.25">
      <c r="E71" s="308"/>
      <c r="F71" s="334"/>
      <c r="J71" s="391"/>
      <c r="M71" s="391"/>
    </row>
    <row r="72" spans="5:14" ht="14.25">
      <c r="E72" s="308"/>
      <c r="F72" s="334"/>
      <c r="J72" s="391"/>
      <c r="M72" s="391"/>
    </row>
    <row r="73" spans="5:14" ht="14.25">
      <c r="E73" s="308"/>
      <c r="F73" s="334"/>
      <c r="J73" s="391"/>
      <c r="M73" s="391"/>
    </row>
    <row r="74" spans="5:14" ht="14.25">
      <c r="E74" s="308"/>
      <c r="F74" s="308"/>
      <c r="J74" s="391"/>
      <c r="M74" s="391"/>
    </row>
    <row r="75" spans="5:14" ht="14.25">
      <c r="E75" s="308"/>
      <c r="F75" s="308"/>
      <c r="J75" s="391"/>
      <c r="M75" s="391"/>
    </row>
    <row r="76" spans="5:14" ht="14.25">
      <c r="E76" s="308"/>
      <c r="F76" s="308"/>
      <c r="J76" s="391"/>
      <c r="M76" s="391"/>
    </row>
    <row r="77" spans="5:14" ht="14.25">
      <c r="E77" s="308"/>
      <c r="F77" s="308"/>
      <c r="J77" s="391"/>
      <c r="M77" s="391"/>
    </row>
    <row r="78" spans="5:14" ht="14.25">
      <c r="E78" s="308"/>
      <c r="F78" s="308"/>
      <c r="J78" s="391"/>
      <c r="M78" s="391"/>
    </row>
    <row r="79" spans="5:14" ht="14.25">
      <c r="E79" s="308"/>
      <c r="F79" s="308"/>
      <c r="J79" s="391"/>
      <c r="M79" s="391"/>
    </row>
    <row r="80" spans="5:14" ht="14.25">
      <c r="E80" s="308"/>
      <c r="F80" s="308"/>
      <c r="J80" s="391"/>
      <c r="M80" s="391"/>
    </row>
    <row r="81" spans="5:13" ht="14.25">
      <c r="E81" s="308"/>
      <c r="F81" s="308"/>
      <c r="J81" s="391"/>
      <c r="M81" s="391"/>
    </row>
    <row r="82" spans="5:13" ht="14.25">
      <c r="E82" s="308"/>
      <c r="F82" s="308"/>
      <c r="J82" s="391"/>
      <c r="M82" s="391"/>
    </row>
    <row r="83" spans="5:13" ht="14.25">
      <c r="E83" s="308"/>
      <c r="F83" s="308"/>
      <c r="J83" s="391"/>
      <c r="M83" s="391"/>
    </row>
    <row r="84" spans="5:13" ht="14.25">
      <c r="E84" s="308"/>
      <c r="F84" s="308"/>
      <c r="J84" s="391"/>
      <c r="M84" s="391"/>
    </row>
    <row r="85" spans="5:13" ht="14.25">
      <c r="E85" s="308"/>
      <c r="F85" s="308"/>
      <c r="J85" s="391"/>
      <c r="M85" s="391"/>
    </row>
    <row r="86" spans="5:13" ht="14.25">
      <c r="E86" s="308"/>
      <c r="F86" s="308"/>
      <c r="J86" s="391"/>
      <c r="M86" s="391"/>
    </row>
    <row r="87" spans="5:13" ht="14.25">
      <c r="E87" s="308"/>
      <c r="F87" s="308"/>
      <c r="J87" s="391"/>
      <c r="M87" s="391"/>
    </row>
    <row r="88" spans="5:13" ht="14.25">
      <c r="E88" s="308"/>
      <c r="F88" s="308"/>
      <c r="J88" s="391"/>
      <c r="M88" s="391"/>
    </row>
    <row r="89" spans="5:13" ht="14.25">
      <c r="E89" s="308"/>
      <c r="F89" s="308"/>
      <c r="J89" s="391"/>
      <c r="M89" s="391"/>
    </row>
    <row r="90" spans="5:13" ht="14.25">
      <c r="E90" s="308"/>
      <c r="F90" s="308"/>
      <c r="J90" s="391"/>
      <c r="M90" s="391"/>
    </row>
    <row r="91" spans="5:13">
      <c r="F91" s="308"/>
    </row>
    <row r="92" spans="5:13">
      <c r="F92" s="308"/>
    </row>
    <row r="93" spans="5:13">
      <c r="F93" s="308"/>
    </row>
    <row r="94" spans="5:13">
      <c r="F94" s="308"/>
    </row>
    <row r="95" spans="5:13">
      <c r="F95" s="308"/>
    </row>
    <row r="96" spans="5:13">
      <c r="F96" s="308"/>
    </row>
  </sheetData>
  <mergeCells count="10">
    <mergeCell ref="N4:N5"/>
    <mergeCell ref="G4:G5"/>
    <mergeCell ref="B2:G2"/>
    <mergeCell ref="H4:J4"/>
    <mergeCell ref="B4:B5"/>
    <mergeCell ref="C4:C5"/>
    <mergeCell ref="D4:D5"/>
    <mergeCell ref="F4:F5"/>
    <mergeCell ref="E4:E5"/>
    <mergeCell ref="K4:M4"/>
  </mergeCells>
  <phoneticPr fontId="2" type="noConversion"/>
  <pageMargins left="0.78740157480314965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26"/>
  <dimension ref="A1:P96"/>
  <sheetViews>
    <sheetView topLeftCell="A21" zoomScaleNormal="100" zoomScaleSheetLayoutView="100" workbookViewId="0">
      <selection activeCell="K45" sqref="K45"/>
    </sheetView>
  </sheetViews>
  <sheetFormatPr defaultRowHeight="12.75"/>
  <cols>
    <col min="1" max="1" width="9.140625" style="284"/>
    <col min="2" max="2" width="4.7109375" style="9" customWidth="1"/>
    <col min="3" max="3" width="5.140625" style="9" customWidth="1"/>
    <col min="4" max="4" width="5" style="9" customWidth="1"/>
    <col min="5" max="5" width="8.7109375" style="17" customWidth="1"/>
    <col min="6" max="6" width="8.7109375" style="289" customWidth="1"/>
    <col min="7" max="7" width="50.7109375" style="9" customWidth="1"/>
    <col min="8" max="9" width="14.7109375" style="57" customWidth="1"/>
    <col min="10" max="10" width="15.7109375" style="57" customWidth="1"/>
    <col min="11" max="12" width="14.7109375" style="57" customWidth="1"/>
    <col min="13" max="13" width="15.7109375" style="57" customWidth="1"/>
    <col min="14" max="14" width="7.7109375" style="350" customWidth="1"/>
    <col min="15" max="16384" width="9.140625" style="9"/>
  </cols>
  <sheetData>
    <row r="1" spans="1:16" ht="13.5" thickBot="1"/>
    <row r="2" spans="1:16" s="98" customFormat="1" ht="20.100000000000001" customHeight="1" thickTop="1" thickBot="1">
      <c r="A2" s="376"/>
      <c r="B2" s="590" t="s">
        <v>144</v>
      </c>
      <c r="C2" s="591"/>
      <c r="D2" s="591"/>
      <c r="E2" s="591"/>
      <c r="F2" s="591"/>
      <c r="G2" s="591"/>
      <c r="H2" s="377"/>
      <c r="I2" s="377"/>
      <c r="J2" s="377"/>
      <c r="K2" s="377"/>
      <c r="L2" s="377"/>
      <c r="M2" s="377"/>
      <c r="N2" s="380"/>
    </row>
    <row r="3" spans="1:16" s="1" customFormat="1" ht="8.1" customHeight="1" thickTop="1" thickBot="1">
      <c r="A3" s="281"/>
      <c r="E3" s="2"/>
      <c r="F3" s="282"/>
      <c r="G3" s="531"/>
      <c r="H3" s="92"/>
      <c r="I3" s="92"/>
      <c r="J3" s="92"/>
      <c r="K3" s="92"/>
      <c r="L3" s="92"/>
      <c r="M3" s="92"/>
      <c r="N3" s="344"/>
    </row>
    <row r="4" spans="1:16" s="1" customFormat="1" ht="39" customHeight="1">
      <c r="A4" s="281"/>
      <c r="B4" s="596" t="s">
        <v>78</v>
      </c>
      <c r="C4" s="606" t="s">
        <v>79</v>
      </c>
      <c r="D4" s="607" t="s">
        <v>110</v>
      </c>
      <c r="E4" s="608" t="s">
        <v>594</v>
      </c>
      <c r="F4" s="601" t="s">
        <v>653</v>
      </c>
      <c r="G4" s="602" t="s">
        <v>80</v>
      </c>
      <c r="H4" s="593" t="s">
        <v>647</v>
      </c>
      <c r="I4" s="594"/>
      <c r="J4" s="595"/>
      <c r="K4" s="593" t="s">
        <v>801</v>
      </c>
      <c r="L4" s="594"/>
      <c r="M4" s="595"/>
      <c r="N4" s="604" t="s">
        <v>805</v>
      </c>
    </row>
    <row r="5" spans="1:16" s="281" customFormat="1" ht="27" customHeight="1">
      <c r="B5" s="597"/>
      <c r="C5" s="599"/>
      <c r="D5" s="599"/>
      <c r="E5" s="603"/>
      <c r="F5" s="599"/>
      <c r="G5" s="603"/>
      <c r="H5" s="372" t="s">
        <v>705</v>
      </c>
      <c r="I5" s="372" t="s">
        <v>706</v>
      </c>
      <c r="J5" s="382" t="s">
        <v>413</v>
      </c>
      <c r="K5" s="372" t="s">
        <v>705</v>
      </c>
      <c r="L5" s="372" t="s">
        <v>706</v>
      </c>
      <c r="M5" s="382" t="s">
        <v>413</v>
      </c>
      <c r="N5" s="605"/>
    </row>
    <row r="6" spans="1:16" s="2" customFormat="1" ht="12.95" customHeight="1">
      <c r="A6" s="282"/>
      <c r="B6" s="504">
        <v>1</v>
      </c>
      <c r="C6" s="331">
        <v>2</v>
      </c>
      <c r="D6" s="331">
        <v>3</v>
      </c>
      <c r="E6" s="331">
        <v>4</v>
      </c>
      <c r="F6" s="331">
        <v>5</v>
      </c>
      <c r="G6" s="331">
        <v>6</v>
      </c>
      <c r="H6" s="331">
        <v>7</v>
      </c>
      <c r="I6" s="331">
        <v>8</v>
      </c>
      <c r="J6" s="523" t="s">
        <v>804</v>
      </c>
      <c r="K6" s="331">
        <v>10</v>
      </c>
      <c r="L6" s="331">
        <v>11</v>
      </c>
      <c r="M6" s="523" t="s">
        <v>707</v>
      </c>
      <c r="N6" s="505">
        <v>13</v>
      </c>
    </row>
    <row r="7" spans="1:16" s="2" customFormat="1" ht="12.95" customHeight="1">
      <c r="A7" s="282"/>
      <c r="B7" s="6" t="s">
        <v>143</v>
      </c>
      <c r="C7" s="7" t="s">
        <v>145</v>
      </c>
      <c r="D7" s="7" t="s">
        <v>82</v>
      </c>
      <c r="E7" s="5"/>
      <c r="F7" s="283"/>
      <c r="G7" s="5"/>
      <c r="H7" s="86"/>
      <c r="I7" s="86"/>
      <c r="J7" s="392"/>
      <c r="K7" s="86"/>
      <c r="L7" s="86"/>
      <c r="M7" s="392"/>
      <c r="N7" s="345"/>
    </row>
    <row r="8" spans="1:16" s="1" customFormat="1" ht="12.95" customHeight="1">
      <c r="A8" s="281"/>
      <c r="B8" s="12"/>
      <c r="C8" s="8"/>
      <c r="D8" s="8"/>
      <c r="E8" s="305">
        <v>611000</v>
      </c>
      <c r="F8" s="331"/>
      <c r="G8" s="8" t="s">
        <v>163</v>
      </c>
      <c r="H8" s="210">
        <f t="shared" ref="H8:M8" si="0">SUM(H9:H12)</f>
        <v>1014600</v>
      </c>
      <c r="I8" s="210">
        <f t="shared" si="0"/>
        <v>0</v>
      </c>
      <c r="J8" s="384">
        <f t="shared" si="0"/>
        <v>1014600</v>
      </c>
      <c r="K8" s="210">
        <f t="shared" ref="K8" si="1">SUM(K9:K12)</f>
        <v>242495</v>
      </c>
      <c r="L8" s="210">
        <f t="shared" si="0"/>
        <v>0</v>
      </c>
      <c r="M8" s="384">
        <f t="shared" si="0"/>
        <v>242495</v>
      </c>
      <c r="N8" s="346">
        <f>IF(J8=0,"",M8/J8*100)</f>
        <v>23.900551941651884</v>
      </c>
    </row>
    <row r="9" spans="1:16" ht="12.95" customHeight="1">
      <c r="B9" s="10"/>
      <c r="C9" s="11"/>
      <c r="D9" s="11"/>
      <c r="E9" s="306">
        <v>611100</v>
      </c>
      <c r="F9" s="332"/>
      <c r="G9" s="18" t="s">
        <v>198</v>
      </c>
      <c r="H9" s="212">
        <f>832000+2000+5*500</f>
        <v>836500</v>
      </c>
      <c r="I9" s="212">
        <v>0</v>
      </c>
      <c r="J9" s="385">
        <f>SUM(H9:I9)</f>
        <v>836500</v>
      </c>
      <c r="K9" s="212">
        <v>207762</v>
      </c>
      <c r="L9" s="212">
        <v>0</v>
      </c>
      <c r="M9" s="385">
        <f>SUM(K9:L9)</f>
        <v>207762</v>
      </c>
      <c r="N9" s="347">
        <f t="shared" ref="N9:N66" si="2">IF(J9=0,"",M9/J9*100)</f>
        <v>24.837059175134488</v>
      </c>
      <c r="O9" s="68"/>
    </row>
    <row r="10" spans="1:16" ht="12.95" customHeight="1">
      <c r="B10" s="10"/>
      <c r="C10" s="11"/>
      <c r="D10" s="11"/>
      <c r="E10" s="306">
        <v>611200</v>
      </c>
      <c r="F10" s="332"/>
      <c r="G10" s="11" t="s">
        <v>199</v>
      </c>
      <c r="H10" s="212">
        <f>164500+2100+7000+5*900</f>
        <v>178100</v>
      </c>
      <c r="I10" s="212">
        <v>0</v>
      </c>
      <c r="J10" s="385">
        <f t="shared" ref="J10:J11" si="3">SUM(H10:I10)</f>
        <v>178100</v>
      </c>
      <c r="K10" s="212">
        <v>34733</v>
      </c>
      <c r="L10" s="212">
        <v>0</v>
      </c>
      <c r="M10" s="385">
        <f t="shared" ref="M10:M11" si="4">SUM(K10:L10)</f>
        <v>34733</v>
      </c>
      <c r="N10" s="347">
        <f t="shared" si="2"/>
        <v>19.501965188096577</v>
      </c>
    </row>
    <row r="11" spans="1:16" ht="12.95" customHeight="1">
      <c r="B11" s="10"/>
      <c r="C11" s="11"/>
      <c r="D11" s="11"/>
      <c r="E11" s="306">
        <v>611200</v>
      </c>
      <c r="F11" s="332"/>
      <c r="G11" s="189" t="s">
        <v>534</v>
      </c>
      <c r="H11" s="209">
        <v>0</v>
      </c>
      <c r="I11" s="209">
        <v>0</v>
      </c>
      <c r="J11" s="385">
        <f t="shared" si="3"/>
        <v>0</v>
      </c>
      <c r="K11" s="209">
        <v>0</v>
      </c>
      <c r="L11" s="209">
        <v>0</v>
      </c>
      <c r="M11" s="385">
        <f t="shared" si="4"/>
        <v>0</v>
      </c>
      <c r="N11" s="347" t="str">
        <f t="shared" si="2"/>
        <v/>
      </c>
      <c r="P11" s="56"/>
    </row>
    <row r="12" spans="1:16" ht="12.95" customHeight="1">
      <c r="B12" s="10"/>
      <c r="C12" s="11"/>
      <c r="D12" s="11"/>
      <c r="E12" s="306"/>
      <c r="F12" s="332"/>
      <c r="G12" s="18"/>
      <c r="H12" s="212"/>
      <c r="I12" s="212"/>
      <c r="J12" s="385"/>
      <c r="K12" s="212"/>
      <c r="L12" s="212"/>
      <c r="M12" s="385"/>
      <c r="N12" s="347" t="str">
        <f t="shared" si="2"/>
        <v/>
      </c>
    </row>
    <row r="13" spans="1:16" s="1" customFormat="1" ht="12.95" customHeight="1">
      <c r="A13" s="281"/>
      <c r="B13" s="12"/>
      <c r="C13" s="8"/>
      <c r="D13" s="8"/>
      <c r="E13" s="305">
        <v>612000</v>
      </c>
      <c r="F13" s="331"/>
      <c r="G13" s="8" t="s">
        <v>162</v>
      </c>
      <c r="H13" s="210">
        <f t="shared" ref="H13:M13" si="5">H14</f>
        <v>91450</v>
      </c>
      <c r="I13" s="210">
        <f t="shared" si="5"/>
        <v>0</v>
      </c>
      <c r="J13" s="384">
        <f t="shared" si="5"/>
        <v>91450</v>
      </c>
      <c r="K13" s="210">
        <f t="shared" si="5"/>
        <v>22391</v>
      </c>
      <c r="L13" s="210">
        <f t="shared" si="5"/>
        <v>0</v>
      </c>
      <c r="M13" s="384">
        <f t="shared" si="5"/>
        <v>22391</v>
      </c>
      <c r="N13" s="346">
        <f t="shared" si="2"/>
        <v>24.484417714598141</v>
      </c>
    </row>
    <row r="14" spans="1:16" ht="12.95" customHeight="1">
      <c r="B14" s="10"/>
      <c r="C14" s="11"/>
      <c r="D14" s="11"/>
      <c r="E14" s="306">
        <v>612100</v>
      </c>
      <c r="F14" s="332"/>
      <c r="G14" s="13" t="s">
        <v>83</v>
      </c>
      <c r="H14" s="212">
        <f>90700+400+5*70</f>
        <v>91450</v>
      </c>
      <c r="I14" s="212">
        <v>0</v>
      </c>
      <c r="J14" s="385">
        <f>SUM(H14:I14)</f>
        <v>91450</v>
      </c>
      <c r="K14" s="212">
        <v>22391</v>
      </c>
      <c r="L14" s="212">
        <v>0</v>
      </c>
      <c r="M14" s="385">
        <f>SUM(K14:L14)</f>
        <v>22391</v>
      </c>
      <c r="N14" s="347">
        <f t="shared" si="2"/>
        <v>24.484417714598141</v>
      </c>
    </row>
    <row r="15" spans="1:16" ht="12.95" customHeight="1">
      <c r="B15" s="10"/>
      <c r="C15" s="11"/>
      <c r="D15" s="11"/>
      <c r="E15" s="306"/>
      <c r="F15" s="332"/>
      <c r="G15" s="11"/>
      <c r="H15" s="291"/>
      <c r="I15" s="291"/>
      <c r="J15" s="386"/>
      <c r="K15" s="291"/>
      <c r="L15" s="291"/>
      <c r="M15" s="386"/>
      <c r="N15" s="347" t="str">
        <f t="shared" si="2"/>
        <v/>
      </c>
    </row>
    <row r="16" spans="1:16" s="1" customFormat="1" ht="12.95" customHeight="1">
      <c r="A16" s="281"/>
      <c r="B16" s="12"/>
      <c r="C16" s="8"/>
      <c r="D16" s="8"/>
      <c r="E16" s="305">
        <v>613000</v>
      </c>
      <c r="F16" s="331"/>
      <c r="G16" s="8" t="s">
        <v>164</v>
      </c>
      <c r="H16" s="293">
        <f t="shared" ref="H16:M16" si="6">SUM(H17:H26)</f>
        <v>92400</v>
      </c>
      <c r="I16" s="293">
        <f t="shared" si="6"/>
        <v>0</v>
      </c>
      <c r="J16" s="387">
        <f t="shared" si="6"/>
        <v>92400</v>
      </c>
      <c r="K16" s="293">
        <f t="shared" si="6"/>
        <v>34017</v>
      </c>
      <c r="L16" s="293">
        <f t="shared" si="6"/>
        <v>0</v>
      </c>
      <c r="M16" s="387">
        <f t="shared" si="6"/>
        <v>34017</v>
      </c>
      <c r="N16" s="346">
        <f t="shared" si="2"/>
        <v>36.814935064935064</v>
      </c>
    </row>
    <row r="17" spans="1:14" ht="12.95" customHeight="1">
      <c r="B17" s="10"/>
      <c r="C17" s="11"/>
      <c r="D17" s="11"/>
      <c r="E17" s="306">
        <v>613100</v>
      </c>
      <c r="F17" s="332"/>
      <c r="G17" s="11" t="s">
        <v>84</v>
      </c>
      <c r="H17" s="365">
        <v>5000</v>
      </c>
      <c r="I17" s="365">
        <v>0</v>
      </c>
      <c r="J17" s="385">
        <f t="shared" ref="J17:J26" si="7">SUM(H17:I17)</f>
        <v>5000</v>
      </c>
      <c r="K17" s="365">
        <v>103</v>
      </c>
      <c r="L17" s="365">
        <v>0</v>
      </c>
      <c r="M17" s="385">
        <f t="shared" ref="M17:M26" si="8">SUM(K17:L17)</f>
        <v>103</v>
      </c>
      <c r="N17" s="347">
        <f t="shared" si="2"/>
        <v>2.06</v>
      </c>
    </row>
    <row r="18" spans="1:14" ht="12.95" customHeight="1">
      <c r="B18" s="10"/>
      <c r="C18" s="11"/>
      <c r="D18" s="11"/>
      <c r="E18" s="306">
        <v>613200</v>
      </c>
      <c r="F18" s="332"/>
      <c r="G18" s="11" t="s">
        <v>85</v>
      </c>
      <c r="H18" s="365">
        <v>32000</v>
      </c>
      <c r="I18" s="365">
        <v>0</v>
      </c>
      <c r="J18" s="385">
        <f t="shared" si="7"/>
        <v>32000</v>
      </c>
      <c r="K18" s="363">
        <v>17503</v>
      </c>
      <c r="L18" s="365">
        <v>0</v>
      </c>
      <c r="M18" s="385">
        <f t="shared" si="8"/>
        <v>17503</v>
      </c>
      <c r="N18" s="347">
        <f t="shared" si="2"/>
        <v>54.696874999999999</v>
      </c>
    </row>
    <row r="19" spans="1:14" ht="12.95" customHeight="1">
      <c r="B19" s="10"/>
      <c r="C19" s="11"/>
      <c r="D19" s="11"/>
      <c r="E19" s="306">
        <v>613300</v>
      </c>
      <c r="F19" s="332"/>
      <c r="G19" s="18" t="s">
        <v>200</v>
      </c>
      <c r="H19" s="365">
        <v>5200</v>
      </c>
      <c r="I19" s="365">
        <v>0</v>
      </c>
      <c r="J19" s="385">
        <f t="shared" si="7"/>
        <v>5200</v>
      </c>
      <c r="K19" s="365">
        <v>1478</v>
      </c>
      <c r="L19" s="365">
        <v>0</v>
      </c>
      <c r="M19" s="385">
        <f t="shared" si="8"/>
        <v>1478</v>
      </c>
      <c r="N19" s="347">
        <f t="shared" si="2"/>
        <v>28.423076923076923</v>
      </c>
    </row>
    <row r="20" spans="1:14" ht="12.95" customHeight="1">
      <c r="B20" s="10"/>
      <c r="C20" s="11"/>
      <c r="D20" s="11"/>
      <c r="E20" s="306">
        <v>613400</v>
      </c>
      <c r="F20" s="332"/>
      <c r="G20" s="11" t="s">
        <v>165</v>
      </c>
      <c r="H20" s="365">
        <v>12000</v>
      </c>
      <c r="I20" s="365">
        <v>0</v>
      </c>
      <c r="J20" s="385">
        <f t="shared" si="7"/>
        <v>12000</v>
      </c>
      <c r="K20" s="365">
        <v>3292</v>
      </c>
      <c r="L20" s="365">
        <v>0</v>
      </c>
      <c r="M20" s="385">
        <f t="shared" si="8"/>
        <v>3292</v>
      </c>
      <c r="N20" s="347">
        <f t="shared" si="2"/>
        <v>27.43333333333333</v>
      </c>
    </row>
    <row r="21" spans="1:14" ht="12.95" customHeight="1">
      <c r="B21" s="10"/>
      <c r="C21" s="11"/>
      <c r="D21" s="11"/>
      <c r="E21" s="306">
        <v>613500</v>
      </c>
      <c r="F21" s="332"/>
      <c r="G21" s="11" t="s">
        <v>86</v>
      </c>
      <c r="H21" s="365">
        <v>200</v>
      </c>
      <c r="I21" s="365">
        <v>0</v>
      </c>
      <c r="J21" s="385">
        <f t="shared" si="7"/>
        <v>200</v>
      </c>
      <c r="K21" s="365">
        <v>0</v>
      </c>
      <c r="L21" s="365">
        <v>0</v>
      </c>
      <c r="M21" s="385">
        <f t="shared" si="8"/>
        <v>0</v>
      </c>
      <c r="N21" s="347">
        <f t="shared" si="2"/>
        <v>0</v>
      </c>
    </row>
    <row r="22" spans="1:14" ht="12.95" customHeight="1">
      <c r="B22" s="10"/>
      <c r="C22" s="11"/>
      <c r="D22" s="11"/>
      <c r="E22" s="306">
        <v>613600</v>
      </c>
      <c r="F22" s="332"/>
      <c r="G22" s="18" t="s">
        <v>201</v>
      </c>
      <c r="H22" s="365">
        <v>0</v>
      </c>
      <c r="I22" s="365">
        <v>0</v>
      </c>
      <c r="J22" s="385">
        <f t="shared" si="7"/>
        <v>0</v>
      </c>
      <c r="K22" s="365">
        <v>0</v>
      </c>
      <c r="L22" s="365">
        <v>0</v>
      </c>
      <c r="M22" s="385">
        <f t="shared" si="8"/>
        <v>0</v>
      </c>
      <c r="N22" s="347" t="str">
        <f t="shared" si="2"/>
        <v/>
      </c>
    </row>
    <row r="23" spans="1:14" ht="12.95" customHeight="1">
      <c r="B23" s="10"/>
      <c r="C23" s="11"/>
      <c r="D23" s="11"/>
      <c r="E23" s="306">
        <v>613700</v>
      </c>
      <c r="F23" s="332"/>
      <c r="G23" s="11" t="s">
        <v>87</v>
      </c>
      <c r="H23" s="365">
        <v>8000</v>
      </c>
      <c r="I23" s="365">
        <v>0</v>
      </c>
      <c r="J23" s="385">
        <f t="shared" si="7"/>
        <v>8000</v>
      </c>
      <c r="K23" s="365">
        <v>428</v>
      </c>
      <c r="L23" s="365">
        <v>0</v>
      </c>
      <c r="M23" s="385">
        <f t="shared" si="8"/>
        <v>428</v>
      </c>
      <c r="N23" s="347">
        <f t="shared" si="2"/>
        <v>5.35</v>
      </c>
    </row>
    <row r="24" spans="1:14" ht="12.95" customHeight="1">
      <c r="B24" s="10"/>
      <c r="C24" s="11"/>
      <c r="D24" s="11"/>
      <c r="E24" s="306">
        <v>613800</v>
      </c>
      <c r="F24" s="332"/>
      <c r="G24" s="11" t="s">
        <v>166</v>
      </c>
      <c r="H24" s="365">
        <v>0</v>
      </c>
      <c r="I24" s="365">
        <v>0</v>
      </c>
      <c r="J24" s="385">
        <f t="shared" si="7"/>
        <v>0</v>
      </c>
      <c r="K24" s="365">
        <v>0</v>
      </c>
      <c r="L24" s="365">
        <v>0</v>
      </c>
      <c r="M24" s="385">
        <f t="shared" si="8"/>
        <v>0</v>
      </c>
      <c r="N24" s="347" t="str">
        <f t="shared" si="2"/>
        <v/>
      </c>
    </row>
    <row r="25" spans="1:14" ht="12.95" customHeight="1">
      <c r="B25" s="10"/>
      <c r="C25" s="11"/>
      <c r="D25" s="11"/>
      <c r="E25" s="306">
        <v>613900</v>
      </c>
      <c r="F25" s="332"/>
      <c r="G25" s="11" t="s">
        <v>167</v>
      </c>
      <c r="H25" s="365">
        <v>30000</v>
      </c>
      <c r="I25" s="365">
        <v>0</v>
      </c>
      <c r="J25" s="385">
        <f t="shared" si="7"/>
        <v>30000</v>
      </c>
      <c r="K25" s="365">
        <v>11213</v>
      </c>
      <c r="L25" s="365">
        <v>0</v>
      </c>
      <c r="M25" s="385">
        <f t="shared" si="8"/>
        <v>11213</v>
      </c>
      <c r="N25" s="347">
        <f t="shared" si="2"/>
        <v>37.376666666666672</v>
      </c>
    </row>
    <row r="26" spans="1:14" ht="12.95" customHeight="1">
      <c r="B26" s="10"/>
      <c r="C26" s="11"/>
      <c r="D26" s="11"/>
      <c r="E26" s="306">
        <v>613900</v>
      </c>
      <c r="F26" s="332"/>
      <c r="G26" s="189" t="s">
        <v>535</v>
      </c>
      <c r="H26" s="365">
        <v>0</v>
      </c>
      <c r="I26" s="365">
        <v>0</v>
      </c>
      <c r="J26" s="385">
        <f t="shared" si="7"/>
        <v>0</v>
      </c>
      <c r="K26" s="361">
        <v>0</v>
      </c>
      <c r="L26" s="365">
        <v>0</v>
      </c>
      <c r="M26" s="385">
        <f t="shared" si="8"/>
        <v>0</v>
      </c>
      <c r="N26" s="347" t="str">
        <f t="shared" si="2"/>
        <v/>
      </c>
    </row>
    <row r="27" spans="1:14" s="1" customFormat="1" ht="12.95" customHeight="1">
      <c r="A27" s="281"/>
      <c r="B27" s="12"/>
      <c r="C27" s="8"/>
      <c r="D27" s="8"/>
      <c r="E27" s="305"/>
      <c r="F27" s="331"/>
      <c r="G27" s="8"/>
      <c r="H27" s="365"/>
      <c r="I27" s="365"/>
      <c r="J27" s="388"/>
      <c r="K27" s="296"/>
      <c r="L27" s="365"/>
      <c r="M27" s="388"/>
      <c r="N27" s="347" t="str">
        <f t="shared" si="2"/>
        <v/>
      </c>
    </row>
    <row r="28" spans="1:14" s="1" customFormat="1" ht="12.95" customHeight="1">
      <c r="A28" s="281"/>
      <c r="B28" s="12"/>
      <c r="C28" s="8"/>
      <c r="D28" s="8"/>
      <c r="E28" s="305">
        <v>821000</v>
      </c>
      <c r="F28" s="331"/>
      <c r="G28" s="8" t="s">
        <v>90</v>
      </c>
      <c r="H28" s="295">
        <f t="shared" ref="H28:M28" si="9">SUM(H29:H30)</f>
        <v>10000</v>
      </c>
      <c r="I28" s="295">
        <f t="shared" si="9"/>
        <v>0</v>
      </c>
      <c r="J28" s="387">
        <f t="shared" si="9"/>
        <v>10000</v>
      </c>
      <c r="K28" s="295">
        <f t="shared" si="9"/>
        <v>0</v>
      </c>
      <c r="L28" s="295">
        <f t="shared" si="9"/>
        <v>0</v>
      </c>
      <c r="M28" s="387">
        <f t="shared" si="9"/>
        <v>0</v>
      </c>
      <c r="N28" s="346">
        <f t="shared" si="2"/>
        <v>0</v>
      </c>
    </row>
    <row r="29" spans="1:14" ht="12.95" customHeight="1">
      <c r="B29" s="10"/>
      <c r="C29" s="11"/>
      <c r="D29" s="11"/>
      <c r="E29" s="306">
        <v>821200</v>
      </c>
      <c r="F29" s="332"/>
      <c r="G29" s="11" t="s">
        <v>91</v>
      </c>
      <c r="H29" s="296">
        <v>5000</v>
      </c>
      <c r="I29" s="296">
        <v>0</v>
      </c>
      <c r="J29" s="385">
        <f t="shared" ref="J29:J30" si="10">SUM(H29:I29)</f>
        <v>5000</v>
      </c>
      <c r="K29" s="296">
        <v>0</v>
      </c>
      <c r="L29" s="296">
        <v>0</v>
      </c>
      <c r="M29" s="385">
        <f t="shared" ref="M29:M30" si="11">SUM(K29:L29)</f>
        <v>0</v>
      </c>
      <c r="N29" s="347">
        <f t="shared" si="2"/>
        <v>0</v>
      </c>
    </row>
    <row r="30" spans="1:14" ht="12.95" customHeight="1">
      <c r="B30" s="10"/>
      <c r="C30" s="11"/>
      <c r="D30" s="11"/>
      <c r="E30" s="306">
        <v>821300</v>
      </c>
      <c r="F30" s="332"/>
      <c r="G30" s="11" t="s">
        <v>92</v>
      </c>
      <c r="H30" s="296">
        <v>5000</v>
      </c>
      <c r="I30" s="296">
        <v>0</v>
      </c>
      <c r="J30" s="385">
        <f t="shared" si="10"/>
        <v>5000</v>
      </c>
      <c r="K30" s="296">
        <v>0</v>
      </c>
      <c r="L30" s="296">
        <v>0</v>
      </c>
      <c r="M30" s="385">
        <f t="shared" si="11"/>
        <v>0</v>
      </c>
      <c r="N30" s="347">
        <f t="shared" si="2"/>
        <v>0</v>
      </c>
    </row>
    <row r="31" spans="1:14" ht="12.95" customHeight="1">
      <c r="B31" s="10"/>
      <c r="C31" s="11"/>
      <c r="D31" s="11"/>
      <c r="E31" s="306"/>
      <c r="F31" s="332"/>
      <c r="G31" s="11"/>
      <c r="H31" s="296"/>
      <c r="I31" s="296"/>
      <c r="J31" s="386"/>
      <c r="K31" s="296"/>
      <c r="L31" s="296"/>
      <c r="M31" s="386"/>
      <c r="N31" s="347" t="str">
        <f t="shared" si="2"/>
        <v/>
      </c>
    </row>
    <row r="32" spans="1:14" s="1" customFormat="1" ht="12.95" customHeight="1">
      <c r="A32" s="281"/>
      <c r="B32" s="12"/>
      <c r="C32" s="8"/>
      <c r="D32" s="8"/>
      <c r="E32" s="305"/>
      <c r="F32" s="331"/>
      <c r="G32" s="8" t="s">
        <v>93</v>
      </c>
      <c r="H32" s="278" t="s">
        <v>788</v>
      </c>
      <c r="I32" s="278"/>
      <c r="J32" s="389" t="s">
        <v>788</v>
      </c>
      <c r="K32" s="278" t="s">
        <v>828</v>
      </c>
      <c r="L32" s="278"/>
      <c r="M32" s="389" t="s">
        <v>829</v>
      </c>
      <c r="N32" s="347"/>
    </row>
    <row r="33" spans="1:14" s="1" customFormat="1" ht="12.95" customHeight="1">
      <c r="A33" s="281"/>
      <c r="B33" s="12"/>
      <c r="C33" s="8"/>
      <c r="D33" s="8"/>
      <c r="E33" s="305"/>
      <c r="F33" s="331"/>
      <c r="G33" s="8" t="s">
        <v>113</v>
      </c>
      <c r="H33" s="288">
        <f t="shared" ref="H33:M33" si="12">H8+H13+H16+H28</f>
        <v>1208450</v>
      </c>
      <c r="I33" s="288">
        <f t="shared" si="12"/>
        <v>0</v>
      </c>
      <c r="J33" s="387">
        <f t="shared" si="12"/>
        <v>1208450</v>
      </c>
      <c r="K33" s="288">
        <f t="shared" si="12"/>
        <v>298903</v>
      </c>
      <c r="L33" s="288">
        <f t="shared" si="12"/>
        <v>0</v>
      </c>
      <c r="M33" s="387">
        <f t="shared" si="12"/>
        <v>298903</v>
      </c>
      <c r="N33" s="346">
        <f t="shared" si="2"/>
        <v>24.734411849890357</v>
      </c>
    </row>
    <row r="34" spans="1:14" s="1" customFormat="1" ht="12.95" customHeight="1">
      <c r="A34" s="281"/>
      <c r="B34" s="12"/>
      <c r="C34" s="8"/>
      <c r="D34" s="8"/>
      <c r="E34" s="305"/>
      <c r="F34" s="331"/>
      <c r="G34" s="8" t="s">
        <v>94</v>
      </c>
      <c r="H34" s="288"/>
      <c r="I34" s="288"/>
      <c r="J34" s="387"/>
      <c r="K34" s="288"/>
      <c r="L34" s="288"/>
      <c r="M34" s="387"/>
      <c r="N34" s="347" t="str">
        <f t="shared" si="2"/>
        <v/>
      </c>
    </row>
    <row r="35" spans="1:14" s="1" customFormat="1" ht="12.95" customHeight="1">
      <c r="A35" s="281"/>
      <c r="B35" s="12"/>
      <c r="C35" s="8"/>
      <c r="D35" s="8"/>
      <c r="E35" s="305"/>
      <c r="F35" s="331"/>
      <c r="G35" s="8" t="s">
        <v>95</v>
      </c>
      <c r="H35" s="279"/>
      <c r="I35" s="279"/>
      <c r="J35" s="386"/>
      <c r="K35" s="279"/>
      <c r="L35" s="279"/>
      <c r="M35" s="386"/>
      <c r="N35" s="347" t="str">
        <f t="shared" si="2"/>
        <v/>
      </c>
    </row>
    <row r="36" spans="1:14" ht="12.95" customHeight="1" thickBot="1">
      <c r="B36" s="15"/>
      <c r="C36" s="16"/>
      <c r="D36" s="16"/>
      <c r="E36" s="307"/>
      <c r="F36" s="333"/>
      <c r="G36" s="16"/>
      <c r="H36" s="27"/>
      <c r="I36" s="27"/>
      <c r="J36" s="390"/>
      <c r="K36" s="27"/>
      <c r="L36" s="27"/>
      <c r="M36" s="390"/>
      <c r="N36" s="349" t="str">
        <f t="shared" si="2"/>
        <v/>
      </c>
    </row>
    <row r="37" spans="1:14" ht="12.95" customHeight="1">
      <c r="E37" s="308"/>
      <c r="F37" s="334"/>
      <c r="J37" s="393"/>
      <c r="M37" s="393"/>
      <c r="N37" s="350" t="str">
        <f t="shared" si="2"/>
        <v/>
      </c>
    </row>
    <row r="38" spans="1:14" ht="12.95" customHeight="1">
      <c r="E38" s="308"/>
      <c r="F38" s="334"/>
      <c r="J38" s="393"/>
      <c r="M38" s="393"/>
      <c r="N38" s="350" t="str">
        <f t="shared" si="2"/>
        <v/>
      </c>
    </row>
    <row r="39" spans="1:14" ht="12.95" customHeight="1">
      <c r="B39" s="50"/>
      <c r="E39" s="308"/>
      <c r="F39" s="334"/>
      <c r="J39" s="393"/>
      <c r="M39" s="393"/>
      <c r="N39" s="350" t="str">
        <f t="shared" si="2"/>
        <v/>
      </c>
    </row>
    <row r="40" spans="1:14" ht="12.95" customHeight="1">
      <c r="B40" s="50"/>
      <c r="E40" s="308"/>
      <c r="F40" s="334"/>
      <c r="J40" s="393"/>
      <c r="M40" s="393"/>
      <c r="N40" s="350" t="str">
        <f t="shared" si="2"/>
        <v/>
      </c>
    </row>
    <row r="41" spans="1:14" ht="12.95" customHeight="1">
      <c r="B41" s="50"/>
      <c r="E41" s="308"/>
      <c r="F41" s="334"/>
      <c r="J41" s="393"/>
      <c r="M41" s="393"/>
      <c r="N41" s="350" t="str">
        <f t="shared" si="2"/>
        <v/>
      </c>
    </row>
    <row r="42" spans="1:14" ht="12.95" customHeight="1">
      <c r="B42" s="50"/>
      <c r="E42" s="308"/>
      <c r="F42" s="334"/>
      <c r="J42" s="393"/>
      <c r="M42" s="393"/>
      <c r="N42" s="350" t="str">
        <f t="shared" si="2"/>
        <v/>
      </c>
    </row>
    <row r="43" spans="1:14" ht="12.95" customHeight="1">
      <c r="B43" s="50"/>
      <c r="E43" s="308"/>
      <c r="F43" s="334"/>
      <c r="J43" s="393"/>
      <c r="M43" s="393"/>
      <c r="N43" s="350" t="str">
        <f t="shared" si="2"/>
        <v/>
      </c>
    </row>
    <row r="44" spans="1:14" ht="12.95" customHeight="1">
      <c r="B44" s="50"/>
      <c r="E44" s="308"/>
      <c r="F44" s="334"/>
      <c r="J44" s="393"/>
      <c r="M44" s="393"/>
      <c r="N44" s="350" t="str">
        <f t="shared" si="2"/>
        <v/>
      </c>
    </row>
    <row r="45" spans="1:14" ht="12.95" customHeight="1">
      <c r="B45" s="50"/>
      <c r="E45" s="308"/>
      <c r="F45" s="334"/>
      <c r="J45" s="393"/>
      <c r="M45" s="393"/>
      <c r="N45" s="350" t="str">
        <f t="shared" si="2"/>
        <v/>
      </c>
    </row>
    <row r="46" spans="1:14" ht="12.95" customHeight="1">
      <c r="E46" s="308"/>
      <c r="F46" s="334"/>
      <c r="J46" s="393"/>
      <c r="M46" s="393"/>
      <c r="N46" s="350" t="str">
        <f t="shared" si="2"/>
        <v/>
      </c>
    </row>
    <row r="47" spans="1:14" ht="12.95" customHeight="1">
      <c r="E47" s="308"/>
      <c r="F47" s="334"/>
      <c r="J47" s="393"/>
      <c r="M47" s="393"/>
      <c r="N47" s="350" t="str">
        <f t="shared" si="2"/>
        <v/>
      </c>
    </row>
    <row r="48" spans="1:14" ht="12.95" customHeight="1">
      <c r="E48" s="308"/>
      <c r="F48" s="334"/>
      <c r="J48" s="393"/>
      <c r="M48" s="393"/>
      <c r="N48" s="350" t="str">
        <f t="shared" si="2"/>
        <v/>
      </c>
    </row>
    <row r="49" spans="5:14" ht="12.95" customHeight="1">
      <c r="E49" s="308"/>
      <c r="F49" s="334"/>
      <c r="J49" s="393"/>
      <c r="M49" s="393"/>
      <c r="N49" s="350" t="str">
        <f t="shared" si="2"/>
        <v/>
      </c>
    </row>
    <row r="50" spans="5:14" ht="12.95" customHeight="1">
      <c r="E50" s="308"/>
      <c r="F50" s="334"/>
      <c r="J50" s="393"/>
      <c r="M50" s="393"/>
      <c r="N50" s="350" t="str">
        <f t="shared" si="2"/>
        <v/>
      </c>
    </row>
    <row r="51" spans="5:14" ht="12.95" customHeight="1">
      <c r="E51" s="308"/>
      <c r="F51" s="334"/>
      <c r="J51" s="393"/>
      <c r="M51" s="393"/>
      <c r="N51" s="350" t="str">
        <f t="shared" si="2"/>
        <v/>
      </c>
    </row>
    <row r="52" spans="5:14" ht="12.95" customHeight="1">
      <c r="E52" s="308"/>
      <c r="F52" s="334"/>
      <c r="J52" s="393"/>
      <c r="M52" s="393"/>
      <c r="N52" s="350" t="str">
        <f t="shared" si="2"/>
        <v/>
      </c>
    </row>
    <row r="53" spans="5:14" ht="12.95" customHeight="1">
      <c r="E53" s="308"/>
      <c r="F53" s="334"/>
      <c r="J53" s="393"/>
      <c r="M53" s="393"/>
      <c r="N53" s="350" t="str">
        <f t="shared" si="2"/>
        <v/>
      </c>
    </row>
    <row r="54" spans="5:14" ht="12.95" customHeight="1">
      <c r="E54" s="308"/>
      <c r="F54" s="334"/>
      <c r="J54" s="393"/>
      <c r="M54" s="393"/>
      <c r="N54" s="350" t="str">
        <f t="shared" si="2"/>
        <v/>
      </c>
    </row>
    <row r="55" spans="5:14" ht="12.95" customHeight="1">
      <c r="E55" s="308"/>
      <c r="F55" s="334"/>
      <c r="J55" s="393"/>
      <c r="M55" s="393"/>
      <c r="N55" s="350" t="str">
        <f t="shared" si="2"/>
        <v/>
      </c>
    </row>
    <row r="56" spans="5:14" ht="12.95" customHeight="1">
      <c r="E56" s="308"/>
      <c r="F56" s="334"/>
      <c r="J56" s="393"/>
      <c r="M56" s="393"/>
      <c r="N56" s="350" t="str">
        <f t="shared" si="2"/>
        <v/>
      </c>
    </row>
    <row r="57" spans="5:14" ht="12.95" customHeight="1">
      <c r="E57" s="308"/>
      <c r="F57" s="334"/>
      <c r="J57" s="393"/>
      <c r="M57" s="393"/>
      <c r="N57" s="350" t="str">
        <f t="shared" si="2"/>
        <v/>
      </c>
    </row>
    <row r="58" spans="5:14" ht="12.95" customHeight="1">
      <c r="E58" s="308"/>
      <c r="F58" s="334"/>
      <c r="J58" s="393"/>
      <c r="M58" s="393"/>
      <c r="N58" s="350" t="str">
        <f t="shared" si="2"/>
        <v/>
      </c>
    </row>
    <row r="59" spans="5:14" ht="12.95" customHeight="1">
      <c r="E59" s="308"/>
      <c r="F59" s="334"/>
      <c r="J59" s="393"/>
      <c r="M59" s="393"/>
      <c r="N59" s="350" t="str">
        <f t="shared" si="2"/>
        <v/>
      </c>
    </row>
    <row r="60" spans="5:14" ht="17.100000000000001" customHeight="1">
      <c r="E60" s="308"/>
      <c r="F60" s="334"/>
      <c r="J60" s="393"/>
      <c r="M60" s="393"/>
      <c r="N60" s="350" t="str">
        <f t="shared" si="2"/>
        <v/>
      </c>
    </row>
    <row r="61" spans="5:14" ht="14.25">
      <c r="E61" s="308"/>
      <c r="F61" s="334"/>
      <c r="J61" s="393"/>
      <c r="M61" s="393"/>
      <c r="N61" s="350" t="str">
        <f t="shared" si="2"/>
        <v/>
      </c>
    </row>
    <row r="62" spans="5:14" ht="14.25">
      <c r="E62" s="308"/>
      <c r="F62" s="334"/>
      <c r="J62" s="393"/>
      <c r="M62" s="393"/>
      <c r="N62" s="350" t="str">
        <f t="shared" si="2"/>
        <v/>
      </c>
    </row>
    <row r="63" spans="5:14" ht="14.25">
      <c r="E63" s="308"/>
      <c r="F63" s="334"/>
      <c r="J63" s="393"/>
      <c r="M63" s="393"/>
      <c r="N63" s="350" t="str">
        <f t="shared" si="2"/>
        <v/>
      </c>
    </row>
    <row r="64" spans="5:14" ht="14.25">
      <c r="E64" s="308"/>
      <c r="F64" s="334"/>
      <c r="J64" s="393"/>
      <c r="M64" s="393"/>
      <c r="N64" s="350" t="str">
        <f t="shared" si="2"/>
        <v/>
      </c>
    </row>
    <row r="65" spans="5:14" ht="14.25">
      <c r="E65" s="308"/>
      <c r="F65" s="334"/>
      <c r="J65" s="393"/>
      <c r="M65" s="393"/>
      <c r="N65" s="350" t="str">
        <f t="shared" si="2"/>
        <v/>
      </c>
    </row>
    <row r="66" spans="5:14" ht="14.25">
      <c r="E66" s="308"/>
      <c r="F66" s="334"/>
      <c r="J66" s="393"/>
      <c r="M66" s="393"/>
      <c r="N66" s="350" t="str">
        <f t="shared" si="2"/>
        <v/>
      </c>
    </row>
    <row r="67" spans="5:14" ht="14.25">
      <c r="E67" s="308"/>
      <c r="F67" s="334"/>
      <c r="J67" s="393"/>
      <c r="M67" s="393"/>
    </row>
    <row r="68" spans="5:14" ht="14.25">
      <c r="E68" s="308"/>
      <c r="F68" s="334"/>
      <c r="J68" s="393"/>
      <c r="M68" s="393"/>
    </row>
    <row r="69" spans="5:14" ht="14.25">
      <c r="E69" s="308"/>
      <c r="F69" s="334"/>
      <c r="J69" s="393"/>
      <c r="M69" s="393"/>
    </row>
    <row r="70" spans="5:14" ht="14.25">
      <c r="E70" s="308"/>
      <c r="F70" s="334"/>
      <c r="J70" s="393"/>
      <c r="M70" s="393"/>
    </row>
    <row r="71" spans="5:14" ht="14.25">
      <c r="E71" s="308"/>
      <c r="F71" s="334"/>
      <c r="J71" s="393"/>
      <c r="M71" s="393"/>
    </row>
    <row r="72" spans="5:14" ht="14.25">
      <c r="E72" s="308"/>
      <c r="F72" s="334"/>
      <c r="J72" s="393"/>
      <c r="M72" s="393"/>
    </row>
    <row r="73" spans="5:14" ht="14.25">
      <c r="E73" s="308"/>
      <c r="F73" s="334"/>
      <c r="J73" s="393"/>
      <c r="M73" s="393"/>
    </row>
    <row r="74" spans="5:14" ht="14.25">
      <c r="E74" s="308"/>
      <c r="F74" s="308"/>
      <c r="J74" s="393"/>
      <c r="M74" s="393"/>
    </row>
    <row r="75" spans="5:14" ht="14.25">
      <c r="E75" s="308"/>
      <c r="F75" s="308"/>
      <c r="J75" s="393"/>
      <c r="M75" s="393"/>
    </row>
    <row r="76" spans="5:14" ht="14.25">
      <c r="E76" s="308"/>
      <c r="F76" s="308"/>
      <c r="J76" s="393"/>
      <c r="M76" s="393"/>
    </row>
    <row r="77" spans="5:14" ht="14.25">
      <c r="E77" s="308"/>
      <c r="F77" s="308"/>
      <c r="J77" s="393"/>
      <c r="M77" s="393"/>
    </row>
    <row r="78" spans="5:14" ht="14.25">
      <c r="E78" s="308"/>
      <c r="F78" s="308"/>
      <c r="J78" s="393"/>
      <c r="M78" s="393"/>
    </row>
    <row r="79" spans="5:14" ht="14.25">
      <c r="E79" s="308"/>
      <c r="F79" s="308"/>
      <c r="J79" s="393"/>
      <c r="M79" s="393"/>
    </row>
    <row r="80" spans="5:14" ht="14.25">
      <c r="E80" s="308"/>
      <c r="F80" s="308"/>
      <c r="J80" s="393"/>
      <c r="M80" s="393"/>
    </row>
    <row r="81" spans="5:13" ht="14.25">
      <c r="E81" s="308"/>
      <c r="F81" s="308"/>
      <c r="J81" s="393"/>
      <c r="M81" s="393"/>
    </row>
    <row r="82" spans="5:13" ht="14.25">
      <c r="E82" s="308"/>
      <c r="F82" s="308"/>
      <c r="J82" s="393"/>
      <c r="M82" s="393"/>
    </row>
    <row r="83" spans="5:13" ht="14.25">
      <c r="E83" s="308"/>
      <c r="F83" s="308"/>
      <c r="J83" s="393"/>
      <c r="M83" s="393"/>
    </row>
    <row r="84" spans="5:13" ht="14.25">
      <c r="E84" s="308"/>
      <c r="F84" s="308"/>
      <c r="J84" s="393"/>
      <c r="M84" s="393"/>
    </row>
    <row r="85" spans="5:13" ht="14.25">
      <c r="E85" s="308"/>
      <c r="F85" s="308"/>
      <c r="J85" s="393"/>
      <c r="M85" s="393"/>
    </row>
    <row r="86" spans="5:13" ht="14.25">
      <c r="E86" s="308"/>
      <c r="F86" s="308"/>
      <c r="J86" s="393"/>
      <c r="M86" s="393"/>
    </row>
    <row r="87" spans="5:13" ht="14.25">
      <c r="E87" s="308"/>
      <c r="F87" s="308"/>
      <c r="J87" s="393"/>
      <c r="M87" s="393"/>
    </row>
    <row r="88" spans="5:13" ht="14.25">
      <c r="E88" s="308"/>
      <c r="F88" s="308"/>
      <c r="J88" s="393"/>
      <c r="M88" s="393"/>
    </row>
    <row r="89" spans="5:13" ht="14.25">
      <c r="E89" s="308"/>
      <c r="F89" s="308"/>
      <c r="J89" s="393"/>
      <c r="M89" s="393"/>
    </row>
    <row r="90" spans="5:13" ht="14.25">
      <c r="E90" s="308"/>
      <c r="F90" s="308"/>
      <c r="J90" s="393"/>
      <c r="M90" s="393"/>
    </row>
    <row r="91" spans="5:13">
      <c r="F91" s="308"/>
    </row>
    <row r="92" spans="5:13">
      <c r="F92" s="308"/>
    </row>
    <row r="93" spans="5:13">
      <c r="F93" s="308"/>
    </row>
    <row r="94" spans="5:13">
      <c r="F94" s="308"/>
    </row>
    <row r="95" spans="5:13">
      <c r="F95" s="308"/>
    </row>
    <row r="96" spans="5:13">
      <c r="F96" s="308"/>
    </row>
  </sheetData>
  <mergeCells count="10">
    <mergeCell ref="N4:N5"/>
    <mergeCell ref="G4:G5"/>
    <mergeCell ref="B2:G2"/>
    <mergeCell ref="H4:J4"/>
    <mergeCell ref="B4:B5"/>
    <mergeCell ref="C4:C5"/>
    <mergeCell ref="D4:D5"/>
    <mergeCell ref="F4:F5"/>
    <mergeCell ref="E4:E5"/>
    <mergeCell ref="K4:M4"/>
  </mergeCells>
  <phoneticPr fontId="2" type="noConversion"/>
  <pageMargins left="0.78740157480314965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B1:AB302"/>
  <sheetViews>
    <sheetView zoomScaleNormal="100" workbookViewId="0">
      <selection activeCell="N112" sqref="N112"/>
    </sheetView>
  </sheetViews>
  <sheetFormatPr defaultRowHeight="15" customHeight="1"/>
  <cols>
    <col min="2" max="2" width="70.28515625" customWidth="1"/>
    <col min="3" max="3" width="13.140625" customWidth="1"/>
    <col min="4" max="4" width="24.5703125" customWidth="1"/>
    <col min="5" max="5" width="24.28515625" customWidth="1"/>
    <col min="6" max="6" width="9.28515625" customWidth="1"/>
    <col min="7" max="7" width="6.42578125" customWidth="1"/>
    <col min="9" max="10" width="15.7109375" customWidth="1"/>
    <col min="11" max="11" width="8.7109375" customWidth="1"/>
  </cols>
  <sheetData>
    <row r="1" spans="2:28" ht="15" customHeight="1">
      <c r="B1" s="562"/>
      <c r="C1" s="563"/>
      <c r="D1" s="539"/>
      <c r="E1" s="539"/>
      <c r="F1" s="539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</row>
    <row r="2" spans="2:28" ht="15" customHeight="1">
      <c r="B2" s="539"/>
      <c r="C2" s="539"/>
      <c r="D2" s="539"/>
      <c r="E2" s="539"/>
      <c r="F2" s="539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</row>
    <row r="3" spans="2:28" ht="12" customHeight="1">
      <c r="B3" s="539"/>
      <c r="C3" s="539"/>
      <c r="D3" s="539"/>
      <c r="E3" s="539"/>
      <c r="F3" s="539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</row>
    <row r="4" spans="2:28" ht="9" hidden="1" customHeight="1">
      <c r="B4" s="539"/>
      <c r="C4" s="539"/>
      <c r="D4" s="539"/>
      <c r="E4" s="539"/>
      <c r="F4" s="539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</row>
    <row r="5" spans="2:28" ht="18.75" customHeight="1">
      <c r="B5" s="564" t="s">
        <v>820</v>
      </c>
      <c r="C5" s="564"/>
      <c r="D5" s="564"/>
      <c r="E5" s="564"/>
      <c r="F5" s="564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</row>
    <row r="6" spans="2:28" ht="15" customHeight="1">
      <c r="B6" s="565" t="s">
        <v>814</v>
      </c>
      <c r="C6" s="565"/>
      <c r="D6" s="565"/>
      <c r="E6" s="565"/>
      <c r="F6" s="565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</row>
    <row r="7" spans="2:28" ht="15" customHeight="1">
      <c r="B7" s="126"/>
      <c r="C7" s="126"/>
      <c r="D7" s="40"/>
      <c r="E7" s="40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</row>
    <row r="8" spans="2:28" ht="6.75" customHeight="1">
      <c r="B8" s="32"/>
      <c r="C8" s="32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</row>
    <row r="9" spans="2:28" ht="15" customHeight="1">
      <c r="B9" s="32"/>
      <c r="C9" s="32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</row>
    <row r="10" spans="2:28" ht="17.25" customHeight="1">
      <c r="B10" s="566"/>
      <c r="C10" s="566"/>
      <c r="D10" s="567"/>
      <c r="E10" s="567"/>
      <c r="F10" s="567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</row>
    <row r="11" spans="2:28" ht="6" customHeight="1">
      <c r="B11" s="42"/>
      <c r="C11" s="42"/>
      <c r="D11" s="42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</row>
    <row r="12" spans="2:28" s="449" customFormat="1" ht="43.5" customHeight="1">
      <c r="B12" s="450" t="s">
        <v>266</v>
      </c>
      <c r="C12" s="451" t="s">
        <v>713</v>
      </c>
      <c r="D12" s="492" t="s">
        <v>652</v>
      </c>
      <c r="E12" s="492" t="s">
        <v>821</v>
      </c>
      <c r="F12" s="451" t="s">
        <v>617</v>
      </c>
      <c r="H12" s="452"/>
      <c r="I12" s="452"/>
      <c r="J12" s="452"/>
      <c r="K12" s="452"/>
      <c r="L12" s="452"/>
      <c r="M12" s="452"/>
      <c r="N12" s="452"/>
      <c r="O12" s="452"/>
      <c r="P12" s="452"/>
      <c r="Q12" s="452"/>
      <c r="R12" s="452"/>
      <c r="S12" s="452"/>
      <c r="T12" s="452"/>
      <c r="U12" s="452"/>
      <c r="V12" s="452"/>
      <c r="W12" s="452"/>
      <c r="X12" s="452"/>
      <c r="Y12" s="452"/>
      <c r="Z12" s="452"/>
      <c r="AA12" s="452"/>
      <c r="AB12" s="452"/>
    </row>
    <row r="13" spans="2:28" s="500" customFormat="1" ht="11.25" customHeight="1">
      <c r="B13" s="501">
        <v>1</v>
      </c>
      <c r="C13" s="501">
        <v>2</v>
      </c>
      <c r="D13" s="502">
        <v>3</v>
      </c>
      <c r="E13" s="502">
        <v>4</v>
      </c>
      <c r="F13" s="501">
        <v>5</v>
      </c>
      <c r="H13" s="503"/>
      <c r="I13" s="503"/>
      <c r="J13" s="503"/>
      <c r="K13" s="503"/>
      <c r="L13" s="503"/>
      <c r="M13" s="503"/>
      <c r="N13" s="503"/>
      <c r="O13" s="503"/>
      <c r="P13" s="503"/>
      <c r="Q13" s="503"/>
      <c r="R13" s="503"/>
      <c r="S13" s="503"/>
      <c r="T13" s="503"/>
      <c r="U13" s="503"/>
      <c r="V13" s="503"/>
      <c r="W13" s="503"/>
      <c r="X13" s="503"/>
      <c r="Y13" s="503"/>
      <c r="Z13" s="503"/>
      <c r="AA13" s="503"/>
      <c r="AB13" s="503"/>
    </row>
    <row r="14" spans="2:28" s="449" customFormat="1" ht="14.1" customHeight="1">
      <c r="B14" s="453" t="s">
        <v>726</v>
      </c>
      <c r="C14" s="453"/>
      <c r="D14" s="454">
        <f>D15+D16+D17+D18+D19</f>
        <v>41225910</v>
      </c>
      <c r="E14" s="493">
        <f>E15+E16+E17+E18+E19</f>
        <v>9759197</v>
      </c>
      <c r="F14" s="455">
        <f>IF(D14=0,,E14/D14*100)</f>
        <v>23.672484124668198</v>
      </c>
      <c r="G14" s="149"/>
      <c r="H14" s="452"/>
      <c r="I14" s="452"/>
      <c r="J14" s="452"/>
      <c r="K14" s="452"/>
      <c r="L14" s="452"/>
      <c r="M14" s="452"/>
      <c r="N14" s="452"/>
      <c r="O14" s="452"/>
      <c r="P14" s="452"/>
      <c r="Q14" s="452"/>
      <c r="R14" s="452"/>
      <c r="S14" s="452"/>
      <c r="T14" s="452"/>
      <c r="U14" s="452"/>
      <c r="V14" s="452"/>
      <c r="W14" s="452"/>
      <c r="X14" s="452"/>
      <c r="Y14" s="452"/>
      <c r="Z14" s="452"/>
      <c r="AA14" s="452"/>
      <c r="AB14" s="452"/>
    </row>
    <row r="15" spans="2:28" s="449" customFormat="1" ht="12.95" customHeight="1">
      <c r="B15" s="456" t="s">
        <v>714</v>
      </c>
      <c r="C15" s="457">
        <v>710</v>
      </c>
      <c r="D15" s="458">
        <f>Prihodi!D5</f>
        <v>37198120</v>
      </c>
      <c r="E15" s="446">
        <f>Prihodi!E5</f>
        <v>9004727</v>
      </c>
      <c r="F15" s="459">
        <f t="shared" ref="F15:F42" si="0">IF(D15=0,,E15/D15*100)</f>
        <v>24.207478765055868</v>
      </c>
      <c r="G15" s="149"/>
      <c r="H15" s="452"/>
      <c r="I15" s="452"/>
      <c r="J15" s="452"/>
      <c r="K15" s="452"/>
      <c r="L15" s="452"/>
      <c r="M15" s="452"/>
      <c r="N15" s="452"/>
      <c r="O15" s="452"/>
      <c r="P15" s="452"/>
      <c r="Q15" s="452"/>
      <c r="R15" s="452"/>
      <c r="S15" s="452"/>
      <c r="T15" s="452"/>
      <c r="U15" s="452"/>
      <c r="V15" s="452"/>
      <c r="W15" s="452"/>
      <c r="X15" s="452"/>
      <c r="Y15" s="452"/>
      <c r="Z15" s="452"/>
      <c r="AA15" s="452"/>
      <c r="AB15" s="452"/>
    </row>
    <row r="16" spans="2:28" s="449" customFormat="1" ht="12.95" customHeight="1">
      <c r="B16" s="456" t="s">
        <v>715</v>
      </c>
      <c r="C16" s="457">
        <v>720</v>
      </c>
      <c r="D16" s="458">
        <f>Prihodi!D57</f>
        <v>2624140</v>
      </c>
      <c r="E16" s="446">
        <f>Prihodi!E57</f>
        <v>678648</v>
      </c>
      <c r="F16" s="459">
        <f t="shared" si="0"/>
        <v>25.861729938189271</v>
      </c>
      <c r="G16" s="149"/>
      <c r="H16" s="452"/>
      <c r="I16" s="452"/>
      <c r="J16" s="452"/>
      <c r="K16" s="452"/>
      <c r="L16" s="452"/>
      <c r="M16" s="452"/>
      <c r="N16" s="452"/>
      <c r="O16" s="452"/>
      <c r="P16" s="452"/>
      <c r="Q16" s="452"/>
      <c r="R16" s="452"/>
      <c r="S16" s="452"/>
      <c r="T16" s="452"/>
      <c r="U16" s="452"/>
      <c r="V16" s="452"/>
      <c r="W16" s="452"/>
      <c r="X16" s="452"/>
      <c r="Y16" s="452"/>
      <c r="Z16" s="452"/>
      <c r="AA16" s="452"/>
      <c r="AB16" s="452"/>
    </row>
    <row r="17" spans="2:28" s="449" customFormat="1" ht="12.95" customHeight="1">
      <c r="B17" s="456" t="s">
        <v>716</v>
      </c>
      <c r="C17" s="457">
        <v>730</v>
      </c>
      <c r="D17" s="458">
        <f>Prihodi!D150</f>
        <v>1366000</v>
      </c>
      <c r="E17" s="446">
        <f>Prihodi!E150</f>
        <v>65852</v>
      </c>
      <c r="F17" s="459">
        <f t="shared" si="0"/>
        <v>4.8207906295754031</v>
      </c>
      <c r="G17" s="149"/>
      <c r="H17" s="452"/>
      <c r="I17" s="452"/>
      <c r="J17" s="452"/>
      <c r="K17" s="452"/>
      <c r="L17" s="452"/>
      <c r="M17" s="452"/>
      <c r="N17" s="452"/>
      <c r="O17" s="452"/>
      <c r="P17" s="452"/>
      <c r="Q17" s="452"/>
      <c r="R17" s="452"/>
      <c r="S17" s="452"/>
      <c r="T17" s="452"/>
      <c r="U17" s="452"/>
      <c r="V17" s="452"/>
      <c r="W17" s="452"/>
      <c r="X17" s="452"/>
      <c r="Y17" s="452"/>
      <c r="Z17" s="452"/>
      <c r="AA17" s="452"/>
      <c r="AB17" s="452"/>
    </row>
    <row r="18" spans="2:28" s="449" customFormat="1" ht="12.95" customHeight="1">
      <c r="B18" s="456" t="s">
        <v>717</v>
      </c>
      <c r="C18" s="457">
        <v>740</v>
      </c>
      <c r="D18" s="458">
        <f>Prihodi!D178</f>
        <v>26650</v>
      </c>
      <c r="E18" s="446">
        <f>Prihodi!E178</f>
        <v>9559</v>
      </c>
      <c r="F18" s="459">
        <f t="shared" si="0"/>
        <v>35.868667917448406</v>
      </c>
      <c r="G18" s="149"/>
      <c r="H18" s="452"/>
      <c r="I18" s="452"/>
      <c r="J18" s="452"/>
      <c r="K18" s="452"/>
      <c r="L18" s="452"/>
      <c r="M18" s="452"/>
      <c r="N18" s="452"/>
      <c r="O18" s="452"/>
      <c r="P18" s="452"/>
      <c r="Q18" s="452"/>
      <c r="R18" s="452"/>
      <c r="S18" s="452"/>
      <c r="T18" s="452"/>
      <c r="U18" s="452"/>
      <c r="V18" s="452"/>
      <c r="W18" s="452"/>
      <c r="X18" s="452"/>
      <c r="Y18" s="452"/>
      <c r="Z18" s="452"/>
      <c r="AA18" s="452"/>
      <c r="AB18" s="452"/>
    </row>
    <row r="19" spans="2:28" s="449" customFormat="1" ht="12.95" customHeight="1">
      <c r="B19" s="456" t="s">
        <v>718</v>
      </c>
      <c r="C19" s="457">
        <v>770</v>
      </c>
      <c r="D19" s="458">
        <f>Prihodi!D202</f>
        <v>11000</v>
      </c>
      <c r="E19" s="446">
        <f>Prihodi!E202</f>
        <v>411</v>
      </c>
      <c r="F19" s="459">
        <f t="shared" si="0"/>
        <v>3.7363636363636363</v>
      </c>
      <c r="G19" s="149"/>
      <c r="H19" s="452"/>
      <c r="I19" s="452"/>
      <c r="J19" s="452"/>
      <c r="K19" s="452"/>
      <c r="L19" s="452"/>
      <c r="M19" s="452"/>
      <c r="N19" s="452"/>
      <c r="O19" s="452"/>
      <c r="P19" s="452"/>
      <c r="Q19" s="452"/>
      <c r="R19" s="452"/>
      <c r="S19" s="452"/>
      <c r="T19" s="452"/>
      <c r="U19" s="452"/>
      <c r="V19" s="452"/>
      <c r="W19" s="452"/>
      <c r="X19" s="452"/>
      <c r="Y19" s="452"/>
      <c r="Z19" s="452"/>
      <c r="AA19" s="452"/>
      <c r="AB19" s="452"/>
    </row>
    <row r="20" spans="2:28" s="449" customFormat="1" ht="14.1" customHeight="1">
      <c r="B20" s="464" t="s">
        <v>727</v>
      </c>
      <c r="C20" s="465"/>
      <c r="D20" s="466">
        <f>SUM(D21:D27)</f>
        <v>39273200</v>
      </c>
      <c r="E20" s="494">
        <f>SUM(E21:E27)</f>
        <v>7871420</v>
      </c>
      <c r="F20" s="467">
        <f t="shared" si="0"/>
        <v>20.042726337553344</v>
      </c>
      <c r="G20" s="149"/>
      <c r="H20" s="452"/>
      <c r="I20" s="452"/>
      <c r="J20" s="452"/>
      <c r="K20" s="452"/>
      <c r="L20" s="452"/>
      <c r="M20" s="452"/>
      <c r="N20" s="452"/>
      <c r="O20" s="452"/>
      <c r="P20" s="452"/>
      <c r="Q20" s="452"/>
      <c r="R20" s="452"/>
      <c r="S20" s="452"/>
      <c r="T20" s="452"/>
      <c r="U20" s="452"/>
      <c r="V20" s="452"/>
      <c r="W20" s="452"/>
      <c r="X20" s="452"/>
      <c r="Y20" s="452"/>
      <c r="Z20" s="452"/>
      <c r="AA20" s="452"/>
    </row>
    <row r="21" spans="2:28" s="468" customFormat="1" ht="12.95" customHeight="1">
      <c r="B21" s="460" t="s">
        <v>719</v>
      </c>
      <c r="C21" s="461">
        <v>600</v>
      </c>
      <c r="D21" s="458">
        <f>Rashodi!H9</f>
        <v>460000</v>
      </c>
      <c r="E21" s="446">
        <f>Rashodi!K9</f>
        <v>80450</v>
      </c>
      <c r="F21" s="463">
        <f t="shared" si="0"/>
        <v>17.489130434782609</v>
      </c>
      <c r="G21" s="469"/>
      <c r="H21" s="470"/>
      <c r="I21" s="470"/>
      <c r="J21" s="470"/>
      <c r="K21" s="470"/>
      <c r="L21" s="470"/>
      <c r="M21" s="470"/>
      <c r="N21" s="470"/>
      <c r="O21" s="470"/>
      <c r="P21" s="470"/>
      <c r="Q21" s="470"/>
      <c r="R21" s="470"/>
      <c r="S21" s="470"/>
      <c r="T21" s="470"/>
      <c r="U21" s="470"/>
      <c r="V21" s="470"/>
      <c r="W21" s="470"/>
      <c r="X21" s="470"/>
      <c r="Y21" s="470"/>
      <c r="Z21" s="470"/>
      <c r="AA21" s="470"/>
    </row>
    <row r="22" spans="2:28" s="468" customFormat="1" ht="12.95" customHeight="1">
      <c r="B22" s="460" t="s">
        <v>720</v>
      </c>
      <c r="C22" s="461">
        <v>611</v>
      </c>
      <c r="D22" s="458">
        <f>Rashodi!H15</f>
        <v>21500940</v>
      </c>
      <c r="E22" s="446">
        <f>Rashodi!K15</f>
        <v>5131271</v>
      </c>
      <c r="F22" s="463">
        <f t="shared" si="0"/>
        <v>23.865333329612564</v>
      </c>
      <c r="G22" s="469"/>
      <c r="H22" s="470"/>
      <c r="I22" s="470"/>
      <c r="J22" s="470"/>
      <c r="K22" s="470"/>
      <c r="L22" s="470"/>
      <c r="M22" s="470"/>
      <c r="N22" s="470"/>
      <c r="O22" s="470"/>
      <c r="P22" s="470"/>
      <c r="Q22" s="470"/>
      <c r="R22" s="470"/>
      <c r="S22" s="470"/>
      <c r="T22" s="470"/>
      <c r="U22" s="470"/>
      <c r="V22" s="470"/>
      <c r="W22" s="470"/>
      <c r="X22" s="470"/>
      <c r="Y22" s="470"/>
      <c r="Z22" s="470"/>
      <c r="AA22" s="470"/>
    </row>
    <row r="23" spans="2:28" s="449" customFormat="1" ht="12.95" customHeight="1">
      <c r="B23" s="460" t="s">
        <v>721</v>
      </c>
      <c r="C23" s="461">
        <v>612</v>
      </c>
      <c r="D23" s="462">
        <f>Rashodi!H21</f>
        <v>2108270</v>
      </c>
      <c r="E23" s="447">
        <f>Rashodi!K21</f>
        <v>513807</v>
      </c>
      <c r="F23" s="463">
        <f t="shared" si="0"/>
        <v>24.371024584137704</v>
      </c>
      <c r="G23" s="149"/>
      <c r="H23" s="452"/>
      <c r="I23" s="452"/>
      <c r="J23" s="452"/>
      <c r="K23" s="452"/>
      <c r="L23" s="452"/>
      <c r="M23" s="452"/>
      <c r="N23" s="452"/>
      <c r="O23" s="452"/>
      <c r="P23" s="452"/>
      <c r="Q23" s="452"/>
      <c r="R23" s="452"/>
      <c r="S23" s="452"/>
      <c r="T23" s="452"/>
      <c r="U23" s="452"/>
      <c r="V23" s="452"/>
      <c r="W23" s="452"/>
      <c r="X23" s="452"/>
      <c r="Y23" s="452"/>
      <c r="Z23" s="452"/>
      <c r="AA23" s="452"/>
      <c r="AB23" s="452"/>
    </row>
    <row r="24" spans="2:28" s="449" customFormat="1" ht="12.95" customHeight="1">
      <c r="B24" s="460" t="s">
        <v>722</v>
      </c>
      <c r="C24" s="461">
        <v>613</v>
      </c>
      <c r="D24" s="462">
        <f>Rashodi!H24</f>
        <v>4410130</v>
      </c>
      <c r="E24" s="447">
        <f>Rashodi!K24</f>
        <v>1021659</v>
      </c>
      <c r="F24" s="463">
        <f>IF(D24=0,,E24/D24*100)</f>
        <v>23.16618784480276</v>
      </c>
      <c r="G24" s="149"/>
      <c r="H24" s="452"/>
      <c r="I24" s="452"/>
      <c r="J24" s="452"/>
      <c r="K24" s="452"/>
      <c r="L24" s="452"/>
      <c r="M24" s="452"/>
      <c r="N24" s="452"/>
      <c r="O24" s="452"/>
      <c r="P24" s="452"/>
      <c r="Q24" s="452"/>
      <c r="R24" s="452"/>
      <c r="S24" s="452"/>
      <c r="T24" s="452"/>
      <c r="U24" s="452"/>
      <c r="V24" s="452"/>
      <c r="W24" s="452"/>
      <c r="X24" s="452"/>
      <c r="Y24" s="452"/>
      <c r="Z24" s="452"/>
      <c r="AA24" s="452"/>
    </row>
    <row r="25" spans="2:28" s="449" customFormat="1" ht="12.95" customHeight="1">
      <c r="B25" s="460" t="s">
        <v>723</v>
      </c>
      <c r="C25" s="461">
        <v>614</v>
      </c>
      <c r="D25" s="462">
        <f>Rashodi!H46</f>
        <v>10335000</v>
      </c>
      <c r="E25" s="447">
        <f>Rashodi!K46</f>
        <v>1122618</v>
      </c>
      <c r="F25" s="463">
        <f t="shared" si="0"/>
        <v>10.862293178519595</v>
      </c>
      <c r="G25" s="149"/>
      <c r="H25" s="452"/>
      <c r="I25" s="452"/>
      <c r="J25" s="452"/>
      <c r="K25" s="452"/>
      <c r="L25" s="452"/>
      <c r="M25" s="452"/>
      <c r="N25" s="452"/>
      <c r="O25" s="452"/>
      <c r="P25" s="452"/>
      <c r="Q25" s="452"/>
      <c r="R25" s="452"/>
      <c r="S25" s="452"/>
      <c r="T25" s="452"/>
      <c r="U25" s="452"/>
      <c r="V25" s="452"/>
      <c r="W25" s="452"/>
      <c r="X25" s="452"/>
      <c r="Y25" s="452"/>
      <c r="Z25" s="452"/>
      <c r="AA25" s="452"/>
    </row>
    <row r="26" spans="2:28" s="449" customFormat="1" ht="12.95" customHeight="1">
      <c r="B26" s="460" t="s">
        <v>724</v>
      </c>
      <c r="C26" s="461">
        <v>615</v>
      </c>
      <c r="D26" s="462">
        <f>Rashodi!H91</f>
        <v>400000</v>
      </c>
      <c r="E26" s="447">
        <f>Rashodi!K91</f>
        <v>0</v>
      </c>
      <c r="F26" s="463">
        <f>IF(D26=0,,E26/D26*100)</f>
        <v>0</v>
      </c>
      <c r="G26" s="149"/>
      <c r="H26" s="452"/>
      <c r="I26" s="452"/>
      <c r="J26" s="452"/>
      <c r="K26" s="452"/>
      <c r="L26" s="452"/>
      <c r="M26" s="452"/>
      <c r="N26" s="452"/>
      <c r="O26" s="452"/>
      <c r="P26" s="452"/>
      <c r="Q26" s="452"/>
      <c r="R26" s="452"/>
      <c r="S26" s="452"/>
      <c r="T26" s="452"/>
      <c r="U26" s="452"/>
      <c r="V26" s="452"/>
      <c r="W26" s="452"/>
      <c r="X26" s="452"/>
      <c r="Y26" s="452"/>
      <c r="Z26" s="452"/>
      <c r="AA26" s="452"/>
    </row>
    <row r="27" spans="2:28" s="449" customFormat="1" ht="12.95" customHeight="1" thickBot="1">
      <c r="B27" s="471" t="s">
        <v>725</v>
      </c>
      <c r="C27" s="472">
        <v>616</v>
      </c>
      <c r="D27" s="473">
        <f>Rashodi!H94</f>
        <v>58860</v>
      </c>
      <c r="E27" s="448">
        <f>Rashodi!K94</f>
        <v>1615</v>
      </c>
      <c r="F27" s="474">
        <f t="shared" si="0"/>
        <v>2.743798844716276</v>
      </c>
      <c r="G27" s="149"/>
      <c r="H27" s="452"/>
      <c r="I27" s="452"/>
      <c r="J27" s="452"/>
      <c r="K27" s="452"/>
      <c r="L27" s="452"/>
      <c r="M27" s="452"/>
      <c r="N27" s="452"/>
      <c r="O27" s="452"/>
      <c r="P27" s="452"/>
      <c r="Q27" s="452"/>
      <c r="R27" s="452"/>
      <c r="S27" s="452"/>
      <c r="T27" s="452"/>
      <c r="U27" s="452"/>
      <c r="V27" s="452"/>
      <c r="W27" s="452"/>
      <c r="X27" s="452"/>
      <c r="Y27" s="452"/>
      <c r="Z27" s="452"/>
      <c r="AA27" s="452"/>
    </row>
    <row r="28" spans="2:28" s="449" customFormat="1" ht="14.1" customHeight="1" thickTop="1" thickBot="1">
      <c r="B28" s="475" t="s">
        <v>728</v>
      </c>
      <c r="C28" s="476"/>
      <c r="D28" s="477">
        <f>D14-D20</f>
        <v>1952710</v>
      </c>
      <c r="E28" s="495">
        <f>E14-E20</f>
        <v>1887777</v>
      </c>
      <c r="F28" s="478">
        <f t="shared" si="0"/>
        <v>96.674723845322646</v>
      </c>
      <c r="G28" s="149"/>
      <c r="H28" s="452"/>
      <c r="I28" s="452"/>
      <c r="J28" s="452"/>
      <c r="K28" s="452"/>
      <c r="L28" s="452"/>
      <c r="M28" s="452"/>
      <c r="N28" s="452"/>
      <c r="O28" s="452"/>
      <c r="P28" s="452"/>
      <c r="Q28" s="452"/>
      <c r="R28" s="452"/>
      <c r="S28" s="452"/>
      <c r="T28" s="452"/>
      <c r="U28" s="452"/>
      <c r="V28" s="452"/>
      <c r="W28" s="452"/>
      <c r="X28" s="452"/>
      <c r="Y28" s="452"/>
      <c r="Z28" s="452"/>
      <c r="AA28" s="452"/>
    </row>
    <row r="29" spans="2:28" s="449" customFormat="1" ht="14.1" customHeight="1" thickTop="1">
      <c r="B29" s="464" t="s">
        <v>729</v>
      </c>
      <c r="C29" s="465">
        <v>811</v>
      </c>
      <c r="D29" s="466">
        <f>Prihodi!D209</f>
        <v>0</v>
      </c>
      <c r="E29" s="494">
        <f>Prihodi!E208</f>
        <v>0</v>
      </c>
      <c r="F29" s="467">
        <f t="shared" si="0"/>
        <v>0</v>
      </c>
      <c r="G29" s="149"/>
      <c r="H29" s="452"/>
      <c r="I29" s="452"/>
      <c r="J29" s="452"/>
      <c r="K29" s="452"/>
      <c r="L29" s="452"/>
      <c r="M29" s="452"/>
      <c r="N29" s="452"/>
      <c r="O29" s="452"/>
      <c r="P29" s="452"/>
      <c r="Q29" s="452"/>
      <c r="R29" s="452"/>
      <c r="S29" s="452"/>
      <c r="T29" s="452"/>
      <c r="U29" s="452"/>
      <c r="V29" s="452"/>
      <c r="W29" s="452"/>
      <c r="X29" s="452"/>
      <c r="Y29" s="452"/>
      <c r="Z29" s="452"/>
      <c r="AA29" s="452"/>
    </row>
    <row r="30" spans="2:28" s="449" customFormat="1" ht="14.1" customHeight="1">
      <c r="B30" s="464" t="s">
        <v>730</v>
      </c>
      <c r="C30" s="465">
        <v>821</v>
      </c>
      <c r="D30" s="466">
        <f>D31</f>
        <v>1348250</v>
      </c>
      <c r="E30" s="494">
        <f>E31</f>
        <v>148660</v>
      </c>
      <c r="F30" s="467">
        <f t="shared" si="0"/>
        <v>11.026145002781384</v>
      </c>
      <c r="G30" s="149"/>
      <c r="H30" s="452"/>
      <c r="I30" s="452"/>
      <c r="J30" s="452"/>
      <c r="K30" s="452"/>
      <c r="L30" s="452"/>
      <c r="M30" s="452"/>
      <c r="N30" s="452"/>
      <c r="O30" s="452"/>
      <c r="P30" s="452"/>
      <c r="Q30" s="452"/>
      <c r="R30" s="452"/>
      <c r="S30" s="452"/>
      <c r="T30" s="452"/>
      <c r="U30" s="452"/>
      <c r="V30" s="452"/>
      <c r="W30" s="452"/>
      <c r="X30" s="452"/>
      <c r="Y30" s="452"/>
      <c r="Z30" s="452"/>
      <c r="AA30" s="452"/>
    </row>
    <row r="31" spans="2:28" s="449" customFormat="1" ht="12.95" customHeight="1" thickBot="1">
      <c r="B31" s="460" t="s">
        <v>528</v>
      </c>
      <c r="C31" s="461">
        <v>821</v>
      </c>
      <c r="D31" s="462">
        <f>Rashodi!H99</f>
        <v>1348250</v>
      </c>
      <c r="E31" s="447">
        <f>Rashodi!K99</f>
        <v>148660</v>
      </c>
      <c r="F31" s="463">
        <f>IF(D31=0,,E31/D31*100)</f>
        <v>11.026145002781384</v>
      </c>
      <c r="G31" s="149"/>
      <c r="H31" s="452"/>
      <c r="I31" s="452"/>
      <c r="J31" s="452"/>
      <c r="K31" s="452"/>
      <c r="L31" s="452"/>
      <c r="M31" s="452"/>
      <c r="N31" s="452"/>
      <c r="O31" s="452"/>
      <c r="P31" s="452"/>
      <c r="Q31" s="452"/>
      <c r="R31" s="452"/>
      <c r="S31" s="452"/>
      <c r="T31" s="452"/>
      <c r="U31" s="452"/>
      <c r="V31" s="452"/>
      <c r="W31" s="452"/>
      <c r="X31" s="452"/>
      <c r="Y31" s="452"/>
      <c r="Z31" s="452"/>
      <c r="AA31" s="452"/>
      <c r="AB31" s="452"/>
    </row>
    <row r="32" spans="2:28" s="449" customFormat="1" ht="14.1" customHeight="1" thickTop="1" thickBot="1">
      <c r="B32" s="479" t="s">
        <v>731</v>
      </c>
      <c r="C32" s="480"/>
      <c r="D32" s="481">
        <f>D29-D30</f>
        <v>-1348250</v>
      </c>
      <c r="E32" s="496">
        <f>E29-E30</f>
        <v>-148660</v>
      </c>
      <c r="F32" s="482">
        <f t="shared" si="0"/>
        <v>11.026145002781384</v>
      </c>
      <c r="G32" s="149"/>
      <c r="H32" s="452"/>
      <c r="I32" s="452"/>
      <c r="J32" s="452"/>
      <c r="K32" s="452"/>
      <c r="L32" s="452"/>
      <c r="M32" s="452"/>
      <c r="N32" s="452"/>
      <c r="O32" s="452"/>
      <c r="P32" s="452"/>
      <c r="Q32" s="452"/>
      <c r="R32" s="452"/>
      <c r="S32" s="452"/>
      <c r="T32" s="452"/>
      <c r="U32" s="452"/>
      <c r="V32" s="452"/>
      <c r="W32" s="452"/>
      <c r="X32" s="452"/>
      <c r="Y32" s="452"/>
      <c r="Z32" s="452"/>
      <c r="AA32" s="452"/>
    </row>
    <row r="33" spans="2:28" s="449" customFormat="1" ht="19.5" customHeight="1" thickTop="1" thickBot="1">
      <c r="B33" s="475" t="s">
        <v>732</v>
      </c>
      <c r="C33" s="476"/>
      <c r="D33" s="483">
        <f>D28+D32</f>
        <v>604460</v>
      </c>
      <c r="E33" s="497">
        <f>E28+E32</f>
        <v>1739117</v>
      </c>
      <c r="F33" s="478">
        <f t="shared" si="0"/>
        <v>287.71415809151972</v>
      </c>
      <c r="G33" s="149"/>
      <c r="H33" s="452"/>
      <c r="I33" s="452"/>
      <c r="J33" s="452"/>
      <c r="K33" s="452"/>
      <c r="L33" s="452"/>
      <c r="M33" s="452"/>
      <c r="N33" s="452"/>
      <c r="O33" s="452"/>
      <c r="P33" s="452"/>
      <c r="Q33" s="452"/>
      <c r="R33" s="452"/>
      <c r="S33" s="452"/>
      <c r="T33" s="452"/>
      <c r="U33" s="452"/>
      <c r="V33" s="452"/>
      <c r="W33" s="452"/>
      <c r="X33" s="452"/>
      <c r="Y33" s="452"/>
      <c r="Z33" s="452"/>
      <c r="AA33" s="452"/>
    </row>
    <row r="34" spans="2:28" s="449" customFormat="1" ht="14.1" customHeight="1" thickTop="1">
      <c r="B34" s="464" t="s">
        <v>733</v>
      </c>
      <c r="C34" s="465" t="s">
        <v>712</v>
      </c>
      <c r="D34" s="466">
        <f>0</f>
        <v>0</v>
      </c>
      <c r="E34" s="494">
        <f>0</f>
        <v>0</v>
      </c>
      <c r="F34" s="467">
        <f t="shared" si="0"/>
        <v>0</v>
      </c>
      <c r="G34" s="149"/>
      <c r="H34" s="452"/>
      <c r="I34" s="452"/>
      <c r="J34" s="452"/>
      <c r="K34" s="452"/>
      <c r="L34" s="452"/>
      <c r="M34" s="452"/>
      <c r="N34" s="452"/>
      <c r="O34" s="452"/>
      <c r="P34" s="452"/>
      <c r="Q34" s="452"/>
      <c r="R34" s="452"/>
      <c r="S34" s="452"/>
      <c r="T34" s="452"/>
      <c r="U34" s="452"/>
      <c r="V34" s="452"/>
      <c r="W34" s="452"/>
      <c r="X34" s="452"/>
      <c r="Y34" s="452"/>
      <c r="Z34" s="452"/>
      <c r="AA34" s="452"/>
    </row>
    <row r="35" spans="2:28" s="449" customFormat="1" ht="14.1" customHeight="1">
      <c r="B35" s="484" t="s">
        <v>734</v>
      </c>
      <c r="C35" s="485" t="s">
        <v>711</v>
      </c>
      <c r="D35" s="486">
        <f>D36</f>
        <v>598890</v>
      </c>
      <c r="E35" s="498">
        <f>E36</f>
        <v>250727</v>
      </c>
      <c r="F35" s="467">
        <f t="shared" si="0"/>
        <v>41.865284108934866</v>
      </c>
      <c r="G35" s="149"/>
      <c r="H35" s="452"/>
      <c r="I35" s="452"/>
      <c r="J35" s="452"/>
      <c r="K35" s="452"/>
      <c r="L35" s="452"/>
      <c r="M35" s="452"/>
      <c r="N35" s="452"/>
      <c r="O35" s="452"/>
      <c r="P35" s="452"/>
      <c r="Q35" s="452"/>
      <c r="R35" s="452"/>
      <c r="S35" s="452"/>
      <c r="T35" s="452"/>
      <c r="U35" s="452"/>
      <c r="V35" s="452"/>
      <c r="W35" s="452"/>
      <c r="X35" s="452"/>
      <c r="Y35" s="452"/>
      <c r="Z35" s="452"/>
      <c r="AA35" s="452"/>
    </row>
    <row r="36" spans="2:28" s="449" customFormat="1" ht="12.95" customHeight="1" thickBot="1">
      <c r="B36" s="460" t="s">
        <v>385</v>
      </c>
      <c r="C36" s="461">
        <v>823</v>
      </c>
      <c r="D36" s="462">
        <f>Rashodi!H105</f>
        <v>598890</v>
      </c>
      <c r="E36" s="447">
        <f>Rashodi!K105</f>
        <v>250727</v>
      </c>
      <c r="F36" s="463">
        <f t="shared" si="0"/>
        <v>41.865284108934866</v>
      </c>
      <c r="G36" s="149"/>
      <c r="H36" s="452"/>
      <c r="I36" s="452"/>
      <c r="J36" s="452"/>
      <c r="K36" s="452"/>
      <c r="L36" s="452"/>
      <c r="M36" s="452"/>
      <c r="N36" s="452"/>
      <c r="O36" s="452"/>
      <c r="P36" s="452"/>
      <c r="Q36" s="452"/>
      <c r="R36" s="452"/>
      <c r="S36" s="452"/>
      <c r="T36" s="452"/>
      <c r="U36" s="452"/>
      <c r="V36" s="452"/>
      <c r="W36" s="452"/>
      <c r="X36" s="452"/>
      <c r="Y36" s="452"/>
      <c r="Z36" s="452"/>
      <c r="AA36" s="452"/>
      <c r="AB36" s="452"/>
    </row>
    <row r="37" spans="2:28" s="449" customFormat="1" ht="14.1" customHeight="1" thickTop="1" thickBot="1">
      <c r="B37" s="479" t="s">
        <v>735</v>
      </c>
      <c r="C37" s="480"/>
      <c r="D37" s="481">
        <f>D34-D35</f>
        <v>-598890</v>
      </c>
      <c r="E37" s="496">
        <f>E34-E35</f>
        <v>-250727</v>
      </c>
      <c r="F37" s="482">
        <f t="shared" si="0"/>
        <v>41.865284108934866</v>
      </c>
      <c r="G37" s="149"/>
      <c r="H37" s="452"/>
      <c r="I37" s="452"/>
      <c r="J37" s="452"/>
      <c r="K37" s="452"/>
      <c r="L37" s="452"/>
      <c r="M37" s="452"/>
      <c r="N37" s="452"/>
      <c r="O37" s="452"/>
      <c r="P37" s="452"/>
      <c r="Q37" s="452"/>
      <c r="R37" s="452"/>
      <c r="S37" s="452"/>
      <c r="T37" s="452"/>
      <c r="U37" s="452"/>
      <c r="V37" s="452"/>
      <c r="W37" s="452"/>
      <c r="X37" s="452"/>
      <c r="Y37" s="452"/>
      <c r="Z37" s="452"/>
      <c r="AA37" s="452"/>
    </row>
    <row r="38" spans="2:28" s="449" customFormat="1" ht="14.1" customHeight="1" thickTop="1" thickBot="1">
      <c r="B38" s="479" t="s">
        <v>736</v>
      </c>
      <c r="C38" s="480"/>
      <c r="D38" s="481">
        <f>D33+D37</f>
        <v>5570</v>
      </c>
      <c r="E38" s="496">
        <f>E33+E37</f>
        <v>1488390</v>
      </c>
      <c r="F38" s="482">
        <f t="shared" si="0"/>
        <v>26721.543985637345</v>
      </c>
      <c r="G38" s="149"/>
      <c r="H38" s="452"/>
      <c r="I38" s="452"/>
      <c r="J38" s="452"/>
      <c r="K38" s="452"/>
      <c r="L38" s="452"/>
      <c r="M38" s="452"/>
      <c r="N38" s="452"/>
      <c r="O38" s="452"/>
      <c r="P38" s="452"/>
      <c r="Q38" s="452"/>
      <c r="R38" s="452"/>
      <c r="S38" s="452"/>
      <c r="T38" s="452"/>
      <c r="U38" s="452"/>
      <c r="V38" s="452"/>
      <c r="W38" s="452"/>
      <c r="X38" s="452"/>
      <c r="Y38" s="452"/>
      <c r="Z38" s="452"/>
      <c r="AA38" s="452"/>
    </row>
    <row r="39" spans="2:28" s="449" customFormat="1" ht="9" customHeight="1" thickTop="1">
      <c r="B39" s="487"/>
      <c r="C39" s="488"/>
      <c r="D39" s="489"/>
      <c r="E39" s="499"/>
      <c r="F39" s="490"/>
      <c r="G39" s="149"/>
      <c r="H39" s="452"/>
      <c r="I39" s="452"/>
      <c r="J39" s="452"/>
      <c r="K39" s="452"/>
      <c r="L39" s="452"/>
      <c r="M39" s="452"/>
      <c r="N39" s="452"/>
      <c r="O39" s="452"/>
      <c r="P39" s="452"/>
      <c r="Q39" s="452"/>
      <c r="R39" s="452"/>
      <c r="S39" s="452"/>
      <c r="T39" s="452"/>
      <c r="U39" s="452"/>
      <c r="V39" s="452"/>
      <c r="W39" s="452"/>
      <c r="X39" s="452"/>
      <c r="Y39" s="452"/>
      <c r="Z39" s="452"/>
      <c r="AA39" s="452"/>
    </row>
    <row r="40" spans="2:28" s="449" customFormat="1" ht="14.1" customHeight="1">
      <c r="B40" s="464" t="s">
        <v>737</v>
      </c>
      <c r="C40" s="465"/>
      <c r="D40" s="466">
        <f>D14+D29+D34</f>
        <v>41225910</v>
      </c>
      <c r="E40" s="494">
        <f>E14+E29+E34</f>
        <v>9759197</v>
      </c>
      <c r="F40" s="467">
        <f t="shared" si="0"/>
        <v>23.672484124668198</v>
      </c>
      <c r="G40" s="149"/>
      <c r="H40" s="491"/>
      <c r="I40" s="452"/>
      <c r="J40" s="452"/>
      <c r="K40" s="452"/>
      <c r="L40" s="452"/>
      <c r="M40" s="452"/>
      <c r="N40" s="452"/>
      <c r="O40" s="452"/>
      <c r="P40" s="452"/>
      <c r="Q40" s="452"/>
      <c r="R40" s="452"/>
      <c r="S40" s="452"/>
      <c r="T40" s="452"/>
      <c r="U40" s="452"/>
      <c r="V40" s="452"/>
      <c r="W40" s="452"/>
      <c r="X40" s="452"/>
      <c r="Y40" s="452"/>
      <c r="Z40" s="452"/>
      <c r="AA40" s="452"/>
    </row>
    <row r="41" spans="2:28" s="449" customFormat="1" ht="14.1" customHeight="1">
      <c r="B41" s="464" t="s">
        <v>738</v>
      </c>
      <c r="C41" s="465"/>
      <c r="D41" s="466">
        <f>D20+D30+D35</f>
        <v>41220340</v>
      </c>
      <c r="E41" s="494">
        <f>E20+E30+E35</f>
        <v>8270807</v>
      </c>
      <c r="F41" s="467">
        <f t="shared" si="0"/>
        <v>20.064868460570679</v>
      </c>
      <c r="G41" s="149"/>
      <c r="H41" s="452"/>
      <c r="I41" s="452"/>
      <c r="J41" s="452"/>
      <c r="K41" s="452"/>
      <c r="L41" s="452"/>
      <c r="M41" s="452"/>
      <c r="N41" s="452"/>
      <c r="O41" s="452"/>
      <c r="P41" s="452"/>
      <c r="Q41" s="452"/>
      <c r="R41" s="452"/>
      <c r="S41" s="452"/>
      <c r="T41" s="452"/>
      <c r="U41" s="452"/>
      <c r="V41" s="452"/>
      <c r="W41" s="452"/>
      <c r="X41" s="452"/>
      <c r="Y41" s="452"/>
      <c r="Z41" s="452"/>
      <c r="AA41" s="452"/>
    </row>
    <row r="42" spans="2:28" s="449" customFormat="1" ht="14.1" customHeight="1">
      <c r="B42" s="464" t="s">
        <v>739</v>
      </c>
      <c r="C42" s="465"/>
      <c r="D42" s="466">
        <f>D40-D41</f>
        <v>5570</v>
      </c>
      <c r="E42" s="494">
        <f>E40-E41</f>
        <v>1488390</v>
      </c>
      <c r="F42" s="467">
        <f t="shared" si="0"/>
        <v>26721.543985637345</v>
      </c>
      <c r="H42" s="452"/>
      <c r="I42" s="491"/>
      <c r="J42" s="452"/>
      <c r="K42" s="452"/>
      <c r="L42" s="452"/>
      <c r="M42" s="452"/>
      <c r="N42" s="452"/>
      <c r="O42" s="452"/>
      <c r="P42" s="452"/>
      <c r="Q42" s="452"/>
      <c r="R42" s="452"/>
      <c r="S42" s="452"/>
      <c r="T42" s="452"/>
      <c r="U42" s="452"/>
      <c r="V42" s="452"/>
      <c r="W42" s="452"/>
      <c r="X42" s="452"/>
      <c r="Y42" s="452"/>
      <c r="Z42" s="452"/>
      <c r="AA42" s="452"/>
      <c r="AB42" s="452"/>
    </row>
    <row r="43" spans="2:28" ht="7.5" customHeight="1">
      <c r="B43" s="127"/>
      <c r="C43" s="127"/>
      <c r="D43" s="190"/>
      <c r="E43" s="190"/>
      <c r="F43" s="191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</row>
    <row r="44" spans="2:28" ht="15" customHeight="1">
      <c r="B44" s="32"/>
      <c r="C44" s="32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</row>
    <row r="45" spans="2:28" ht="15" customHeight="1">
      <c r="B45" s="566"/>
      <c r="C45" s="566"/>
      <c r="D45" s="567"/>
      <c r="E45" s="567"/>
      <c r="F45" s="567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</row>
    <row r="46" spans="2:28" ht="15.75" customHeight="1"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</row>
    <row r="47" spans="2:28" ht="15" customHeight="1">
      <c r="B47" s="54"/>
      <c r="C47" s="54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</row>
    <row r="48" spans="2:28" ht="15" customHeight="1"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</row>
    <row r="49" spans="2:28" ht="15" customHeight="1"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</row>
    <row r="50" spans="2:28" ht="15" customHeight="1"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</row>
    <row r="51" spans="2:28" ht="15" customHeight="1"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</row>
    <row r="52" spans="2:28" ht="15" customHeight="1"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</row>
    <row r="53" spans="2:28" ht="15" customHeight="1"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</row>
    <row r="54" spans="2:28" ht="15" customHeight="1"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</row>
    <row r="55" spans="2:28" ht="15" customHeight="1"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</row>
    <row r="56" spans="2:28" ht="15" customHeight="1"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</row>
    <row r="57" spans="2:28" ht="15" customHeight="1"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</row>
    <row r="58" spans="2:28" ht="15" customHeight="1"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</row>
    <row r="59" spans="2:28" ht="15" customHeight="1"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</row>
    <row r="60" spans="2:28" ht="15" customHeight="1"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</row>
    <row r="61" spans="2:28" ht="15" customHeight="1"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</row>
    <row r="62" spans="2:28" ht="15" customHeight="1"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</row>
    <row r="63" spans="2:28" ht="15" customHeight="1"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</row>
    <row r="64" spans="2:28" ht="15" customHeight="1"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</row>
    <row r="65" spans="2:28" ht="15" customHeight="1"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3"/>
      <c r="AB65" s="53"/>
    </row>
    <row r="66" spans="2:28" ht="15" customHeight="1"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3"/>
      <c r="AB66" s="53"/>
    </row>
    <row r="67" spans="2:28" ht="15" customHeight="1"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  <c r="AA67" s="53"/>
      <c r="AB67" s="53"/>
    </row>
    <row r="68" spans="2:28" ht="15" customHeight="1"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  <c r="AA68" s="53"/>
      <c r="AB68" s="53"/>
    </row>
    <row r="69" spans="2:28" ht="15" customHeight="1"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  <c r="AA69" s="53"/>
      <c r="AB69" s="53"/>
    </row>
    <row r="70" spans="2:28" ht="15" customHeight="1"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3"/>
      <c r="AA70" s="53"/>
      <c r="AB70" s="53"/>
    </row>
    <row r="71" spans="2:28" ht="15" customHeight="1"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  <c r="AA71" s="53"/>
      <c r="AB71" s="53"/>
    </row>
    <row r="72" spans="2:28" ht="15" customHeight="1"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  <c r="Z72" s="53"/>
      <c r="AA72" s="53"/>
      <c r="AB72" s="53"/>
    </row>
    <row r="73" spans="2:28" ht="15" customHeight="1"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  <c r="Z73" s="53"/>
      <c r="AA73" s="53"/>
      <c r="AB73" s="53"/>
    </row>
    <row r="74" spans="2:28" ht="15" customHeight="1"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  <c r="Z74" s="53"/>
      <c r="AA74" s="53"/>
      <c r="AB74" s="53"/>
    </row>
    <row r="75" spans="2:28" ht="15" customHeight="1"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53"/>
      <c r="AB75" s="53"/>
    </row>
    <row r="76" spans="2:28" ht="15" customHeight="1"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  <c r="Z76" s="53"/>
      <c r="AA76" s="53"/>
      <c r="AB76" s="53"/>
    </row>
    <row r="77" spans="2:28" ht="15" customHeight="1"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</row>
    <row r="78" spans="2:28" ht="15" customHeight="1"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53"/>
      <c r="Z78" s="53"/>
      <c r="AA78" s="53"/>
      <c r="AB78" s="53"/>
    </row>
    <row r="79" spans="2:28" ht="15" customHeight="1"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3"/>
      <c r="X79" s="53"/>
      <c r="Y79" s="53"/>
      <c r="Z79" s="53"/>
      <c r="AA79" s="53"/>
      <c r="AB79" s="53"/>
    </row>
    <row r="80" spans="2:28" ht="15" customHeight="1"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53"/>
      <c r="V80" s="53"/>
      <c r="W80" s="53"/>
      <c r="X80" s="53"/>
      <c r="Y80" s="53"/>
      <c r="Z80" s="53"/>
      <c r="AA80" s="53"/>
      <c r="AB80" s="53"/>
    </row>
    <row r="81" spans="2:28" ht="15" customHeight="1"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3"/>
      <c r="Z81" s="53"/>
      <c r="AA81" s="53"/>
      <c r="AB81" s="53"/>
    </row>
    <row r="82" spans="2:28" ht="15" customHeight="1">
      <c r="B82" s="53"/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53"/>
      <c r="Q82" s="53"/>
      <c r="R82" s="53"/>
      <c r="S82" s="53"/>
      <c r="T82" s="53"/>
      <c r="U82" s="53"/>
      <c r="V82" s="53"/>
      <c r="W82" s="53"/>
      <c r="X82" s="53"/>
      <c r="Y82" s="53"/>
      <c r="Z82" s="53"/>
      <c r="AA82" s="53"/>
      <c r="AB82" s="53"/>
    </row>
    <row r="83" spans="2:28" ht="15" customHeight="1">
      <c r="B83" s="53"/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53"/>
      <c r="Q83" s="53"/>
      <c r="R83" s="53"/>
      <c r="S83" s="53"/>
      <c r="T83" s="53"/>
      <c r="U83" s="53"/>
      <c r="V83" s="53"/>
      <c r="W83" s="53"/>
      <c r="X83" s="53"/>
      <c r="Y83" s="53"/>
      <c r="Z83" s="53"/>
      <c r="AA83" s="53"/>
      <c r="AB83" s="53"/>
    </row>
    <row r="84" spans="2:28" ht="15" customHeight="1"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53"/>
      <c r="T84" s="53"/>
      <c r="U84" s="53"/>
      <c r="V84" s="53"/>
      <c r="W84" s="53"/>
      <c r="X84" s="53"/>
      <c r="Y84" s="53"/>
      <c r="Z84" s="53"/>
      <c r="AA84" s="53"/>
      <c r="AB84" s="53"/>
    </row>
    <row r="85" spans="2:28" ht="15" customHeight="1">
      <c r="B85" s="53"/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53"/>
      <c r="Q85" s="53"/>
      <c r="R85" s="53"/>
      <c r="S85" s="53"/>
      <c r="T85" s="53"/>
      <c r="U85" s="53"/>
      <c r="V85" s="53"/>
      <c r="W85" s="53"/>
      <c r="X85" s="53"/>
      <c r="Y85" s="53"/>
      <c r="Z85" s="53"/>
      <c r="AA85" s="53"/>
      <c r="AB85" s="53"/>
    </row>
    <row r="86" spans="2:28" ht="15" customHeight="1">
      <c r="B86" s="53"/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3"/>
      <c r="P86" s="53"/>
      <c r="Q86" s="53"/>
      <c r="R86" s="53"/>
      <c r="S86" s="53"/>
      <c r="T86" s="53"/>
      <c r="U86" s="53"/>
      <c r="V86" s="53"/>
      <c r="W86" s="53"/>
      <c r="X86" s="53"/>
      <c r="Y86" s="53"/>
      <c r="Z86" s="53"/>
      <c r="AA86" s="53"/>
      <c r="AB86" s="53"/>
    </row>
    <row r="87" spans="2:28" ht="15" customHeight="1">
      <c r="B87" s="53"/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53"/>
      <c r="Q87" s="53"/>
      <c r="R87" s="53"/>
      <c r="S87" s="53"/>
      <c r="T87" s="53"/>
      <c r="U87" s="53"/>
      <c r="V87" s="53"/>
      <c r="W87" s="53"/>
      <c r="X87" s="53"/>
      <c r="Y87" s="53"/>
      <c r="Z87" s="53"/>
      <c r="AA87" s="53"/>
      <c r="AB87" s="53"/>
    </row>
    <row r="88" spans="2:28" ht="15" customHeight="1">
      <c r="B88" s="53"/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53"/>
      <c r="R88" s="53"/>
      <c r="S88" s="53"/>
      <c r="T88" s="53"/>
      <c r="U88" s="53"/>
      <c r="V88" s="53"/>
      <c r="W88" s="53"/>
      <c r="X88" s="53"/>
      <c r="Y88" s="53"/>
      <c r="Z88" s="53"/>
      <c r="AA88" s="53"/>
      <c r="AB88" s="53"/>
    </row>
    <row r="89" spans="2:28" ht="15" customHeight="1">
      <c r="B89" s="53"/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53"/>
      <c r="Q89" s="53"/>
      <c r="R89" s="53"/>
      <c r="S89" s="53"/>
      <c r="T89" s="53"/>
      <c r="U89" s="53"/>
      <c r="V89" s="53"/>
      <c r="W89" s="53"/>
      <c r="X89" s="53"/>
      <c r="Y89" s="53"/>
      <c r="Z89" s="53"/>
      <c r="AA89" s="53"/>
      <c r="AB89" s="53"/>
    </row>
    <row r="90" spans="2:28" ht="15" customHeight="1">
      <c r="B90" s="53"/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53"/>
      <c r="Q90" s="53"/>
      <c r="R90" s="53"/>
      <c r="S90" s="53"/>
      <c r="T90" s="53"/>
      <c r="U90" s="53"/>
      <c r="V90" s="53"/>
      <c r="W90" s="53"/>
      <c r="X90" s="53"/>
      <c r="Y90" s="53"/>
      <c r="Z90" s="53"/>
      <c r="AA90" s="53"/>
      <c r="AB90" s="53"/>
    </row>
    <row r="91" spans="2:28" ht="15" customHeight="1">
      <c r="B91" s="53"/>
      <c r="C91" s="53"/>
      <c r="D91" s="53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3"/>
      <c r="P91" s="53"/>
      <c r="Q91" s="53"/>
      <c r="R91" s="53"/>
      <c r="S91" s="53"/>
      <c r="T91" s="53"/>
      <c r="U91" s="53"/>
      <c r="V91" s="53"/>
      <c r="W91" s="53"/>
      <c r="X91" s="53"/>
      <c r="Y91" s="53"/>
      <c r="Z91" s="53"/>
      <c r="AA91" s="53"/>
      <c r="AB91" s="53"/>
    </row>
    <row r="92" spans="2:28" ht="15" customHeight="1">
      <c r="B92" s="53"/>
      <c r="C92" s="53"/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3"/>
      <c r="P92" s="53"/>
      <c r="Q92" s="53"/>
      <c r="R92" s="53"/>
      <c r="S92" s="53"/>
      <c r="T92" s="53"/>
      <c r="U92" s="53"/>
      <c r="V92" s="53"/>
      <c r="W92" s="53"/>
      <c r="X92" s="53"/>
      <c r="Y92" s="53"/>
      <c r="Z92" s="53"/>
      <c r="AA92" s="53"/>
      <c r="AB92" s="53"/>
    </row>
    <row r="93" spans="2:28" ht="15" customHeight="1">
      <c r="B93" s="53"/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  <c r="R93" s="53"/>
      <c r="S93" s="53"/>
      <c r="T93" s="53"/>
      <c r="U93" s="53"/>
      <c r="V93" s="53"/>
      <c r="W93" s="53"/>
      <c r="X93" s="53"/>
      <c r="Y93" s="53"/>
      <c r="Z93" s="53"/>
      <c r="AA93" s="53"/>
      <c r="AB93" s="53"/>
    </row>
    <row r="94" spans="2:28" ht="15" customHeight="1">
      <c r="B94" s="53"/>
      <c r="C94" s="53"/>
      <c r="D94" s="53"/>
      <c r="E94" s="53"/>
      <c r="F94" s="53"/>
      <c r="G94" s="53"/>
      <c r="H94" s="53"/>
      <c r="I94" s="53"/>
      <c r="J94" s="53"/>
      <c r="K94" s="53"/>
      <c r="L94" s="53"/>
      <c r="M94" s="53"/>
      <c r="N94" s="53"/>
      <c r="O94" s="53"/>
      <c r="P94" s="53"/>
      <c r="Q94" s="53"/>
      <c r="R94" s="53"/>
      <c r="S94" s="53"/>
      <c r="T94" s="53"/>
      <c r="U94" s="53"/>
      <c r="V94" s="53"/>
      <c r="W94" s="53"/>
      <c r="X94" s="53"/>
      <c r="Y94" s="53"/>
      <c r="Z94" s="53"/>
      <c r="AA94" s="53"/>
      <c r="AB94" s="53"/>
    </row>
    <row r="95" spans="2:28" ht="15" customHeight="1">
      <c r="B95" s="53"/>
      <c r="C95" s="53"/>
      <c r="D95" s="53"/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53"/>
      <c r="Q95" s="53"/>
      <c r="R95" s="53"/>
      <c r="S95" s="53"/>
      <c r="T95" s="53"/>
      <c r="U95" s="53"/>
      <c r="V95" s="53"/>
      <c r="W95" s="53"/>
      <c r="X95" s="53"/>
      <c r="Y95" s="53"/>
      <c r="Z95" s="53"/>
      <c r="AA95" s="53"/>
      <c r="AB95" s="53"/>
    </row>
    <row r="96" spans="2:28" ht="15" customHeight="1">
      <c r="B96" s="53"/>
      <c r="C96" s="53"/>
      <c r="D96" s="53"/>
      <c r="E96" s="53"/>
      <c r="F96" s="53"/>
      <c r="G96" s="53"/>
      <c r="H96" s="53"/>
      <c r="I96" s="53"/>
      <c r="J96" s="53"/>
      <c r="K96" s="53"/>
      <c r="L96" s="53"/>
      <c r="M96" s="53"/>
      <c r="N96" s="53"/>
      <c r="O96" s="53"/>
      <c r="P96" s="53"/>
      <c r="Q96" s="53"/>
      <c r="R96" s="53"/>
      <c r="S96" s="53"/>
      <c r="T96" s="53"/>
      <c r="U96" s="53"/>
      <c r="V96" s="53"/>
      <c r="W96" s="53"/>
      <c r="X96" s="53"/>
      <c r="Y96" s="53"/>
      <c r="Z96" s="53"/>
      <c r="AA96" s="53"/>
      <c r="AB96" s="53"/>
    </row>
    <row r="97" spans="2:28" ht="15" customHeight="1">
      <c r="B97" s="53"/>
      <c r="C97" s="53"/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53"/>
      <c r="R97" s="53"/>
      <c r="S97" s="53"/>
      <c r="T97" s="53"/>
      <c r="U97" s="53"/>
      <c r="V97" s="53"/>
      <c r="W97" s="53"/>
      <c r="X97" s="53"/>
      <c r="Y97" s="53"/>
      <c r="Z97" s="53"/>
      <c r="AA97" s="53"/>
      <c r="AB97" s="53"/>
    </row>
    <row r="98" spans="2:28" ht="15" customHeight="1">
      <c r="B98" s="53"/>
      <c r="C98" s="53"/>
      <c r="D98" s="53"/>
      <c r="E98" s="53"/>
      <c r="F98" s="53"/>
      <c r="G98" s="53"/>
      <c r="H98" s="53"/>
      <c r="I98" s="53"/>
      <c r="J98" s="53"/>
      <c r="K98" s="53"/>
      <c r="L98" s="53"/>
      <c r="M98" s="53"/>
      <c r="N98" s="53"/>
      <c r="O98" s="53"/>
      <c r="P98" s="53"/>
      <c r="Q98" s="53"/>
      <c r="R98" s="53"/>
      <c r="S98" s="53"/>
      <c r="T98" s="53"/>
      <c r="U98" s="53"/>
      <c r="V98" s="53"/>
      <c r="W98" s="53"/>
      <c r="X98" s="53"/>
      <c r="Y98" s="53"/>
      <c r="Z98" s="53"/>
      <c r="AA98" s="53"/>
      <c r="AB98" s="53"/>
    </row>
    <row r="99" spans="2:28" ht="15" customHeight="1">
      <c r="B99" s="53"/>
      <c r="C99" s="53"/>
      <c r="D99" s="53"/>
      <c r="E99" s="53"/>
      <c r="F99" s="53"/>
      <c r="G99" s="53"/>
      <c r="H99" s="53"/>
      <c r="I99" s="53"/>
      <c r="J99" s="53"/>
      <c r="K99" s="53"/>
      <c r="L99" s="53"/>
      <c r="M99" s="53"/>
      <c r="N99" s="53"/>
      <c r="O99" s="53"/>
      <c r="P99" s="53"/>
      <c r="Q99" s="53"/>
      <c r="R99" s="53"/>
      <c r="S99" s="53"/>
      <c r="T99" s="53"/>
      <c r="U99" s="53"/>
      <c r="V99" s="53"/>
      <c r="W99" s="53"/>
      <c r="X99" s="53"/>
      <c r="Y99" s="53"/>
      <c r="Z99" s="53"/>
      <c r="AA99" s="53"/>
      <c r="AB99" s="53"/>
    </row>
    <row r="100" spans="2:28" ht="15" customHeight="1">
      <c r="B100" s="53"/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53"/>
      <c r="R100" s="53"/>
      <c r="S100" s="53"/>
      <c r="T100" s="53"/>
      <c r="U100" s="53"/>
      <c r="V100" s="53"/>
      <c r="W100" s="53"/>
      <c r="X100" s="53"/>
      <c r="Y100" s="53"/>
      <c r="Z100" s="53"/>
      <c r="AA100" s="53"/>
      <c r="AB100" s="53"/>
    </row>
    <row r="101" spans="2:28" ht="15" customHeight="1">
      <c r="B101" s="53"/>
      <c r="C101" s="53"/>
      <c r="D101" s="53"/>
      <c r="E101" s="53"/>
      <c r="F101" s="53"/>
      <c r="G101" s="53"/>
      <c r="H101" s="53"/>
      <c r="I101" s="53"/>
      <c r="J101" s="53"/>
      <c r="K101" s="53"/>
      <c r="L101" s="53"/>
      <c r="M101" s="53"/>
      <c r="N101" s="53"/>
      <c r="O101" s="53"/>
      <c r="P101" s="53"/>
      <c r="Q101" s="53"/>
      <c r="R101" s="53"/>
      <c r="S101" s="53"/>
      <c r="T101" s="53"/>
      <c r="U101" s="53"/>
      <c r="V101" s="53"/>
      <c r="W101" s="53"/>
      <c r="X101" s="53"/>
      <c r="Y101" s="53"/>
      <c r="Z101" s="53"/>
      <c r="AA101" s="53"/>
      <c r="AB101" s="53"/>
    </row>
    <row r="102" spans="2:28" ht="15" customHeight="1">
      <c r="B102" s="53"/>
      <c r="C102" s="53"/>
      <c r="D102" s="53"/>
      <c r="E102" s="53"/>
      <c r="F102" s="53"/>
      <c r="G102" s="53"/>
      <c r="H102" s="53"/>
      <c r="I102" s="53"/>
      <c r="J102" s="53"/>
      <c r="K102" s="53"/>
      <c r="L102" s="53"/>
      <c r="M102" s="53"/>
      <c r="N102" s="53"/>
      <c r="O102" s="53"/>
      <c r="P102" s="53"/>
      <c r="Q102" s="53"/>
      <c r="R102" s="53"/>
      <c r="S102" s="53"/>
      <c r="T102" s="53"/>
      <c r="U102" s="53"/>
      <c r="V102" s="53"/>
      <c r="W102" s="53"/>
      <c r="X102" s="53"/>
      <c r="Y102" s="53"/>
      <c r="Z102" s="53"/>
      <c r="AA102" s="53"/>
      <c r="AB102" s="53"/>
    </row>
    <row r="103" spans="2:28" ht="15" customHeight="1">
      <c r="B103" s="53"/>
      <c r="C103" s="53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3"/>
    </row>
    <row r="104" spans="2:28" ht="15" customHeight="1">
      <c r="B104" s="53"/>
      <c r="C104" s="53"/>
      <c r="D104" s="53"/>
      <c r="E104" s="53"/>
      <c r="F104" s="53"/>
      <c r="G104" s="53"/>
      <c r="H104" s="53"/>
      <c r="I104" s="53"/>
      <c r="J104" s="53"/>
      <c r="K104" s="53"/>
      <c r="L104" s="53"/>
      <c r="M104" s="53"/>
      <c r="N104" s="53"/>
      <c r="O104" s="53"/>
      <c r="P104" s="53"/>
      <c r="Q104" s="53"/>
      <c r="R104" s="53"/>
      <c r="S104" s="53"/>
      <c r="T104" s="53"/>
      <c r="U104" s="53"/>
      <c r="V104" s="53"/>
      <c r="W104" s="53"/>
      <c r="X104" s="53"/>
      <c r="Y104" s="53"/>
      <c r="Z104" s="53"/>
      <c r="AA104" s="53"/>
      <c r="AB104" s="53"/>
    </row>
    <row r="105" spans="2:28" ht="15" customHeight="1">
      <c r="B105" s="53"/>
      <c r="C105" s="53"/>
      <c r="D105" s="53"/>
      <c r="E105" s="53"/>
      <c r="F105" s="53"/>
      <c r="G105" s="53"/>
      <c r="H105" s="53"/>
      <c r="I105" s="53"/>
      <c r="J105" s="53"/>
      <c r="K105" s="53"/>
      <c r="L105" s="53"/>
      <c r="M105" s="53"/>
      <c r="N105" s="53"/>
      <c r="O105" s="53"/>
      <c r="P105" s="53"/>
      <c r="Q105" s="53"/>
      <c r="R105" s="53"/>
      <c r="S105" s="53"/>
      <c r="T105" s="53"/>
      <c r="U105" s="53"/>
      <c r="V105" s="53"/>
      <c r="W105" s="53"/>
      <c r="X105" s="53"/>
      <c r="Y105" s="53"/>
      <c r="Z105" s="53"/>
      <c r="AA105" s="53"/>
      <c r="AB105" s="53"/>
    </row>
    <row r="106" spans="2:28" ht="15" customHeight="1">
      <c r="B106" s="53"/>
      <c r="C106" s="53"/>
      <c r="D106" s="53"/>
      <c r="E106" s="53"/>
      <c r="F106" s="53"/>
      <c r="G106" s="53"/>
      <c r="H106" s="53"/>
      <c r="I106" s="53"/>
      <c r="J106" s="53"/>
      <c r="K106" s="53"/>
      <c r="L106" s="53"/>
      <c r="M106" s="53"/>
      <c r="N106" s="53"/>
      <c r="O106" s="53"/>
      <c r="P106" s="53"/>
      <c r="Q106" s="53"/>
      <c r="R106" s="53"/>
      <c r="S106" s="53"/>
      <c r="T106" s="53"/>
      <c r="U106" s="53"/>
      <c r="V106" s="53"/>
      <c r="W106" s="53"/>
      <c r="X106" s="53"/>
      <c r="Y106" s="53"/>
      <c r="Z106" s="53"/>
      <c r="AA106" s="53"/>
      <c r="AB106" s="53"/>
    </row>
    <row r="107" spans="2:28" ht="15" customHeight="1">
      <c r="B107" s="53"/>
      <c r="C107" s="53"/>
      <c r="D107" s="53"/>
      <c r="E107" s="53"/>
      <c r="F107" s="53"/>
      <c r="G107" s="53"/>
      <c r="H107" s="53"/>
      <c r="I107" s="53"/>
      <c r="J107" s="53"/>
      <c r="K107" s="53"/>
      <c r="L107" s="53"/>
      <c r="M107" s="53"/>
      <c r="N107" s="53"/>
      <c r="O107" s="53"/>
      <c r="P107" s="53"/>
      <c r="Q107" s="53"/>
      <c r="R107" s="53"/>
      <c r="S107" s="53"/>
      <c r="T107" s="53"/>
      <c r="U107" s="53"/>
      <c r="V107" s="53"/>
      <c r="W107" s="53"/>
      <c r="X107" s="53"/>
      <c r="Y107" s="53"/>
      <c r="Z107" s="53"/>
      <c r="AA107" s="53"/>
      <c r="AB107" s="53"/>
    </row>
    <row r="108" spans="2:28" ht="15" customHeight="1">
      <c r="B108" s="53"/>
      <c r="C108" s="53"/>
      <c r="D108" s="53"/>
      <c r="E108" s="53"/>
      <c r="F108" s="53"/>
      <c r="G108" s="53"/>
      <c r="H108" s="53"/>
      <c r="I108" s="53"/>
      <c r="J108" s="53"/>
      <c r="K108" s="53"/>
      <c r="L108" s="53"/>
      <c r="M108" s="53"/>
      <c r="N108" s="53"/>
      <c r="O108" s="53"/>
      <c r="P108" s="53"/>
      <c r="Q108" s="53"/>
      <c r="R108" s="53"/>
      <c r="S108" s="53"/>
      <c r="T108" s="53"/>
      <c r="U108" s="53"/>
      <c r="V108" s="53"/>
      <c r="W108" s="53"/>
      <c r="X108" s="53"/>
      <c r="Y108" s="53"/>
      <c r="Z108" s="53"/>
      <c r="AA108" s="53"/>
      <c r="AB108" s="53"/>
    </row>
    <row r="109" spans="2:28" ht="15" customHeight="1">
      <c r="B109" s="53"/>
      <c r="C109" s="53"/>
      <c r="D109" s="53"/>
      <c r="E109" s="53"/>
      <c r="F109" s="53"/>
      <c r="G109" s="53"/>
      <c r="H109" s="53"/>
      <c r="I109" s="53"/>
      <c r="J109" s="53"/>
      <c r="K109" s="53"/>
      <c r="L109" s="53"/>
      <c r="M109" s="53"/>
      <c r="N109" s="53"/>
      <c r="O109" s="53"/>
      <c r="P109" s="53"/>
      <c r="Q109" s="53"/>
      <c r="R109" s="53"/>
      <c r="S109" s="53"/>
      <c r="T109" s="53"/>
      <c r="U109" s="53"/>
      <c r="V109" s="53"/>
      <c r="W109" s="53"/>
      <c r="X109" s="53"/>
      <c r="Y109" s="53"/>
      <c r="Z109" s="53"/>
      <c r="AA109" s="53"/>
      <c r="AB109" s="53"/>
    </row>
    <row r="110" spans="2:28" ht="15" customHeight="1">
      <c r="B110" s="53"/>
      <c r="C110" s="53"/>
      <c r="D110" s="53"/>
      <c r="E110" s="53"/>
      <c r="F110" s="53"/>
      <c r="G110" s="53"/>
      <c r="H110" s="53"/>
      <c r="I110" s="53"/>
      <c r="J110" s="53"/>
      <c r="K110" s="53"/>
      <c r="L110" s="53"/>
      <c r="M110" s="53"/>
      <c r="N110" s="53"/>
      <c r="O110" s="53"/>
      <c r="P110" s="53"/>
      <c r="Q110" s="53"/>
      <c r="R110" s="53"/>
      <c r="S110" s="53"/>
      <c r="T110" s="53"/>
      <c r="U110" s="53"/>
      <c r="V110" s="53"/>
      <c r="W110" s="53"/>
      <c r="X110" s="53"/>
      <c r="Y110" s="53"/>
      <c r="Z110" s="53"/>
      <c r="AA110" s="53"/>
      <c r="AB110" s="53"/>
    </row>
    <row r="111" spans="2:28" ht="15" customHeight="1">
      <c r="B111" s="53"/>
      <c r="C111" s="53"/>
      <c r="D111" s="53"/>
      <c r="E111" s="53"/>
      <c r="F111" s="53"/>
      <c r="G111" s="53"/>
      <c r="H111" s="53"/>
      <c r="I111" s="53"/>
      <c r="J111" s="53"/>
      <c r="K111" s="53"/>
      <c r="L111" s="53"/>
      <c r="M111" s="53"/>
      <c r="N111" s="53"/>
      <c r="O111" s="53"/>
      <c r="P111" s="53"/>
      <c r="Q111" s="53"/>
      <c r="R111" s="53"/>
      <c r="S111" s="53"/>
      <c r="T111" s="53"/>
      <c r="U111" s="53"/>
      <c r="V111" s="53"/>
      <c r="W111" s="53"/>
      <c r="X111" s="53"/>
      <c r="Y111" s="53"/>
      <c r="Z111" s="53"/>
      <c r="AA111" s="53"/>
      <c r="AB111" s="53"/>
    </row>
    <row r="112" spans="2:28" ht="15" customHeight="1">
      <c r="B112" s="53"/>
      <c r="C112" s="53"/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53"/>
      <c r="Q112" s="53"/>
      <c r="R112" s="53"/>
      <c r="S112" s="53"/>
      <c r="T112" s="53"/>
      <c r="U112" s="53"/>
      <c r="V112" s="53"/>
      <c r="W112" s="53"/>
      <c r="X112" s="53"/>
      <c r="Y112" s="53"/>
      <c r="Z112" s="53"/>
      <c r="AA112" s="53"/>
      <c r="AB112" s="53"/>
    </row>
    <row r="113" spans="2:28" ht="15" customHeight="1">
      <c r="B113" s="53"/>
      <c r="C113" s="53"/>
      <c r="D113" s="53"/>
      <c r="E113" s="53"/>
      <c r="F113" s="53"/>
      <c r="G113" s="53"/>
      <c r="H113" s="53"/>
      <c r="I113" s="53"/>
      <c r="J113" s="53"/>
      <c r="K113" s="53"/>
      <c r="L113" s="53"/>
      <c r="M113" s="53"/>
      <c r="N113" s="53"/>
      <c r="O113" s="53"/>
      <c r="P113" s="53"/>
      <c r="Q113" s="53"/>
      <c r="R113" s="53"/>
      <c r="S113" s="53"/>
      <c r="T113" s="53"/>
      <c r="U113" s="53"/>
      <c r="V113" s="53"/>
      <c r="W113" s="53"/>
      <c r="X113" s="53"/>
      <c r="Y113" s="53"/>
      <c r="Z113" s="53"/>
      <c r="AA113" s="53"/>
      <c r="AB113" s="53"/>
    </row>
    <row r="114" spans="2:28" ht="15" customHeight="1">
      <c r="B114" s="53"/>
      <c r="C114" s="53"/>
      <c r="D114" s="53"/>
      <c r="E114" s="53"/>
      <c r="F114" s="53"/>
      <c r="G114" s="53"/>
      <c r="H114" s="53"/>
      <c r="I114" s="53"/>
      <c r="J114" s="53"/>
      <c r="K114" s="53"/>
      <c r="L114" s="53"/>
      <c r="M114" s="53"/>
      <c r="N114" s="53"/>
      <c r="O114" s="53"/>
      <c r="P114" s="53"/>
      <c r="Q114" s="53"/>
      <c r="R114" s="53"/>
      <c r="S114" s="53"/>
      <c r="T114" s="53"/>
      <c r="U114" s="53"/>
      <c r="V114" s="53"/>
      <c r="W114" s="53"/>
      <c r="X114" s="53"/>
      <c r="Y114" s="53"/>
      <c r="Z114" s="53"/>
      <c r="AA114" s="53"/>
      <c r="AB114" s="53"/>
    </row>
    <row r="115" spans="2:28" ht="15" customHeight="1">
      <c r="B115" s="53"/>
      <c r="C115" s="53"/>
      <c r="D115" s="53"/>
      <c r="E115" s="53"/>
      <c r="F115" s="53"/>
      <c r="G115" s="53"/>
      <c r="H115" s="53"/>
      <c r="I115" s="53"/>
      <c r="J115" s="53"/>
      <c r="K115" s="53"/>
      <c r="L115" s="53"/>
      <c r="M115" s="53"/>
      <c r="N115" s="53"/>
      <c r="O115" s="53"/>
      <c r="P115" s="53"/>
      <c r="Q115" s="53"/>
      <c r="R115" s="53"/>
      <c r="S115" s="53"/>
      <c r="T115" s="53"/>
      <c r="U115" s="53"/>
      <c r="V115" s="53"/>
      <c r="W115" s="53"/>
      <c r="X115" s="53"/>
      <c r="Y115" s="53"/>
      <c r="Z115" s="53"/>
      <c r="AA115" s="53"/>
      <c r="AB115" s="53"/>
    </row>
    <row r="116" spans="2:28" ht="15" customHeight="1">
      <c r="B116" s="53"/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53"/>
      <c r="Q116" s="53"/>
      <c r="R116" s="53"/>
      <c r="S116" s="53"/>
      <c r="T116" s="53"/>
      <c r="U116" s="53"/>
      <c r="V116" s="53"/>
      <c r="W116" s="53"/>
      <c r="X116" s="53"/>
      <c r="Y116" s="53"/>
      <c r="Z116" s="53"/>
      <c r="AA116" s="53"/>
      <c r="AB116" s="53"/>
    </row>
    <row r="117" spans="2:28" ht="15" customHeight="1">
      <c r="B117" s="53"/>
      <c r="C117" s="53"/>
      <c r="D117" s="53"/>
      <c r="E117" s="53"/>
      <c r="F117" s="53"/>
      <c r="G117" s="53"/>
      <c r="H117" s="53"/>
      <c r="I117" s="53"/>
      <c r="J117" s="53"/>
      <c r="K117" s="53"/>
      <c r="L117" s="53"/>
      <c r="M117" s="53"/>
      <c r="N117" s="53"/>
      <c r="O117" s="53"/>
      <c r="P117" s="53"/>
      <c r="Q117" s="53"/>
      <c r="R117" s="53"/>
      <c r="S117" s="53"/>
      <c r="T117" s="53"/>
      <c r="U117" s="53"/>
      <c r="V117" s="53"/>
      <c r="W117" s="53"/>
      <c r="X117" s="53"/>
      <c r="Y117" s="53"/>
      <c r="Z117" s="53"/>
      <c r="AA117" s="53"/>
      <c r="AB117" s="53"/>
    </row>
    <row r="118" spans="2:28" ht="15" customHeight="1">
      <c r="B118" s="53"/>
      <c r="C118" s="53"/>
      <c r="D118" s="53"/>
      <c r="E118" s="53"/>
      <c r="F118" s="53"/>
      <c r="G118" s="53"/>
      <c r="H118" s="53"/>
      <c r="I118" s="53"/>
      <c r="J118" s="53"/>
      <c r="K118" s="53"/>
      <c r="L118" s="53"/>
      <c r="M118" s="53"/>
      <c r="N118" s="53"/>
      <c r="O118" s="53"/>
      <c r="P118" s="53"/>
      <c r="Q118" s="53"/>
      <c r="R118" s="53"/>
      <c r="S118" s="53"/>
      <c r="T118" s="53"/>
      <c r="U118" s="53"/>
      <c r="V118" s="53"/>
      <c r="W118" s="53"/>
      <c r="X118" s="53"/>
      <c r="Y118" s="53"/>
      <c r="Z118" s="53"/>
      <c r="AA118" s="53"/>
      <c r="AB118" s="53"/>
    </row>
    <row r="119" spans="2:28" ht="15" customHeight="1">
      <c r="B119" s="53"/>
      <c r="C119" s="53"/>
      <c r="D119" s="53"/>
      <c r="E119" s="53"/>
      <c r="F119" s="53"/>
      <c r="G119" s="53"/>
      <c r="H119" s="53"/>
      <c r="I119" s="53"/>
      <c r="J119" s="53"/>
      <c r="K119" s="53"/>
      <c r="L119" s="53"/>
      <c r="M119" s="53"/>
      <c r="N119" s="53"/>
      <c r="O119" s="53"/>
      <c r="P119" s="53"/>
      <c r="Q119" s="53"/>
      <c r="R119" s="53"/>
      <c r="S119" s="53"/>
      <c r="T119" s="53"/>
      <c r="U119" s="53"/>
      <c r="V119" s="53"/>
      <c r="W119" s="53"/>
      <c r="X119" s="53"/>
      <c r="Y119" s="53"/>
      <c r="Z119" s="53"/>
      <c r="AA119" s="53"/>
      <c r="AB119" s="53"/>
    </row>
    <row r="120" spans="2:28" ht="15" customHeight="1">
      <c r="B120" s="53"/>
      <c r="C120" s="53"/>
      <c r="D120" s="53"/>
      <c r="E120" s="53"/>
      <c r="F120" s="53"/>
      <c r="G120" s="53"/>
      <c r="H120" s="53"/>
      <c r="I120" s="53"/>
      <c r="J120" s="53"/>
      <c r="K120" s="53"/>
      <c r="L120" s="53"/>
      <c r="M120" s="53"/>
      <c r="N120" s="53"/>
      <c r="O120" s="53"/>
      <c r="P120" s="53"/>
      <c r="Q120" s="53"/>
      <c r="R120" s="53"/>
      <c r="S120" s="53"/>
      <c r="T120" s="53"/>
      <c r="U120" s="53"/>
      <c r="V120" s="53"/>
      <c r="W120" s="53"/>
      <c r="X120" s="53"/>
      <c r="Y120" s="53"/>
      <c r="Z120" s="53"/>
      <c r="AA120" s="53"/>
      <c r="AB120" s="53"/>
    </row>
    <row r="121" spans="2:28" ht="15" customHeight="1">
      <c r="B121" s="53"/>
      <c r="C121" s="53"/>
      <c r="D121" s="53"/>
      <c r="E121" s="53"/>
      <c r="F121" s="53"/>
      <c r="G121" s="53"/>
      <c r="H121" s="53"/>
      <c r="I121" s="53"/>
      <c r="J121" s="53"/>
      <c r="K121" s="53"/>
      <c r="L121" s="53"/>
      <c r="M121" s="53"/>
      <c r="N121" s="53"/>
      <c r="O121" s="53"/>
      <c r="P121" s="53"/>
      <c r="Q121" s="53"/>
      <c r="R121" s="53"/>
      <c r="S121" s="53"/>
      <c r="T121" s="53"/>
      <c r="U121" s="53"/>
      <c r="V121" s="53"/>
      <c r="W121" s="53"/>
      <c r="X121" s="53"/>
      <c r="Y121" s="53"/>
      <c r="Z121" s="53"/>
      <c r="AA121" s="53"/>
      <c r="AB121" s="53"/>
    </row>
    <row r="122" spans="2:28" ht="15" customHeight="1">
      <c r="B122" s="53"/>
      <c r="C122" s="53"/>
      <c r="D122" s="53"/>
      <c r="E122" s="53"/>
      <c r="F122" s="53"/>
      <c r="G122" s="53"/>
      <c r="H122" s="53"/>
      <c r="I122" s="53"/>
      <c r="J122" s="53"/>
      <c r="K122" s="53"/>
      <c r="L122" s="53"/>
      <c r="M122" s="53"/>
      <c r="N122" s="53"/>
      <c r="O122" s="53"/>
      <c r="P122" s="53"/>
      <c r="Q122" s="53"/>
      <c r="R122" s="53"/>
      <c r="S122" s="53"/>
      <c r="T122" s="53"/>
      <c r="U122" s="53"/>
      <c r="V122" s="53"/>
      <c r="W122" s="53"/>
      <c r="X122" s="53"/>
      <c r="Y122" s="53"/>
      <c r="Z122" s="53"/>
      <c r="AA122" s="53"/>
      <c r="AB122" s="53"/>
    </row>
    <row r="123" spans="2:28" ht="15" customHeight="1">
      <c r="B123" s="53"/>
      <c r="C123" s="53"/>
      <c r="D123" s="53"/>
      <c r="E123" s="53"/>
      <c r="F123" s="53"/>
      <c r="G123" s="53"/>
      <c r="H123" s="53"/>
      <c r="I123" s="53"/>
      <c r="J123" s="53"/>
      <c r="K123" s="53"/>
      <c r="L123" s="53"/>
      <c r="M123" s="53"/>
      <c r="N123" s="53"/>
      <c r="O123" s="53"/>
      <c r="P123" s="53"/>
      <c r="Q123" s="53"/>
      <c r="R123" s="53"/>
      <c r="S123" s="53"/>
      <c r="T123" s="53"/>
      <c r="U123" s="53"/>
      <c r="V123" s="53"/>
      <c r="W123" s="53"/>
      <c r="X123" s="53"/>
      <c r="Y123" s="53"/>
      <c r="Z123" s="53"/>
      <c r="AA123" s="53"/>
      <c r="AB123" s="53"/>
    </row>
    <row r="124" spans="2:28" ht="15" customHeight="1">
      <c r="B124" s="53"/>
      <c r="C124" s="53"/>
      <c r="D124" s="53"/>
      <c r="E124" s="53"/>
      <c r="F124" s="53"/>
      <c r="G124" s="53"/>
      <c r="H124" s="53"/>
      <c r="I124" s="53"/>
      <c r="J124" s="53"/>
      <c r="K124" s="53"/>
      <c r="L124" s="53"/>
      <c r="M124" s="53"/>
      <c r="N124" s="53"/>
      <c r="O124" s="53"/>
      <c r="P124" s="53"/>
      <c r="Q124" s="53"/>
      <c r="R124" s="53"/>
      <c r="S124" s="53"/>
      <c r="T124" s="53"/>
      <c r="U124" s="53"/>
      <c r="V124" s="53"/>
      <c r="W124" s="53"/>
      <c r="X124" s="53"/>
      <c r="Y124" s="53"/>
      <c r="Z124" s="53"/>
      <c r="AA124" s="53"/>
      <c r="AB124" s="53"/>
    </row>
    <row r="125" spans="2:28" ht="15" customHeight="1">
      <c r="B125" s="53"/>
      <c r="C125" s="53"/>
      <c r="D125" s="53"/>
      <c r="E125" s="53"/>
      <c r="F125" s="53"/>
      <c r="G125" s="53"/>
      <c r="H125" s="53"/>
      <c r="I125" s="53"/>
      <c r="J125" s="53"/>
      <c r="K125" s="53"/>
      <c r="L125" s="53"/>
      <c r="M125" s="53"/>
      <c r="N125" s="53"/>
      <c r="O125" s="53"/>
      <c r="P125" s="53"/>
      <c r="Q125" s="53"/>
      <c r="R125" s="53"/>
      <c r="S125" s="53"/>
      <c r="T125" s="53"/>
      <c r="U125" s="53"/>
      <c r="V125" s="53"/>
      <c r="W125" s="53"/>
      <c r="X125" s="53"/>
      <c r="Y125" s="53"/>
      <c r="Z125" s="53"/>
      <c r="AA125" s="53"/>
      <c r="AB125" s="53"/>
    </row>
    <row r="126" spans="2:28" ht="15" customHeight="1">
      <c r="B126" s="53"/>
      <c r="C126" s="53"/>
      <c r="D126" s="53"/>
      <c r="E126" s="53"/>
      <c r="F126" s="53"/>
      <c r="G126" s="53"/>
      <c r="H126" s="53"/>
      <c r="I126" s="53"/>
      <c r="J126" s="53"/>
      <c r="K126" s="53"/>
      <c r="L126" s="53"/>
      <c r="M126" s="53"/>
      <c r="N126" s="53"/>
      <c r="O126" s="53"/>
      <c r="P126" s="53"/>
      <c r="Q126" s="53"/>
      <c r="R126" s="53"/>
      <c r="S126" s="53"/>
      <c r="T126" s="53"/>
      <c r="U126" s="53"/>
      <c r="V126" s="53"/>
      <c r="W126" s="53"/>
      <c r="X126" s="53"/>
      <c r="Y126" s="53"/>
      <c r="Z126" s="53"/>
      <c r="AA126" s="53"/>
      <c r="AB126" s="53"/>
    </row>
    <row r="127" spans="2:28" ht="15" customHeight="1">
      <c r="B127" s="53"/>
      <c r="C127" s="53"/>
      <c r="D127" s="53"/>
      <c r="E127" s="53"/>
      <c r="F127" s="53"/>
      <c r="G127" s="53"/>
      <c r="H127" s="53"/>
      <c r="I127" s="53"/>
      <c r="J127" s="53"/>
      <c r="K127" s="53"/>
      <c r="L127" s="53"/>
      <c r="M127" s="53"/>
      <c r="N127" s="53"/>
      <c r="O127" s="53"/>
      <c r="P127" s="53"/>
      <c r="Q127" s="53"/>
      <c r="R127" s="53"/>
      <c r="S127" s="53"/>
      <c r="T127" s="53"/>
      <c r="U127" s="53"/>
      <c r="V127" s="53"/>
      <c r="W127" s="53"/>
      <c r="X127" s="53"/>
      <c r="Y127" s="53"/>
      <c r="Z127" s="53"/>
      <c r="AA127" s="53"/>
      <c r="AB127" s="53"/>
    </row>
    <row r="128" spans="2:28" ht="15" customHeight="1">
      <c r="B128" s="53"/>
      <c r="C128" s="53"/>
      <c r="D128" s="53"/>
      <c r="E128" s="53"/>
      <c r="F128" s="53"/>
      <c r="G128" s="53"/>
      <c r="H128" s="53"/>
      <c r="I128" s="53"/>
      <c r="J128" s="53"/>
      <c r="K128" s="53"/>
      <c r="L128" s="53"/>
      <c r="M128" s="53"/>
      <c r="N128" s="53"/>
      <c r="O128" s="53"/>
      <c r="P128" s="53"/>
      <c r="Q128" s="53"/>
      <c r="R128" s="53"/>
      <c r="S128" s="53"/>
      <c r="T128" s="53"/>
      <c r="U128" s="53"/>
      <c r="V128" s="53"/>
      <c r="W128" s="53"/>
      <c r="X128" s="53"/>
      <c r="Y128" s="53"/>
      <c r="Z128" s="53"/>
      <c r="AA128" s="53"/>
      <c r="AB128" s="53"/>
    </row>
    <row r="129" spans="2:28" ht="15" customHeight="1">
      <c r="B129" s="53"/>
      <c r="C129" s="53"/>
      <c r="D129" s="53"/>
      <c r="E129" s="53"/>
      <c r="F129" s="53"/>
      <c r="G129" s="53"/>
      <c r="H129" s="53"/>
      <c r="I129" s="53"/>
      <c r="J129" s="53"/>
      <c r="K129" s="53"/>
      <c r="L129" s="53"/>
      <c r="M129" s="53"/>
      <c r="N129" s="53"/>
      <c r="O129" s="53"/>
      <c r="P129" s="53"/>
      <c r="Q129" s="53"/>
      <c r="R129" s="53"/>
      <c r="S129" s="53"/>
      <c r="T129" s="53"/>
      <c r="U129" s="53"/>
      <c r="V129" s="53"/>
      <c r="W129" s="53"/>
      <c r="X129" s="53"/>
      <c r="Y129" s="53"/>
      <c r="Z129" s="53"/>
      <c r="AA129" s="53"/>
      <c r="AB129" s="53"/>
    </row>
    <row r="130" spans="2:28" ht="15" customHeight="1">
      <c r="B130" s="53"/>
      <c r="C130" s="53"/>
      <c r="D130" s="53"/>
      <c r="E130" s="53"/>
      <c r="F130" s="53"/>
      <c r="G130" s="53"/>
      <c r="H130" s="53"/>
      <c r="I130" s="53"/>
      <c r="J130" s="53"/>
      <c r="K130" s="53"/>
      <c r="L130" s="53"/>
      <c r="M130" s="53"/>
      <c r="N130" s="53"/>
      <c r="O130" s="53"/>
      <c r="P130" s="53"/>
      <c r="Q130" s="53"/>
      <c r="R130" s="53"/>
      <c r="S130" s="53"/>
      <c r="T130" s="53"/>
      <c r="U130" s="53"/>
      <c r="V130" s="53"/>
      <c r="W130" s="53"/>
      <c r="X130" s="53"/>
      <c r="Y130" s="53"/>
      <c r="Z130" s="53"/>
      <c r="AA130" s="53"/>
      <c r="AB130" s="53"/>
    </row>
    <row r="131" spans="2:28" ht="15" customHeight="1">
      <c r="B131" s="53"/>
      <c r="C131" s="53"/>
      <c r="D131" s="53"/>
      <c r="E131" s="53"/>
      <c r="F131" s="53"/>
      <c r="G131" s="53"/>
      <c r="H131" s="53"/>
      <c r="I131" s="53"/>
      <c r="J131" s="53"/>
      <c r="K131" s="53"/>
      <c r="L131" s="53"/>
      <c r="M131" s="53"/>
      <c r="N131" s="53"/>
      <c r="O131" s="53"/>
      <c r="P131" s="53"/>
      <c r="Q131" s="53"/>
      <c r="R131" s="53"/>
      <c r="S131" s="53"/>
      <c r="T131" s="53"/>
      <c r="U131" s="53"/>
      <c r="V131" s="53"/>
      <c r="W131" s="53"/>
      <c r="X131" s="53"/>
      <c r="Y131" s="53"/>
      <c r="Z131" s="53"/>
      <c r="AA131" s="53"/>
      <c r="AB131" s="53"/>
    </row>
    <row r="132" spans="2:28" ht="15" customHeight="1">
      <c r="B132" s="53"/>
      <c r="C132" s="53"/>
      <c r="D132" s="53"/>
      <c r="E132" s="53"/>
      <c r="F132" s="53"/>
      <c r="G132" s="53"/>
      <c r="H132" s="53"/>
      <c r="I132" s="53"/>
      <c r="J132" s="53"/>
      <c r="K132" s="53"/>
      <c r="L132" s="53"/>
      <c r="M132" s="53"/>
      <c r="N132" s="53"/>
      <c r="O132" s="53"/>
      <c r="P132" s="53"/>
      <c r="Q132" s="53"/>
      <c r="R132" s="53"/>
      <c r="S132" s="53"/>
      <c r="T132" s="53"/>
      <c r="U132" s="53"/>
      <c r="V132" s="53"/>
      <c r="W132" s="53"/>
      <c r="X132" s="53"/>
      <c r="Y132" s="53"/>
      <c r="Z132" s="53"/>
      <c r="AA132" s="53"/>
      <c r="AB132" s="53"/>
    </row>
    <row r="133" spans="2:28" ht="15" customHeight="1">
      <c r="B133" s="53"/>
      <c r="C133" s="53"/>
      <c r="D133" s="53"/>
      <c r="E133" s="53"/>
      <c r="F133" s="53"/>
      <c r="G133" s="53"/>
      <c r="H133" s="53"/>
      <c r="I133" s="53"/>
      <c r="J133" s="53"/>
      <c r="K133" s="53"/>
      <c r="L133" s="53"/>
      <c r="M133" s="53"/>
      <c r="N133" s="53"/>
      <c r="O133" s="53"/>
      <c r="P133" s="53"/>
      <c r="Q133" s="53"/>
      <c r="R133" s="53"/>
      <c r="S133" s="53"/>
      <c r="T133" s="53"/>
      <c r="U133" s="53"/>
      <c r="V133" s="53"/>
      <c r="W133" s="53"/>
      <c r="X133" s="53"/>
      <c r="Y133" s="53"/>
      <c r="Z133" s="53"/>
      <c r="AA133" s="53"/>
      <c r="AB133" s="53"/>
    </row>
    <row r="134" spans="2:28" ht="15" customHeight="1">
      <c r="B134" s="53"/>
      <c r="C134" s="53"/>
      <c r="D134" s="53"/>
      <c r="E134" s="53"/>
      <c r="F134" s="53"/>
      <c r="G134" s="53"/>
      <c r="H134" s="53"/>
      <c r="I134" s="53"/>
      <c r="J134" s="53"/>
      <c r="K134" s="53"/>
      <c r="L134" s="53"/>
      <c r="M134" s="53"/>
      <c r="N134" s="53"/>
      <c r="O134" s="53"/>
      <c r="P134" s="53"/>
      <c r="Q134" s="53"/>
      <c r="R134" s="53"/>
      <c r="S134" s="53"/>
      <c r="T134" s="53"/>
      <c r="U134" s="53"/>
      <c r="V134" s="53"/>
      <c r="W134" s="53"/>
      <c r="X134" s="53"/>
      <c r="Y134" s="53"/>
      <c r="Z134" s="53"/>
      <c r="AA134" s="53"/>
      <c r="AB134" s="53"/>
    </row>
    <row r="135" spans="2:28" ht="15" customHeight="1">
      <c r="B135" s="53"/>
      <c r="C135" s="53"/>
      <c r="D135" s="53"/>
      <c r="E135" s="53"/>
      <c r="F135" s="53"/>
      <c r="G135" s="53"/>
      <c r="H135" s="53"/>
      <c r="I135" s="53"/>
      <c r="J135" s="53"/>
      <c r="K135" s="53"/>
      <c r="L135" s="53"/>
      <c r="M135" s="53"/>
      <c r="N135" s="53"/>
      <c r="O135" s="53"/>
      <c r="P135" s="53"/>
      <c r="Q135" s="53"/>
      <c r="R135" s="53"/>
      <c r="S135" s="53"/>
      <c r="T135" s="53"/>
      <c r="U135" s="53"/>
      <c r="V135" s="53"/>
      <c r="W135" s="53"/>
      <c r="X135" s="53"/>
      <c r="Y135" s="53"/>
      <c r="Z135" s="53"/>
      <c r="AA135" s="53"/>
      <c r="AB135" s="53"/>
    </row>
    <row r="136" spans="2:28" ht="15" customHeight="1">
      <c r="B136" s="53"/>
      <c r="C136" s="53"/>
      <c r="D136" s="53"/>
      <c r="E136" s="53"/>
      <c r="F136" s="53"/>
      <c r="G136" s="53"/>
      <c r="H136" s="53"/>
      <c r="I136" s="53"/>
      <c r="J136" s="53"/>
      <c r="K136" s="53"/>
      <c r="L136" s="53"/>
      <c r="M136" s="53"/>
      <c r="N136" s="53"/>
      <c r="O136" s="53"/>
      <c r="P136" s="53"/>
      <c r="Q136" s="53"/>
      <c r="R136" s="53"/>
      <c r="S136" s="53"/>
      <c r="T136" s="53"/>
      <c r="U136" s="53"/>
      <c r="V136" s="53"/>
      <c r="W136" s="53"/>
      <c r="X136" s="53"/>
      <c r="Y136" s="53"/>
      <c r="Z136" s="53"/>
      <c r="AA136" s="53"/>
      <c r="AB136" s="53"/>
    </row>
    <row r="137" spans="2:28" ht="15" customHeight="1">
      <c r="B137" s="53"/>
      <c r="C137" s="53"/>
      <c r="D137" s="53"/>
      <c r="E137" s="53"/>
      <c r="F137" s="53"/>
      <c r="G137" s="53"/>
      <c r="H137" s="53"/>
      <c r="I137" s="53"/>
      <c r="J137" s="53"/>
      <c r="K137" s="53"/>
      <c r="L137" s="53"/>
      <c r="M137" s="53"/>
      <c r="N137" s="53"/>
      <c r="O137" s="53"/>
      <c r="P137" s="53"/>
      <c r="Q137" s="53"/>
      <c r="R137" s="53"/>
      <c r="S137" s="53"/>
      <c r="T137" s="53"/>
      <c r="U137" s="53"/>
      <c r="V137" s="53"/>
      <c r="W137" s="53"/>
      <c r="X137" s="53"/>
      <c r="Y137" s="53"/>
      <c r="Z137" s="53"/>
      <c r="AA137" s="53"/>
      <c r="AB137" s="53"/>
    </row>
    <row r="138" spans="2:28" ht="15" customHeight="1">
      <c r="B138" s="53"/>
      <c r="C138" s="53"/>
      <c r="D138" s="53"/>
      <c r="E138" s="53"/>
      <c r="F138" s="53"/>
      <c r="G138" s="53"/>
      <c r="H138" s="53"/>
      <c r="I138" s="53"/>
      <c r="J138" s="53"/>
      <c r="K138" s="53"/>
      <c r="L138" s="53"/>
      <c r="M138" s="53"/>
      <c r="N138" s="53"/>
      <c r="O138" s="53"/>
      <c r="P138" s="53"/>
      <c r="Q138" s="53"/>
      <c r="R138" s="53"/>
      <c r="S138" s="53"/>
      <c r="T138" s="53"/>
      <c r="U138" s="53"/>
      <c r="V138" s="53"/>
      <c r="W138" s="53"/>
      <c r="X138" s="53"/>
      <c r="Y138" s="53"/>
      <c r="Z138" s="53"/>
      <c r="AA138" s="53"/>
      <c r="AB138" s="53"/>
    </row>
    <row r="139" spans="2:28" ht="15" customHeight="1">
      <c r="B139" s="53"/>
      <c r="C139" s="53"/>
      <c r="D139" s="53"/>
      <c r="E139" s="53"/>
      <c r="F139" s="53"/>
      <c r="G139" s="53"/>
      <c r="H139" s="53"/>
      <c r="I139" s="53"/>
      <c r="J139" s="53"/>
      <c r="K139" s="53"/>
      <c r="L139" s="53"/>
      <c r="M139" s="53"/>
      <c r="N139" s="53"/>
      <c r="O139" s="53"/>
      <c r="P139" s="53"/>
      <c r="Q139" s="53"/>
      <c r="R139" s="53"/>
      <c r="S139" s="53"/>
      <c r="T139" s="53"/>
      <c r="U139" s="53"/>
      <c r="V139" s="53"/>
      <c r="W139" s="53"/>
      <c r="X139" s="53"/>
      <c r="Y139" s="53"/>
      <c r="Z139" s="53"/>
      <c r="AA139" s="53"/>
      <c r="AB139" s="53"/>
    </row>
    <row r="140" spans="2:28" ht="15" customHeight="1">
      <c r="B140" s="53"/>
      <c r="C140" s="53"/>
      <c r="D140" s="53"/>
      <c r="E140" s="53"/>
      <c r="F140" s="53"/>
      <c r="G140" s="53"/>
      <c r="H140" s="53"/>
      <c r="I140" s="53"/>
      <c r="J140" s="53"/>
      <c r="K140" s="53"/>
      <c r="L140" s="53"/>
      <c r="M140" s="53"/>
      <c r="N140" s="53"/>
      <c r="O140" s="53"/>
      <c r="P140" s="53"/>
      <c r="Q140" s="53"/>
      <c r="R140" s="53"/>
      <c r="S140" s="53"/>
      <c r="T140" s="53"/>
      <c r="U140" s="53"/>
      <c r="V140" s="53"/>
      <c r="W140" s="53"/>
      <c r="X140" s="53"/>
      <c r="Y140" s="53"/>
      <c r="Z140" s="53"/>
      <c r="AA140" s="53"/>
      <c r="AB140" s="53"/>
    </row>
    <row r="141" spans="2:28" ht="15" customHeight="1">
      <c r="B141" s="53"/>
      <c r="C141" s="53"/>
      <c r="D141" s="53"/>
      <c r="E141" s="53"/>
      <c r="F141" s="53"/>
      <c r="G141" s="53"/>
      <c r="H141" s="53"/>
      <c r="I141" s="53"/>
      <c r="J141" s="53"/>
      <c r="K141" s="53"/>
      <c r="L141" s="53"/>
      <c r="M141" s="53"/>
      <c r="N141" s="53"/>
      <c r="O141" s="53"/>
      <c r="P141" s="53"/>
      <c r="Q141" s="53"/>
      <c r="R141" s="53"/>
      <c r="S141" s="53"/>
      <c r="T141" s="53"/>
      <c r="U141" s="53"/>
      <c r="V141" s="53"/>
      <c r="W141" s="53"/>
      <c r="X141" s="53"/>
      <c r="Y141" s="53"/>
      <c r="Z141" s="53"/>
      <c r="AA141" s="53"/>
      <c r="AB141" s="53"/>
    </row>
    <row r="142" spans="2:28" ht="15" customHeight="1">
      <c r="B142" s="53"/>
      <c r="C142" s="53"/>
      <c r="D142" s="53"/>
      <c r="E142" s="53"/>
      <c r="F142" s="53"/>
      <c r="G142" s="53"/>
      <c r="H142" s="53"/>
      <c r="I142" s="53"/>
      <c r="J142" s="53"/>
      <c r="K142" s="53"/>
      <c r="L142" s="53"/>
      <c r="M142" s="53"/>
      <c r="N142" s="53"/>
      <c r="O142" s="53"/>
      <c r="P142" s="53"/>
      <c r="Q142" s="53"/>
      <c r="R142" s="53"/>
      <c r="S142" s="53"/>
      <c r="T142" s="53"/>
      <c r="U142" s="53"/>
      <c r="V142" s="53"/>
      <c r="W142" s="53"/>
      <c r="X142" s="53"/>
      <c r="Y142" s="53"/>
      <c r="Z142" s="53"/>
      <c r="AA142" s="53"/>
      <c r="AB142" s="53"/>
    </row>
    <row r="143" spans="2:28" ht="15" customHeight="1">
      <c r="B143" s="53"/>
      <c r="C143" s="53"/>
      <c r="D143" s="53"/>
      <c r="E143" s="53"/>
      <c r="F143" s="53"/>
      <c r="G143" s="53"/>
      <c r="H143" s="53"/>
      <c r="I143" s="53"/>
      <c r="J143" s="53"/>
      <c r="K143" s="53"/>
      <c r="L143" s="53"/>
      <c r="M143" s="53"/>
      <c r="N143" s="53"/>
      <c r="O143" s="53"/>
      <c r="P143" s="53"/>
      <c r="Q143" s="53"/>
      <c r="R143" s="53"/>
      <c r="S143" s="53"/>
      <c r="T143" s="53"/>
      <c r="U143" s="53"/>
      <c r="V143" s="53"/>
      <c r="W143" s="53"/>
      <c r="X143" s="53"/>
      <c r="Y143" s="53"/>
      <c r="Z143" s="53"/>
      <c r="AA143" s="53"/>
      <c r="AB143" s="53"/>
    </row>
    <row r="144" spans="2:28" ht="15" customHeight="1">
      <c r="B144" s="53"/>
      <c r="C144" s="53"/>
      <c r="D144" s="53"/>
      <c r="E144" s="53"/>
      <c r="F144" s="53"/>
      <c r="G144" s="53"/>
      <c r="H144" s="53"/>
      <c r="I144" s="53"/>
      <c r="J144" s="53"/>
      <c r="K144" s="53"/>
      <c r="L144" s="53"/>
      <c r="M144" s="53"/>
      <c r="N144" s="53"/>
      <c r="O144" s="53"/>
      <c r="P144" s="53"/>
      <c r="Q144" s="53"/>
      <c r="R144" s="53"/>
      <c r="S144" s="53"/>
      <c r="T144" s="53"/>
      <c r="U144" s="53"/>
      <c r="V144" s="53"/>
      <c r="W144" s="53"/>
      <c r="X144" s="53"/>
      <c r="Y144" s="53"/>
      <c r="Z144" s="53"/>
      <c r="AA144" s="53"/>
      <c r="AB144" s="53"/>
    </row>
    <row r="145" spans="2:28" ht="15" customHeight="1">
      <c r="B145" s="53"/>
      <c r="C145" s="53"/>
      <c r="D145" s="53"/>
      <c r="E145" s="53"/>
      <c r="F145" s="53"/>
      <c r="G145" s="53"/>
      <c r="H145" s="53"/>
      <c r="I145" s="53"/>
      <c r="J145" s="53"/>
      <c r="K145" s="53"/>
      <c r="L145" s="53"/>
      <c r="M145" s="53"/>
      <c r="N145" s="53"/>
      <c r="O145" s="53"/>
      <c r="P145" s="53"/>
      <c r="Q145" s="53"/>
      <c r="R145" s="53"/>
      <c r="S145" s="53"/>
      <c r="T145" s="53"/>
      <c r="U145" s="53"/>
      <c r="V145" s="53"/>
      <c r="W145" s="53"/>
      <c r="X145" s="53"/>
      <c r="Y145" s="53"/>
      <c r="Z145" s="53"/>
      <c r="AA145" s="53"/>
      <c r="AB145" s="53"/>
    </row>
    <row r="146" spans="2:28" ht="15" customHeight="1">
      <c r="B146" s="53"/>
      <c r="C146" s="53"/>
      <c r="D146" s="53"/>
      <c r="E146" s="53"/>
      <c r="F146" s="53"/>
      <c r="G146" s="53"/>
      <c r="H146" s="53"/>
      <c r="I146" s="53"/>
      <c r="J146" s="53"/>
      <c r="K146" s="53"/>
      <c r="L146" s="53"/>
      <c r="M146" s="53"/>
      <c r="N146" s="53"/>
      <c r="O146" s="53"/>
      <c r="P146" s="53"/>
      <c r="Q146" s="53"/>
      <c r="R146" s="53"/>
      <c r="S146" s="53"/>
      <c r="T146" s="53"/>
      <c r="U146" s="53"/>
      <c r="V146" s="53"/>
      <c r="W146" s="53"/>
      <c r="X146" s="53"/>
      <c r="Y146" s="53"/>
      <c r="Z146" s="53"/>
      <c r="AA146" s="53"/>
      <c r="AB146" s="53"/>
    </row>
    <row r="147" spans="2:28" ht="15" customHeight="1">
      <c r="B147" s="53"/>
      <c r="C147" s="53"/>
      <c r="D147" s="53"/>
      <c r="E147" s="53"/>
      <c r="F147" s="53"/>
      <c r="G147" s="53"/>
      <c r="H147" s="53"/>
      <c r="I147" s="53"/>
      <c r="J147" s="53"/>
      <c r="K147" s="53"/>
      <c r="L147" s="53"/>
      <c r="M147" s="53"/>
      <c r="N147" s="53"/>
      <c r="O147" s="53"/>
      <c r="P147" s="53"/>
      <c r="Q147" s="53"/>
      <c r="R147" s="53"/>
      <c r="S147" s="53"/>
      <c r="T147" s="53"/>
      <c r="U147" s="53"/>
      <c r="V147" s="53"/>
      <c r="W147" s="53"/>
      <c r="X147" s="53"/>
      <c r="Y147" s="53"/>
      <c r="Z147" s="53"/>
      <c r="AA147" s="53"/>
      <c r="AB147" s="53"/>
    </row>
    <row r="148" spans="2:28" ht="15" customHeight="1">
      <c r="B148" s="53"/>
      <c r="C148" s="53"/>
      <c r="D148" s="53"/>
      <c r="E148" s="53"/>
      <c r="F148" s="53"/>
      <c r="G148" s="53"/>
      <c r="H148" s="53"/>
      <c r="I148" s="53"/>
      <c r="J148" s="53"/>
      <c r="K148" s="53"/>
      <c r="L148" s="53"/>
      <c r="M148" s="53"/>
      <c r="N148" s="53"/>
      <c r="O148" s="53"/>
      <c r="P148" s="53"/>
      <c r="Q148" s="53"/>
      <c r="R148" s="53"/>
      <c r="S148" s="53"/>
      <c r="T148" s="53"/>
      <c r="U148" s="53"/>
      <c r="V148" s="53"/>
      <c r="W148" s="53"/>
      <c r="X148" s="53"/>
      <c r="Y148" s="53"/>
      <c r="Z148" s="53"/>
      <c r="AA148" s="53"/>
      <c r="AB148" s="53"/>
    </row>
    <row r="149" spans="2:28" ht="15" customHeight="1">
      <c r="B149" s="53"/>
      <c r="C149" s="53"/>
      <c r="D149" s="53"/>
      <c r="E149" s="53"/>
      <c r="F149" s="53"/>
      <c r="G149" s="53"/>
      <c r="H149" s="53"/>
      <c r="I149" s="53"/>
      <c r="J149" s="53"/>
      <c r="K149" s="53"/>
      <c r="L149" s="53"/>
      <c r="M149" s="53"/>
      <c r="N149" s="53"/>
      <c r="O149" s="53"/>
      <c r="P149" s="53"/>
      <c r="Q149" s="53"/>
      <c r="R149" s="53"/>
      <c r="S149" s="53"/>
      <c r="T149" s="53"/>
      <c r="U149" s="53"/>
      <c r="V149" s="53"/>
      <c r="W149" s="53"/>
      <c r="X149" s="53"/>
      <c r="Y149" s="53"/>
      <c r="Z149" s="53"/>
      <c r="AA149" s="53"/>
      <c r="AB149" s="53"/>
    </row>
    <row r="150" spans="2:28" ht="15" customHeight="1">
      <c r="B150" s="53"/>
      <c r="C150" s="53"/>
      <c r="D150" s="53"/>
      <c r="E150" s="53"/>
      <c r="F150" s="53"/>
      <c r="G150" s="53"/>
      <c r="H150" s="53"/>
      <c r="I150" s="53"/>
      <c r="J150" s="53"/>
      <c r="K150" s="53"/>
      <c r="L150" s="53"/>
      <c r="M150" s="53"/>
      <c r="N150" s="53"/>
      <c r="O150" s="53"/>
      <c r="P150" s="53"/>
      <c r="Q150" s="53"/>
      <c r="R150" s="53"/>
      <c r="S150" s="53"/>
      <c r="T150" s="53"/>
      <c r="U150" s="53"/>
      <c r="V150" s="53"/>
      <c r="W150" s="53"/>
      <c r="X150" s="53"/>
      <c r="Y150" s="53"/>
      <c r="Z150" s="53"/>
      <c r="AA150" s="53"/>
      <c r="AB150" s="53"/>
    </row>
    <row r="151" spans="2:28" ht="15" customHeight="1">
      <c r="B151" s="53"/>
      <c r="C151" s="53"/>
      <c r="D151" s="53"/>
      <c r="E151" s="53"/>
      <c r="F151" s="53"/>
      <c r="G151" s="53"/>
      <c r="H151" s="53"/>
      <c r="I151" s="53"/>
      <c r="J151" s="53"/>
      <c r="K151" s="53"/>
      <c r="L151" s="53"/>
      <c r="M151" s="53"/>
      <c r="N151" s="53"/>
      <c r="O151" s="53"/>
      <c r="P151" s="53"/>
      <c r="Q151" s="53"/>
      <c r="R151" s="53"/>
      <c r="S151" s="53"/>
      <c r="T151" s="53"/>
      <c r="U151" s="53"/>
      <c r="V151" s="53"/>
      <c r="W151" s="53"/>
      <c r="X151" s="53"/>
      <c r="Y151" s="53"/>
      <c r="Z151" s="53"/>
      <c r="AA151" s="53"/>
      <c r="AB151" s="53"/>
    </row>
    <row r="152" spans="2:28" ht="15" customHeight="1">
      <c r="B152" s="53"/>
      <c r="C152" s="53"/>
      <c r="D152" s="53"/>
      <c r="E152" s="53"/>
      <c r="F152" s="53"/>
      <c r="G152" s="53"/>
      <c r="H152" s="53"/>
      <c r="I152" s="53"/>
      <c r="J152" s="53"/>
      <c r="K152" s="53"/>
      <c r="L152" s="53"/>
      <c r="M152" s="53"/>
      <c r="N152" s="53"/>
      <c r="O152" s="53"/>
      <c r="P152" s="53"/>
      <c r="Q152" s="53"/>
      <c r="R152" s="53"/>
      <c r="S152" s="53"/>
      <c r="T152" s="53"/>
      <c r="U152" s="53"/>
      <c r="V152" s="53"/>
      <c r="W152" s="53"/>
      <c r="X152" s="53"/>
      <c r="Y152" s="53"/>
      <c r="Z152" s="53"/>
      <c r="AA152" s="53"/>
      <c r="AB152" s="53"/>
    </row>
    <row r="153" spans="2:28" ht="15" customHeight="1">
      <c r="B153" s="53"/>
      <c r="C153" s="53"/>
      <c r="D153" s="53"/>
      <c r="E153" s="53"/>
      <c r="F153" s="53"/>
      <c r="G153" s="53"/>
      <c r="H153" s="53"/>
      <c r="I153" s="53"/>
      <c r="J153" s="53"/>
      <c r="K153" s="53"/>
      <c r="L153" s="53"/>
      <c r="M153" s="53"/>
      <c r="N153" s="53"/>
      <c r="O153" s="53"/>
      <c r="P153" s="53"/>
      <c r="Q153" s="53"/>
      <c r="R153" s="53"/>
      <c r="S153" s="53"/>
      <c r="T153" s="53"/>
      <c r="U153" s="53"/>
      <c r="V153" s="53"/>
      <c r="W153" s="53"/>
      <c r="X153" s="53"/>
      <c r="Y153" s="53"/>
      <c r="Z153" s="53"/>
      <c r="AA153" s="53"/>
      <c r="AB153" s="53"/>
    </row>
    <row r="154" spans="2:28" ht="15" customHeight="1">
      <c r="B154" s="53"/>
      <c r="C154" s="53"/>
      <c r="D154" s="53"/>
      <c r="E154" s="53"/>
      <c r="F154" s="53"/>
      <c r="G154" s="53"/>
      <c r="H154" s="53"/>
      <c r="I154" s="53"/>
      <c r="J154" s="53"/>
      <c r="K154" s="53"/>
      <c r="L154" s="53"/>
      <c r="M154" s="53"/>
      <c r="N154" s="53"/>
      <c r="O154" s="53"/>
      <c r="P154" s="53"/>
      <c r="Q154" s="53"/>
      <c r="R154" s="53"/>
      <c r="S154" s="53"/>
      <c r="T154" s="53"/>
      <c r="U154" s="53"/>
      <c r="V154" s="53"/>
      <c r="W154" s="53"/>
      <c r="X154" s="53"/>
      <c r="Y154" s="53"/>
      <c r="Z154" s="53"/>
      <c r="AA154" s="53"/>
      <c r="AB154" s="53"/>
    </row>
    <row r="155" spans="2:28" ht="15" customHeight="1">
      <c r="B155" s="53"/>
      <c r="C155" s="53"/>
      <c r="D155" s="53"/>
      <c r="E155" s="53"/>
      <c r="F155" s="53"/>
      <c r="G155" s="53"/>
      <c r="H155" s="53"/>
      <c r="I155" s="53"/>
      <c r="J155" s="53"/>
      <c r="K155" s="53"/>
      <c r="L155" s="53"/>
      <c r="M155" s="53"/>
      <c r="N155" s="53"/>
      <c r="O155" s="53"/>
      <c r="P155" s="53"/>
      <c r="Q155" s="53"/>
      <c r="R155" s="53"/>
      <c r="S155" s="53"/>
      <c r="T155" s="53"/>
      <c r="U155" s="53"/>
      <c r="V155" s="53"/>
      <c r="W155" s="53"/>
      <c r="X155" s="53"/>
      <c r="Y155" s="53"/>
      <c r="Z155" s="53"/>
      <c r="AA155" s="53"/>
      <c r="AB155" s="53"/>
    </row>
    <row r="156" spans="2:28" ht="15" customHeight="1">
      <c r="B156" s="53"/>
      <c r="C156" s="53"/>
      <c r="D156" s="53"/>
      <c r="E156" s="53"/>
      <c r="F156" s="53"/>
      <c r="G156" s="53"/>
      <c r="H156" s="53"/>
      <c r="I156" s="53"/>
      <c r="J156" s="53"/>
      <c r="K156" s="53"/>
      <c r="L156" s="53"/>
      <c r="M156" s="53"/>
      <c r="N156" s="53"/>
      <c r="O156" s="53"/>
      <c r="P156" s="53"/>
      <c r="Q156" s="53"/>
      <c r="R156" s="53"/>
      <c r="S156" s="53"/>
      <c r="T156" s="53"/>
      <c r="U156" s="53"/>
      <c r="V156" s="53"/>
      <c r="W156" s="53"/>
      <c r="X156" s="53"/>
      <c r="Y156" s="53"/>
      <c r="Z156" s="53"/>
      <c r="AA156" s="53"/>
      <c r="AB156" s="53"/>
    </row>
    <row r="157" spans="2:28" ht="15" customHeight="1">
      <c r="B157" s="53"/>
      <c r="C157" s="53"/>
      <c r="D157" s="53"/>
      <c r="E157" s="53"/>
      <c r="F157" s="53"/>
      <c r="G157" s="53"/>
      <c r="H157" s="53"/>
      <c r="I157" s="53"/>
      <c r="J157" s="53"/>
      <c r="K157" s="53"/>
      <c r="L157" s="53"/>
      <c r="M157" s="53"/>
      <c r="N157" s="53"/>
      <c r="O157" s="53"/>
      <c r="P157" s="53"/>
      <c r="Q157" s="53"/>
      <c r="R157" s="53"/>
      <c r="S157" s="53"/>
      <c r="T157" s="53"/>
      <c r="U157" s="53"/>
      <c r="V157" s="53"/>
      <c r="W157" s="53"/>
      <c r="X157" s="53"/>
      <c r="Y157" s="53"/>
      <c r="Z157" s="53"/>
      <c r="AA157" s="53"/>
      <c r="AB157" s="53"/>
    </row>
    <row r="158" spans="2:28" ht="15" customHeight="1">
      <c r="B158" s="53"/>
      <c r="C158" s="53"/>
      <c r="D158" s="53"/>
      <c r="E158" s="53"/>
      <c r="F158" s="53"/>
      <c r="G158" s="53"/>
      <c r="H158" s="53"/>
      <c r="I158" s="53"/>
      <c r="J158" s="53"/>
      <c r="K158" s="53"/>
      <c r="L158" s="53"/>
      <c r="M158" s="53"/>
      <c r="N158" s="53"/>
      <c r="O158" s="53"/>
      <c r="P158" s="53"/>
      <c r="Q158" s="53"/>
      <c r="R158" s="53"/>
      <c r="S158" s="53"/>
      <c r="T158" s="53"/>
      <c r="U158" s="53"/>
      <c r="V158" s="53"/>
      <c r="W158" s="53"/>
      <c r="X158" s="53"/>
      <c r="Y158" s="53"/>
      <c r="Z158" s="53"/>
      <c r="AA158" s="53"/>
      <c r="AB158" s="53"/>
    </row>
    <row r="159" spans="2:28" ht="15" customHeight="1">
      <c r="B159" s="53"/>
      <c r="C159" s="53"/>
      <c r="D159" s="53"/>
      <c r="E159" s="53"/>
      <c r="F159" s="53"/>
      <c r="G159" s="53"/>
      <c r="H159" s="53"/>
      <c r="I159" s="53"/>
      <c r="J159" s="53"/>
      <c r="K159" s="53"/>
      <c r="L159" s="53"/>
      <c r="M159" s="53"/>
      <c r="N159" s="53"/>
      <c r="O159" s="53"/>
      <c r="P159" s="53"/>
      <c r="Q159" s="53"/>
      <c r="R159" s="53"/>
      <c r="S159" s="53"/>
      <c r="T159" s="53"/>
      <c r="U159" s="53"/>
      <c r="V159" s="53"/>
      <c r="W159" s="53"/>
      <c r="X159" s="53"/>
      <c r="Y159" s="53"/>
      <c r="Z159" s="53"/>
      <c r="AA159" s="53"/>
      <c r="AB159" s="53"/>
    </row>
    <row r="160" spans="2:28" ht="15" customHeight="1">
      <c r="B160" s="53"/>
      <c r="C160" s="53"/>
      <c r="D160" s="53"/>
      <c r="E160" s="53"/>
      <c r="F160" s="53"/>
      <c r="G160" s="53"/>
      <c r="H160" s="53"/>
      <c r="I160" s="53"/>
      <c r="J160" s="53"/>
      <c r="K160" s="53"/>
      <c r="L160" s="53"/>
      <c r="M160" s="53"/>
      <c r="N160" s="53"/>
      <c r="O160" s="53"/>
      <c r="P160" s="53"/>
      <c r="Q160" s="53"/>
      <c r="R160" s="53"/>
      <c r="S160" s="53"/>
      <c r="T160" s="53"/>
      <c r="U160" s="53"/>
      <c r="V160" s="53"/>
      <c r="W160" s="53"/>
      <c r="X160" s="53"/>
      <c r="Y160" s="53"/>
      <c r="Z160" s="53"/>
      <c r="AA160" s="53"/>
      <c r="AB160" s="53"/>
    </row>
    <row r="161" spans="2:28" ht="15" customHeight="1">
      <c r="B161" s="53"/>
      <c r="C161" s="53"/>
      <c r="D161" s="53"/>
      <c r="E161" s="53"/>
      <c r="F161" s="53"/>
      <c r="G161" s="53"/>
      <c r="H161" s="53"/>
      <c r="I161" s="53"/>
      <c r="J161" s="53"/>
      <c r="K161" s="53"/>
      <c r="L161" s="53"/>
      <c r="M161" s="53"/>
      <c r="N161" s="53"/>
      <c r="O161" s="53"/>
      <c r="P161" s="53"/>
      <c r="Q161" s="53"/>
      <c r="R161" s="53"/>
      <c r="S161" s="53"/>
      <c r="T161" s="53"/>
      <c r="U161" s="53"/>
      <c r="V161" s="53"/>
      <c r="W161" s="53"/>
      <c r="X161" s="53"/>
      <c r="Y161" s="53"/>
      <c r="Z161" s="53"/>
      <c r="AA161" s="53"/>
      <c r="AB161" s="53"/>
    </row>
    <row r="162" spans="2:28" ht="15" customHeight="1">
      <c r="B162" s="53"/>
      <c r="C162" s="53"/>
      <c r="D162" s="53"/>
      <c r="E162" s="53"/>
      <c r="F162" s="53"/>
      <c r="G162" s="53"/>
      <c r="H162" s="53"/>
      <c r="I162" s="53"/>
      <c r="J162" s="53"/>
      <c r="K162" s="53"/>
      <c r="L162" s="53"/>
      <c r="M162" s="53"/>
      <c r="N162" s="53"/>
      <c r="O162" s="53"/>
      <c r="P162" s="53"/>
      <c r="Q162" s="53"/>
      <c r="R162" s="53"/>
      <c r="S162" s="53"/>
      <c r="T162" s="53"/>
      <c r="U162" s="53"/>
      <c r="V162" s="53"/>
      <c r="W162" s="53"/>
      <c r="X162" s="53"/>
      <c r="Y162" s="53"/>
      <c r="Z162" s="53"/>
      <c r="AA162" s="53"/>
      <c r="AB162" s="53"/>
    </row>
    <row r="163" spans="2:28" ht="15" customHeight="1">
      <c r="B163" s="53"/>
      <c r="C163" s="53"/>
      <c r="D163" s="53"/>
      <c r="E163" s="53"/>
      <c r="F163" s="53"/>
      <c r="G163" s="53"/>
      <c r="H163" s="53"/>
      <c r="I163" s="53"/>
      <c r="J163" s="53"/>
      <c r="K163" s="53"/>
      <c r="L163" s="53"/>
      <c r="M163" s="53"/>
      <c r="N163" s="53"/>
      <c r="O163" s="53"/>
      <c r="P163" s="53"/>
      <c r="Q163" s="53"/>
      <c r="R163" s="53"/>
      <c r="S163" s="53"/>
      <c r="T163" s="53"/>
      <c r="U163" s="53"/>
      <c r="V163" s="53"/>
      <c r="W163" s="53"/>
      <c r="X163" s="53"/>
      <c r="Y163" s="53"/>
      <c r="Z163" s="53"/>
      <c r="AA163" s="53"/>
      <c r="AB163" s="53"/>
    </row>
    <row r="164" spans="2:28" ht="15" customHeight="1">
      <c r="B164" s="53"/>
      <c r="C164" s="53"/>
      <c r="D164" s="53"/>
      <c r="E164" s="53"/>
      <c r="F164" s="53"/>
      <c r="G164" s="53"/>
      <c r="H164" s="53"/>
      <c r="I164" s="53"/>
      <c r="J164" s="53"/>
      <c r="K164" s="53"/>
      <c r="L164" s="53"/>
      <c r="M164" s="53"/>
      <c r="N164" s="53"/>
      <c r="O164" s="53"/>
      <c r="P164" s="53"/>
      <c r="Q164" s="53"/>
      <c r="R164" s="53"/>
      <c r="S164" s="53"/>
      <c r="T164" s="53"/>
      <c r="U164" s="53"/>
      <c r="V164" s="53"/>
      <c r="W164" s="53"/>
      <c r="X164" s="53"/>
      <c r="Y164" s="53"/>
      <c r="Z164" s="53"/>
      <c r="AA164" s="53"/>
      <c r="AB164" s="53"/>
    </row>
    <row r="165" spans="2:28" ht="15" customHeight="1">
      <c r="B165" s="53"/>
      <c r="C165" s="53"/>
      <c r="D165" s="53"/>
      <c r="E165" s="53"/>
      <c r="F165" s="53"/>
      <c r="G165" s="53"/>
      <c r="H165" s="53"/>
      <c r="I165" s="53"/>
      <c r="J165" s="53"/>
      <c r="K165" s="53"/>
      <c r="L165" s="53"/>
      <c r="M165" s="53"/>
      <c r="N165" s="53"/>
      <c r="O165" s="53"/>
      <c r="P165" s="53"/>
      <c r="Q165" s="53"/>
      <c r="R165" s="53"/>
      <c r="S165" s="53"/>
      <c r="T165" s="53"/>
      <c r="U165" s="53"/>
      <c r="V165" s="53"/>
      <c r="W165" s="53"/>
      <c r="X165" s="53"/>
      <c r="Y165" s="53"/>
      <c r="Z165" s="53"/>
      <c r="AA165" s="53"/>
      <c r="AB165" s="53"/>
    </row>
    <row r="166" spans="2:28" ht="15" customHeight="1">
      <c r="H166" s="53"/>
      <c r="I166" s="53"/>
      <c r="J166" s="53"/>
      <c r="K166" s="53"/>
      <c r="L166" s="53"/>
      <c r="M166" s="53"/>
      <c r="N166" s="53"/>
      <c r="O166" s="53"/>
      <c r="P166" s="53"/>
      <c r="Q166" s="53"/>
      <c r="R166" s="53"/>
      <c r="S166" s="53"/>
      <c r="T166" s="53"/>
      <c r="U166" s="53"/>
      <c r="V166" s="53"/>
      <c r="W166" s="53"/>
      <c r="X166" s="53"/>
      <c r="Y166" s="53"/>
      <c r="Z166" s="53"/>
      <c r="AA166" s="53"/>
      <c r="AB166" s="53"/>
    </row>
    <row r="167" spans="2:28" ht="15" customHeight="1">
      <c r="H167" s="53"/>
      <c r="I167" s="53"/>
      <c r="J167" s="53"/>
      <c r="K167" s="53"/>
      <c r="L167" s="53"/>
      <c r="M167" s="53"/>
      <c r="N167" s="53"/>
      <c r="O167" s="53"/>
      <c r="P167" s="53"/>
      <c r="Q167" s="53"/>
      <c r="R167" s="53"/>
      <c r="S167" s="53"/>
      <c r="T167" s="53"/>
      <c r="U167" s="53"/>
      <c r="V167" s="53"/>
      <c r="W167" s="53"/>
      <c r="X167" s="53"/>
      <c r="Y167" s="53"/>
      <c r="Z167" s="53"/>
      <c r="AA167" s="53"/>
      <c r="AB167" s="53"/>
    </row>
    <row r="168" spans="2:28" ht="15" customHeight="1">
      <c r="H168" s="53"/>
      <c r="I168" s="53"/>
      <c r="J168" s="53"/>
      <c r="K168" s="53"/>
      <c r="L168" s="53"/>
      <c r="M168" s="53"/>
      <c r="N168" s="53"/>
      <c r="O168" s="53"/>
      <c r="P168" s="53"/>
      <c r="Q168" s="53"/>
      <c r="R168" s="53"/>
      <c r="S168" s="53"/>
      <c r="T168" s="53"/>
      <c r="U168" s="53"/>
      <c r="V168" s="53"/>
      <c r="W168" s="53"/>
      <c r="X168" s="53"/>
      <c r="Y168" s="53"/>
      <c r="Z168" s="53"/>
      <c r="AA168" s="53"/>
      <c r="AB168" s="53"/>
    </row>
    <row r="169" spans="2:28" ht="15" customHeight="1">
      <c r="H169" s="53"/>
      <c r="I169" s="53"/>
      <c r="J169" s="53"/>
      <c r="K169" s="53"/>
      <c r="L169" s="53"/>
      <c r="M169" s="53"/>
      <c r="N169" s="53"/>
      <c r="O169" s="53"/>
      <c r="P169" s="53"/>
      <c r="Q169" s="53"/>
      <c r="R169" s="53"/>
      <c r="S169" s="53"/>
      <c r="T169" s="53"/>
      <c r="U169" s="53"/>
      <c r="V169" s="53"/>
      <c r="W169" s="53"/>
      <c r="X169" s="53"/>
      <c r="Y169" s="53"/>
      <c r="Z169" s="53"/>
      <c r="AA169" s="53"/>
      <c r="AB169" s="53"/>
    </row>
    <row r="170" spans="2:28" ht="15" customHeight="1">
      <c r="H170" s="53"/>
      <c r="I170" s="53"/>
      <c r="J170" s="53"/>
      <c r="K170" s="53"/>
      <c r="L170" s="53"/>
      <c r="M170" s="53"/>
      <c r="N170" s="53"/>
      <c r="O170" s="53"/>
      <c r="P170" s="53"/>
      <c r="Q170" s="53"/>
      <c r="R170" s="53"/>
      <c r="S170" s="53"/>
      <c r="T170" s="53"/>
      <c r="U170" s="53"/>
      <c r="V170" s="53"/>
      <c r="W170" s="53"/>
      <c r="X170" s="53"/>
      <c r="Y170" s="53"/>
      <c r="Z170" s="53"/>
      <c r="AA170" s="53"/>
      <c r="AB170" s="53"/>
    </row>
    <row r="171" spans="2:28" ht="15" customHeight="1">
      <c r="H171" s="53"/>
      <c r="I171" s="53"/>
      <c r="J171" s="53"/>
      <c r="K171" s="53"/>
      <c r="L171" s="53"/>
      <c r="M171" s="53"/>
      <c r="N171" s="53"/>
      <c r="O171" s="53"/>
      <c r="P171" s="53"/>
      <c r="Q171" s="53"/>
      <c r="R171" s="53"/>
      <c r="S171" s="53"/>
      <c r="T171" s="53"/>
      <c r="U171" s="53"/>
      <c r="V171" s="53"/>
      <c r="W171" s="53"/>
      <c r="X171" s="53"/>
      <c r="Y171" s="53"/>
      <c r="Z171" s="53"/>
      <c r="AA171" s="53"/>
      <c r="AB171" s="53"/>
    </row>
    <row r="172" spans="2:28" ht="15" customHeight="1">
      <c r="H172" s="53"/>
      <c r="I172" s="53"/>
      <c r="J172" s="53"/>
      <c r="K172" s="53"/>
      <c r="L172" s="53"/>
      <c r="M172" s="53"/>
      <c r="N172" s="53"/>
      <c r="O172" s="53"/>
      <c r="P172" s="53"/>
      <c r="Q172" s="53"/>
      <c r="R172" s="53"/>
      <c r="S172" s="53"/>
      <c r="T172" s="53"/>
      <c r="U172" s="53"/>
      <c r="V172" s="53"/>
      <c r="W172" s="53"/>
      <c r="X172" s="53"/>
      <c r="Y172" s="53"/>
      <c r="Z172" s="53"/>
      <c r="AA172" s="53"/>
      <c r="AB172" s="53"/>
    </row>
    <row r="173" spans="2:28" ht="15" customHeight="1">
      <c r="H173" s="53"/>
      <c r="I173" s="53"/>
      <c r="J173" s="53"/>
      <c r="K173" s="53"/>
      <c r="L173" s="53"/>
      <c r="M173" s="53"/>
      <c r="N173" s="53"/>
      <c r="O173" s="53"/>
      <c r="P173" s="53"/>
      <c r="Q173" s="53"/>
      <c r="R173" s="53"/>
      <c r="S173" s="53"/>
      <c r="T173" s="53"/>
      <c r="U173" s="53"/>
      <c r="V173" s="53"/>
      <c r="W173" s="53"/>
      <c r="X173" s="53"/>
      <c r="Y173" s="53"/>
      <c r="Z173" s="53"/>
      <c r="AA173" s="53"/>
      <c r="AB173" s="53"/>
    </row>
    <row r="174" spans="2:28" ht="15" customHeight="1">
      <c r="H174" s="53"/>
      <c r="I174" s="53"/>
      <c r="J174" s="53"/>
      <c r="K174" s="53"/>
      <c r="L174" s="53"/>
      <c r="M174" s="53"/>
      <c r="N174" s="53"/>
      <c r="O174" s="53"/>
      <c r="P174" s="53"/>
      <c r="Q174" s="53"/>
      <c r="R174" s="53"/>
      <c r="S174" s="53"/>
      <c r="T174" s="53"/>
      <c r="U174" s="53"/>
      <c r="V174" s="53"/>
      <c r="W174" s="53"/>
      <c r="X174" s="53"/>
      <c r="Y174" s="53"/>
      <c r="Z174" s="53"/>
      <c r="AA174" s="53"/>
      <c r="AB174" s="53"/>
    </row>
    <row r="175" spans="2:28" ht="15" customHeight="1">
      <c r="H175" s="53"/>
      <c r="I175" s="53"/>
      <c r="J175" s="53"/>
      <c r="K175" s="53"/>
      <c r="L175" s="53"/>
      <c r="M175" s="53"/>
      <c r="N175" s="53"/>
      <c r="O175" s="53"/>
      <c r="P175" s="53"/>
      <c r="Q175" s="53"/>
      <c r="R175" s="53"/>
      <c r="S175" s="53"/>
      <c r="T175" s="53"/>
      <c r="U175" s="53"/>
      <c r="V175" s="53"/>
      <c r="W175" s="53"/>
      <c r="X175" s="53"/>
      <c r="Y175" s="53"/>
      <c r="Z175" s="53"/>
      <c r="AA175" s="53"/>
      <c r="AB175" s="53"/>
    </row>
    <row r="176" spans="2:28" ht="15" customHeight="1">
      <c r="H176" s="53"/>
      <c r="I176" s="53"/>
      <c r="J176" s="53"/>
      <c r="K176" s="53"/>
      <c r="L176" s="53"/>
      <c r="M176" s="53"/>
      <c r="N176" s="53"/>
      <c r="O176" s="53"/>
      <c r="P176" s="53"/>
      <c r="Q176" s="53"/>
      <c r="R176" s="53"/>
      <c r="S176" s="53"/>
      <c r="T176" s="53"/>
      <c r="U176" s="53"/>
      <c r="V176" s="53"/>
      <c r="W176" s="53"/>
      <c r="X176" s="53"/>
      <c r="Y176" s="53"/>
      <c r="Z176" s="53"/>
      <c r="AA176" s="53"/>
      <c r="AB176" s="53"/>
    </row>
    <row r="177" spans="8:28" ht="15" customHeight="1">
      <c r="H177" s="53"/>
      <c r="I177" s="53"/>
      <c r="J177" s="53"/>
      <c r="K177" s="53"/>
      <c r="L177" s="53"/>
      <c r="M177" s="53"/>
      <c r="N177" s="53"/>
      <c r="O177" s="53"/>
      <c r="P177" s="53"/>
      <c r="Q177" s="53"/>
      <c r="R177" s="53"/>
      <c r="S177" s="53"/>
      <c r="T177" s="53"/>
      <c r="U177" s="53"/>
      <c r="V177" s="53"/>
      <c r="W177" s="53"/>
      <c r="X177" s="53"/>
      <c r="Y177" s="53"/>
      <c r="Z177" s="53"/>
      <c r="AA177" s="53"/>
      <c r="AB177" s="53"/>
    </row>
    <row r="178" spans="8:28" ht="15" customHeight="1">
      <c r="H178" s="53"/>
      <c r="I178" s="53"/>
      <c r="J178" s="53"/>
      <c r="K178" s="53"/>
      <c r="L178" s="53"/>
      <c r="M178" s="53"/>
      <c r="N178" s="53"/>
      <c r="O178" s="53"/>
      <c r="P178" s="53"/>
      <c r="Q178" s="53"/>
      <c r="R178" s="53"/>
      <c r="S178" s="53"/>
      <c r="T178" s="53"/>
      <c r="U178" s="53"/>
      <c r="V178" s="53"/>
      <c r="W178" s="53"/>
      <c r="X178" s="53"/>
      <c r="Y178" s="53"/>
      <c r="Z178" s="53"/>
      <c r="AA178" s="53"/>
      <c r="AB178" s="53"/>
    </row>
    <row r="179" spans="8:28" ht="15" customHeight="1">
      <c r="H179" s="53"/>
      <c r="I179" s="53"/>
      <c r="J179" s="53"/>
      <c r="K179" s="53"/>
      <c r="L179" s="53"/>
      <c r="M179" s="53"/>
      <c r="N179" s="53"/>
      <c r="O179" s="53"/>
      <c r="P179" s="53"/>
      <c r="Q179" s="53"/>
      <c r="R179" s="53"/>
      <c r="S179" s="53"/>
      <c r="T179" s="53"/>
      <c r="U179" s="53"/>
      <c r="V179" s="53"/>
      <c r="W179" s="53"/>
      <c r="X179" s="53"/>
      <c r="Y179" s="53"/>
      <c r="Z179" s="53"/>
      <c r="AA179" s="53"/>
      <c r="AB179" s="53"/>
    </row>
    <row r="180" spans="8:28" ht="15" customHeight="1">
      <c r="H180" s="53"/>
      <c r="I180" s="53"/>
      <c r="J180" s="53"/>
      <c r="K180" s="53"/>
      <c r="L180" s="53"/>
      <c r="M180" s="53"/>
      <c r="N180" s="53"/>
      <c r="O180" s="53"/>
      <c r="P180" s="53"/>
      <c r="Q180" s="53"/>
      <c r="R180" s="53"/>
      <c r="S180" s="53"/>
      <c r="T180" s="53"/>
      <c r="U180" s="53"/>
      <c r="V180" s="53"/>
      <c r="W180" s="53"/>
      <c r="X180" s="53"/>
      <c r="Y180" s="53"/>
      <c r="Z180" s="53"/>
      <c r="AA180" s="53"/>
      <c r="AB180" s="53"/>
    </row>
    <row r="181" spans="8:28" ht="15" customHeight="1">
      <c r="H181" s="53"/>
      <c r="I181" s="53"/>
      <c r="J181" s="53"/>
      <c r="K181" s="53"/>
      <c r="L181" s="53"/>
      <c r="M181" s="53"/>
      <c r="N181" s="53"/>
      <c r="O181" s="53"/>
      <c r="P181" s="53"/>
      <c r="Q181" s="53"/>
      <c r="R181" s="53"/>
      <c r="S181" s="53"/>
      <c r="T181" s="53"/>
      <c r="U181" s="53"/>
      <c r="V181" s="53"/>
      <c r="W181" s="53"/>
      <c r="X181" s="53"/>
      <c r="Y181" s="53"/>
      <c r="Z181" s="53"/>
      <c r="AA181" s="53"/>
      <c r="AB181" s="53"/>
    </row>
    <row r="182" spans="8:28" ht="15" customHeight="1">
      <c r="H182" s="53"/>
      <c r="I182" s="53"/>
      <c r="J182" s="53"/>
      <c r="K182" s="53"/>
      <c r="L182" s="53"/>
      <c r="M182" s="53"/>
      <c r="N182" s="53"/>
      <c r="O182" s="53"/>
      <c r="P182" s="53"/>
      <c r="Q182" s="53"/>
      <c r="R182" s="53"/>
      <c r="S182" s="53"/>
      <c r="T182" s="53"/>
      <c r="U182" s="53"/>
      <c r="V182" s="53"/>
      <c r="W182" s="53"/>
      <c r="X182" s="53"/>
      <c r="Y182" s="53"/>
      <c r="Z182" s="53"/>
      <c r="AA182" s="53"/>
      <c r="AB182" s="53"/>
    </row>
    <row r="183" spans="8:28" ht="15" customHeight="1">
      <c r="H183" s="53"/>
      <c r="I183" s="53"/>
      <c r="J183" s="53"/>
      <c r="K183" s="53"/>
      <c r="L183" s="53"/>
      <c r="M183" s="53"/>
      <c r="N183" s="53"/>
      <c r="O183" s="53"/>
      <c r="P183" s="53"/>
      <c r="Q183" s="53"/>
      <c r="R183" s="53"/>
      <c r="S183" s="53"/>
      <c r="T183" s="53"/>
      <c r="U183" s="53"/>
      <c r="V183" s="53"/>
      <c r="W183" s="53"/>
      <c r="X183" s="53"/>
      <c r="Y183" s="53"/>
      <c r="Z183" s="53"/>
      <c r="AA183" s="53"/>
      <c r="AB183" s="53"/>
    </row>
    <row r="184" spans="8:28" ht="15" customHeight="1">
      <c r="H184" s="53"/>
      <c r="I184" s="53"/>
      <c r="J184" s="53"/>
      <c r="K184" s="53"/>
      <c r="L184" s="53"/>
      <c r="M184" s="53"/>
      <c r="N184" s="53"/>
      <c r="O184" s="53"/>
      <c r="P184" s="53"/>
      <c r="Q184" s="53"/>
      <c r="R184" s="53"/>
      <c r="S184" s="53"/>
      <c r="T184" s="53"/>
      <c r="U184" s="53"/>
      <c r="V184" s="53"/>
      <c r="W184" s="53"/>
      <c r="X184" s="53"/>
      <c r="Y184" s="53"/>
      <c r="Z184" s="53"/>
      <c r="AA184" s="53"/>
      <c r="AB184" s="53"/>
    </row>
    <row r="185" spans="8:28" ht="15" customHeight="1">
      <c r="H185" s="53"/>
      <c r="I185" s="53"/>
      <c r="J185" s="53"/>
      <c r="K185" s="53"/>
      <c r="L185" s="53"/>
      <c r="M185" s="53"/>
      <c r="N185" s="53"/>
      <c r="O185" s="53"/>
      <c r="P185" s="53"/>
      <c r="Q185" s="53"/>
      <c r="R185" s="53"/>
      <c r="S185" s="53"/>
      <c r="T185" s="53"/>
      <c r="U185" s="53"/>
      <c r="V185" s="53"/>
      <c r="W185" s="53"/>
      <c r="X185" s="53"/>
      <c r="Y185" s="53"/>
      <c r="Z185" s="53"/>
      <c r="AA185" s="53"/>
      <c r="AB185" s="53"/>
    </row>
    <row r="186" spans="8:28" ht="15" customHeight="1">
      <c r="H186" s="53"/>
      <c r="I186" s="53"/>
      <c r="J186" s="53"/>
      <c r="K186" s="53"/>
      <c r="L186" s="53"/>
      <c r="M186" s="53"/>
      <c r="N186" s="53"/>
      <c r="O186" s="53"/>
      <c r="P186" s="53"/>
      <c r="Q186" s="53"/>
      <c r="R186" s="53"/>
      <c r="S186" s="53"/>
      <c r="T186" s="53"/>
      <c r="U186" s="53"/>
      <c r="V186" s="53"/>
      <c r="W186" s="53"/>
      <c r="X186" s="53"/>
      <c r="Y186" s="53"/>
      <c r="Z186" s="53"/>
      <c r="AA186" s="53"/>
      <c r="AB186" s="53"/>
    </row>
    <row r="187" spans="8:28" ht="15" customHeight="1">
      <c r="H187" s="53"/>
      <c r="I187" s="53"/>
      <c r="J187" s="53"/>
      <c r="K187" s="53"/>
      <c r="L187" s="53"/>
      <c r="M187" s="53"/>
      <c r="N187" s="53"/>
      <c r="O187" s="53"/>
      <c r="P187" s="53"/>
      <c r="Q187" s="53"/>
      <c r="R187" s="53"/>
      <c r="S187" s="53"/>
      <c r="T187" s="53"/>
      <c r="U187" s="53"/>
      <c r="V187" s="53"/>
      <c r="W187" s="53"/>
      <c r="X187" s="53"/>
      <c r="Y187" s="53"/>
      <c r="Z187" s="53"/>
      <c r="AA187" s="53"/>
      <c r="AB187" s="53"/>
    </row>
    <row r="188" spans="8:28" ht="15" customHeight="1">
      <c r="H188" s="53"/>
      <c r="I188" s="53"/>
      <c r="J188" s="53"/>
      <c r="K188" s="53"/>
      <c r="L188" s="53"/>
      <c r="M188" s="53"/>
      <c r="N188" s="53"/>
      <c r="O188" s="53"/>
      <c r="P188" s="53"/>
      <c r="Q188" s="53"/>
      <c r="R188" s="53"/>
      <c r="S188" s="53"/>
      <c r="T188" s="53"/>
      <c r="U188" s="53"/>
      <c r="V188" s="53"/>
      <c r="W188" s="53"/>
      <c r="X188" s="53"/>
      <c r="Y188" s="53"/>
      <c r="Z188" s="53"/>
      <c r="AA188" s="53"/>
      <c r="AB188" s="53"/>
    </row>
    <row r="189" spans="8:28" ht="15" customHeight="1">
      <c r="H189" s="53"/>
      <c r="I189" s="53"/>
      <c r="J189" s="53"/>
      <c r="K189" s="53"/>
      <c r="L189" s="53"/>
      <c r="M189" s="53"/>
      <c r="N189" s="53"/>
      <c r="O189" s="53"/>
      <c r="P189" s="53"/>
      <c r="Q189" s="53"/>
      <c r="R189" s="53"/>
      <c r="S189" s="53"/>
      <c r="T189" s="53"/>
      <c r="U189" s="53"/>
      <c r="V189" s="53"/>
      <c r="W189" s="53"/>
      <c r="X189" s="53"/>
      <c r="Y189" s="53"/>
      <c r="Z189" s="53"/>
      <c r="AA189" s="53"/>
      <c r="AB189" s="53"/>
    </row>
    <row r="190" spans="8:28" ht="15" customHeight="1">
      <c r="H190" s="53"/>
      <c r="I190" s="53"/>
      <c r="J190" s="53"/>
      <c r="K190" s="53"/>
      <c r="L190" s="53"/>
      <c r="M190" s="53"/>
      <c r="N190" s="53"/>
      <c r="O190" s="53"/>
      <c r="P190" s="53"/>
      <c r="Q190" s="53"/>
      <c r="R190" s="53"/>
      <c r="S190" s="53"/>
      <c r="T190" s="53"/>
      <c r="U190" s="53"/>
      <c r="V190" s="53"/>
      <c r="W190" s="53"/>
      <c r="X190" s="53"/>
      <c r="Y190" s="53"/>
      <c r="Z190" s="53"/>
      <c r="AA190" s="53"/>
      <c r="AB190" s="53"/>
    </row>
    <row r="191" spans="8:28" ht="15" customHeight="1">
      <c r="H191" s="53"/>
      <c r="I191" s="53"/>
      <c r="J191" s="53"/>
      <c r="K191" s="53"/>
      <c r="L191" s="53"/>
      <c r="M191" s="53"/>
      <c r="N191" s="53"/>
      <c r="O191" s="53"/>
      <c r="P191" s="53"/>
      <c r="Q191" s="53"/>
      <c r="R191" s="53"/>
      <c r="S191" s="53"/>
      <c r="T191" s="53"/>
      <c r="U191" s="53"/>
      <c r="V191" s="53"/>
      <c r="W191" s="53"/>
      <c r="X191" s="53"/>
      <c r="Y191" s="53"/>
      <c r="Z191" s="53"/>
      <c r="AA191" s="53"/>
      <c r="AB191" s="53"/>
    </row>
    <row r="192" spans="8:28" ht="15" customHeight="1">
      <c r="H192" s="53"/>
      <c r="I192" s="53"/>
      <c r="J192" s="53"/>
      <c r="K192" s="53"/>
      <c r="L192" s="53"/>
      <c r="M192" s="53"/>
      <c r="N192" s="53"/>
      <c r="O192" s="53"/>
      <c r="P192" s="53"/>
      <c r="Q192" s="53"/>
      <c r="R192" s="53"/>
      <c r="S192" s="53"/>
      <c r="T192" s="53"/>
      <c r="U192" s="53"/>
      <c r="V192" s="53"/>
      <c r="W192" s="53"/>
      <c r="X192" s="53"/>
      <c r="Y192" s="53"/>
      <c r="Z192" s="53"/>
      <c r="AA192" s="53"/>
      <c r="AB192" s="53"/>
    </row>
    <row r="193" spans="8:28" ht="15" customHeight="1">
      <c r="H193" s="53"/>
      <c r="I193" s="53"/>
      <c r="J193" s="53"/>
      <c r="K193" s="53"/>
      <c r="L193" s="53"/>
      <c r="M193" s="53"/>
      <c r="N193" s="53"/>
      <c r="O193" s="53"/>
      <c r="P193" s="53"/>
      <c r="Q193" s="53"/>
      <c r="R193" s="53"/>
      <c r="S193" s="53"/>
      <c r="T193" s="53"/>
      <c r="U193" s="53"/>
      <c r="V193" s="53"/>
      <c r="W193" s="53"/>
      <c r="X193" s="53"/>
      <c r="Y193" s="53"/>
      <c r="Z193" s="53"/>
      <c r="AA193" s="53"/>
      <c r="AB193" s="53"/>
    </row>
    <row r="194" spans="8:28" ht="15" customHeight="1">
      <c r="H194" s="53"/>
      <c r="I194" s="53"/>
      <c r="J194" s="53"/>
      <c r="K194" s="53"/>
      <c r="L194" s="53"/>
      <c r="M194" s="53"/>
      <c r="N194" s="53"/>
      <c r="O194" s="53"/>
      <c r="P194" s="53"/>
      <c r="Q194" s="53"/>
      <c r="R194" s="53"/>
      <c r="S194" s="53"/>
      <c r="T194" s="53"/>
      <c r="U194" s="53"/>
      <c r="V194" s="53"/>
      <c r="W194" s="53"/>
      <c r="X194" s="53"/>
      <c r="Y194" s="53"/>
      <c r="Z194" s="53"/>
      <c r="AA194" s="53"/>
      <c r="AB194" s="53"/>
    </row>
    <row r="195" spans="8:28" ht="15" customHeight="1">
      <c r="H195" s="53"/>
      <c r="I195" s="53"/>
      <c r="J195" s="53"/>
      <c r="K195" s="53"/>
      <c r="L195" s="53"/>
      <c r="M195" s="53"/>
      <c r="N195" s="53"/>
      <c r="O195" s="53"/>
      <c r="P195" s="53"/>
      <c r="Q195" s="53"/>
      <c r="R195" s="53"/>
      <c r="S195" s="53"/>
      <c r="T195" s="53"/>
      <c r="U195" s="53"/>
      <c r="V195" s="53"/>
      <c r="W195" s="53"/>
      <c r="X195" s="53"/>
      <c r="Y195" s="53"/>
      <c r="Z195" s="53"/>
      <c r="AA195" s="53"/>
      <c r="AB195" s="53"/>
    </row>
    <row r="196" spans="8:28" ht="15" customHeight="1">
      <c r="H196" s="53"/>
      <c r="I196" s="53"/>
      <c r="J196" s="53"/>
      <c r="K196" s="53"/>
      <c r="L196" s="53"/>
      <c r="M196" s="53"/>
      <c r="N196" s="53"/>
      <c r="O196" s="53"/>
      <c r="P196" s="53"/>
      <c r="Q196" s="53"/>
      <c r="R196" s="53"/>
      <c r="S196" s="53"/>
      <c r="T196" s="53"/>
      <c r="U196" s="53"/>
      <c r="V196" s="53"/>
      <c r="W196" s="53"/>
      <c r="X196" s="53"/>
      <c r="Y196" s="53"/>
      <c r="Z196" s="53"/>
      <c r="AA196" s="53"/>
      <c r="AB196" s="53"/>
    </row>
    <row r="197" spans="8:28" ht="15" customHeight="1">
      <c r="H197" s="53"/>
      <c r="I197" s="53"/>
      <c r="J197" s="53"/>
      <c r="K197" s="53"/>
      <c r="L197" s="53"/>
      <c r="M197" s="53"/>
      <c r="N197" s="53"/>
      <c r="O197" s="53"/>
      <c r="P197" s="53"/>
      <c r="Q197" s="53"/>
      <c r="R197" s="53"/>
      <c r="S197" s="53"/>
      <c r="T197" s="53"/>
      <c r="U197" s="53"/>
      <c r="V197" s="53"/>
      <c r="W197" s="53"/>
      <c r="X197" s="53"/>
      <c r="Y197" s="53"/>
      <c r="Z197" s="53"/>
      <c r="AA197" s="53"/>
      <c r="AB197" s="53"/>
    </row>
    <row r="198" spans="8:28" ht="15" customHeight="1">
      <c r="H198" s="53"/>
      <c r="I198" s="53"/>
      <c r="J198" s="53"/>
      <c r="K198" s="53"/>
      <c r="L198" s="53"/>
      <c r="M198" s="53"/>
      <c r="N198" s="53"/>
      <c r="O198" s="53"/>
      <c r="P198" s="53"/>
      <c r="Q198" s="53"/>
      <c r="R198" s="53"/>
      <c r="S198" s="53"/>
      <c r="T198" s="53"/>
      <c r="U198" s="53"/>
      <c r="V198" s="53"/>
      <c r="W198" s="53"/>
      <c r="X198" s="53"/>
      <c r="Y198" s="53"/>
      <c r="Z198" s="53"/>
      <c r="AA198" s="53"/>
      <c r="AB198" s="53"/>
    </row>
    <row r="199" spans="8:28" ht="15" customHeight="1">
      <c r="H199" s="53"/>
      <c r="I199" s="53"/>
      <c r="J199" s="53"/>
      <c r="K199" s="53"/>
      <c r="L199" s="53"/>
      <c r="M199" s="53"/>
      <c r="N199" s="53"/>
      <c r="O199" s="53"/>
      <c r="P199" s="53"/>
      <c r="Q199" s="53"/>
      <c r="R199" s="53"/>
      <c r="S199" s="53"/>
      <c r="T199" s="53"/>
      <c r="U199" s="53"/>
      <c r="V199" s="53"/>
      <c r="W199" s="53"/>
      <c r="X199" s="53"/>
      <c r="Y199" s="53"/>
      <c r="Z199" s="53"/>
      <c r="AA199" s="53"/>
      <c r="AB199" s="53"/>
    </row>
    <row r="200" spans="8:28" ht="15" customHeight="1">
      <c r="H200" s="53"/>
      <c r="I200" s="53"/>
      <c r="J200" s="53"/>
      <c r="K200" s="53"/>
      <c r="L200" s="53"/>
      <c r="M200" s="53"/>
      <c r="N200" s="53"/>
      <c r="O200" s="53"/>
      <c r="P200" s="53"/>
      <c r="Q200" s="53"/>
      <c r="R200" s="53"/>
      <c r="S200" s="53"/>
      <c r="T200" s="53"/>
      <c r="U200" s="53"/>
      <c r="V200" s="53"/>
      <c r="W200" s="53"/>
      <c r="X200" s="53"/>
      <c r="Y200" s="53"/>
      <c r="Z200" s="53"/>
      <c r="AA200" s="53"/>
      <c r="AB200" s="53"/>
    </row>
    <row r="201" spans="8:28" ht="15" customHeight="1">
      <c r="H201" s="53"/>
      <c r="I201" s="53"/>
      <c r="J201" s="53"/>
      <c r="K201" s="53"/>
      <c r="L201" s="53"/>
      <c r="M201" s="53"/>
      <c r="N201" s="53"/>
      <c r="O201" s="53"/>
      <c r="P201" s="53"/>
      <c r="Q201" s="53"/>
      <c r="R201" s="53"/>
      <c r="S201" s="53"/>
      <c r="T201" s="53"/>
      <c r="U201" s="53"/>
      <c r="V201" s="53"/>
      <c r="W201" s="53"/>
      <c r="X201" s="53"/>
      <c r="Y201" s="53"/>
      <c r="Z201" s="53"/>
      <c r="AA201" s="53"/>
      <c r="AB201" s="53"/>
    </row>
    <row r="202" spans="8:28" ht="15" customHeight="1">
      <c r="H202" s="53"/>
      <c r="I202" s="53"/>
      <c r="J202" s="53"/>
      <c r="K202" s="53"/>
      <c r="L202" s="53"/>
      <c r="M202" s="53"/>
      <c r="N202" s="53"/>
      <c r="O202" s="53"/>
      <c r="P202" s="53"/>
      <c r="Q202" s="53"/>
      <c r="R202" s="53"/>
      <c r="S202" s="53"/>
      <c r="T202" s="53"/>
      <c r="U202" s="53"/>
      <c r="V202" s="53"/>
      <c r="W202" s="53"/>
      <c r="X202" s="53"/>
      <c r="Y202" s="53"/>
      <c r="Z202" s="53"/>
      <c r="AA202" s="53"/>
      <c r="AB202" s="53"/>
    </row>
    <row r="203" spans="8:28" ht="15" customHeight="1">
      <c r="H203" s="53"/>
      <c r="I203" s="53"/>
      <c r="J203" s="53"/>
      <c r="K203" s="53"/>
      <c r="L203" s="53"/>
      <c r="M203" s="53"/>
      <c r="N203" s="53"/>
      <c r="O203" s="53"/>
      <c r="P203" s="53"/>
      <c r="Q203" s="53"/>
      <c r="R203" s="53"/>
      <c r="S203" s="53"/>
      <c r="T203" s="53"/>
      <c r="U203" s="53"/>
      <c r="V203" s="53"/>
      <c r="W203" s="53"/>
      <c r="X203" s="53"/>
      <c r="Y203" s="53"/>
      <c r="Z203" s="53"/>
      <c r="AA203" s="53"/>
      <c r="AB203" s="53"/>
    </row>
    <row r="204" spans="8:28" ht="15" customHeight="1">
      <c r="H204" s="53"/>
      <c r="I204" s="53"/>
      <c r="J204" s="53"/>
      <c r="K204" s="53"/>
      <c r="L204" s="53"/>
      <c r="M204" s="53"/>
      <c r="N204" s="53"/>
      <c r="O204" s="53"/>
      <c r="P204" s="53"/>
      <c r="Q204" s="53"/>
      <c r="R204" s="53"/>
      <c r="S204" s="53"/>
      <c r="T204" s="53"/>
      <c r="U204" s="53"/>
      <c r="V204" s="53"/>
      <c r="W204" s="53"/>
      <c r="X204" s="53"/>
      <c r="Y204" s="53"/>
      <c r="Z204" s="53"/>
      <c r="AA204" s="53"/>
      <c r="AB204" s="53"/>
    </row>
    <row r="205" spans="8:28" ht="15" customHeight="1">
      <c r="H205" s="53"/>
      <c r="I205" s="53"/>
      <c r="J205" s="53"/>
      <c r="K205" s="53"/>
      <c r="L205" s="53"/>
      <c r="M205" s="53"/>
      <c r="N205" s="53"/>
      <c r="O205" s="53"/>
      <c r="P205" s="53"/>
      <c r="Q205" s="53"/>
      <c r="R205" s="53"/>
      <c r="S205" s="53"/>
      <c r="T205" s="53"/>
      <c r="U205" s="53"/>
      <c r="V205" s="53"/>
      <c r="W205" s="53"/>
      <c r="X205" s="53"/>
      <c r="Y205" s="53"/>
      <c r="Z205" s="53"/>
      <c r="AA205" s="53"/>
      <c r="AB205" s="53"/>
    </row>
    <row r="206" spans="8:28" ht="15" customHeight="1">
      <c r="H206" s="53"/>
      <c r="I206" s="53"/>
      <c r="J206" s="53"/>
      <c r="K206" s="53"/>
      <c r="L206" s="53"/>
      <c r="M206" s="53"/>
      <c r="N206" s="53"/>
      <c r="O206" s="53"/>
      <c r="P206" s="53"/>
      <c r="Q206" s="53"/>
      <c r="R206" s="53"/>
      <c r="S206" s="53"/>
      <c r="T206" s="53"/>
      <c r="U206" s="53"/>
      <c r="V206" s="53"/>
      <c r="W206" s="53"/>
      <c r="X206" s="53"/>
      <c r="Y206" s="53"/>
      <c r="Z206" s="53"/>
      <c r="AA206" s="53"/>
      <c r="AB206" s="53"/>
    </row>
    <row r="207" spans="8:28" ht="15" customHeight="1">
      <c r="H207" s="53"/>
      <c r="I207" s="53"/>
      <c r="J207" s="53"/>
      <c r="K207" s="53"/>
      <c r="L207" s="53"/>
      <c r="M207" s="53"/>
      <c r="N207" s="53"/>
      <c r="O207" s="53"/>
      <c r="P207" s="53"/>
      <c r="Q207" s="53"/>
      <c r="R207" s="53"/>
      <c r="S207" s="53"/>
      <c r="T207" s="53"/>
      <c r="U207" s="53"/>
      <c r="V207" s="53"/>
      <c r="W207" s="53"/>
      <c r="X207" s="53"/>
      <c r="Y207" s="53"/>
      <c r="Z207" s="53"/>
      <c r="AA207" s="53"/>
      <c r="AB207" s="53"/>
    </row>
    <row r="208" spans="8:28" ht="15" customHeight="1">
      <c r="H208" s="53"/>
      <c r="I208" s="53"/>
      <c r="J208" s="53"/>
      <c r="K208" s="53"/>
      <c r="L208" s="53"/>
      <c r="M208" s="53"/>
      <c r="N208" s="53"/>
      <c r="O208" s="53"/>
      <c r="P208" s="53"/>
      <c r="Q208" s="53"/>
      <c r="R208" s="53"/>
      <c r="S208" s="53"/>
      <c r="T208" s="53"/>
      <c r="U208" s="53"/>
      <c r="V208" s="53"/>
      <c r="W208" s="53"/>
      <c r="X208" s="53"/>
      <c r="Y208" s="53"/>
      <c r="Z208" s="53"/>
      <c r="AA208" s="53"/>
      <c r="AB208" s="53"/>
    </row>
    <row r="209" spans="8:28" ht="15" customHeight="1">
      <c r="H209" s="53"/>
      <c r="I209" s="53"/>
      <c r="J209" s="53"/>
      <c r="K209" s="53"/>
      <c r="L209" s="53"/>
      <c r="M209" s="53"/>
      <c r="N209" s="53"/>
      <c r="O209" s="53"/>
      <c r="P209" s="53"/>
      <c r="Q209" s="53"/>
      <c r="R209" s="53"/>
      <c r="S209" s="53"/>
      <c r="T209" s="53"/>
      <c r="U209" s="53"/>
      <c r="V209" s="53"/>
      <c r="W209" s="53"/>
      <c r="X209" s="53"/>
      <c r="Y209" s="53"/>
      <c r="Z209" s="53"/>
      <c r="AA209" s="53"/>
      <c r="AB209" s="53"/>
    </row>
    <row r="210" spans="8:28" ht="15" customHeight="1">
      <c r="H210" s="53"/>
      <c r="I210" s="53"/>
      <c r="J210" s="53"/>
      <c r="K210" s="53"/>
      <c r="L210" s="53"/>
      <c r="M210" s="53"/>
      <c r="N210" s="53"/>
      <c r="O210" s="53"/>
      <c r="P210" s="53"/>
      <c r="Q210" s="53"/>
      <c r="R210" s="53"/>
      <c r="S210" s="53"/>
      <c r="T210" s="53"/>
      <c r="U210" s="53"/>
      <c r="V210" s="53"/>
      <c r="W210" s="53"/>
      <c r="X210" s="53"/>
      <c r="Y210" s="53"/>
      <c r="Z210" s="53"/>
      <c r="AA210" s="53"/>
      <c r="AB210" s="53"/>
    </row>
    <row r="211" spans="8:28" ht="15" customHeight="1">
      <c r="H211" s="53"/>
      <c r="I211" s="53"/>
      <c r="J211" s="53"/>
      <c r="K211" s="53"/>
      <c r="L211" s="53"/>
      <c r="M211" s="53"/>
      <c r="N211" s="53"/>
      <c r="O211" s="53"/>
      <c r="P211" s="53"/>
      <c r="Q211" s="53"/>
      <c r="R211" s="53"/>
      <c r="S211" s="53"/>
      <c r="T211" s="53"/>
      <c r="U211" s="53"/>
      <c r="V211" s="53"/>
      <c r="W211" s="53"/>
      <c r="X211" s="53"/>
      <c r="Y211" s="53"/>
      <c r="Z211" s="53"/>
      <c r="AA211" s="53"/>
      <c r="AB211" s="53"/>
    </row>
    <row r="212" spans="8:28" ht="15" customHeight="1">
      <c r="H212" s="53"/>
      <c r="I212" s="53"/>
      <c r="J212" s="53"/>
      <c r="K212" s="53"/>
      <c r="L212" s="53"/>
      <c r="M212" s="53"/>
      <c r="N212" s="53"/>
      <c r="O212" s="53"/>
      <c r="P212" s="53"/>
      <c r="Q212" s="53"/>
      <c r="R212" s="53"/>
      <c r="S212" s="53"/>
      <c r="T212" s="53"/>
      <c r="U212" s="53"/>
      <c r="V212" s="53"/>
      <c r="W212" s="53"/>
      <c r="X212" s="53"/>
      <c r="Y212" s="53"/>
      <c r="Z212" s="53"/>
      <c r="AA212" s="53"/>
      <c r="AB212" s="53"/>
    </row>
    <row r="213" spans="8:28" ht="15" customHeight="1">
      <c r="H213" s="53"/>
      <c r="I213" s="53"/>
      <c r="J213" s="53"/>
      <c r="K213" s="53"/>
      <c r="L213" s="53"/>
      <c r="M213" s="53"/>
      <c r="N213" s="53"/>
      <c r="O213" s="53"/>
      <c r="P213" s="53"/>
      <c r="Q213" s="53"/>
      <c r="R213" s="53"/>
      <c r="S213" s="53"/>
      <c r="T213" s="53"/>
      <c r="U213" s="53"/>
      <c r="V213" s="53"/>
      <c r="W213" s="53"/>
      <c r="X213" s="53"/>
      <c r="Y213" s="53"/>
      <c r="Z213" s="53"/>
      <c r="AA213" s="53"/>
      <c r="AB213" s="53"/>
    </row>
    <row r="214" spans="8:28" ht="15" customHeight="1">
      <c r="H214" s="53"/>
      <c r="I214" s="53"/>
      <c r="J214" s="53"/>
      <c r="K214" s="53"/>
      <c r="L214" s="53"/>
      <c r="M214" s="53"/>
      <c r="N214" s="53"/>
      <c r="O214" s="53"/>
      <c r="P214" s="53"/>
      <c r="Q214" s="53"/>
      <c r="R214" s="53"/>
      <c r="S214" s="53"/>
      <c r="T214" s="53"/>
      <c r="U214" s="53"/>
      <c r="V214" s="53"/>
      <c r="W214" s="53"/>
      <c r="X214" s="53"/>
      <c r="Y214" s="53"/>
      <c r="Z214" s="53"/>
      <c r="AA214" s="53"/>
      <c r="AB214" s="53"/>
    </row>
    <row r="215" spans="8:28" ht="15" customHeight="1">
      <c r="H215" s="53"/>
      <c r="I215" s="53"/>
      <c r="J215" s="53"/>
      <c r="K215" s="53"/>
      <c r="L215" s="53"/>
      <c r="M215" s="53"/>
      <c r="N215" s="53"/>
      <c r="O215" s="53"/>
      <c r="P215" s="53"/>
      <c r="Q215" s="53"/>
      <c r="R215" s="53"/>
      <c r="S215" s="53"/>
      <c r="T215" s="53"/>
      <c r="U215" s="53"/>
      <c r="V215" s="53"/>
      <c r="W215" s="53"/>
      <c r="X215" s="53"/>
      <c r="Y215" s="53"/>
      <c r="Z215" s="53"/>
      <c r="AA215" s="53"/>
      <c r="AB215" s="53"/>
    </row>
    <row r="216" spans="8:28" ht="15" customHeight="1">
      <c r="H216" s="53"/>
      <c r="I216" s="53"/>
      <c r="J216" s="53"/>
      <c r="K216" s="53"/>
      <c r="L216" s="53"/>
      <c r="M216" s="53"/>
      <c r="N216" s="53"/>
      <c r="O216" s="53"/>
      <c r="P216" s="53"/>
      <c r="Q216" s="53"/>
      <c r="R216" s="53"/>
      <c r="S216" s="53"/>
      <c r="T216" s="53"/>
      <c r="U216" s="53"/>
      <c r="V216" s="53"/>
      <c r="W216" s="53"/>
      <c r="X216" s="53"/>
      <c r="Y216" s="53"/>
      <c r="Z216" s="53"/>
      <c r="AA216" s="53"/>
      <c r="AB216" s="53"/>
    </row>
    <row r="217" spans="8:28" ht="15" customHeight="1">
      <c r="H217" s="53"/>
      <c r="I217" s="53"/>
      <c r="J217" s="53"/>
      <c r="K217" s="53"/>
      <c r="L217" s="53"/>
      <c r="M217" s="53"/>
      <c r="N217" s="53"/>
      <c r="O217" s="53"/>
      <c r="P217" s="53"/>
      <c r="Q217" s="53"/>
      <c r="R217" s="53"/>
      <c r="S217" s="53"/>
      <c r="T217" s="53"/>
      <c r="U217" s="53"/>
      <c r="V217" s="53"/>
      <c r="W217" s="53"/>
      <c r="X217" s="53"/>
      <c r="Y217" s="53"/>
      <c r="Z217" s="53"/>
      <c r="AA217" s="53"/>
      <c r="AB217" s="53"/>
    </row>
    <row r="218" spans="8:28" ht="15" customHeight="1">
      <c r="H218" s="53"/>
      <c r="I218" s="53"/>
      <c r="J218" s="53"/>
      <c r="K218" s="53"/>
      <c r="L218" s="53"/>
      <c r="M218" s="53"/>
      <c r="N218" s="53"/>
      <c r="O218" s="53"/>
      <c r="P218" s="53"/>
      <c r="Q218" s="53"/>
      <c r="R218" s="53"/>
      <c r="S218" s="53"/>
      <c r="T218" s="53"/>
      <c r="U218" s="53"/>
      <c r="V218" s="53"/>
      <c r="W218" s="53"/>
      <c r="X218" s="53"/>
      <c r="Y218" s="53"/>
      <c r="Z218" s="53"/>
      <c r="AA218" s="53"/>
      <c r="AB218" s="53"/>
    </row>
    <row r="219" spans="8:28" ht="15" customHeight="1">
      <c r="H219" s="53"/>
      <c r="I219" s="53"/>
      <c r="J219" s="53"/>
      <c r="K219" s="53"/>
      <c r="L219" s="53"/>
      <c r="M219" s="53"/>
      <c r="N219" s="53"/>
      <c r="O219" s="53"/>
      <c r="P219" s="53"/>
      <c r="Q219" s="53"/>
      <c r="R219" s="53"/>
      <c r="S219" s="53"/>
      <c r="T219" s="53"/>
      <c r="U219" s="53"/>
      <c r="V219" s="53"/>
      <c r="W219" s="53"/>
      <c r="X219" s="53"/>
      <c r="Y219" s="53"/>
      <c r="Z219" s="53"/>
      <c r="AA219" s="53"/>
      <c r="AB219" s="53"/>
    </row>
    <row r="220" spans="8:28" ht="15" customHeight="1">
      <c r="H220" s="53"/>
      <c r="I220" s="53"/>
      <c r="J220" s="53"/>
      <c r="K220" s="53"/>
      <c r="L220" s="53"/>
      <c r="M220" s="53"/>
      <c r="N220" s="53"/>
      <c r="O220" s="53"/>
      <c r="P220" s="53"/>
      <c r="Q220" s="53"/>
      <c r="R220" s="53"/>
      <c r="S220" s="53"/>
      <c r="T220" s="53"/>
      <c r="U220" s="53"/>
      <c r="V220" s="53"/>
      <c r="W220" s="53"/>
      <c r="X220" s="53"/>
      <c r="Y220" s="53"/>
      <c r="Z220" s="53"/>
      <c r="AA220" s="53"/>
      <c r="AB220" s="53"/>
    </row>
    <row r="221" spans="8:28" ht="15" customHeight="1">
      <c r="H221" s="53"/>
      <c r="I221" s="53"/>
      <c r="J221" s="53"/>
      <c r="K221" s="53"/>
      <c r="L221" s="53"/>
      <c r="M221" s="53"/>
      <c r="N221" s="53"/>
      <c r="O221" s="53"/>
      <c r="P221" s="53"/>
      <c r="Q221" s="53"/>
      <c r="R221" s="53"/>
      <c r="S221" s="53"/>
      <c r="T221" s="53"/>
      <c r="U221" s="53"/>
      <c r="V221" s="53"/>
      <c r="W221" s="53"/>
      <c r="X221" s="53"/>
      <c r="Y221" s="53"/>
      <c r="Z221" s="53"/>
      <c r="AA221" s="53"/>
      <c r="AB221" s="53"/>
    </row>
    <row r="222" spans="8:28" ht="15" customHeight="1">
      <c r="H222" s="53"/>
      <c r="I222" s="53"/>
      <c r="J222" s="53"/>
      <c r="K222" s="53"/>
      <c r="L222" s="53"/>
      <c r="M222" s="53"/>
      <c r="N222" s="53"/>
      <c r="O222" s="53"/>
      <c r="P222" s="53"/>
      <c r="Q222" s="53"/>
      <c r="R222" s="53"/>
      <c r="S222" s="53"/>
      <c r="T222" s="53"/>
      <c r="U222" s="53"/>
      <c r="V222" s="53"/>
      <c r="W222" s="53"/>
      <c r="X222" s="53"/>
      <c r="Y222" s="53"/>
      <c r="Z222" s="53"/>
      <c r="AA222" s="53"/>
      <c r="AB222" s="53"/>
    </row>
    <row r="223" spans="8:28" ht="15" customHeight="1">
      <c r="H223" s="53"/>
      <c r="I223" s="53"/>
      <c r="J223" s="53"/>
      <c r="K223" s="53"/>
      <c r="L223" s="53"/>
      <c r="M223" s="53"/>
      <c r="N223" s="53"/>
      <c r="O223" s="53"/>
      <c r="P223" s="53"/>
      <c r="Q223" s="53"/>
      <c r="R223" s="53"/>
      <c r="S223" s="53"/>
      <c r="T223" s="53"/>
      <c r="U223" s="53"/>
      <c r="V223" s="53"/>
      <c r="W223" s="53"/>
      <c r="X223" s="53"/>
      <c r="Y223" s="53"/>
      <c r="Z223" s="53"/>
      <c r="AA223" s="53"/>
      <c r="AB223" s="53"/>
    </row>
    <row r="224" spans="8:28" ht="15" customHeight="1">
      <c r="H224" s="53"/>
      <c r="I224" s="53"/>
      <c r="J224" s="53"/>
      <c r="K224" s="53"/>
      <c r="L224" s="53"/>
      <c r="M224" s="53"/>
      <c r="N224" s="53"/>
      <c r="O224" s="53"/>
      <c r="P224" s="53"/>
      <c r="Q224" s="53"/>
      <c r="R224" s="53"/>
      <c r="S224" s="53"/>
      <c r="T224" s="53"/>
      <c r="U224" s="53"/>
      <c r="V224" s="53"/>
      <c r="W224" s="53"/>
      <c r="X224" s="53"/>
      <c r="Y224" s="53"/>
      <c r="Z224" s="53"/>
      <c r="AA224" s="53"/>
      <c r="AB224" s="53"/>
    </row>
    <row r="225" spans="8:28" ht="15" customHeight="1">
      <c r="H225" s="53"/>
      <c r="I225" s="53"/>
      <c r="J225" s="53"/>
      <c r="K225" s="53"/>
      <c r="L225" s="53"/>
      <c r="M225" s="53"/>
      <c r="N225" s="53"/>
      <c r="O225" s="53"/>
      <c r="P225" s="53"/>
      <c r="Q225" s="53"/>
      <c r="R225" s="53"/>
      <c r="S225" s="53"/>
      <c r="T225" s="53"/>
      <c r="U225" s="53"/>
      <c r="V225" s="53"/>
      <c r="W225" s="53"/>
      <c r="X225" s="53"/>
      <c r="Y225" s="53"/>
      <c r="Z225" s="53"/>
      <c r="AA225" s="53"/>
      <c r="AB225" s="53"/>
    </row>
    <row r="226" spans="8:28" ht="15" customHeight="1">
      <c r="H226" s="53"/>
      <c r="I226" s="53"/>
      <c r="J226" s="53"/>
      <c r="K226" s="53"/>
      <c r="L226" s="53"/>
      <c r="M226" s="53"/>
      <c r="N226" s="53"/>
      <c r="O226" s="53"/>
      <c r="P226" s="53"/>
      <c r="Q226" s="53"/>
      <c r="R226" s="53"/>
      <c r="S226" s="53"/>
      <c r="T226" s="53"/>
      <c r="U226" s="53"/>
      <c r="V226" s="53"/>
      <c r="W226" s="53"/>
      <c r="X226" s="53"/>
      <c r="Y226" s="53"/>
      <c r="Z226" s="53"/>
      <c r="AA226" s="53"/>
      <c r="AB226" s="53"/>
    </row>
    <row r="227" spans="8:28" ht="15" customHeight="1">
      <c r="H227" s="53"/>
      <c r="I227" s="53"/>
      <c r="J227" s="53"/>
      <c r="K227" s="53"/>
      <c r="L227" s="53"/>
      <c r="M227" s="53"/>
      <c r="N227" s="53"/>
      <c r="O227" s="53"/>
      <c r="P227" s="53"/>
      <c r="Q227" s="53"/>
      <c r="R227" s="53"/>
      <c r="S227" s="53"/>
      <c r="T227" s="53"/>
      <c r="U227" s="53"/>
      <c r="V227" s="53"/>
      <c r="W227" s="53"/>
      <c r="X227" s="53"/>
      <c r="Y227" s="53"/>
      <c r="Z227" s="53"/>
      <c r="AA227" s="53"/>
      <c r="AB227" s="53"/>
    </row>
    <row r="228" spans="8:28" ht="15" customHeight="1">
      <c r="H228" s="53"/>
      <c r="I228" s="53"/>
      <c r="J228" s="53"/>
      <c r="K228" s="53"/>
      <c r="L228" s="53"/>
      <c r="M228" s="53"/>
      <c r="N228" s="53"/>
      <c r="O228" s="53"/>
      <c r="P228" s="53"/>
      <c r="Q228" s="53"/>
      <c r="R228" s="53"/>
      <c r="S228" s="53"/>
      <c r="T228" s="53"/>
      <c r="U228" s="53"/>
      <c r="V228" s="53"/>
      <c r="W228" s="53"/>
      <c r="X228" s="53"/>
      <c r="Y228" s="53"/>
      <c r="Z228" s="53"/>
      <c r="AA228" s="53"/>
      <c r="AB228" s="53"/>
    </row>
    <row r="229" spans="8:28" ht="15" customHeight="1">
      <c r="H229" s="53"/>
      <c r="I229" s="53"/>
      <c r="J229" s="53"/>
      <c r="K229" s="53"/>
      <c r="L229" s="53"/>
      <c r="M229" s="53"/>
      <c r="N229" s="53"/>
      <c r="O229" s="53"/>
      <c r="P229" s="53"/>
      <c r="Q229" s="53"/>
      <c r="R229" s="53"/>
      <c r="S229" s="53"/>
      <c r="T229" s="53"/>
      <c r="U229" s="53"/>
      <c r="V229" s="53"/>
      <c r="W229" s="53"/>
      <c r="X229" s="53"/>
      <c r="Y229" s="53"/>
      <c r="Z229" s="53"/>
      <c r="AA229" s="53"/>
      <c r="AB229" s="53"/>
    </row>
    <row r="230" spans="8:28" ht="15" customHeight="1">
      <c r="H230" s="53"/>
      <c r="I230" s="53"/>
      <c r="J230" s="53"/>
      <c r="K230" s="53"/>
      <c r="L230" s="53"/>
      <c r="M230" s="53"/>
      <c r="N230" s="53"/>
      <c r="O230" s="53"/>
      <c r="P230" s="53"/>
      <c r="Q230" s="53"/>
      <c r="R230" s="53"/>
      <c r="S230" s="53"/>
      <c r="T230" s="53"/>
      <c r="U230" s="53"/>
      <c r="V230" s="53"/>
      <c r="W230" s="53"/>
      <c r="X230" s="53"/>
      <c r="Y230" s="53"/>
      <c r="Z230" s="53"/>
      <c r="AA230" s="53"/>
      <c r="AB230" s="53"/>
    </row>
    <row r="231" spans="8:28" ht="15" customHeight="1">
      <c r="H231" s="53"/>
      <c r="I231" s="53"/>
      <c r="J231" s="53"/>
      <c r="K231" s="53"/>
      <c r="L231" s="53"/>
      <c r="M231" s="53"/>
      <c r="N231" s="53"/>
      <c r="O231" s="53"/>
      <c r="P231" s="53"/>
      <c r="Q231" s="53"/>
      <c r="R231" s="53"/>
      <c r="S231" s="53"/>
      <c r="T231" s="53"/>
      <c r="U231" s="53"/>
      <c r="V231" s="53"/>
      <c r="W231" s="53"/>
      <c r="X231" s="53"/>
      <c r="Y231" s="53"/>
      <c r="Z231" s="53"/>
      <c r="AA231" s="53"/>
      <c r="AB231" s="53"/>
    </row>
    <row r="232" spans="8:28" ht="15" customHeight="1">
      <c r="H232" s="53"/>
      <c r="I232" s="53"/>
      <c r="J232" s="53"/>
      <c r="K232" s="53"/>
      <c r="L232" s="53"/>
      <c r="M232" s="53"/>
      <c r="N232" s="53"/>
      <c r="O232" s="53"/>
      <c r="P232" s="53"/>
      <c r="Q232" s="53"/>
      <c r="R232" s="53"/>
      <c r="S232" s="53"/>
      <c r="T232" s="53"/>
      <c r="U232" s="53"/>
      <c r="V232" s="53"/>
      <c r="W232" s="53"/>
      <c r="X232" s="53"/>
      <c r="Y232" s="53"/>
      <c r="Z232" s="53"/>
      <c r="AA232" s="53"/>
      <c r="AB232" s="53"/>
    </row>
    <row r="233" spans="8:28" ht="15" customHeight="1">
      <c r="H233" s="53"/>
      <c r="I233" s="53"/>
      <c r="J233" s="53"/>
      <c r="K233" s="53"/>
      <c r="L233" s="53"/>
      <c r="M233" s="53"/>
      <c r="N233" s="53"/>
      <c r="O233" s="53"/>
      <c r="P233" s="53"/>
      <c r="Q233" s="53"/>
      <c r="R233" s="53"/>
      <c r="S233" s="53"/>
      <c r="T233" s="53"/>
      <c r="U233" s="53"/>
      <c r="V233" s="53"/>
      <c r="W233" s="53"/>
      <c r="X233" s="53"/>
      <c r="Y233" s="53"/>
      <c r="Z233" s="53"/>
      <c r="AA233" s="53"/>
      <c r="AB233" s="53"/>
    </row>
    <row r="234" spans="8:28" ht="15" customHeight="1">
      <c r="H234" s="53"/>
      <c r="I234" s="53"/>
      <c r="J234" s="53"/>
      <c r="K234" s="53"/>
      <c r="L234" s="53"/>
      <c r="M234" s="53"/>
      <c r="N234" s="53"/>
      <c r="O234" s="53"/>
      <c r="P234" s="53"/>
      <c r="Q234" s="53"/>
      <c r="R234" s="53"/>
      <c r="S234" s="53"/>
      <c r="T234" s="53"/>
      <c r="U234" s="53"/>
      <c r="V234" s="53"/>
      <c r="W234" s="53"/>
      <c r="X234" s="53"/>
      <c r="Y234" s="53"/>
      <c r="Z234" s="53"/>
      <c r="AA234" s="53"/>
      <c r="AB234" s="53"/>
    </row>
    <row r="235" spans="8:28" ht="15" customHeight="1">
      <c r="H235" s="53"/>
      <c r="I235" s="53"/>
      <c r="J235" s="53"/>
      <c r="K235" s="53"/>
      <c r="L235" s="53"/>
      <c r="M235" s="53"/>
      <c r="N235" s="53"/>
      <c r="O235" s="53"/>
      <c r="P235" s="53"/>
      <c r="Q235" s="53"/>
      <c r="R235" s="53"/>
      <c r="S235" s="53"/>
      <c r="T235" s="53"/>
      <c r="U235" s="53"/>
      <c r="V235" s="53"/>
      <c r="W235" s="53"/>
      <c r="X235" s="53"/>
      <c r="Y235" s="53"/>
      <c r="Z235" s="53"/>
      <c r="AA235" s="53"/>
      <c r="AB235" s="53"/>
    </row>
    <row r="236" spans="8:28" ht="15" customHeight="1">
      <c r="H236" s="53"/>
      <c r="I236" s="53"/>
      <c r="J236" s="53"/>
      <c r="K236" s="53"/>
      <c r="L236" s="53"/>
      <c r="M236" s="53"/>
      <c r="N236" s="53"/>
      <c r="O236" s="53"/>
      <c r="P236" s="53"/>
      <c r="Q236" s="53"/>
      <c r="R236" s="53"/>
      <c r="S236" s="53"/>
      <c r="T236" s="53"/>
      <c r="U236" s="53"/>
      <c r="V236" s="53"/>
      <c r="W236" s="53"/>
      <c r="X236" s="53"/>
      <c r="Y236" s="53"/>
      <c r="Z236" s="53"/>
      <c r="AA236" s="53"/>
      <c r="AB236" s="53"/>
    </row>
    <row r="237" spans="8:28" ht="15" customHeight="1">
      <c r="H237" s="53"/>
      <c r="I237" s="53"/>
      <c r="J237" s="53"/>
      <c r="K237" s="53"/>
      <c r="L237" s="53"/>
      <c r="M237" s="53"/>
      <c r="N237" s="53"/>
      <c r="O237" s="53"/>
      <c r="P237" s="53"/>
      <c r="Q237" s="53"/>
      <c r="R237" s="53"/>
      <c r="S237" s="53"/>
      <c r="T237" s="53"/>
      <c r="U237" s="53"/>
      <c r="V237" s="53"/>
      <c r="W237" s="53"/>
      <c r="X237" s="53"/>
      <c r="Y237" s="53"/>
      <c r="Z237" s="53"/>
      <c r="AA237" s="53"/>
      <c r="AB237" s="53"/>
    </row>
    <row r="238" spans="8:28" ht="15" customHeight="1">
      <c r="H238" s="53"/>
      <c r="I238" s="53"/>
      <c r="J238" s="53"/>
      <c r="K238" s="53"/>
      <c r="L238" s="53"/>
      <c r="M238" s="53"/>
      <c r="N238" s="53"/>
      <c r="O238" s="53"/>
      <c r="P238" s="53"/>
      <c r="Q238" s="53"/>
      <c r="R238" s="53"/>
      <c r="S238" s="53"/>
      <c r="T238" s="53"/>
      <c r="U238" s="53"/>
      <c r="V238" s="53"/>
      <c r="W238" s="53"/>
      <c r="X238" s="53"/>
      <c r="Y238" s="53"/>
      <c r="Z238" s="53"/>
      <c r="AA238" s="53"/>
      <c r="AB238" s="53"/>
    </row>
    <row r="239" spans="8:28" ht="15" customHeight="1">
      <c r="H239" s="53"/>
      <c r="I239" s="53"/>
      <c r="J239" s="53"/>
      <c r="K239" s="53"/>
      <c r="L239" s="53"/>
      <c r="M239" s="53"/>
      <c r="N239" s="53"/>
      <c r="O239" s="53"/>
      <c r="P239" s="53"/>
      <c r="Q239" s="53"/>
      <c r="R239" s="53"/>
      <c r="S239" s="53"/>
      <c r="T239" s="53"/>
      <c r="U239" s="53"/>
      <c r="V239" s="53"/>
      <c r="W239" s="53"/>
      <c r="X239" s="53"/>
      <c r="Y239" s="53"/>
      <c r="Z239" s="53"/>
      <c r="AA239" s="53"/>
      <c r="AB239" s="53"/>
    </row>
    <row r="240" spans="8:28" ht="15" customHeight="1">
      <c r="H240" s="53"/>
      <c r="I240" s="53"/>
      <c r="J240" s="53"/>
      <c r="K240" s="53"/>
      <c r="L240" s="53"/>
      <c r="M240" s="53"/>
      <c r="N240" s="53"/>
      <c r="O240" s="53"/>
      <c r="P240" s="53"/>
      <c r="Q240" s="53"/>
      <c r="R240" s="53"/>
      <c r="S240" s="53"/>
      <c r="T240" s="53"/>
      <c r="U240" s="53"/>
      <c r="V240" s="53"/>
      <c r="W240" s="53"/>
      <c r="X240" s="53"/>
      <c r="Y240" s="53"/>
      <c r="Z240" s="53"/>
      <c r="AA240" s="53"/>
      <c r="AB240" s="53"/>
    </row>
    <row r="241" spans="8:28" ht="15" customHeight="1">
      <c r="H241" s="53"/>
      <c r="I241" s="53"/>
      <c r="J241" s="53"/>
      <c r="K241" s="53"/>
      <c r="L241" s="53"/>
      <c r="M241" s="53"/>
      <c r="N241" s="53"/>
      <c r="O241" s="53"/>
      <c r="P241" s="53"/>
      <c r="Q241" s="53"/>
      <c r="R241" s="53"/>
      <c r="S241" s="53"/>
      <c r="T241" s="53"/>
      <c r="U241" s="53"/>
      <c r="V241" s="53"/>
      <c r="W241" s="53"/>
      <c r="X241" s="53"/>
      <c r="Y241" s="53"/>
      <c r="Z241" s="53"/>
      <c r="AA241" s="53"/>
      <c r="AB241" s="53"/>
    </row>
    <row r="242" spans="8:28" ht="15" customHeight="1">
      <c r="H242" s="53"/>
      <c r="I242" s="53"/>
      <c r="J242" s="53"/>
      <c r="K242" s="53"/>
      <c r="L242" s="53"/>
      <c r="M242" s="53"/>
      <c r="N242" s="53"/>
      <c r="O242" s="53"/>
      <c r="P242" s="53"/>
      <c r="Q242" s="53"/>
      <c r="R242" s="53"/>
      <c r="S242" s="53"/>
      <c r="T242" s="53"/>
      <c r="U242" s="53"/>
      <c r="V242" s="53"/>
      <c r="W242" s="53"/>
      <c r="X242" s="53"/>
      <c r="Y242" s="53"/>
      <c r="Z242" s="53"/>
      <c r="AA242" s="53"/>
      <c r="AB242" s="53"/>
    </row>
    <row r="243" spans="8:28" ht="15" customHeight="1">
      <c r="H243" s="53"/>
      <c r="I243" s="53"/>
      <c r="J243" s="53"/>
      <c r="K243" s="53"/>
      <c r="L243" s="53"/>
      <c r="M243" s="53"/>
      <c r="N243" s="53"/>
      <c r="O243" s="53"/>
      <c r="P243" s="53"/>
      <c r="Q243" s="53"/>
      <c r="R243" s="53"/>
      <c r="S243" s="53"/>
      <c r="T243" s="53"/>
      <c r="U243" s="53"/>
      <c r="V243" s="53"/>
      <c r="W243" s="53"/>
      <c r="X243" s="53"/>
      <c r="Y243" s="53"/>
      <c r="Z243" s="53"/>
      <c r="AA243" s="53"/>
      <c r="AB243" s="53"/>
    </row>
    <row r="244" spans="8:28" ht="15" customHeight="1">
      <c r="H244" s="53"/>
      <c r="I244" s="53"/>
      <c r="J244" s="53"/>
      <c r="K244" s="53"/>
      <c r="L244" s="53"/>
      <c r="M244" s="53"/>
      <c r="N244" s="53"/>
      <c r="O244" s="53"/>
      <c r="P244" s="53"/>
      <c r="Q244" s="53"/>
      <c r="R244" s="53"/>
      <c r="S244" s="53"/>
      <c r="T244" s="53"/>
      <c r="U244" s="53"/>
      <c r="V244" s="53"/>
      <c r="W244" s="53"/>
      <c r="X244" s="53"/>
      <c r="Y244" s="53"/>
      <c r="Z244" s="53"/>
      <c r="AA244" s="53"/>
      <c r="AB244" s="53"/>
    </row>
    <row r="245" spans="8:28" ht="15" customHeight="1">
      <c r="H245" s="53"/>
      <c r="I245" s="53"/>
      <c r="J245" s="53"/>
      <c r="K245" s="53"/>
      <c r="L245" s="53"/>
      <c r="M245" s="53"/>
      <c r="N245" s="53"/>
      <c r="O245" s="53"/>
      <c r="P245" s="53"/>
      <c r="Q245" s="53"/>
      <c r="R245" s="53"/>
      <c r="S245" s="53"/>
      <c r="T245" s="53"/>
      <c r="U245" s="53"/>
      <c r="V245" s="53"/>
      <c r="W245" s="53"/>
      <c r="X245" s="53"/>
      <c r="Y245" s="53"/>
      <c r="Z245" s="53"/>
      <c r="AA245" s="53"/>
      <c r="AB245" s="53"/>
    </row>
    <row r="246" spans="8:28" ht="15" customHeight="1">
      <c r="H246" s="53"/>
      <c r="I246" s="53"/>
      <c r="J246" s="53"/>
      <c r="K246" s="53"/>
      <c r="L246" s="53"/>
      <c r="M246" s="53"/>
      <c r="N246" s="53"/>
      <c r="O246" s="53"/>
      <c r="P246" s="53"/>
      <c r="Q246" s="53"/>
      <c r="R246" s="53"/>
      <c r="S246" s="53"/>
      <c r="T246" s="53"/>
      <c r="U246" s="53"/>
      <c r="V246" s="53"/>
      <c r="W246" s="53"/>
      <c r="X246" s="53"/>
      <c r="Y246" s="53"/>
      <c r="Z246" s="53"/>
      <c r="AA246" s="53"/>
      <c r="AB246" s="53"/>
    </row>
    <row r="247" spans="8:28" ht="15" customHeight="1">
      <c r="H247" s="53"/>
      <c r="I247" s="53"/>
      <c r="J247" s="53"/>
      <c r="K247" s="53"/>
      <c r="L247" s="53"/>
      <c r="M247" s="53"/>
      <c r="N247" s="53"/>
      <c r="O247" s="53"/>
      <c r="P247" s="53"/>
      <c r="Q247" s="53"/>
      <c r="R247" s="53"/>
      <c r="S247" s="53"/>
      <c r="T247" s="53"/>
      <c r="U247" s="53"/>
      <c r="V247" s="53"/>
      <c r="W247" s="53"/>
      <c r="X247" s="53"/>
      <c r="Y247" s="53"/>
      <c r="Z247" s="53"/>
      <c r="AA247" s="53"/>
      <c r="AB247" s="53"/>
    </row>
    <row r="248" spans="8:28" ht="15" customHeight="1">
      <c r="H248" s="53"/>
      <c r="I248" s="53"/>
      <c r="J248" s="53"/>
      <c r="K248" s="53"/>
      <c r="L248" s="53"/>
      <c r="M248" s="53"/>
      <c r="N248" s="53"/>
      <c r="O248" s="53"/>
      <c r="P248" s="53"/>
      <c r="Q248" s="53"/>
      <c r="R248" s="53"/>
      <c r="S248" s="53"/>
      <c r="T248" s="53"/>
      <c r="U248" s="53"/>
      <c r="V248" s="53"/>
      <c r="W248" s="53"/>
      <c r="X248" s="53"/>
      <c r="Y248" s="53"/>
      <c r="Z248" s="53"/>
      <c r="AA248" s="53"/>
      <c r="AB248" s="53"/>
    </row>
    <row r="249" spans="8:28" ht="15" customHeight="1">
      <c r="H249" s="53"/>
      <c r="I249" s="53"/>
      <c r="J249" s="53"/>
      <c r="K249" s="53"/>
      <c r="L249" s="53"/>
      <c r="M249" s="53"/>
      <c r="N249" s="53"/>
      <c r="O249" s="53"/>
      <c r="P249" s="53"/>
      <c r="Q249" s="53"/>
      <c r="R249" s="53"/>
      <c r="S249" s="53"/>
      <c r="T249" s="53"/>
      <c r="U249" s="53"/>
      <c r="V249" s="53"/>
      <c r="W249" s="53"/>
      <c r="X249" s="53"/>
      <c r="Y249" s="53"/>
      <c r="Z249" s="53"/>
      <c r="AA249" s="53"/>
      <c r="AB249" s="53"/>
    </row>
    <row r="250" spans="8:28" ht="15" customHeight="1">
      <c r="H250" s="53"/>
      <c r="I250" s="53"/>
      <c r="J250" s="53"/>
      <c r="K250" s="53"/>
      <c r="L250" s="53"/>
      <c r="M250" s="53"/>
      <c r="N250" s="53"/>
      <c r="O250" s="53"/>
      <c r="P250" s="53"/>
      <c r="Q250" s="53"/>
      <c r="R250" s="53"/>
      <c r="S250" s="53"/>
      <c r="T250" s="53"/>
      <c r="U250" s="53"/>
      <c r="V250" s="53"/>
      <c r="W250" s="53"/>
      <c r="X250" s="53"/>
      <c r="Y250" s="53"/>
      <c r="Z250" s="53"/>
      <c r="AA250" s="53"/>
      <c r="AB250" s="53"/>
    </row>
    <row r="251" spans="8:28" ht="15" customHeight="1">
      <c r="H251" s="53"/>
      <c r="I251" s="53"/>
      <c r="J251" s="53"/>
      <c r="K251" s="53"/>
      <c r="L251" s="53"/>
      <c r="M251" s="53"/>
      <c r="N251" s="53"/>
      <c r="O251" s="53"/>
      <c r="P251" s="53"/>
      <c r="Q251" s="53"/>
      <c r="R251" s="53"/>
      <c r="S251" s="53"/>
      <c r="T251" s="53"/>
      <c r="U251" s="53"/>
      <c r="V251" s="53"/>
      <c r="W251" s="53"/>
      <c r="X251" s="53"/>
      <c r="Y251" s="53"/>
      <c r="Z251" s="53"/>
      <c r="AA251" s="53"/>
      <c r="AB251" s="53"/>
    </row>
    <row r="252" spans="8:28" ht="15" customHeight="1">
      <c r="H252" s="53"/>
      <c r="I252" s="53"/>
      <c r="J252" s="53"/>
      <c r="K252" s="53"/>
      <c r="L252" s="53"/>
      <c r="M252" s="53"/>
      <c r="N252" s="53"/>
      <c r="O252" s="53"/>
      <c r="P252" s="53"/>
      <c r="Q252" s="53"/>
      <c r="R252" s="53"/>
      <c r="S252" s="53"/>
      <c r="T252" s="53"/>
      <c r="U252" s="53"/>
      <c r="V252" s="53"/>
      <c r="W252" s="53"/>
      <c r="X252" s="53"/>
      <c r="Y252" s="53"/>
      <c r="Z252" s="53"/>
      <c r="AA252" s="53"/>
      <c r="AB252" s="53"/>
    </row>
    <row r="253" spans="8:28" ht="15" customHeight="1">
      <c r="H253" s="53"/>
      <c r="I253" s="53"/>
      <c r="J253" s="53"/>
      <c r="K253" s="53"/>
      <c r="L253" s="53"/>
      <c r="M253" s="53"/>
      <c r="N253" s="53"/>
      <c r="O253" s="53"/>
      <c r="P253" s="53"/>
      <c r="Q253" s="53"/>
      <c r="R253" s="53"/>
      <c r="S253" s="53"/>
      <c r="T253" s="53"/>
      <c r="U253" s="53"/>
      <c r="V253" s="53"/>
      <c r="W253" s="53"/>
      <c r="X253" s="53"/>
      <c r="Y253" s="53"/>
      <c r="Z253" s="53"/>
      <c r="AA253" s="53"/>
      <c r="AB253" s="53"/>
    </row>
    <row r="254" spans="8:28" ht="15" customHeight="1">
      <c r="H254" s="53"/>
      <c r="I254" s="53"/>
      <c r="J254" s="53"/>
      <c r="K254" s="53"/>
      <c r="L254" s="53"/>
      <c r="M254" s="53"/>
      <c r="N254" s="53"/>
      <c r="O254" s="53"/>
      <c r="P254" s="53"/>
      <c r="Q254" s="53"/>
      <c r="R254" s="53"/>
      <c r="S254" s="53"/>
      <c r="T254" s="53"/>
      <c r="U254" s="53"/>
      <c r="V254" s="53"/>
      <c r="W254" s="53"/>
      <c r="X254" s="53"/>
      <c r="Y254" s="53"/>
      <c r="Z254" s="53"/>
      <c r="AA254" s="53"/>
      <c r="AB254" s="53"/>
    </row>
    <row r="255" spans="8:28" ht="15" customHeight="1">
      <c r="H255" s="53"/>
      <c r="I255" s="53"/>
      <c r="J255" s="53"/>
      <c r="K255" s="53"/>
      <c r="L255" s="53"/>
      <c r="M255" s="53"/>
      <c r="N255" s="53"/>
      <c r="O255" s="53"/>
      <c r="P255" s="53"/>
      <c r="Q255" s="53"/>
      <c r="R255" s="53"/>
      <c r="S255" s="53"/>
      <c r="T255" s="53"/>
      <c r="U255" s="53"/>
      <c r="V255" s="53"/>
      <c r="W255" s="53"/>
      <c r="X255" s="53"/>
      <c r="Y255" s="53"/>
      <c r="Z255" s="53"/>
      <c r="AA255" s="53"/>
      <c r="AB255" s="53"/>
    </row>
    <row r="256" spans="8:28" ht="15" customHeight="1">
      <c r="H256" s="53"/>
      <c r="I256" s="53"/>
      <c r="J256" s="53"/>
      <c r="K256" s="53"/>
      <c r="L256" s="53"/>
      <c r="M256" s="53"/>
      <c r="N256" s="53"/>
      <c r="O256" s="53"/>
      <c r="P256" s="53"/>
      <c r="Q256" s="53"/>
      <c r="R256" s="53"/>
      <c r="S256" s="53"/>
      <c r="T256" s="53"/>
      <c r="U256" s="53"/>
      <c r="V256" s="53"/>
      <c r="W256" s="53"/>
      <c r="X256" s="53"/>
      <c r="Y256" s="53"/>
      <c r="Z256" s="53"/>
      <c r="AA256" s="53"/>
      <c r="AB256" s="53"/>
    </row>
    <row r="257" spans="8:28" ht="15" customHeight="1">
      <c r="H257" s="53"/>
      <c r="I257" s="53"/>
      <c r="J257" s="53"/>
      <c r="K257" s="53"/>
      <c r="L257" s="53"/>
      <c r="M257" s="53"/>
      <c r="N257" s="53"/>
      <c r="O257" s="53"/>
      <c r="P257" s="53"/>
      <c r="Q257" s="53"/>
      <c r="R257" s="53"/>
      <c r="S257" s="53"/>
      <c r="T257" s="53"/>
      <c r="U257" s="53"/>
      <c r="V257" s="53"/>
      <c r="W257" s="53"/>
      <c r="X257" s="53"/>
      <c r="Y257" s="53"/>
      <c r="Z257" s="53"/>
      <c r="AA257" s="53"/>
      <c r="AB257" s="53"/>
    </row>
    <row r="258" spans="8:28" ht="15" customHeight="1">
      <c r="H258" s="53"/>
      <c r="I258" s="53"/>
      <c r="J258" s="53"/>
      <c r="K258" s="53"/>
      <c r="L258" s="53"/>
      <c r="M258" s="53"/>
      <c r="N258" s="53"/>
      <c r="O258" s="53"/>
      <c r="P258" s="53"/>
      <c r="Q258" s="53"/>
      <c r="R258" s="53"/>
      <c r="S258" s="53"/>
      <c r="T258" s="53"/>
      <c r="U258" s="53"/>
      <c r="V258" s="53"/>
      <c r="W258" s="53"/>
      <c r="X258" s="53"/>
      <c r="Y258" s="53"/>
      <c r="Z258" s="53"/>
      <c r="AA258" s="53"/>
      <c r="AB258" s="53"/>
    </row>
    <row r="259" spans="8:28" ht="15" customHeight="1">
      <c r="H259" s="53"/>
      <c r="I259" s="53"/>
      <c r="J259" s="53"/>
      <c r="K259" s="53"/>
      <c r="L259" s="53"/>
      <c r="M259" s="53"/>
      <c r="N259" s="53"/>
      <c r="O259" s="53"/>
      <c r="P259" s="53"/>
      <c r="Q259" s="53"/>
      <c r="R259" s="53"/>
      <c r="S259" s="53"/>
      <c r="T259" s="53"/>
      <c r="U259" s="53"/>
      <c r="V259" s="53"/>
      <c r="W259" s="53"/>
      <c r="X259" s="53"/>
      <c r="Y259" s="53"/>
      <c r="Z259" s="53"/>
      <c r="AA259" s="53"/>
      <c r="AB259" s="53"/>
    </row>
    <row r="260" spans="8:28" ht="15" customHeight="1">
      <c r="H260" s="53"/>
      <c r="I260" s="53"/>
      <c r="J260" s="53"/>
      <c r="K260" s="53"/>
      <c r="L260" s="53"/>
      <c r="M260" s="53"/>
      <c r="N260" s="53"/>
      <c r="O260" s="53"/>
      <c r="P260" s="53"/>
      <c r="Q260" s="53"/>
      <c r="R260" s="53"/>
      <c r="S260" s="53"/>
      <c r="T260" s="53"/>
      <c r="U260" s="53"/>
      <c r="V260" s="53"/>
      <c r="W260" s="53"/>
      <c r="X260" s="53"/>
      <c r="Y260" s="53"/>
      <c r="Z260" s="53"/>
      <c r="AA260" s="53"/>
      <c r="AB260" s="53"/>
    </row>
    <row r="261" spans="8:28" ht="15" customHeight="1">
      <c r="H261" s="53"/>
      <c r="I261" s="53"/>
      <c r="J261" s="53"/>
      <c r="K261" s="53"/>
      <c r="L261" s="53"/>
      <c r="M261" s="53"/>
      <c r="N261" s="53"/>
      <c r="O261" s="53"/>
      <c r="P261" s="53"/>
      <c r="Q261" s="53"/>
      <c r="R261" s="53"/>
      <c r="S261" s="53"/>
      <c r="T261" s="53"/>
      <c r="U261" s="53"/>
      <c r="V261" s="53"/>
      <c r="W261" s="53"/>
      <c r="X261" s="53"/>
      <c r="Y261" s="53"/>
      <c r="Z261" s="53"/>
      <c r="AA261" s="53"/>
      <c r="AB261" s="53"/>
    </row>
    <row r="262" spans="8:28" ht="15" customHeight="1">
      <c r="H262" s="53"/>
      <c r="I262" s="53"/>
      <c r="J262" s="53"/>
      <c r="K262" s="53"/>
      <c r="L262" s="53"/>
      <c r="M262" s="53"/>
      <c r="N262" s="53"/>
      <c r="O262" s="53"/>
      <c r="P262" s="53"/>
      <c r="Q262" s="53"/>
      <c r="R262" s="53"/>
      <c r="S262" s="53"/>
      <c r="T262" s="53"/>
      <c r="U262" s="53"/>
      <c r="V262" s="53"/>
      <c r="W262" s="53"/>
      <c r="X262" s="53"/>
      <c r="Y262" s="53"/>
      <c r="Z262" s="53"/>
      <c r="AA262" s="53"/>
      <c r="AB262" s="53"/>
    </row>
    <row r="263" spans="8:28" ht="15" customHeight="1">
      <c r="H263" s="53"/>
      <c r="I263" s="53"/>
      <c r="J263" s="53"/>
      <c r="K263" s="53"/>
      <c r="L263" s="53"/>
      <c r="M263" s="53"/>
      <c r="N263" s="53"/>
      <c r="O263" s="53"/>
      <c r="P263" s="53"/>
      <c r="Q263" s="53"/>
      <c r="R263" s="53"/>
      <c r="S263" s="53"/>
      <c r="T263" s="53"/>
      <c r="U263" s="53"/>
      <c r="V263" s="53"/>
      <c r="W263" s="53"/>
      <c r="X263" s="53"/>
      <c r="Y263" s="53"/>
      <c r="Z263" s="53"/>
      <c r="AA263" s="53"/>
      <c r="AB263" s="53"/>
    </row>
    <row r="264" spans="8:28" ht="15" customHeight="1">
      <c r="H264" s="53"/>
      <c r="I264" s="53"/>
      <c r="J264" s="53"/>
      <c r="K264" s="53"/>
      <c r="L264" s="53"/>
      <c r="M264" s="53"/>
      <c r="N264" s="53"/>
      <c r="O264" s="53"/>
      <c r="P264" s="53"/>
      <c r="Q264" s="53"/>
      <c r="R264" s="53"/>
      <c r="S264" s="53"/>
      <c r="T264" s="53"/>
      <c r="U264" s="53"/>
      <c r="V264" s="53"/>
      <c r="W264" s="53"/>
      <c r="X264" s="53"/>
      <c r="Y264" s="53"/>
      <c r="Z264" s="53"/>
      <c r="AA264" s="53"/>
      <c r="AB264" s="53"/>
    </row>
    <row r="265" spans="8:28" ht="15" customHeight="1">
      <c r="H265" s="53"/>
      <c r="I265" s="53"/>
      <c r="J265" s="53"/>
      <c r="K265" s="53"/>
      <c r="L265" s="53"/>
      <c r="M265" s="53"/>
      <c r="N265" s="53"/>
      <c r="O265" s="53"/>
      <c r="P265" s="53"/>
      <c r="Q265" s="53"/>
      <c r="R265" s="53"/>
      <c r="S265" s="53"/>
      <c r="T265" s="53"/>
      <c r="U265" s="53"/>
      <c r="V265" s="53"/>
      <c r="W265" s="53"/>
      <c r="X265" s="53"/>
      <c r="Y265" s="53"/>
      <c r="Z265" s="53"/>
      <c r="AA265" s="53"/>
      <c r="AB265" s="53"/>
    </row>
    <row r="266" spans="8:28" ht="15" customHeight="1">
      <c r="H266" s="53"/>
      <c r="I266" s="53"/>
      <c r="J266" s="53"/>
      <c r="K266" s="53"/>
      <c r="L266" s="53"/>
      <c r="M266" s="53"/>
      <c r="N266" s="53"/>
      <c r="O266" s="53"/>
      <c r="P266" s="53"/>
      <c r="Q266" s="53"/>
      <c r="R266" s="53"/>
      <c r="S266" s="53"/>
      <c r="T266" s="53"/>
      <c r="U266" s="53"/>
      <c r="V266" s="53"/>
      <c r="W266" s="53"/>
      <c r="X266" s="53"/>
      <c r="Y266" s="53"/>
      <c r="Z266" s="53"/>
      <c r="AA266" s="53"/>
      <c r="AB266" s="53"/>
    </row>
    <row r="267" spans="8:28" ht="15" customHeight="1">
      <c r="H267" s="53"/>
      <c r="I267" s="53"/>
      <c r="J267" s="53"/>
      <c r="K267" s="53"/>
      <c r="L267" s="53"/>
      <c r="M267" s="53"/>
      <c r="N267" s="53"/>
      <c r="O267" s="53"/>
      <c r="P267" s="53"/>
      <c r="Q267" s="53"/>
      <c r="R267" s="53"/>
      <c r="S267" s="53"/>
      <c r="T267" s="53"/>
      <c r="U267" s="53"/>
      <c r="V267" s="53"/>
      <c r="W267" s="53"/>
      <c r="X267" s="53"/>
      <c r="Y267" s="53"/>
      <c r="Z267" s="53"/>
      <c r="AA267" s="53"/>
      <c r="AB267" s="53"/>
    </row>
    <row r="268" spans="8:28" ht="15" customHeight="1">
      <c r="H268" s="53"/>
      <c r="I268" s="53"/>
      <c r="J268" s="53"/>
      <c r="K268" s="53"/>
      <c r="L268" s="53"/>
      <c r="M268" s="53"/>
      <c r="N268" s="53"/>
      <c r="O268" s="53"/>
      <c r="P268" s="53"/>
      <c r="Q268" s="53"/>
      <c r="R268" s="53"/>
      <c r="S268" s="53"/>
      <c r="T268" s="53"/>
      <c r="U268" s="53"/>
      <c r="V268" s="53"/>
      <c r="W268" s="53"/>
      <c r="X268" s="53"/>
      <c r="Y268" s="53"/>
      <c r="Z268" s="53"/>
      <c r="AA268" s="53"/>
      <c r="AB268" s="53"/>
    </row>
    <row r="269" spans="8:28" ht="15" customHeight="1">
      <c r="H269" s="53"/>
      <c r="I269" s="53"/>
      <c r="J269" s="53"/>
      <c r="K269" s="53"/>
      <c r="L269" s="53"/>
      <c r="M269" s="53"/>
      <c r="N269" s="53"/>
      <c r="O269" s="53"/>
      <c r="P269" s="53"/>
      <c r="Q269" s="53"/>
      <c r="R269" s="53"/>
      <c r="S269" s="53"/>
      <c r="T269" s="53"/>
      <c r="U269" s="53"/>
      <c r="V269" s="53"/>
      <c r="W269" s="53"/>
      <c r="X269" s="53"/>
      <c r="Y269" s="53"/>
      <c r="Z269" s="53"/>
      <c r="AA269" s="53"/>
      <c r="AB269" s="53"/>
    </row>
    <row r="270" spans="8:28" ht="15" customHeight="1">
      <c r="H270" s="53"/>
      <c r="I270" s="53"/>
      <c r="J270" s="53"/>
      <c r="K270" s="53"/>
      <c r="L270" s="53"/>
      <c r="M270" s="53"/>
      <c r="N270" s="53"/>
      <c r="O270" s="53"/>
      <c r="P270" s="53"/>
      <c r="Q270" s="53"/>
      <c r="R270" s="53"/>
      <c r="S270" s="53"/>
      <c r="T270" s="53"/>
      <c r="U270" s="53"/>
      <c r="V270" s="53"/>
      <c r="W270" s="53"/>
      <c r="X270" s="53"/>
      <c r="Y270" s="53"/>
      <c r="Z270" s="53"/>
      <c r="AA270" s="53"/>
      <c r="AB270" s="53"/>
    </row>
    <row r="271" spans="8:28" ht="15" customHeight="1">
      <c r="H271" s="53"/>
      <c r="I271" s="53"/>
      <c r="J271" s="53"/>
      <c r="K271" s="53"/>
      <c r="L271" s="53"/>
      <c r="M271" s="53"/>
      <c r="N271" s="53"/>
      <c r="O271" s="53"/>
      <c r="P271" s="53"/>
      <c r="Q271" s="53"/>
      <c r="R271" s="53"/>
      <c r="S271" s="53"/>
      <c r="T271" s="53"/>
      <c r="U271" s="53"/>
      <c r="V271" s="53"/>
      <c r="W271" s="53"/>
      <c r="X271" s="53"/>
      <c r="Y271" s="53"/>
      <c r="Z271" s="53"/>
      <c r="AA271" s="53"/>
      <c r="AB271" s="53"/>
    </row>
    <row r="272" spans="8:28" ht="15" customHeight="1">
      <c r="H272" s="53"/>
      <c r="I272" s="53"/>
      <c r="J272" s="53"/>
      <c r="K272" s="53"/>
      <c r="L272" s="53"/>
      <c r="M272" s="53"/>
      <c r="N272" s="53"/>
      <c r="O272" s="53"/>
      <c r="P272" s="53"/>
      <c r="Q272" s="53"/>
      <c r="R272" s="53"/>
      <c r="S272" s="53"/>
      <c r="T272" s="53"/>
      <c r="U272" s="53"/>
      <c r="V272" s="53"/>
      <c r="W272" s="53"/>
      <c r="X272" s="53"/>
      <c r="Y272" s="53"/>
      <c r="Z272" s="53"/>
      <c r="AA272" s="53"/>
      <c r="AB272" s="53"/>
    </row>
    <row r="273" spans="8:28" ht="15" customHeight="1">
      <c r="H273" s="53"/>
      <c r="I273" s="53"/>
      <c r="J273" s="53"/>
      <c r="K273" s="53"/>
      <c r="L273" s="53"/>
      <c r="M273" s="53"/>
      <c r="N273" s="53"/>
      <c r="O273" s="53"/>
      <c r="P273" s="53"/>
      <c r="Q273" s="53"/>
      <c r="R273" s="53"/>
      <c r="S273" s="53"/>
      <c r="T273" s="53"/>
      <c r="U273" s="53"/>
      <c r="V273" s="53"/>
      <c r="W273" s="53"/>
      <c r="X273" s="53"/>
      <c r="Y273" s="53"/>
      <c r="Z273" s="53"/>
      <c r="AA273" s="53"/>
      <c r="AB273" s="53"/>
    </row>
    <row r="274" spans="8:28" ht="15" customHeight="1">
      <c r="H274" s="53"/>
      <c r="I274" s="53"/>
      <c r="J274" s="53"/>
      <c r="K274" s="53"/>
      <c r="L274" s="53"/>
      <c r="M274" s="53"/>
      <c r="N274" s="53"/>
      <c r="O274" s="53"/>
      <c r="P274" s="53"/>
      <c r="Q274" s="53"/>
      <c r="R274" s="53"/>
      <c r="S274" s="53"/>
      <c r="T274" s="53"/>
      <c r="U274" s="53"/>
      <c r="V274" s="53"/>
      <c r="W274" s="53"/>
      <c r="X274" s="53"/>
      <c r="Y274" s="53"/>
      <c r="Z274" s="53"/>
      <c r="AA274" s="53"/>
      <c r="AB274" s="53"/>
    </row>
    <row r="275" spans="8:28" ht="15" customHeight="1">
      <c r="H275" s="53"/>
      <c r="I275" s="53"/>
      <c r="J275" s="53"/>
      <c r="K275" s="53"/>
      <c r="L275" s="53"/>
      <c r="M275" s="53"/>
      <c r="N275" s="53"/>
      <c r="O275" s="53"/>
      <c r="P275" s="53"/>
      <c r="Q275" s="53"/>
      <c r="R275" s="53"/>
      <c r="S275" s="53"/>
      <c r="T275" s="53"/>
      <c r="U275" s="53"/>
      <c r="V275" s="53"/>
      <c r="W275" s="53"/>
      <c r="X275" s="53"/>
      <c r="Y275" s="53"/>
      <c r="Z275" s="53"/>
      <c r="AA275" s="53"/>
      <c r="AB275" s="53"/>
    </row>
    <row r="276" spans="8:28" ht="15" customHeight="1">
      <c r="H276" s="53"/>
      <c r="I276" s="53"/>
      <c r="J276" s="53"/>
      <c r="K276" s="53"/>
      <c r="L276" s="53"/>
      <c r="M276" s="53"/>
      <c r="N276" s="53"/>
      <c r="O276" s="53"/>
      <c r="P276" s="53"/>
      <c r="Q276" s="53"/>
      <c r="R276" s="53"/>
      <c r="S276" s="53"/>
      <c r="T276" s="53"/>
      <c r="U276" s="53"/>
      <c r="V276" s="53"/>
      <c r="W276" s="53"/>
      <c r="X276" s="53"/>
      <c r="Y276" s="53"/>
      <c r="Z276" s="53"/>
      <c r="AA276" s="53"/>
      <c r="AB276" s="53"/>
    </row>
    <row r="277" spans="8:28" ht="15" customHeight="1">
      <c r="H277" s="53"/>
      <c r="I277" s="53"/>
      <c r="J277" s="53"/>
      <c r="K277" s="53"/>
      <c r="L277" s="53"/>
      <c r="M277" s="53"/>
      <c r="N277" s="53"/>
      <c r="O277" s="53"/>
      <c r="P277" s="53"/>
      <c r="Q277" s="53"/>
      <c r="R277" s="53"/>
      <c r="S277" s="53"/>
      <c r="T277" s="53"/>
      <c r="U277" s="53"/>
      <c r="V277" s="53"/>
      <c r="W277" s="53"/>
      <c r="X277" s="53"/>
      <c r="Y277" s="53"/>
      <c r="Z277" s="53"/>
      <c r="AA277" s="53"/>
      <c r="AB277" s="53"/>
    </row>
    <row r="278" spans="8:28" ht="15" customHeight="1">
      <c r="H278" s="53"/>
      <c r="I278" s="53"/>
      <c r="J278" s="53"/>
      <c r="K278" s="53"/>
      <c r="L278" s="53"/>
      <c r="M278" s="53"/>
      <c r="N278" s="53"/>
      <c r="O278" s="53"/>
      <c r="P278" s="53"/>
      <c r="Q278" s="53"/>
      <c r="R278" s="53"/>
      <c r="S278" s="53"/>
      <c r="T278" s="53"/>
      <c r="U278" s="53"/>
      <c r="V278" s="53"/>
      <c r="W278" s="53"/>
      <c r="X278" s="53"/>
      <c r="Y278" s="53"/>
      <c r="Z278" s="53"/>
      <c r="AA278" s="53"/>
      <c r="AB278" s="53"/>
    </row>
    <row r="279" spans="8:28" ht="15" customHeight="1">
      <c r="H279" s="53"/>
      <c r="I279" s="53"/>
      <c r="J279" s="53"/>
      <c r="K279" s="53"/>
      <c r="L279" s="53"/>
      <c r="M279" s="53"/>
      <c r="N279" s="53"/>
      <c r="O279" s="53"/>
      <c r="P279" s="53"/>
      <c r="Q279" s="53"/>
      <c r="R279" s="53"/>
      <c r="S279" s="53"/>
      <c r="T279" s="53"/>
      <c r="U279" s="53"/>
      <c r="V279" s="53"/>
      <c r="W279" s="53"/>
      <c r="X279" s="53"/>
      <c r="Y279" s="53"/>
      <c r="Z279" s="53"/>
      <c r="AA279" s="53"/>
      <c r="AB279" s="53"/>
    </row>
    <row r="280" spans="8:28" ht="15" customHeight="1">
      <c r="H280" s="53"/>
      <c r="I280" s="53"/>
      <c r="J280" s="53"/>
      <c r="K280" s="53"/>
      <c r="L280" s="53"/>
      <c r="M280" s="53"/>
      <c r="N280" s="53"/>
      <c r="O280" s="53"/>
      <c r="P280" s="53"/>
      <c r="Q280" s="53"/>
      <c r="R280" s="53"/>
      <c r="S280" s="53"/>
      <c r="T280" s="53"/>
      <c r="U280" s="53"/>
      <c r="V280" s="53"/>
      <c r="W280" s="53"/>
      <c r="X280" s="53"/>
      <c r="Y280" s="53"/>
      <c r="Z280" s="53"/>
      <c r="AA280" s="53"/>
      <c r="AB280" s="53"/>
    </row>
    <row r="281" spans="8:28" ht="15" customHeight="1">
      <c r="H281" s="53"/>
      <c r="I281" s="53"/>
      <c r="J281" s="53"/>
      <c r="K281" s="53"/>
      <c r="L281" s="53"/>
      <c r="M281" s="53"/>
      <c r="N281" s="53"/>
      <c r="O281" s="53"/>
      <c r="P281" s="53"/>
      <c r="Q281" s="53"/>
      <c r="R281" s="53"/>
      <c r="S281" s="53"/>
      <c r="T281" s="53"/>
      <c r="U281" s="53"/>
      <c r="V281" s="53"/>
      <c r="W281" s="53"/>
      <c r="X281" s="53"/>
      <c r="Y281" s="53"/>
      <c r="Z281" s="53"/>
      <c r="AA281" s="53"/>
      <c r="AB281" s="53"/>
    </row>
    <row r="282" spans="8:28" ht="15" customHeight="1">
      <c r="H282" s="53"/>
      <c r="I282" s="53"/>
      <c r="J282" s="53"/>
      <c r="K282" s="53"/>
      <c r="L282" s="53"/>
      <c r="M282" s="53"/>
      <c r="N282" s="53"/>
      <c r="O282" s="53"/>
      <c r="P282" s="53"/>
      <c r="Q282" s="53"/>
      <c r="R282" s="53"/>
      <c r="S282" s="53"/>
      <c r="T282" s="53"/>
      <c r="U282" s="53"/>
      <c r="V282" s="53"/>
      <c r="W282" s="53"/>
      <c r="X282" s="53"/>
      <c r="Y282" s="53"/>
      <c r="Z282" s="53"/>
      <c r="AA282" s="53"/>
      <c r="AB282" s="53"/>
    </row>
    <row r="283" spans="8:28" ht="15" customHeight="1">
      <c r="H283" s="53"/>
      <c r="I283" s="53"/>
      <c r="J283" s="53"/>
      <c r="K283" s="53"/>
      <c r="L283" s="53"/>
      <c r="M283" s="53"/>
      <c r="N283" s="53"/>
      <c r="O283" s="53"/>
      <c r="P283" s="53"/>
      <c r="Q283" s="53"/>
      <c r="R283" s="53"/>
      <c r="S283" s="53"/>
      <c r="T283" s="53"/>
      <c r="U283" s="53"/>
      <c r="V283" s="53"/>
      <c r="W283" s="53"/>
      <c r="X283" s="53"/>
      <c r="Y283" s="53"/>
      <c r="Z283" s="53"/>
      <c r="AA283" s="53"/>
      <c r="AB283" s="53"/>
    </row>
    <row r="284" spans="8:28" ht="15" customHeight="1">
      <c r="H284" s="53"/>
      <c r="I284" s="53"/>
      <c r="J284" s="53"/>
      <c r="K284" s="53"/>
      <c r="L284" s="53"/>
      <c r="M284" s="53"/>
      <c r="N284" s="53"/>
      <c r="O284" s="53"/>
      <c r="P284" s="53"/>
      <c r="Q284" s="53"/>
      <c r="R284" s="53"/>
      <c r="S284" s="53"/>
      <c r="T284" s="53"/>
      <c r="U284" s="53"/>
      <c r="V284" s="53"/>
      <c r="W284" s="53"/>
      <c r="X284" s="53"/>
      <c r="Y284" s="53"/>
      <c r="Z284" s="53"/>
      <c r="AA284" s="53"/>
      <c r="AB284" s="53"/>
    </row>
    <row r="285" spans="8:28" ht="15" customHeight="1">
      <c r="H285" s="53"/>
      <c r="I285" s="53"/>
      <c r="J285" s="53"/>
      <c r="K285" s="53"/>
      <c r="L285" s="53"/>
      <c r="M285" s="53"/>
      <c r="N285" s="53"/>
      <c r="O285" s="53"/>
      <c r="P285" s="53"/>
      <c r="Q285" s="53"/>
      <c r="R285" s="53"/>
      <c r="S285" s="53"/>
      <c r="T285" s="53"/>
      <c r="U285" s="53"/>
      <c r="V285" s="53"/>
      <c r="W285" s="53"/>
      <c r="X285" s="53"/>
      <c r="Y285" s="53"/>
      <c r="Z285" s="53"/>
      <c r="AA285" s="53"/>
      <c r="AB285" s="53"/>
    </row>
    <row r="286" spans="8:28" ht="15" customHeight="1">
      <c r="H286" s="53"/>
      <c r="I286" s="53"/>
      <c r="J286" s="53"/>
      <c r="K286" s="53"/>
      <c r="L286" s="53"/>
      <c r="M286" s="53"/>
      <c r="N286" s="53"/>
      <c r="O286" s="53"/>
      <c r="P286" s="53"/>
      <c r="Q286" s="53"/>
      <c r="R286" s="53"/>
      <c r="S286" s="53"/>
      <c r="T286" s="53"/>
      <c r="U286" s="53"/>
      <c r="V286" s="53"/>
      <c r="W286" s="53"/>
      <c r="X286" s="53"/>
      <c r="Y286" s="53"/>
      <c r="Z286" s="53"/>
      <c r="AA286" s="53"/>
      <c r="AB286" s="53"/>
    </row>
    <row r="287" spans="8:28" ht="15" customHeight="1">
      <c r="H287" s="53"/>
      <c r="I287" s="53"/>
      <c r="J287" s="53"/>
      <c r="K287" s="53"/>
      <c r="L287" s="53"/>
      <c r="M287" s="53"/>
      <c r="N287" s="53"/>
      <c r="O287" s="53"/>
      <c r="P287" s="53"/>
      <c r="Q287" s="53"/>
      <c r="R287" s="53"/>
      <c r="S287" s="53"/>
      <c r="T287" s="53"/>
      <c r="U287" s="53"/>
      <c r="V287" s="53"/>
      <c r="W287" s="53"/>
      <c r="X287" s="53"/>
      <c r="Y287" s="53"/>
      <c r="Z287" s="53"/>
      <c r="AA287" s="53"/>
      <c r="AB287" s="53"/>
    </row>
    <row r="288" spans="8:28" ht="15" customHeight="1">
      <c r="H288" s="53"/>
      <c r="I288" s="53"/>
      <c r="J288" s="53"/>
      <c r="K288" s="53"/>
      <c r="L288" s="53"/>
      <c r="M288" s="53"/>
      <c r="N288" s="53"/>
      <c r="O288" s="53"/>
      <c r="P288" s="53"/>
      <c r="Q288" s="53"/>
      <c r="R288" s="53"/>
      <c r="S288" s="53"/>
      <c r="T288" s="53"/>
      <c r="U288" s="53"/>
      <c r="V288" s="53"/>
      <c r="W288" s="53"/>
      <c r="X288" s="53"/>
      <c r="Y288" s="53"/>
      <c r="Z288" s="53"/>
      <c r="AA288" s="53"/>
      <c r="AB288" s="53"/>
    </row>
    <row r="289" spans="8:28" ht="15" customHeight="1">
      <c r="H289" s="53"/>
      <c r="I289" s="53"/>
      <c r="J289" s="53"/>
      <c r="K289" s="53"/>
      <c r="L289" s="53"/>
      <c r="M289" s="53"/>
      <c r="N289" s="53"/>
      <c r="O289" s="53"/>
      <c r="P289" s="53"/>
      <c r="Q289" s="53"/>
      <c r="R289" s="53"/>
      <c r="S289" s="53"/>
      <c r="T289" s="53"/>
      <c r="U289" s="53"/>
      <c r="V289" s="53"/>
      <c r="W289" s="53"/>
      <c r="X289" s="53"/>
      <c r="Y289" s="53"/>
      <c r="Z289" s="53"/>
      <c r="AA289" s="53"/>
      <c r="AB289" s="53"/>
    </row>
    <row r="290" spans="8:28" ht="15" customHeight="1">
      <c r="H290" s="53"/>
      <c r="I290" s="53"/>
      <c r="J290" s="53"/>
      <c r="K290" s="53"/>
      <c r="L290" s="53"/>
      <c r="M290" s="53"/>
      <c r="N290" s="53"/>
      <c r="O290" s="53"/>
      <c r="P290" s="53"/>
      <c r="Q290" s="53"/>
      <c r="R290" s="53"/>
      <c r="S290" s="53"/>
      <c r="T290" s="53"/>
      <c r="U290" s="53"/>
      <c r="V290" s="53"/>
      <c r="W290" s="53"/>
      <c r="X290" s="53"/>
      <c r="Y290" s="53"/>
      <c r="Z290" s="53"/>
      <c r="AA290" s="53"/>
      <c r="AB290" s="53"/>
    </row>
    <row r="291" spans="8:28" ht="15" customHeight="1">
      <c r="H291" s="53"/>
      <c r="I291" s="53"/>
      <c r="J291" s="53"/>
      <c r="K291" s="53"/>
      <c r="L291" s="53"/>
      <c r="M291" s="53"/>
      <c r="N291" s="53"/>
      <c r="O291" s="53"/>
      <c r="P291" s="53"/>
      <c r="Q291" s="53"/>
      <c r="R291" s="53"/>
      <c r="S291" s="53"/>
      <c r="T291" s="53"/>
      <c r="U291" s="53"/>
      <c r="V291" s="53"/>
      <c r="W291" s="53"/>
      <c r="X291" s="53"/>
      <c r="Y291" s="53"/>
      <c r="Z291" s="53"/>
      <c r="AA291" s="53"/>
      <c r="AB291" s="53"/>
    </row>
    <row r="292" spans="8:28" ht="15" customHeight="1">
      <c r="H292" s="53"/>
      <c r="I292" s="53"/>
      <c r="J292" s="53"/>
      <c r="K292" s="53"/>
      <c r="L292" s="53"/>
      <c r="M292" s="53"/>
      <c r="N292" s="53"/>
      <c r="O292" s="53"/>
      <c r="P292" s="53"/>
      <c r="Q292" s="53"/>
      <c r="R292" s="53"/>
      <c r="S292" s="53"/>
      <c r="T292" s="53"/>
      <c r="U292" s="53"/>
      <c r="V292" s="53"/>
      <c r="W292" s="53"/>
      <c r="X292" s="53"/>
      <c r="Y292" s="53"/>
      <c r="Z292" s="53"/>
      <c r="AA292" s="53"/>
      <c r="AB292" s="53"/>
    </row>
    <row r="293" spans="8:28" ht="15" customHeight="1">
      <c r="H293" s="53"/>
      <c r="I293" s="53"/>
      <c r="J293" s="53"/>
      <c r="K293" s="53"/>
      <c r="L293" s="53"/>
      <c r="M293" s="53"/>
      <c r="N293" s="53"/>
      <c r="O293" s="53"/>
      <c r="P293" s="53"/>
      <c r="Q293" s="53"/>
      <c r="R293" s="53"/>
      <c r="S293" s="53"/>
      <c r="T293" s="53"/>
      <c r="U293" s="53"/>
      <c r="V293" s="53"/>
      <c r="W293" s="53"/>
      <c r="X293" s="53"/>
      <c r="Y293" s="53"/>
      <c r="Z293" s="53"/>
      <c r="AA293" s="53"/>
      <c r="AB293" s="53"/>
    </row>
    <row r="294" spans="8:28" ht="15" customHeight="1">
      <c r="H294" s="53"/>
      <c r="I294" s="53"/>
      <c r="J294" s="53"/>
      <c r="K294" s="53"/>
      <c r="L294" s="53"/>
      <c r="M294" s="53"/>
      <c r="N294" s="53"/>
      <c r="O294" s="53"/>
      <c r="P294" s="53"/>
      <c r="Q294" s="53"/>
      <c r="R294" s="53"/>
      <c r="S294" s="53"/>
      <c r="T294" s="53"/>
      <c r="U294" s="53"/>
      <c r="V294" s="53"/>
      <c r="W294" s="53"/>
      <c r="X294" s="53"/>
      <c r="Y294" s="53"/>
      <c r="Z294" s="53"/>
      <c r="AA294" s="53"/>
      <c r="AB294" s="53"/>
    </row>
    <row r="295" spans="8:28" ht="15" customHeight="1">
      <c r="H295" s="53"/>
      <c r="I295" s="53"/>
      <c r="J295" s="53"/>
      <c r="K295" s="53"/>
      <c r="L295" s="53"/>
      <c r="M295" s="53"/>
      <c r="N295" s="53"/>
      <c r="O295" s="53"/>
      <c r="P295" s="53"/>
      <c r="Q295" s="53"/>
      <c r="R295" s="53"/>
      <c r="S295" s="53"/>
      <c r="T295" s="53"/>
      <c r="U295" s="53"/>
      <c r="V295" s="53"/>
      <c r="W295" s="53"/>
      <c r="X295" s="53"/>
      <c r="Y295" s="53"/>
      <c r="Z295" s="53"/>
      <c r="AA295" s="53"/>
      <c r="AB295" s="53"/>
    </row>
    <row r="296" spans="8:28" ht="15" customHeight="1">
      <c r="H296" s="53"/>
      <c r="I296" s="53"/>
      <c r="J296" s="53"/>
      <c r="K296" s="53"/>
      <c r="L296" s="53"/>
      <c r="M296" s="53"/>
      <c r="N296" s="53"/>
      <c r="O296" s="53"/>
      <c r="P296" s="53"/>
      <c r="Q296" s="53"/>
      <c r="R296" s="53"/>
      <c r="S296" s="53"/>
      <c r="T296" s="53"/>
      <c r="U296" s="53"/>
      <c r="V296" s="53"/>
      <c r="W296" s="53"/>
      <c r="X296" s="53"/>
      <c r="Y296" s="53"/>
      <c r="Z296" s="53"/>
      <c r="AA296" s="53"/>
      <c r="AB296" s="53"/>
    </row>
    <row r="297" spans="8:28" ht="15" customHeight="1">
      <c r="H297" s="53"/>
      <c r="I297" s="53"/>
      <c r="J297" s="53"/>
      <c r="K297" s="53"/>
      <c r="L297" s="53"/>
      <c r="M297" s="53"/>
      <c r="N297" s="53"/>
      <c r="O297" s="53"/>
      <c r="P297" s="53"/>
      <c r="Q297" s="53"/>
      <c r="R297" s="53"/>
      <c r="S297" s="53"/>
      <c r="T297" s="53"/>
      <c r="U297" s="53"/>
      <c r="V297" s="53"/>
      <c r="W297" s="53"/>
      <c r="X297" s="53"/>
      <c r="Y297" s="53"/>
      <c r="Z297" s="53"/>
      <c r="AA297" s="53"/>
      <c r="AB297" s="53"/>
    </row>
    <row r="298" spans="8:28" ht="15" customHeight="1">
      <c r="H298" s="53"/>
      <c r="I298" s="53"/>
      <c r="J298" s="53"/>
      <c r="K298" s="53"/>
      <c r="L298" s="53"/>
      <c r="M298" s="53"/>
      <c r="N298" s="53"/>
      <c r="O298" s="53"/>
      <c r="P298" s="53"/>
      <c r="Q298" s="53"/>
      <c r="R298" s="53"/>
      <c r="S298" s="53"/>
      <c r="T298" s="53"/>
      <c r="U298" s="53"/>
      <c r="V298" s="53"/>
      <c r="W298" s="53"/>
      <c r="X298" s="53"/>
      <c r="Y298" s="53"/>
      <c r="Z298" s="53"/>
      <c r="AA298" s="53"/>
      <c r="AB298" s="53"/>
    </row>
    <row r="299" spans="8:28" ht="15" customHeight="1">
      <c r="H299" s="53"/>
      <c r="I299" s="53"/>
      <c r="J299" s="53"/>
      <c r="K299" s="53"/>
      <c r="L299" s="53"/>
      <c r="M299" s="53"/>
      <c r="N299" s="53"/>
      <c r="O299" s="53"/>
      <c r="P299" s="53"/>
      <c r="Q299" s="53"/>
      <c r="R299" s="53"/>
      <c r="S299" s="53"/>
      <c r="T299" s="53"/>
      <c r="U299" s="53"/>
      <c r="V299" s="53"/>
      <c r="W299" s="53"/>
      <c r="X299" s="53"/>
      <c r="Y299" s="53"/>
      <c r="Z299" s="53"/>
      <c r="AA299" s="53"/>
      <c r="AB299" s="53"/>
    </row>
    <row r="300" spans="8:28" ht="15" customHeight="1">
      <c r="H300" s="53"/>
      <c r="I300" s="53"/>
      <c r="J300" s="53"/>
      <c r="K300" s="53"/>
      <c r="L300" s="53"/>
      <c r="M300" s="53"/>
      <c r="N300" s="53"/>
      <c r="O300" s="53"/>
      <c r="P300" s="53"/>
      <c r="Q300" s="53"/>
      <c r="R300" s="53"/>
      <c r="S300" s="53"/>
      <c r="T300" s="53"/>
      <c r="U300" s="53"/>
      <c r="V300" s="53"/>
      <c r="W300" s="53"/>
      <c r="X300" s="53"/>
      <c r="Y300" s="53"/>
      <c r="Z300" s="53"/>
      <c r="AA300" s="53"/>
      <c r="AB300" s="53"/>
    </row>
    <row r="301" spans="8:28" ht="15" customHeight="1">
      <c r="H301" s="53"/>
      <c r="I301" s="53"/>
      <c r="J301" s="53"/>
      <c r="K301" s="53"/>
      <c r="L301" s="53"/>
      <c r="M301" s="53"/>
      <c r="N301" s="53"/>
      <c r="O301" s="53"/>
      <c r="P301" s="53"/>
      <c r="Q301" s="53"/>
      <c r="R301" s="53"/>
      <c r="S301" s="53"/>
      <c r="T301" s="53"/>
      <c r="U301" s="53"/>
      <c r="V301" s="53"/>
      <c r="W301" s="53"/>
      <c r="X301" s="53"/>
      <c r="Y301" s="53"/>
      <c r="Z301" s="53"/>
      <c r="AA301" s="53"/>
      <c r="AB301" s="53"/>
    </row>
    <row r="302" spans="8:28" ht="15" customHeight="1">
      <c r="H302" s="53"/>
      <c r="I302" s="53"/>
      <c r="J302" s="53"/>
      <c r="K302" s="53"/>
      <c r="L302" s="53"/>
      <c r="M302" s="53"/>
      <c r="N302" s="53"/>
      <c r="O302" s="53"/>
      <c r="P302" s="53"/>
      <c r="Q302" s="53"/>
      <c r="R302" s="53"/>
      <c r="S302" s="53"/>
      <c r="T302" s="53"/>
      <c r="U302" s="53"/>
      <c r="V302" s="53"/>
      <c r="W302" s="53"/>
      <c r="X302" s="53"/>
      <c r="Y302" s="53"/>
      <c r="Z302" s="53"/>
      <c r="AA302" s="53"/>
      <c r="AB302" s="53"/>
    </row>
  </sheetData>
  <mergeCells count="5">
    <mergeCell ref="B1:F4"/>
    <mergeCell ref="B5:F5"/>
    <mergeCell ref="B6:F6"/>
    <mergeCell ref="B10:F10"/>
    <mergeCell ref="B45:F45"/>
  </mergeCells>
  <phoneticPr fontId="0" type="noConversion"/>
  <pageMargins left="0.9055118110236221" right="0.31496062992125984" top="0.35433070866141736" bottom="0.51181102362204722" header="0.39370078740157483" footer="0.31496062992125984"/>
  <pageSetup paperSize="9" scale="88" orientation="landscape" r:id="rId1"/>
  <headerFooter alignWithMargins="0">
    <oddFooter>&amp;R&amp;P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27"/>
  <dimension ref="A1:P96"/>
  <sheetViews>
    <sheetView zoomScaleNormal="100" workbookViewId="0">
      <selection activeCell="K45" sqref="K45"/>
    </sheetView>
  </sheetViews>
  <sheetFormatPr defaultRowHeight="12.75"/>
  <cols>
    <col min="1" max="1" width="9.140625" style="284"/>
    <col min="2" max="2" width="4.7109375" style="9" customWidth="1"/>
    <col min="3" max="3" width="5.140625" style="9" customWidth="1"/>
    <col min="4" max="4" width="5" style="9" customWidth="1"/>
    <col min="5" max="5" width="8.7109375" style="17" customWidth="1"/>
    <col min="6" max="6" width="8.7109375" style="289" customWidth="1"/>
    <col min="7" max="7" width="50.7109375" style="9" customWidth="1"/>
    <col min="8" max="9" width="14.7109375" style="284" customWidth="1"/>
    <col min="10" max="10" width="15.7109375" style="9" customWidth="1"/>
    <col min="11" max="12" width="14.7109375" style="284" customWidth="1"/>
    <col min="13" max="13" width="15.7109375" style="284" customWidth="1"/>
    <col min="14" max="14" width="7.7109375" style="350" customWidth="1"/>
    <col min="15" max="16384" width="9.140625" style="9"/>
  </cols>
  <sheetData>
    <row r="1" spans="1:16" ht="13.5" thickBot="1"/>
    <row r="2" spans="1:16" s="98" customFormat="1" ht="20.100000000000001" customHeight="1" thickTop="1" thickBot="1">
      <c r="A2" s="376"/>
      <c r="B2" s="590" t="s">
        <v>169</v>
      </c>
      <c r="C2" s="591"/>
      <c r="D2" s="591"/>
      <c r="E2" s="591"/>
      <c r="F2" s="591"/>
      <c r="G2" s="591"/>
      <c r="H2" s="591"/>
      <c r="I2" s="591"/>
      <c r="J2" s="591"/>
      <c r="K2" s="530"/>
      <c r="L2" s="530"/>
      <c r="M2" s="530"/>
      <c r="N2" s="379"/>
    </row>
    <row r="3" spans="1:16" s="1" customFormat="1" ht="8.1" customHeight="1" thickTop="1" thickBot="1">
      <c r="A3" s="281"/>
      <c r="E3" s="2"/>
      <c r="F3" s="282"/>
      <c r="G3" s="531"/>
      <c r="H3" s="92"/>
      <c r="I3" s="92"/>
      <c r="J3" s="92"/>
      <c r="K3" s="92"/>
      <c r="L3" s="92"/>
      <c r="M3" s="92"/>
      <c r="N3" s="344"/>
    </row>
    <row r="4" spans="1:16" s="1" customFormat="1" ht="39" customHeight="1">
      <c r="A4" s="281"/>
      <c r="B4" s="596" t="s">
        <v>78</v>
      </c>
      <c r="C4" s="606" t="s">
        <v>79</v>
      </c>
      <c r="D4" s="607" t="s">
        <v>110</v>
      </c>
      <c r="E4" s="608" t="s">
        <v>594</v>
      </c>
      <c r="F4" s="601" t="s">
        <v>653</v>
      </c>
      <c r="G4" s="602" t="s">
        <v>80</v>
      </c>
      <c r="H4" s="593" t="s">
        <v>647</v>
      </c>
      <c r="I4" s="594"/>
      <c r="J4" s="595"/>
      <c r="K4" s="593" t="s">
        <v>801</v>
      </c>
      <c r="L4" s="594"/>
      <c r="M4" s="595"/>
      <c r="N4" s="604" t="s">
        <v>805</v>
      </c>
    </row>
    <row r="5" spans="1:16" s="281" customFormat="1" ht="27" customHeight="1">
      <c r="B5" s="597"/>
      <c r="C5" s="599"/>
      <c r="D5" s="599"/>
      <c r="E5" s="603"/>
      <c r="F5" s="599"/>
      <c r="G5" s="603"/>
      <c r="H5" s="372" t="s">
        <v>705</v>
      </c>
      <c r="I5" s="372" t="s">
        <v>706</v>
      </c>
      <c r="J5" s="382" t="s">
        <v>413</v>
      </c>
      <c r="K5" s="372" t="s">
        <v>705</v>
      </c>
      <c r="L5" s="372" t="s">
        <v>706</v>
      </c>
      <c r="M5" s="382" t="s">
        <v>413</v>
      </c>
      <c r="N5" s="605"/>
    </row>
    <row r="6" spans="1:16" s="2" customFormat="1" ht="12.95" customHeight="1">
      <c r="A6" s="282"/>
      <c r="B6" s="504">
        <v>1</v>
      </c>
      <c r="C6" s="331">
        <v>2</v>
      </c>
      <c r="D6" s="331">
        <v>3</v>
      </c>
      <c r="E6" s="331">
        <v>4</v>
      </c>
      <c r="F6" s="331">
        <v>5</v>
      </c>
      <c r="G6" s="331">
        <v>6</v>
      </c>
      <c r="H6" s="331">
        <v>7</v>
      </c>
      <c r="I6" s="331">
        <v>8</v>
      </c>
      <c r="J6" s="523" t="s">
        <v>804</v>
      </c>
      <c r="K6" s="331">
        <v>10</v>
      </c>
      <c r="L6" s="331">
        <v>11</v>
      </c>
      <c r="M6" s="523" t="s">
        <v>707</v>
      </c>
      <c r="N6" s="505">
        <v>13</v>
      </c>
    </row>
    <row r="7" spans="1:16" s="2" customFormat="1" ht="12.95" customHeight="1">
      <c r="A7" s="282"/>
      <c r="B7" s="6" t="s">
        <v>143</v>
      </c>
      <c r="C7" s="7" t="s">
        <v>145</v>
      </c>
      <c r="D7" s="7" t="s">
        <v>117</v>
      </c>
      <c r="E7" s="5"/>
      <c r="F7" s="283"/>
      <c r="G7" s="5"/>
      <c r="H7" s="283"/>
      <c r="I7" s="283"/>
      <c r="J7" s="383"/>
      <c r="K7" s="283"/>
      <c r="L7" s="283"/>
      <c r="M7" s="383"/>
      <c r="N7" s="345"/>
    </row>
    <row r="8" spans="1:16" s="1" customFormat="1" ht="12.95" customHeight="1">
      <c r="A8" s="281"/>
      <c r="B8" s="12"/>
      <c r="C8" s="8"/>
      <c r="D8" s="8"/>
      <c r="E8" s="305">
        <v>611000</v>
      </c>
      <c r="F8" s="331"/>
      <c r="G8" s="8" t="s">
        <v>163</v>
      </c>
      <c r="H8" s="210">
        <f t="shared" ref="H8:M8" si="0">SUM(H9:H12)</f>
        <v>2271800</v>
      </c>
      <c r="I8" s="210">
        <f t="shared" si="0"/>
        <v>0</v>
      </c>
      <c r="J8" s="384">
        <f t="shared" si="0"/>
        <v>2271800</v>
      </c>
      <c r="K8" s="210">
        <f t="shared" si="0"/>
        <v>540989</v>
      </c>
      <c r="L8" s="210">
        <f t="shared" si="0"/>
        <v>0</v>
      </c>
      <c r="M8" s="384">
        <f t="shared" si="0"/>
        <v>540989</v>
      </c>
      <c r="N8" s="346">
        <f>IF(J8=0,"",M8/J8*100)</f>
        <v>23.813231798573817</v>
      </c>
    </row>
    <row r="9" spans="1:16" ht="12.95" customHeight="1">
      <c r="B9" s="10"/>
      <c r="C9" s="11"/>
      <c r="D9" s="11"/>
      <c r="E9" s="306">
        <v>611100</v>
      </c>
      <c r="F9" s="332"/>
      <c r="G9" s="18" t="s">
        <v>198</v>
      </c>
      <c r="H9" s="209">
        <f>1879000+0+8*500</f>
        <v>1883000</v>
      </c>
      <c r="I9" s="209">
        <v>0</v>
      </c>
      <c r="J9" s="385">
        <f>SUM(H9:I9)</f>
        <v>1883000</v>
      </c>
      <c r="K9" s="209">
        <v>457376</v>
      </c>
      <c r="L9" s="209">
        <v>0</v>
      </c>
      <c r="M9" s="385">
        <f>SUM(K9:L9)</f>
        <v>457376</v>
      </c>
      <c r="N9" s="347">
        <f t="shared" ref="N9:N66" si="1">IF(J9=0,"",M9/J9*100)</f>
        <v>24.289750398300583</v>
      </c>
    </row>
    <row r="10" spans="1:16" ht="12.95" customHeight="1">
      <c r="B10" s="10"/>
      <c r="C10" s="11"/>
      <c r="D10" s="11"/>
      <c r="E10" s="306">
        <v>611200</v>
      </c>
      <c r="F10" s="332"/>
      <c r="G10" s="11" t="s">
        <v>199</v>
      </c>
      <c r="H10" s="209">
        <f>376200+5400+8*900</f>
        <v>388800</v>
      </c>
      <c r="I10" s="209">
        <v>0</v>
      </c>
      <c r="J10" s="385">
        <f t="shared" ref="J10:J11" si="2">SUM(H10:I10)</f>
        <v>388800</v>
      </c>
      <c r="K10" s="209">
        <v>83613</v>
      </c>
      <c r="L10" s="209">
        <v>0</v>
      </c>
      <c r="M10" s="385">
        <f t="shared" ref="M10:M11" si="3">SUM(K10:L10)</f>
        <v>83613</v>
      </c>
      <c r="N10" s="347">
        <f t="shared" si="1"/>
        <v>21.505401234567898</v>
      </c>
      <c r="P10" s="57"/>
    </row>
    <row r="11" spans="1:16" ht="12.95" customHeight="1">
      <c r="B11" s="10"/>
      <c r="C11" s="11"/>
      <c r="D11" s="11"/>
      <c r="E11" s="306">
        <v>611200</v>
      </c>
      <c r="F11" s="332"/>
      <c r="G11" s="189" t="s">
        <v>534</v>
      </c>
      <c r="H11" s="209">
        <v>0</v>
      </c>
      <c r="I11" s="209">
        <v>0</v>
      </c>
      <c r="J11" s="385">
        <f t="shared" si="2"/>
        <v>0</v>
      </c>
      <c r="K11" s="209">
        <v>0</v>
      </c>
      <c r="L11" s="209">
        <v>0</v>
      </c>
      <c r="M11" s="385">
        <f t="shared" si="3"/>
        <v>0</v>
      </c>
      <c r="N11" s="347" t="str">
        <f t="shared" si="1"/>
        <v/>
      </c>
      <c r="P11" s="56"/>
    </row>
    <row r="12" spans="1:16" ht="12.95" customHeight="1">
      <c r="B12" s="10"/>
      <c r="C12" s="11"/>
      <c r="D12" s="11"/>
      <c r="E12" s="306"/>
      <c r="F12" s="332"/>
      <c r="G12" s="18"/>
      <c r="H12" s="209"/>
      <c r="I12" s="209"/>
      <c r="J12" s="385"/>
      <c r="K12" s="209"/>
      <c r="L12" s="209"/>
      <c r="M12" s="385"/>
      <c r="N12" s="347" t="str">
        <f t="shared" si="1"/>
        <v/>
      </c>
    </row>
    <row r="13" spans="1:16" s="1" customFormat="1" ht="12.95" customHeight="1">
      <c r="A13" s="281"/>
      <c r="B13" s="12"/>
      <c r="C13" s="8"/>
      <c r="D13" s="8"/>
      <c r="E13" s="305">
        <v>612000</v>
      </c>
      <c r="F13" s="331"/>
      <c r="G13" s="8" t="s">
        <v>162</v>
      </c>
      <c r="H13" s="210">
        <f t="shared" ref="H13:M13" si="4">H14</f>
        <v>209380</v>
      </c>
      <c r="I13" s="210">
        <f t="shared" si="4"/>
        <v>0</v>
      </c>
      <c r="J13" s="384">
        <f t="shared" si="4"/>
        <v>209380</v>
      </c>
      <c r="K13" s="210">
        <f t="shared" si="4"/>
        <v>49738</v>
      </c>
      <c r="L13" s="210">
        <f t="shared" si="4"/>
        <v>0</v>
      </c>
      <c r="M13" s="384">
        <f t="shared" si="4"/>
        <v>49738</v>
      </c>
      <c r="N13" s="346">
        <f t="shared" si="1"/>
        <v>23.754895405482852</v>
      </c>
    </row>
    <row r="14" spans="1:16" ht="12.95" customHeight="1">
      <c r="B14" s="10"/>
      <c r="C14" s="11"/>
      <c r="D14" s="11"/>
      <c r="E14" s="306">
        <v>612100</v>
      </c>
      <c r="F14" s="332"/>
      <c r="G14" s="13" t="s">
        <v>83</v>
      </c>
      <c r="H14" s="209">
        <f>208000+820+8*70</f>
        <v>209380</v>
      </c>
      <c r="I14" s="209">
        <v>0</v>
      </c>
      <c r="J14" s="385">
        <f>SUM(H14:I14)</f>
        <v>209380</v>
      </c>
      <c r="K14" s="209">
        <v>49738</v>
      </c>
      <c r="L14" s="209">
        <v>0</v>
      </c>
      <c r="M14" s="385">
        <f>SUM(K14:L14)</f>
        <v>49738</v>
      </c>
      <c r="N14" s="347">
        <f t="shared" si="1"/>
        <v>23.754895405482852</v>
      </c>
    </row>
    <row r="15" spans="1:16" ht="12.95" customHeight="1">
      <c r="B15" s="10"/>
      <c r="C15" s="11"/>
      <c r="D15" s="11"/>
      <c r="E15" s="306"/>
      <c r="F15" s="332"/>
      <c r="G15" s="11"/>
      <c r="H15" s="280"/>
      <c r="I15" s="280"/>
      <c r="J15" s="386"/>
      <c r="K15" s="280"/>
      <c r="L15" s="280"/>
      <c r="M15" s="386"/>
      <c r="N15" s="347" t="str">
        <f t="shared" si="1"/>
        <v/>
      </c>
    </row>
    <row r="16" spans="1:16" s="1" customFormat="1" ht="12.95" customHeight="1">
      <c r="A16" s="281"/>
      <c r="B16" s="12"/>
      <c r="C16" s="8"/>
      <c r="D16" s="8"/>
      <c r="E16" s="305">
        <v>613000</v>
      </c>
      <c r="F16" s="331"/>
      <c r="G16" s="8" t="s">
        <v>164</v>
      </c>
      <c r="H16" s="293">
        <f t="shared" ref="H16:M16" si="5">SUM(H17:H26)</f>
        <v>212000</v>
      </c>
      <c r="I16" s="293">
        <f t="shared" si="5"/>
        <v>0</v>
      </c>
      <c r="J16" s="387">
        <f t="shared" si="5"/>
        <v>212000</v>
      </c>
      <c r="K16" s="293">
        <f t="shared" si="5"/>
        <v>47596</v>
      </c>
      <c r="L16" s="293">
        <f t="shared" si="5"/>
        <v>0</v>
      </c>
      <c r="M16" s="387">
        <f t="shared" si="5"/>
        <v>47596</v>
      </c>
      <c r="N16" s="346">
        <f t="shared" si="1"/>
        <v>22.450943396226414</v>
      </c>
    </row>
    <row r="17" spans="1:15" ht="12.95" customHeight="1">
      <c r="B17" s="10"/>
      <c r="C17" s="11"/>
      <c r="D17" s="11"/>
      <c r="E17" s="306">
        <v>613100</v>
      </c>
      <c r="F17" s="332"/>
      <c r="G17" s="11" t="s">
        <v>84</v>
      </c>
      <c r="H17" s="362">
        <v>11500</v>
      </c>
      <c r="I17" s="362">
        <v>0</v>
      </c>
      <c r="J17" s="385">
        <f t="shared" ref="J17:J26" si="6">SUM(H17:I17)</f>
        <v>11500</v>
      </c>
      <c r="K17" s="362">
        <v>472</v>
      </c>
      <c r="L17" s="362">
        <v>0</v>
      </c>
      <c r="M17" s="385">
        <f t="shared" ref="M17:M26" si="7">SUM(K17:L17)</f>
        <v>472</v>
      </c>
      <c r="N17" s="347">
        <f t="shared" si="1"/>
        <v>4.1043478260869559</v>
      </c>
    </row>
    <row r="18" spans="1:15" ht="12.95" customHeight="1">
      <c r="B18" s="10"/>
      <c r="C18" s="11"/>
      <c r="D18" s="11"/>
      <c r="E18" s="306">
        <v>613200</v>
      </c>
      <c r="F18" s="332"/>
      <c r="G18" s="11" t="s">
        <v>85</v>
      </c>
      <c r="H18" s="362">
        <v>77000</v>
      </c>
      <c r="I18" s="362">
        <v>0</v>
      </c>
      <c r="J18" s="385">
        <f t="shared" si="6"/>
        <v>77000</v>
      </c>
      <c r="K18" s="362">
        <v>25988</v>
      </c>
      <c r="L18" s="362">
        <v>0</v>
      </c>
      <c r="M18" s="385">
        <f t="shared" si="7"/>
        <v>25988</v>
      </c>
      <c r="N18" s="347">
        <f t="shared" si="1"/>
        <v>33.750649350649354</v>
      </c>
    </row>
    <row r="19" spans="1:15" ht="12.95" customHeight="1">
      <c r="B19" s="10"/>
      <c r="C19" s="11"/>
      <c r="D19" s="11"/>
      <c r="E19" s="306">
        <v>613300</v>
      </c>
      <c r="F19" s="332"/>
      <c r="G19" s="18" t="s">
        <v>200</v>
      </c>
      <c r="H19" s="362">
        <v>9200</v>
      </c>
      <c r="I19" s="362">
        <v>0</v>
      </c>
      <c r="J19" s="385">
        <f t="shared" si="6"/>
        <v>9200</v>
      </c>
      <c r="K19" s="362">
        <v>2613</v>
      </c>
      <c r="L19" s="362">
        <v>0</v>
      </c>
      <c r="M19" s="385">
        <f t="shared" si="7"/>
        <v>2613</v>
      </c>
      <c r="N19" s="347">
        <f t="shared" si="1"/>
        <v>28.402173913043477</v>
      </c>
    </row>
    <row r="20" spans="1:15" ht="12.95" customHeight="1">
      <c r="B20" s="10"/>
      <c r="C20" s="11"/>
      <c r="D20" s="11"/>
      <c r="E20" s="306">
        <v>613400</v>
      </c>
      <c r="F20" s="332"/>
      <c r="G20" s="11" t="s">
        <v>165</v>
      </c>
      <c r="H20" s="364">
        <v>20300</v>
      </c>
      <c r="I20" s="364">
        <v>0</v>
      </c>
      <c r="J20" s="385">
        <f t="shared" si="6"/>
        <v>20300</v>
      </c>
      <c r="K20" s="364">
        <v>2786</v>
      </c>
      <c r="L20" s="364">
        <v>0</v>
      </c>
      <c r="M20" s="385">
        <f t="shared" si="7"/>
        <v>2786</v>
      </c>
      <c r="N20" s="347">
        <f t="shared" si="1"/>
        <v>13.724137931034482</v>
      </c>
    </row>
    <row r="21" spans="1:15" ht="12.95" customHeight="1">
      <c r="B21" s="10"/>
      <c r="C21" s="11"/>
      <c r="D21" s="11"/>
      <c r="E21" s="306">
        <v>613500</v>
      </c>
      <c r="F21" s="332"/>
      <c r="G21" s="11" t="s">
        <v>86</v>
      </c>
      <c r="H21" s="364">
        <v>1500</v>
      </c>
      <c r="I21" s="364">
        <v>0</v>
      </c>
      <c r="J21" s="385">
        <f t="shared" si="6"/>
        <v>1500</v>
      </c>
      <c r="K21" s="364">
        <v>8</v>
      </c>
      <c r="L21" s="364">
        <v>0</v>
      </c>
      <c r="M21" s="385">
        <f t="shared" si="7"/>
        <v>8</v>
      </c>
      <c r="N21" s="347">
        <f t="shared" si="1"/>
        <v>0.53333333333333333</v>
      </c>
    </row>
    <row r="22" spans="1:15" ht="12.95" customHeight="1">
      <c r="B22" s="10"/>
      <c r="C22" s="11"/>
      <c r="D22" s="11"/>
      <c r="E22" s="306">
        <v>613600</v>
      </c>
      <c r="F22" s="332"/>
      <c r="G22" s="18" t="s">
        <v>201</v>
      </c>
      <c r="H22" s="364">
        <v>0</v>
      </c>
      <c r="I22" s="364">
        <v>0</v>
      </c>
      <c r="J22" s="385">
        <f t="shared" si="6"/>
        <v>0</v>
      </c>
      <c r="K22" s="364">
        <v>0</v>
      </c>
      <c r="L22" s="364">
        <v>0</v>
      </c>
      <c r="M22" s="385">
        <f t="shared" si="7"/>
        <v>0</v>
      </c>
      <c r="N22" s="347" t="str">
        <f t="shared" si="1"/>
        <v/>
      </c>
    </row>
    <row r="23" spans="1:15" ht="12.95" customHeight="1">
      <c r="B23" s="10"/>
      <c r="C23" s="11"/>
      <c r="D23" s="11"/>
      <c r="E23" s="306">
        <v>613700</v>
      </c>
      <c r="F23" s="332"/>
      <c r="G23" s="11" t="s">
        <v>87</v>
      </c>
      <c r="H23" s="364">
        <v>22500</v>
      </c>
      <c r="I23" s="364">
        <v>0</v>
      </c>
      <c r="J23" s="385">
        <f t="shared" si="6"/>
        <v>22500</v>
      </c>
      <c r="K23" s="364">
        <v>3966</v>
      </c>
      <c r="L23" s="364">
        <v>0</v>
      </c>
      <c r="M23" s="385">
        <f t="shared" si="7"/>
        <v>3966</v>
      </c>
      <c r="N23" s="347">
        <f t="shared" si="1"/>
        <v>17.626666666666665</v>
      </c>
    </row>
    <row r="24" spans="1:15" ht="12.95" customHeight="1">
      <c r="B24" s="10"/>
      <c r="C24" s="11"/>
      <c r="D24" s="11"/>
      <c r="E24" s="306">
        <v>613800</v>
      </c>
      <c r="F24" s="332"/>
      <c r="G24" s="11" t="s">
        <v>166</v>
      </c>
      <c r="H24" s="364">
        <v>0</v>
      </c>
      <c r="I24" s="364">
        <v>0</v>
      </c>
      <c r="J24" s="385">
        <f t="shared" si="6"/>
        <v>0</v>
      </c>
      <c r="K24" s="364">
        <v>0</v>
      </c>
      <c r="L24" s="364">
        <v>0</v>
      </c>
      <c r="M24" s="385">
        <f t="shared" si="7"/>
        <v>0</v>
      </c>
      <c r="N24" s="347" t="str">
        <f t="shared" si="1"/>
        <v/>
      </c>
    </row>
    <row r="25" spans="1:15" ht="12.95" customHeight="1">
      <c r="B25" s="10"/>
      <c r="C25" s="11"/>
      <c r="D25" s="11"/>
      <c r="E25" s="306">
        <v>613900</v>
      </c>
      <c r="F25" s="332"/>
      <c r="G25" s="11" t="s">
        <v>167</v>
      </c>
      <c r="H25" s="364">
        <v>70000</v>
      </c>
      <c r="I25" s="364">
        <v>0</v>
      </c>
      <c r="J25" s="385">
        <f t="shared" si="6"/>
        <v>70000</v>
      </c>
      <c r="K25" s="364">
        <v>11763</v>
      </c>
      <c r="L25" s="364">
        <v>0</v>
      </c>
      <c r="M25" s="385">
        <f t="shared" si="7"/>
        <v>11763</v>
      </c>
      <c r="N25" s="347">
        <f t="shared" si="1"/>
        <v>16.804285714285712</v>
      </c>
    </row>
    <row r="26" spans="1:15" ht="12.95" customHeight="1">
      <c r="B26" s="10"/>
      <c r="C26" s="11"/>
      <c r="D26" s="11"/>
      <c r="E26" s="306">
        <v>613900</v>
      </c>
      <c r="F26" s="332"/>
      <c r="G26" s="189" t="s">
        <v>535</v>
      </c>
      <c r="H26" s="361">
        <v>0</v>
      </c>
      <c r="I26" s="361">
        <v>0</v>
      </c>
      <c r="J26" s="385">
        <f t="shared" si="6"/>
        <v>0</v>
      </c>
      <c r="K26" s="361">
        <v>0</v>
      </c>
      <c r="L26" s="361">
        <v>0</v>
      </c>
      <c r="M26" s="385">
        <f t="shared" si="7"/>
        <v>0</v>
      </c>
      <c r="N26" s="347" t="str">
        <f t="shared" si="1"/>
        <v/>
      </c>
    </row>
    <row r="27" spans="1:15" s="1" customFormat="1" ht="12.95" customHeight="1">
      <c r="A27" s="281"/>
      <c r="B27" s="12"/>
      <c r="C27" s="8"/>
      <c r="D27" s="8"/>
      <c r="E27" s="305"/>
      <c r="F27" s="331"/>
      <c r="G27" s="8"/>
      <c r="H27" s="280"/>
      <c r="I27" s="280"/>
      <c r="J27" s="386"/>
      <c r="K27" s="280"/>
      <c r="L27" s="280"/>
      <c r="M27" s="386"/>
      <c r="N27" s="347" t="str">
        <f t="shared" si="1"/>
        <v/>
      </c>
    </row>
    <row r="28" spans="1:15" s="1" customFormat="1" ht="12.95" customHeight="1">
      <c r="A28" s="281"/>
      <c r="B28" s="12"/>
      <c r="C28" s="8"/>
      <c r="D28" s="8"/>
      <c r="E28" s="305">
        <v>821000</v>
      </c>
      <c r="F28" s="331"/>
      <c r="G28" s="8" t="s">
        <v>90</v>
      </c>
      <c r="H28" s="295">
        <f t="shared" ref="H28:M28" si="8">SUM(H29:H31)</f>
        <v>17000</v>
      </c>
      <c r="I28" s="295">
        <f t="shared" si="8"/>
        <v>4660</v>
      </c>
      <c r="J28" s="387">
        <f t="shared" si="8"/>
        <v>21660</v>
      </c>
      <c r="K28" s="295">
        <f t="shared" si="8"/>
        <v>0</v>
      </c>
      <c r="L28" s="295">
        <f t="shared" si="8"/>
        <v>4577</v>
      </c>
      <c r="M28" s="387">
        <f t="shared" si="8"/>
        <v>4577</v>
      </c>
      <c r="N28" s="346">
        <f t="shared" si="1"/>
        <v>21.131117266851337</v>
      </c>
    </row>
    <row r="29" spans="1:15" ht="12.95" customHeight="1">
      <c r="B29" s="10"/>
      <c r="C29" s="11"/>
      <c r="D29" s="11"/>
      <c r="E29" s="306">
        <v>821200</v>
      </c>
      <c r="F29" s="332"/>
      <c r="G29" s="11" t="s">
        <v>91</v>
      </c>
      <c r="H29" s="280">
        <v>0</v>
      </c>
      <c r="I29" s="280">
        <v>0</v>
      </c>
      <c r="J29" s="385">
        <f t="shared" ref="J29:J30" si="9">SUM(H29:I29)</f>
        <v>0</v>
      </c>
      <c r="K29" s="280">
        <v>0</v>
      </c>
      <c r="L29" s="280">
        <v>0</v>
      </c>
      <c r="M29" s="385">
        <f t="shared" ref="M29:M30" si="10">SUM(K29:L29)</f>
        <v>0</v>
      </c>
      <c r="N29" s="347" t="str">
        <f t="shared" si="1"/>
        <v/>
      </c>
      <c r="O29" s="50"/>
    </row>
    <row r="30" spans="1:15" ht="12.95" customHeight="1">
      <c r="B30" s="10"/>
      <c r="C30" s="11"/>
      <c r="D30" s="11"/>
      <c r="E30" s="306">
        <v>821300</v>
      </c>
      <c r="F30" s="332"/>
      <c r="G30" s="11" t="s">
        <v>92</v>
      </c>
      <c r="H30" s="280">
        <v>17000</v>
      </c>
      <c r="I30" s="280">
        <v>4660</v>
      </c>
      <c r="J30" s="385">
        <f t="shared" si="9"/>
        <v>21660</v>
      </c>
      <c r="K30" s="280">
        <v>0</v>
      </c>
      <c r="L30" s="280">
        <v>4577</v>
      </c>
      <c r="M30" s="385">
        <f t="shared" si="10"/>
        <v>4577</v>
      </c>
      <c r="N30" s="347">
        <f t="shared" si="1"/>
        <v>21.131117266851337</v>
      </c>
    </row>
    <row r="31" spans="1:15" ht="12.95" customHeight="1">
      <c r="B31" s="10"/>
      <c r="C31" s="11"/>
      <c r="D31" s="11"/>
      <c r="E31" s="306"/>
      <c r="F31" s="332"/>
      <c r="G31" s="18"/>
      <c r="H31" s="280"/>
      <c r="I31" s="280"/>
      <c r="J31" s="386"/>
      <c r="K31" s="280"/>
      <c r="L31" s="280"/>
      <c r="M31" s="386"/>
      <c r="N31" s="347" t="str">
        <f t="shared" si="1"/>
        <v/>
      </c>
    </row>
    <row r="32" spans="1:15" s="1" customFormat="1" ht="12.95" customHeight="1">
      <c r="A32" s="281"/>
      <c r="B32" s="12"/>
      <c r="C32" s="8"/>
      <c r="D32" s="8"/>
      <c r="E32" s="305"/>
      <c r="F32" s="331"/>
      <c r="G32" s="8" t="s">
        <v>93</v>
      </c>
      <c r="H32" s="278" t="s">
        <v>648</v>
      </c>
      <c r="I32" s="278"/>
      <c r="J32" s="389" t="s">
        <v>648</v>
      </c>
      <c r="K32" s="278" t="s">
        <v>648</v>
      </c>
      <c r="L32" s="278"/>
      <c r="M32" s="389" t="s">
        <v>648</v>
      </c>
      <c r="N32" s="347"/>
    </row>
    <row r="33" spans="1:14" s="1" customFormat="1" ht="12.95" customHeight="1">
      <c r="A33" s="281"/>
      <c r="B33" s="12"/>
      <c r="C33" s="8"/>
      <c r="D33" s="8"/>
      <c r="E33" s="305"/>
      <c r="F33" s="331"/>
      <c r="G33" s="8" t="s">
        <v>113</v>
      </c>
      <c r="H33" s="288">
        <f t="shared" ref="H33:M33" si="11">H8+H13+H16+H28</f>
        <v>2710180</v>
      </c>
      <c r="I33" s="288">
        <f t="shared" si="11"/>
        <v>4660</v>
      </c>
      <c r="J33" s="387">
        <f t="shared" si="11"/>
        <v>2714840</v>
      </c>
      <c r="K33" s="288">
        <f t="shared" si="11"/>
        <v>638323</v>
      </c>
      <c r="L33" s="288">
        <f t="shared" si="11"/>
        <v>4577</v>
      </c>
      <c r="M33" s="387">
        <f t="shared" si="11"/>
        <v>642900</v>
      </c>
      <c r="N33" s="346">
        <f t="shared" si="1"/>
        <v>23.680953573691269</v>
      </c>
    </row>
    <row r="34" spans="1:14" s="1" customFormat="1" ht="12.95" customHeight="1">
      <c r="A34" s="281"/>
      <c r="B34" s="12"/>
      <c r="C34" s="8"/>
      <c r="D34" s="8"/>
      <c r="E34" s="305"/>
      <c r="F34" s="331"/>
      <c r="G34" s="8" t="s">
        <v>94</v>
      </c>
      <c r="H34" s="288"/>
      <c r="I34" s="288"/>
      <c r="J34" s="387"/>
      <c r="K34" s="288"/>
      <c r="L34" s="288"/>
      <c r="M34" s="387"/>
      <c r="N34" s="347" t="str">
        <f t="shared" si="1"/>
        <v/>
      </c>
    </row>
    <row r="35" spans="1:14" s="1" customFormat="1" ht="12.95" customHeight="1">
      <c r="A35" s="281"/>
      <c r="B35" s="12"/>
      <c r="C35" s="8"/>
      <c r="D35" s="8"/>
      <c r="E35" s="305"/>
      <c r="F35" s="331"/>
      <c r="G35" s="8" t="s">
        <v>95</v>
      </c>
      <c r="H35" s="279"/>
      <c r="I35" s="279"/>
      <c r="J35" s="386"/>
      <c r="K35" s="279"/>
      <c r="L35" s="279"/>
      <c r="M35" s="386"/>
      <c r="N35" s="347" t="str">
        <f t="shared" si="1"/>
        <v/>
      </c>
    </row>
    <row r="36" spans="1:14" ht="12.95" customHeight="1" thickBot="1">
      <c r="B36" s="15"/>
      <c r="C36" s="16"/>
      <c r="D36" s="16"/>
      <c r="E36" s="307"/>
      <c r="F36" s="333"/>
      <c r="G36" s="16"/>
      <c r="H36" s="16"/>
      <c r="I36" s="16"/>
      <c r="J36" s="394"/>
      <c r="K36" s="16"/>
      <c r="L36" s="16"/>
      <c r="M36" s="394"/>
      <c r="N36" s="349" t="str">
        <f t="shared" si="1"/>
        <v/>
      </c>
    </row>
    <row r="37" spans="1:14" ht="12.95" customHeight="1">
      <c r="E37" s="308"/>
      <c r="F37" s="334"/>
      <c r="J37" s="391"/>
      <c r="M37" s="391"/>
      <c r="N37" s="350" t="str">
        <f t="shared" si="1"/>
        <v/>
      </c>
    </row>
    <row r="38" spans="1:14" ht="12.95" customHeight="1">
      <c r="E38" s="308"/>
      <c r="F38" s="334"/>
      <c r="J38" s="391"/>
      <c r="M38" s="391"/>
      <c r="N38" s="350" t="str">
        <f t="shared" si="1"/>
        <v/>
      </c>
    </row>
    <row r="39" spans="1:14" ht="12.95" customHeight="1">
      <c r="B39" s="50"/>
      <c r="E39" s="308"/>
      <c r="F39" s="334"/>
      <c r="J39" s="391"/>
      <c r="M39" s="391"/>
      <c r="N39" s="350" t="str">
        <f t="shared" si="1"/>
        <v/>
      </c>
    </row>
    <row r="40" spans="1:14" ht="12.95" customHeight="1">
      <c r="B40" s="50"/>
      <c r="E40" s="308"/>
      <c r="F40" s="334"/>
      <c r="J40" s="391"/>
      <c r="M40" s="391"/>
      <c r="N40" s="350" t="str">
        <f t="shared" si="1"/>
        <v/>
      </c>
    </row>
    <row r="41" spans="1:14" ht="12.95" customHeight="1">
      <c r="B41" s="50"/>
      <c r="E41" s="308"/>
      <c r="F41" s="334"/>
      <c r="J41" s="391"/>
      <c r="M41" s="391"/>
      <c r="N41" s="350" t="str">
        <f t="shared" si="1"/>
        <v/>
      </c>
    </row>
    <row r="42" spans="1:14" ht="12.95" customHeight="1">
      <c r="B42" s="50"/>
      <c r="E42" s="308"/>
      <c r="F42" s="334"/>
      <c r="J42" s="391"/>
      <c r="M42" s="391"/>
      <c r="N42" s="350" t="str">
        <f t="shared" si="1"/>
        <v/>
      </c>
    </row>
    <row r="43" spans="1:14" ht="12.95" customHeight="1">
      <c r="B43" s="50"/>
      <c r="E43" s="308"/>
      <c r="F43" s="334"/>
      <c r="J43" s="391"/>
      <c r="M43" s="391"/>
      <c r="N43" s="350" t="str">
        <f t="shared" si="1"/>
        <v/>
      </c>
    </row>
    <row r="44" spans="1:14" ht="12.95" customHeight="1">
      <c r="B44" s="50"/>
      <c r="E44" s="308"/>
      <c r="F44" s="334"/>
      <c r="J44" s="391"/>
      <c r="M44" s="391"/>
      <c r="N44" s="350" t="str">
        <f t="shared" si="1"/>
        <v/>
      </c>
    </row>
    <row r="45" spans="1:14" ht="12.95" customHeight="1">
      <c r="B45" s="50"/>
      <c r="E45" s="308"/>
      <c r="F45" s="334"/>
      <c r="J45" s="391"/>
      <c r="M45" s="391"/>
      <c r="N45" s="350" t="str">
        <f t="shared" si="1"/>
        <v/>
      </c>
    </row>
    <row r="46" spans="1:14" ht="12.95" customHeight="1">
      <c r="E46" s="308"/>
      <c r="F46" s="334"/>
      <c r="J46" s="391"/>
      <c r="M46" s="391"/>
      <c r="N46" s="350" t="str">
        <f t="shared" si="1"/>
        <v/>
      </c>
    </row>
    <row r="47" spans="1:14" ht="12.95" customHeight="1">
      <c r="E47" s="308"/>
      <c r="F47" s="334"/>
      <c r="J47" s="391"/>
      <c r="M47" s="391"/>
      <c r="N47" s="350" t="str">
        <f t="shared" si="1"/>
        <v/>
      </c>
    </row>
    <row r="48" spans="1:14" ht="12.95" customHeight="1">
      <c r="E48" s="308"/>
      <c r="F48" s="334"/>
      <c r="J48" s="391"/>
      <c r="M48" s="391"/>
      <c r="N48" s="350" t="str">
        <f t="shared" si="1"/>
        <v/>
      </c>
    </row>
    <row r="49" spans="5:14" ht="12.95" customHeight="1">
      <c r="E49" s="308"/>
      <c r="F49" s="334"/>
      <c r="J49" s="391"/>
      <c r="M49" s="391"/>
      <c r="N49" s="350" t="str">
        <f t="shared" si="1"/>
        <v/>
      </c>
    </row>
    <row r="50" spans="5:14" ht="12.95" customHeight="1">
      <c r="E50" s="308"/>
      <c r="F50" s="334"/>
      <c r="J50" s="391"/>
      <c r="M50" s="391"/>
      <c r="N50" s="350" t="str">
        <f t="shared" si="1"/>
        <v/>
      </c>
    </row>
    <row r="51" spans="5:14" ht="12.95" customHeight="1">
      <c r="E51" s="308"/>
      <c r="F51" s="334"/>
      <c r="J51" s="391"/>
      <c r="M51" s="391"/>
      <c r="N51" s="350" t="str">
        <f t="shared" si="1"/>
        <v/>
      </c>
    </row>
    <row r="52" spans="5:14" ht="12.95" customHeight="1">
      <c r="E52" s="308"/>
      <c r="F52" s="334"/>
      <c r="J52" s="391"/>
      <c r="M52" s="391"/>
      <c r="N52" s="350" t="str">
        <f t="shared" si="1"/>
        <v/>
      </c>
    </row>
    <row r="53" spans="5:14" ht="12.95" customHeight="1">
      <c r="E53" s="308"/>
      <c r="F53" s="334"/>
      <c r="J53" s="391"/>
      <c r="M53" s="391"/>
      <c r="N53" s="350" t="str">
        <f t="shared" si="1"/>
        <v/>
      </c>
    </row>
    <row r="54" spans="5:14" ht="12.95" customHeight="1">
      <c r="E54" s="308"/>
      <c r="F54" s="334"/>
      <c r="J54" s="391"/>
      <c r="M54" s="391"/>
      <c r="N54" s="350" t="str">
        <f t="shared" si="1"/>
        <v/>
      </c>
    </row>
    <row r="55" spans="5:14" ht="12.95" customHeight="1">
      <c r="E55" s="308"/>
      <c r="F55" s="334"/>
      <c r="J55" s="391"/>
      <c r="M55" s="391"/>
      <c r="N55" s="350" t="str">
        <f t="shared" si="1"/>
        <v/>
      </c>
    </row>
    <row r="56" spans="5:14" ht="12.95" customHeight="1">
      <c r="E56" s="308"/>
      <c r="F56" s="334"/>
      <c r="J56" s="391"/>
      <c r="M56" s="391"/>
      <c r="N56" s="350" t="str">
        <f t="shared" si="1"/>
        <v/>
      </c>
    </row>
    <row r="57" spans="5:14" ht="12.95" customHeight="1">
      <c r="E57" s="308"/>
      <c r="F57" s="334"/>
      <c r="J57" s="391"/>
      <c r="M57" s="391"/>
      <c r="N57" s="350" t="str">
        <f t="shared" si="1"/>
        <v/>
      </c>
    </row>
    <row r="58" spans="5:14" ht="12.95" customHeight="1">
      <c r="E58" s="308"/>
      <c r="F58" s="334"/>
      <c r="J58" s="391"/>
      <c r="M58" s="391"/>
      <c r="N58" s="350" t="str">
        <f t="shared" si="1"/>
        <v/>
      </c>
    </row>
    <row r="59" spans="5:14" ht="12.95" customHeight="1">
      <c r="E59" s="308"/>
      <c r="F59" s="334"/>
      <c r="J59" s="391"/>
      <c r="M59" s="391"/>
      <c r="N59" s="350" t="str">
        <f t="shared" si="1"/>
        <v/>
      </c>
    </row>
    <row r="60" spans="5:14" ht="17.100000000000001" customHeight="1">
      <c r="E60" s="308"/>
      <c r="F60" s="334"/>
      <c r="J60" s="391"/>
      <c r="M60" s="391"/>
      <c r="N60" s="350" t="str">
        <f t="shared" si="1"/>
        <v/>
      </c>
    </row>
    <row r="61" spans="5:14" ht="14.25">
      <c r="E61" s="308"/>
      <c r="F61" s="334"/>
      <c r="J61" s="391"/>
      <c r="M61" s="391"/>
      <c r="N61" s="350" t="str">
        <f t="shared" si="1"/>
        <v/>
      </c>
    </row>
    <row r="62" spans="5:14" ht="14.25">
      <c r="E62" s="308"/>
      <c r="F62" s="334"/>
      <c r="J62" s="391"/>
      <c r="M62" s="391"/>
      <c r="N62" s="350" t="str">
        <f t="shared" si="1"/>
        <v/>
      </c>
    </row>
    <row r="63" spans="5:14" ht="14.25">
      <c r="E63" s="308"/>
      <c r="F63" s="334"/>
      <c r="J63" s="391"/>
      <c r="M63" s="391"/>
      <c r="N63" s="350" t="str">
        <f t="shared" si="1"/>
        <v/>
      </c>
    </row>
    <row r="64" spans="5:14" ht="14.25">
      <c r="E64" s="308"/>
      <c r="F64" s="334"/>
      <c r="J64" s="391"/>
      <c r="M64" s="391"/>
      <c r="N64" s="350" t="str">
        <f t="shared" si="1"/>
        <v/>
      </c>
    </row>
    <row r="65" spans="5:14" ht="14.25">
      <c r="E65" s="308"/>
      <c r="F65" s="334"/>
      <c r="J65" s="391"/>
      <c r="M65" s="391"/>
      <c r="N65" s="350" t="str">
        <f t="shared" si="1"/>
        <v/>
      </c>
    </row>
    <row r="66" spans="5:14" ht="14.25">
      <c r="E66" s="308"/>
      <c r="F66" s="334"/>
      <c r="J66" s="391"/>
      <c r="M66" s="391"/>
      <c r="N66" s="350" t="str">
        <f t="shared" si="1"/>
        <v/>
      </c>
    </row>
    <row r="67" spans="5:14" ht="14.25">
      <c r="E67" s="308"/>
      <c r="F67" s="334"/>
      <c r="J67" s="391"/>
      <c r="M67" s="391"/>
    </row>
    <row r="68" spans="5:14" ht="14.25">
      <c r="E68" s="308"/>
      <c r="F68" s="334"/>
      <c r="J68" s="391"/>
      <c r="M68" s="391"/>
    </row>
    <row r="69" spans="5:14" ht="14.25">
      <c r="E69" s="308"/>
      <c r="F69" s="334"/>
      <c r="J69" s="391"/>
      <c r="M69" s="391"/>
    </row>
    <row r="70" spans="5:14" ht="14.25">
      <c r="E70" s="308"/>
      <c r="F70" s="334"/>
      <c r="J70" s="391"/>
      <c r="M70" s="391"/>
    </row>
    <row r="71" spans="5:14" ht="14.25">
      <c r="E71" s="308"/>
      <c r="F71" s="334"/>
      <c r="J71" s="391"/>
      <c r="M71" s="391"/>
    </row>
    <row r="72" spans="5:14" ht="14.25">
      <c r="E72" s="308"/>
      <c r="F72" s="334"/>
      <c r="J72" s="391"/>
      <c r="M72" s="391"/>
    </row>
    <row r="73" spans="5:14" ht="14.25">
      <c r="E73" s="308"/>
      <c r="F73" s="334"/>
      <c r="J73" s="391"/>
      <c r="M73" s="391"/>
    </row>
    <row r="74" spans="5:14" ht="14.25">
      <c r="E74" s="308"/>
      <c r="F74" s="308"/>
      <c r="J74" s="391"/>
      <c r="M74" s="391"/>
    </row>
    <row r="75" spans="5:14" ht="14.25">
      <c r="E75" s="308"/>
      <c r="F75" s="308"/>
      <c r="J75" s="391"/>
      <c r="M75" s="391"/>
    </row>
    <row r="76" spans="5:14" ht="14.25">
      <c r="E76" s="308"/>
      <c r="F76" s="308"/>
      <c r="J76" s="391"/>
      <c r="M76" s="391"/>
    </row>
    <row r="77" spans="5:14" ht="14.25">
      <c r="E77" s="308"/>
      <c r="F77" s="308"/>
      <c r="J77" s="391"/>
      <c r="M77" s="391"/>
    </row>
    <row r="78" spans="5:14" ht="14.25">
      <c r="E78" s="308"/>
      <c r="F78" s="308"/>
      <c r="J78" s="391"/>
      <c r="M78" s="391"/>
    </row>
    <row r="79" spans="5:14" ht="14.25">
      <c r="E79" s="308"/>
      <c r="F79" s="308"/>
      <c r="J79" s="391"/>
      <c r="M79" s="391"/>
    </row>
    <row r="80" spans="5:14" ht="14.25">
      <c r="E80" s="308"/>
      <c r="F80" s="308"/>
      <c r="J80" s="391"/>
      <c r="M80" s="391"/>
    </row>
    <row r="81" spans="5:13" ht="14.25">
      <c r="E81" s="308"/>
      <c r="F81" s="308"/>
      <c r="J81" s="391"/>
      <c r="M81" s="391"/>
    </row>
    <row r="82" spans="5:13" ht="14.25">
      <c r="E82" s="308"/>
      <c r="F82" s="308"/>
      <c r="J82" s="391"/>
      <c r="M82" s="391"/>
    </row>
    <row r="83" spans="5:13" ht="14.25">
      <c r="E83" s="308"/>
      <c r="F83" s="308"/>
      <c r="J83" s="391"/>
      <c r="M83" s="391"/>
    </row>
    <row r="84" spans="5:13" ht="14.25">
      <c r="E84" s="308"/>
      <c r="F84" s="308"/>
      <c r="J84" s="391"/>
      <c r="M84" s="391"/>
    </row>
    <row r="85" spans="5:13" ht="14.25">
      <c r="E85" s="308"/>
      <c r="F85" s="308"/>
      <c r="J85" s="391"/>
      <c r="M85" s="391"/>
    </row>
    <row r="86" spans="5:13" ht="14.25">
      <c r="E86" s="308"/>
      <c r="F86" s="308"/>
      <c r="J86" s="391"/>
      <c r="M86" s="391"/>
    </row>
    <row r="87" spans="5:13" ht="14.25">
      <c r="E87" s="308"/>
      <c r="F87" s="308"/>
      <c r="J87" s="391"/>
      <c r="M87" s="391"/>
    </row>
    <row r="88" spans="5:13" ht="14.25">
      <c r="E88" s="308"/>
      <c r="F88" s="308"/>
      <c r="J88" s="391"/>
      <c r="M88" s="391"/>
    </row>
    <row r="89" spans="5:13" ht="14.25">
      <c r="E89" s="308"/>
      <c r="F89" s="308"/>
      <c r="J89" s="391"/>
      <c r="M89" s="391"/>
    </row>
    <row r="90" spans="5:13" ht="14.25">
      <c r="E90" s="308"/>
      <c r="F90" s="308"/>
      <c r="J90" s="391"/>
      <c r="M90" s="391"/>
    </row>
    <row r="91" spans="5:13">
      <c r="F91" s="308"/>
    </row>
    <row r="92" spans="5:13">
      <c r="F92" s="308"/>
    </row>
    <row r="93" spans="5:13">
      <c r="F93" s="308"/>
    </row>
    <row r="94" spans="5:13">
      <c r="F94" s="308"/>
    </row>
    <row r="95" spans="5:13">
      <c r="F95" s="308"/>
    </row>
    <row r="96" spans="5:13">
      <c r="F96" s="308"/>
    </row>
  </sheetData>
  <mergeCells count="10">
    <mergeCell ref="N4:N5"/>
    <mergeCell ref="G4:G5"/>
    <mergeCell ref="B2:J2"/>
    <mergeCell ref="H4:J4"/>
    <mergeCell ref="B4:B5"/>
    <mergeCell ref="C4:C5"/>
    <mergeCell ref="D4:D5"/>
    <mergeCell ref="F4:F5"/>
    <mergeCell ref="E4:E5"/>
    <mergeCell ref="K4:M4"/>
  </mergeCells>
  <phoneticPr fontId="2" type="noConversion"/>
  <pageMargins left="0.78740157480314965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 codeName="Sheet28"/>
  <dimension ref="A1:P96"/>
  <sheetViews>
    <sheetView zoomScaleNormal="100" workbookViewId="0">
      <selection activeCell="K45" sqref="K45"/>
    </sheetView>
  </sheetViews>
  <sheetFormatPr defaultRowHeight="12.75"/>
  <cols>
    <col min="1" max="1" width="9.140625" style="284"/>
    <col min="2" max="2" width="4.7109375" style="9" customWidth="1"/>
    <col min="3" max="3" width="5.140625" style="9" customWidth="1"/>
    <col min="4" max="4" width="5" style="9" customWidth="1"/>
    <col min="5" max="5" width="8.7109375" style="17" customWidth="1"/>
    <col min="6" max="6" width="8.7109375" style="289" customWidth="1"/>
    <col min="7" max="7" width="50.7109375" style="9" customWidth="1"/>
    <col min="8" max="9" width="14.7109375" style="57" customWidth="1"/>
    <col min="10" max="10" width="15.7109375" style="57" customWidth="1"/>
    <col min="11" max="12" width="14.7109375" style="57" customWidth="1"/>
    <col min="13" max="13" width="15.7109375" style="57" customWidth="1"/>
    <col min="14" max="14" width="7.7109375" style="350" customWidth="1"/>
    <col min="15" max="16384" width="9.140625" style="9"/>
  </cols>
  <sheetData>
    <row r="1" spans="1:16" ht="13.5" thickBot="1"/>
    <row r="2" spans="1:16" s="98" customFormat="1" ht="20.100000000000001" customHeight="1" thickTop="1" thickBot="1">
      <c r="A2" s="376"/>
      <c r="B2" s="590" t="s">
        <v>170</v>
      </c>
      <c r="C2" s="591"/>
      <c r="D2" s="591"/>
      <c r="E2" s="591"/>
      <c r="F2" s="591"/>
      <c r="G2" s="591"/>
      <c r="H2" s="609"/>
      <c r="I2" s="609"/>
      <c r="J2" s="609"/>
      <c r="K2" s="609"/>
      <c r="L2" s="609"/>
      <c r="M2" s="609"/>
      <c r="N2" s="610"/>
    </row>
    <row r="3" spans="1:16" s="1" customFormat="1" ht="8.1" customHeight="1" thickTop="1" thickBot="1">
      <c r="A3" s="281"/>
      <c r="E3" s="2"/>
      <c r="F3" s="282"/>
      <c r="G3" s="531"/>
      <c r="H3" s="92"/>
      <c r="I3" s="92"/>
      <c r="J3" s="92"/>
      <c r="K3" s="92"/>
      <c r="L3" s="92"/>
      <c r="M3" s="92"/>
      <c r="N3" s="344"/>
    </row>
    <row r="4" spans="1:16" s="1" customFormat="1" ht="39" customHeight="1">
      <c r="A4" s="281"/>
      <c r="B4" s="596" t="s">
        <v>78</v>
      </c>
      <c r="C4" s="606" t="s">
        <v>79</v>
      </c>
      <c r="D4" s="607" t="s">
        <v>110</v>
      </c>
      <c r="E4" s="608" t="s">
        <v>594</v>
      </c>
      <c r="F4" s="601" t="s">
        <v>653</v>
      </c>
      <c r="G4" s="602" t="s">
        <v>80</v>
      </c>
      <c r="H4" s="593" t="s">
        <v>647</v>
      </c>
      <c r="I4" s="594"/>
      <c r="J4" s="595"/>
      <c r="K4" s="593" t="s">
        <v>801</v>
      </c>
      <c r="L4" s="594"/>
      <c r="M4" s="595"/>
      <c r="N4" s="604" t="s">
        <v>805</v>
      </c>
    </row>
    <row r="5" spans="1:16" s="281" customFormat="1" ht="27" customHeight="1">
      <c r="B5" s="597"/>
      <c r="C5" s="599"/>
      <c r="D5" s="599"/>
      <c r="E5" s="603"/>
      <c r="F5" s="599"/>
      <c r="G5" s="603"/>
      <c r="H5" s="372" t="s">
        <v>705</v>
      </c>
      <c r="I5" s="372" t="s">
        <v>706</v>
      </c>
      <c r="J5" s="382" t="s">
        <v>413</v>
      </c>
      <c r="K5" s="372" t="s">
        <v>705</v>
      </c>
      <c r="L5" s="372" t="s">
        <v>706</v>
      </c>
      <c r="M5" s="382" t="s">
        <v>413</v>
      </c>
      <c r="N5" s="605"/>
    </row>
    <row r="6" spans="1:16" s="2" customFormat="1" ht="12.95" customHeight="1">
      <c r="A6" s="282"/>
      <c r="B6" s="504">
        <v>1</v>
      </c>
      <c r="C6" s="331">
        <v>2</v>
      </c>
      <c r="D6" s="331">
        <v>3</v>
      </c>
      <c r="E6" s="331">
        <v>4</v>
      </c>
      <c r="F6" s="331">
        <v>5</v>
      </c>
      <c r="G6" s="331">
        <v>6</v>
      </c>
      <c r="H6" s="331">
        <v>7</v>
      </c>
      <c r="I6" s="331">
        <v>8</v>
      </c>
      <c r="J6" s="523" t="s">
        <v>804</v>
      </c>
      <c r="K6" s="331">
        <v>10</v>
      </c>
      <c r="L6" s="331">
        <v>11</v>
      </c>
      <c r="M6" s="523" t="s">
        <v>707</v>
      </c>
      <c r="N6" s="505">
        <v>13</v>
      </c>
    </row>
    <row r="7" spans="1:16" s="2" customFormat="1" ht="12.95" customHeight="1">
      <c r="A7" s="282"/>
      <c r="B7" s="6" t="s">
        <v>143</v>
      </c>
      <c r="C7" s="7" t="s">
        <v>145</v>
      </c>
      <c r="D7" s="7" t="s">
        <v>124</v>
      </c>
      <c r="E7" s="5"/>
      <c r="F7" s="283"/>
      <c r="G7" s="5"/>
      <c r="H7" s="86"/>
      <c r="I7" s="86"/>
      <c r="J7" s="392"/>
      <c r="K7" s="86"/>
      <c r="L7" s="86"/>
      <c r="M7" s="392"/>
      <c r="N7" s="345"/>
    </row>
    <row r="8" spans="1:16" s="1" customFormat="1" ht="12.95" customHeight="1">
      <c r="A8" s="281"/>
      <c r="B8" s="12"/>
      <c r="C8" s="8"/>
      <c r="D8" s="8"/>
      <c r="E8" s="305">
        <v>611000</v>
      </c>
      <c r="F8" s="331"/>
      <c r="G8" s="8" t="s">
        <v>163</v>
      </c>
      <c r="H8" s="210">
        <f t="shared" ref="H8:M8" si="0">SUM(H9:H12)</f>
        <v>643400</v>
      </c>
      <c r="I8" s="210">
        <f t="shared" si="0"/>
        <v>0</v>
      </c>
      <c r="J8" s="384">
        <f t="shared" si="0"/>
        <v>643400</v>
      </c>
      <c r="K8" s="210">
        <f t="shared" si="0"/>
        <v>152760</v>
      </c>
      <c r="L8" s="210">
        <f t="shared" si="0"/>
        <v>0</v>
      </c>
      <c r="M8" s="384">
        <f t="shared" si="0"/>
        <v>152760</v>
      </c>
      <c r="N8" s="346">
        <f>IF(J8=0,"",M8/J8*100)</f>
        <v>23.742617345352812</v>
      </c>
    </row>
    <row r="9" spans="1:16" ht="12.95" customHeight="1">
      <c r="B9" s="10"/>
      <c r="C9" s="11"/>
      <c r="D9" s="11"/>
      <c r="E9" s="306">
        <v>611100</v>
      </c>
      <c r="F9" s="332"/>
      <c r="G9" s="18" t="s">
        <v>198</v>
      </c>
      <c r="H9" s="212">
        <f>523700+0+7*500</f>
        <v>527200</v>
      </c>
      <c r="I9" s="212">
        <v>0</v>
      </c>
      <c r="J9" s="385">
        <f>SUM(H9:I9)</f>
        <v>527200</v>
      </c>
      <c r="K9" s="212">
        <v>129821</v>
      </c>
      <c r="L9" s="212">
        <v>0</v>
      </c>
      <c r="M9" s="385">
        <f>SUM(K9:L9)</f>
        <v>129821</v>
      </c>
      <c r="N9" s="347">
        <f t="shared" ref="N9:N66" si="1">IF(J9=0,"",M9/J9*100)</f>
        <v>24.624620637329286</v>
      </c>
    </row>
    <row r="10" spans="1:16" ht="12.95" customHeight="1">
      <c r="B10" s="10"/>
      <c r="C10" s="11"/>
      <c r="D10" s="11"/>
      <c r="E10" s="306">
        <v>611200</v>
      </c>
      <c r="F10" s="332"/>
      <c r="G10" s="11" t="s">
        <v>199</v>
      </c>
      <c r="H10" s="212">
        <f>101000+1700+7200+7*900</f>
        <v>116200</v>
      </c>
      <c r="I10" s="212">
        <v>0</v>
      </c>
      <c r="J10" s="385">
        <f t="shared" ref="J10:J11" si="2">SUM(H10:I10)</f>
        <v>116200</v>
      </c>
      <c r="K10" s="212">
        <v>22939</v>
      </c>
      <c r="L10" s="212">
        <v>0</v>
      </c>
      <c r="M10" s="385">
        <f t="shared" ref="M10:M11" si="3">SUM(K10:L10)</f>
        <v>22939</v>
      </c>
      <c r="N10" s="347">
        <f t="shared" si="1"/>
        <v>19.740963855421686</v>
      </c>
    </row>
    <row r="11" spans="1:16" ht="12.95" customHeight="1">
      <c r="B11" s="10"/>
      <c r="C11" s="11"/>
      <c r="D11" s="11"/>
      <c r="E11" s="306">
        <v>611200</v>
      </c>
      <c r="F11" s="332"/>
      <c r="G11" s="189" t="s">
        <v>534</v>
      </c>
      <c r="H11" s="209">
        <v>0</v>
      </c>
      <c r="I11" s="209">
        <v>0</v>
      </c>
      <c r="J11" s="385">
        <f t="shared" si="2"/>
        <v>0</v>
      </c>
      <c r="K11" s="209">
        <v>0</v>
      </c>
      <c r="L11" s="209">
        <v>0</v>
      </c>
      <c r="M11" s="385">
        <f t="shared" si="3"/>
        <v>0</v>
      </c>
      <c r="N11" s="347" t="str">
        <f t="shared" si="1"/>
        <v/>
      </c>
      <c r="P11" s="56"/>
    </row>
    <row r="12" spans="1:16" ht="12.95" customHeight="1">
      <c r="B12" s="10"/>
      <c r="C12" s="11"/>
      <c r="D12" s="11"/>
      <c r="E12" s="306"/>
      <c r="F12" s="332"/>
      <c r="G12" s="18"/>
      <c r="H12" s="212"/>
      <c r="I12" s="212"/>
      <c r="J12" s="385"/>
      <c r="K12" s="212"/>
      <c r="L12" s="212"/>
      <c r="M12" s="385"/>
      <c r="N12" s="347" t="str">
        <f t="shared" si="1"/>
        <v/>
      </c>
    </row>
    <row r="13" spans="1:16" s="1" customFormat="1" ht="12.95" customHeight="1">
      <c r="A13" s="281"/>
      <c r="B13" s="12"/>
      <c r="C13" s="8"/>
      <c r="D13" s="8"/>
      <c r="E13" s="305">
        <v>612000</v>
      </c>
      <c r="F13" s="331"/>
      <c r="G13" s="8" t="s">
        <v>162</v>
      </c>
      <c r="H13" s="210">
        <f t="shared" ref="H13:M13" si="4">H14</f>
        <v>56580</v>
      </c>
      <c r="I13" s="210">
        <f t="shared" si="4"/>
        <v>0</v>
      </c>
      <c r="J13" s="384">
        <f t="shared" si="4"/>
        <v>56580</v>
      </c>
      <c r="K13" s="210">
        <f t="shared" si="4"/>
        <v>13976</v>
      </c>
      <c r="L13" s="210">
        <f t="shared" si="4"/>
        <v>0</v>
      </c>
      <c r="M13" s="384">
        <f t="shared" si="4"/>
        <v>13976</v>
      </c>
      <c r="N13" s="346">
        <f t="shared" si="1"/>
        <v>24.701307882644045</v>
      </c>
    </row>
    <row r="14" spans="1:16" ht="12.95" customHeight="1">
      <c r="B14" s="10"/>
      <c r="C14" s="11"/>
      <c r="D14" s="11"/>
      <c r="E14" s="306">
        <v>612100</v>
      </c>
      <c r="F14" s="332"/>
      <c r="G14" s="13" t="s">
        <v>83</v>
      </c>
      <c r="H14" s="212">
        <f>55800+290+7*70</f>
        <v>56580</v>
      </c>
      <c r="I14" s="212">
        <v>0</v>
      </c>
      <c r="J14" s="385">
        <f>SUM(H14:I14)</f>
        <v>56580</v>
      </c>
      <c r="K14" s="212">
        <v>13976</v>
      </c>
      <c r="L14" s="212">
        <v>0</v>
      </c>
      <c r="M14" s="385">
        <f>SUM(K14:L14)</f>
        <v>13976</v>
      </c>
      <c r="N14" s="347">
        <f t="shared" si="1"/>
        <v>24.701307882644045</v>
      </c>
    </row>
    <row r="15" spans="1:16" ht="12.95" customHeight="1">
      <c r="B15" s="10"/>
      <c r="C15" s="11"/>
      <c r="D15" s="11"/>
      <c r="E15" s="306"/>
      <c r="F15" s="332"/>
      <c r="G15" s="11"/>
      <c r="H15" s="291"/>
      <c r="I15" s="291"/>
      <c r="J15" s="386"/>
      <c r="K15" s="291"/>
      <c r="L15" s="291"/>
      <c r="M15" s="386"/>
      <c r="N15" s="347" t="str">
        <f t="shared" si="1"/>
        <v/>
      </c>
    </row>
    <row r="16" spans="1:16" s="1" customFormat="1" ht="12.95" customHeight="1">
      <c r="A16" s="281"/>
      <c r="B16" s="12"/>
      <c r="C16" s="8"/>
      <c r="D16" s="8"/>
      <c r="E16" s="305">
        <v>613000</v>
      </c>
      <c r="F16" s="331"/>
      <c r="G16" s="8" t="s">
        <v>164</v>
      </c>
      <c r="H16" s="293">
        <f t="shared" ref="H16:M16" si="5">SUM(H17:H26)</f>
        <v>56700</v>
      </c>
      <c r="I16" s="293">
        <f t="shared" si="5"/>
        <v>0</v>
      </c>
      <c r="J16" s="387">
        <f t="shared" si="5"/>
        <v>56700</v>
      </c>
      <c r="K16" s="293">
        <f t="shared" si="5"/>
        <v>15842</v>
      </c>
      <c r="L16" s="293">
        <f t="shared" si="5"/>
        <v>0</v>
      </c>
      <c r="M16" s="387">
        <f t="shared" si="5"/>
        <v>15842</v>
      </c>
      <c r="N16" s="346">
        <f t="shared" si="1"/>
        <v>27.940035273368608</v>
      </c>
    </row>
    <row r="17" spans="1:14" ht="12.95" customHeight="1">
      <c r="B17" s="10"/>
      <c r="C17" s="11"/>
      <c r="D17" s="11"/>
      <c r="E17" s="306">
        <v>613100</v>
      </c>
      <c r="F17" s="332"/>
      <c r="G17" s="11" t="s">
        <v>84</v>
      </c>
      <c r="H17" s="363">
        <v>3500</v>
      </c>
      <c r="I17" s="363">
        <v>0</v>
      </c>
      <c r="J17" s="385">
        <f t="shared" ref="J17:J26" si="6">SUM(H17:I17)</f>
        <v>3500</v>
      </c>
      <c r="K17" s="363">
        <v>67</v>
      </c>
      <c r="L17" s="363">
        <v>0</v>
      </c>
      <c r="M17" s="385">
        <f t="shared" ref="M17:M26" si="7">SUM(K17:L17)</f>
        <v>67</v>
      </c>
      <c r="N17" s="347">
        <f t="shared" si="1"/>
        <v>1.9142857142857141</v>
      </c>
    </row>
    <row r="18" spans="1:14" ht="12.95" customHeight="1">
      <c r="B18" s="10"/>
      <c r="C18" s="11"/>
      <c r="D18" s="11"/>
      <c r="E18" s="306">
        <v>613200</v>
      </c>
      <c r="F18" s="332"/>
      <c r="G18" s="11" t="s">
        <v>85</v>
      </c>
      <c r="H18" s="363">
        <v>21700</v>
      </c>
      <c r="I18" s="363">
        <v>0</v>
      </c>
      <c r="J18" s="385">
        <f t="shared" si="6"/>
        <v>21700</v>
      </c>
      <c r="K18" s="363">
        <v>5537</v>
      </c>
      <c r="L18" s="363">
        <v>0</v>
      </c>
      <c r="M18" s="385">
        <f t="shared" si="7"/>
        <v>5537</v>
      </c>
      <c r="N18" s="347">
        <f t="shared" si="1"/>
        <v>25.516129032258068</v>
      </c>
    </row>
    <row r="19" spans="1:14" ht="12.95" customHeight="1">
      <c r="B19" s="10"/>
      <c r="C19" s="11"/>
      <c r="D19" s="11"/>
      <c r="E19" s="306">
        <v>613300</v>
      </c>
      <c r="F19" s="332"/>
      <c r="G19" s="18" t="s">
        <v>200</v>
      </c>
      <c r="H19" s="363">
        <v>3000</v>
      </c>
      <c r="I19" s="363">
        <v>0</v>
      </c>
      <c r="J19" s="385">
        <f t="shared" si="6"/>
        <v>3000</v>
      </c>
      <c r="K19" s="363">
        <v>716</v>
      </c>
      <c r="L19" s="363">
        <v>0</v>
      </c>
      <c r="M19" s="385">
        <f t="shared" si="7"/>
        <v>716</v>
      </c>
      <c r="N19" s="347">
        <f t="shared" si="1"/>
        <v>23.866666666666667</v>
      </c>
    </row>
    <row r="20" spans="1:14" ht="12.95" customHeight="1">
      <c r="B20" s="10"/>
      <c r="C20" s="11"/>
      <c r="D20" s="11"/>
      <c r="E20" s="306">
        <v>613400</v>
      </c>
      <c r="F20" s="332"/>
      <c r="G20" s="11" t="s">
        <v>165</v>
      </c>
      <c r="H20" s="363">
        <v>9000</v>
      </c>
      <c r="I20" s="363">
        <v>0</v>
      </c>
      <c r="J20" s="385">
        <f t="shared" si="6"/>
        <v>9000</v>
      </c>
      <c r="K20" s="363">
        <v>2284</v>
      </c>
      <c r="L20" s="363">
        <v>0</v>
      </c>
      <c r="M20" s="385">
        <f t="shared" si="7"/>
        <v>2284</v>
      </c>
      <c r="N20" s="347">
        <f t="shared" si="1"/>
        <v>25.377777777777776</v>
      </c>
    </row>
    <row r="21" spans="1:14" ht="12.95" customHeight="1">
      <c r="B21" s="10"/>
      <c r="C21" s="11"/>
      <c r="D21" s="11"/>
      <c r="E21" s="306">
        <v>613500</v>
      </c>
      <c r="F21" s="332"/>
      <c r="G21" s="11" t="s">
        <v>86</v>
      </c>
      <c r="H21" s="363">
        <v>300</v>
      </c>
      <c r="I21" s="363">
        <v>0</v>
      </c>
      <c r="J21" s="385">
        <f t="shared" si="6"/>
        <v>300</v>
      </c>
      <c r="K21" s="363">
        <v>120</v>
      </c>
      <c r="L21" s="363">
        <v>0</v>
      </c>
      <c r="M21" s="385">
        <f t="shared" si="7"/>
        <v>120</v>
      </c>
      <c r="N21" s="347">
        <f t="shared" si="1"/>
        <v>40</v>
      </c>
    </row>
    <row r="22" spans="1:14" ht="12.95" customHeight="1">
      <c r="B22" s="10"/>
      <c r="C22" s="11"/>
      <c r="D22" s="11"/>
      <c r="E22" s="306">
        <v>613600</v>
      </c>
      <c r="F22" s="332"/>
      <c r="G22" s="18" t="s">
        <v>201</v>
      </c>
      <c r="H22" s="363">
        <v>0</v>
      </c>
      <c r="I22" s="363">
        <v>0</v>
      </c>
      <c r="J22" s="385">
        <f t="shared" si="6"/>
        <v>0</v>
      </c>
      <c r="K22" s="363">
        <v>0</v>
      </c>
      <c r="L22" s="363">
        <v>0</v>
      </c>
      <c r="M22" s="385">
        <f t="shared" si="7"/>
        <v>0</v>
      </c>
      <c r="N22" s="347" t="str">
        <f t="shared" si="1"/>
        <v/>
      </c>
    </row>
    <row r="23" spans="1:14" ht="12.95" customHeight="1">
      <c r="B23" s="10"/>
      <c r="C23" s="11"/>
      <c r="D23" s="11"/>
      <c r="E23" s="306">
        <v>613700</v>
      </c>
      <c r="F23" s="332"/>
      <c r="G23" s="11" t="s">
        <v>87</v>
      </c>
      <c r="H23" s="365">
        <v>10500</v>
      </c>
      <c r="I23" s="365">
        <v>0</v>
      </c>
      <c r="J23" s="385">
        <f t="shared" si="6"/>
        <v>10500</v>
      </c>
      <c r="K23" s="365">
        <v>2545</v>
      </c>
      <c r="L23" s="365">
        <v>0</v>
      </c>
      <c r="M23" s="385">
        <f t="shared" si="7"/>
        <v>2545</v>
      </c>
      <c r="N23" s="347">
        <f t="shared" si="1"/>
        <v>24.238095238095241</v>
      </c>
    </row>
    <row r="24" spans="1:14" ht="12.95" customHeight="1">
      <c r="B24" s="10"/>
      <c r="C24" s="11"/>
      <c r="D24" s="11"/>
      <c r="E24" s="306">
        <v>613800</v>
      </c>
      <c r="F24" s="332"/>
      <c r="G24" s="11" t="s">
        <v>166</v>
      </c>
      <c r="H24" s="365">
        <v>0</v>
      </c>
      <c r="I24" s="365">
        <v>0</v>
      </c>
      <c r="J24" s="385">
        <f t="shared" si="6"/>
        <v>0</v>
      </c>
      <c r="K24" s="365">
        <v>0</v>
      </c>
      <c r="L24" s="365">
        <v>0</v>
      </c>
      <c r="M24" s="385">
        <f t="shared" si="7"/>
        <v>0</v>
      </c>
      <c r="N24" s="347" t="str">
        <f t="shared" si="1"/>
        <v/>
      </c>
    </row>
    <row r="25" spans="1:14" ht="12.95" customHeight="1">
      <c r="B25" s="10"/>
      <c r="C25" s="11"/>
      <c r="D25" s="11"/>
      <c r="E25" s="306">
        <v>613900</v>
      </c>
      <c r="F25" s="332"/>
      <c r="G25" s="11" t="s">
        <v>167</v>
      </c>
      <c r="H25" s="365">
        <v>8700</v>
      </c>
      <c r="I25" s="365">
        <v>0</v>
      </c>
      <c r="J25" s="385">
        <f t="shared" si="6"/>
        <v>8700</v>
      </c>
      <c r="K25" s="365">
        <v>4573</v>
      </c>
      <c r="L25" s="365">
        <v>0</v>
      </c>
      <c r="M25" s="385">
        <f t="shared" si="7"/>
        <v>4573</v>
      </c>
      <c r="N25" s="347">
        <f t="shared" si="1"/>
        <v>52.5632183908046</v>
      </c>
    </row>
    <row r="26" spans="1:14" ht="12.95" customHeight="1">
      <c r="B26" s="10"/>
      <c r="C26" s="11"/>
      <c r="D26" s="11"/>
      <c r="E26" s="306">
        <v>613900</v>
      </c>
      <c r="F26" s="332"/>
      <c r="G26" s="189" t="s">
        <v>535</v>
      </c>
      <c r="H26" s="361">
        <v>0</v>
      </c>
      <c r="I26" s="361">
        <v>0</v>
      </c>
      <c r="J26" s="385">
        <f t="shared" si="6"/>
        <v>0</v>
      </c>
      <c r="K26" s="361">
        <v>0</v>
      </c>
      <c r="L26" s="361">
        <v>0</v>
      </c>
      <c r="M26" s="385">
        <f t="shared" si="7"/>
        <v>0</v>
      </c>
      <c r="N26" s="347" t="str">
        <f t="shared" si="1"/>
        <v/>
      </c>
    </row>
    <row r="27" spans="1:14" s="1" customFormat="1" ht="12.95" customHeight="1">
      <c r="A27" s="281"/>
      <c r="B27" s="12"/>
      <c r="C27" s="8"/>
      <c r="D27" s="8"/>
      <c r="E27" s="305"/>
      <c r="F27" s="331"/>
      <c r="G27" s="8"/>
      <c r="H27" s="296"/>
      <c r="I27" s="296"/>
      <c r="J27" s="386"/>
      <c r="K27" s="296"/>
      <c r="L27" s="296"/>
      <c r="M27" s="386"/>
      <c r="N27" s="347" t="str">
        <f t="shared" si="1"/>
        <v/>
      </c>
    </row>
    <row r="28" spans="1:14" s="1" customFormat="1" ht="12.95" customHeight="1">
      <c r="A28" s="281"/>
      <c r="B28" s="12"/>
      <c r="C28" s="8"/>
      <c r="D28" s="8"/>
      <c r="E28" s="305">
        <v>821000</v>
      </c>
      <c r="F28" s="331"/>
      <c r="G28" s="8" t="s">
        <v>90</v>
      </c>
      <c r="H28" s="295">
        <f t="shared" ref="H28:M28" si="8">SUM(H29:H30)</f>
        <v>20000</v>
      </c>
      <c r="I28" s="295">
        <f t="shared" si="8"/>
        <v>0</v>
      </c>
      <c r="J28" s="387">
        <f t="shared" si="8"/>
        <v>20000</v>
      </c>
      <c r="K28" s="295">
        <f t="shared" si="8"/>
        <v>2111</v>
      </c>
      <c r="L28" s="295">
        <f t="shared" si="8"/>
        <v>0</v>
      </c>
      <c r="M28" s="387">
        <f t="shared" si="8"/>
        <v>2111</v>
      </c>
      <c r="N28" s="346">
        <f t="shared" si="1"/>
        <v>10.555</v>
      </c>
    </row>
    <row r="29" spans="1:14" ht="12.95" customHeight="1">
      <c r="B29" s="10"/>
      <c r="C29" s="11"/>
      <c r="D29" s="11"/>
      <c r="E29" s="306">
        <v>821200</v>
      </c>
      <c r="F29" s="332"/>
      <c r="G29" s="11" t="s">
        <v>91</v>
      </c>
      <c r="H29" s="296">
        <v>5000</v>
      </c>
      <c r="I29" s="296">
        <v>0</v>
      </c>
      <c r="J29" s="385">
        <f t="shared" ref="J29:J30" si="9">SUM(H29:I29)</f>
        <v>5000</v>
      </c>
      <c r="K29" s="296">
        <v>0</v>
      </c>
      <c r="L29" s="296">
        <v>0</v>
      </c>
      <c r="M29" s="385">
        <f t="shared" ref="M29:M30" si="10">SUM(K29:L29)</f>
        <v>0</v>
      </c>
      <c r="N29" s="347">
        <f t="shared" si="1"/>
        <v>0</v>
      </c>
    </row>
    <row r="30" spans="1:14" ht="12.95" customHeight="1">
      <c r="B30" s="10"/>
      <c r="C30" s="11"/>
      <c r="D30" s="11"/>
      <c r="E30" s="306">
        <v>821300</v>
      </c>
      <c r="F30" s="332"/>
      <c r="G30" s="11" t="s">
        <v>92</v>
      </c>
      <c r="H30" s="296">
        <v>15000</v>
      </c>
      <c r="I30" s="296">
        <v>0</v>
      </c>
      <c r="J30" s="385">
        <f t="shared" si="9"/>
        <v>15000</v>
      </c>
      <c r="K30" s="296">
        <v>2111</v>
      </c>
      <c r="L30" s="296">
        <v>0</v>
      </c>
      <c r="M30" s="385">
        <f t="shared" si="10"/>
        <v>2111</v>
      </c>
      <c r="N30" s="347">
        <f t="shared" si="1"/>
        <v>14.073333333333332</v>
      </c>
    </row>
    <row r="31" spans="1:14" ht="12.95" customHeight="1">
      <c r="B31" s="10"/>
      <c r="C31" s="11"/>
      <c r="D31" s="11"/>
      <c r="E31" s="306"/>
      <c r="F31" s="332"/>
      <c r="G31" s="11"/>
      <c r="H31" s="291"/>
      <c r="I31" s="291"/>
      <c r="J31" s="386"/>
      <c r="K31" s="291"/>
      <c r="L31" s="291"/>
      <c r="M31" s="386"/>
      <c r="N31" s="347" t="str">
        <f t="shared" si="1"/>
        <v/>
      </c>
    </row>
    <row r="32" spans="1:14" s="1" customFormat="1" ht="12.95" customHeight="1">
      <c r="A32" s="281"/>
      <c r="B32" s="12"/>
      <c r="C32" s="8"/>
      <c r="D32" s="8"/>
      <c r="E32" s="305"/>
      <c r="F32" s="331"/>
      <c r="G32" s="8" t="s">
        <v>93</v>
      </c>
      <c r="H32" s="278" t="s">
        <v>649</v>
      </c>
      <c r="I32" s="278"/>
      <c r="J32" s="389" t="s">
        <v>649</v>
      </c>
      <c r="K32" s="278" t="s">
        <v>830</v>
      </c>
      <c r="L32" s="278"/>
      <c r="M32" s="389" t="s">
        <v>830</v>
      </c>
      <c r="N32" s="347"/>
    </row>
    <row r="33" spans="1:14" s="1" customFormat="1" ht="12.95" customHeight="1">
      <c r="A33" s="281"/>
      <c r="B33" s="12"/>
      <c r="C33" s="8"/>
      <c r="D33" s="8"/>
      <c r="E33" s="305"/>
      <c r="F33" s="331"/>
      <c r="G33" s="8" t="s">
        <v>113</v>
      </c>
      <c r="H33" s="288">
        <f t="shared" ref="H33:M33" si="11">H8+H13+H16+H28</f>
        <v>776680</v>
      </c>
      <c r="I33" s="288">
        <f t="shared" si="11"/>
        <v>0</v>
      </c>
      <c r="J33" s="387">
        <f t="shared" si="11"/>
        <v>776680</v>
      </c>
      <c r="K33" s="288">
        <f t="shared" si="11"/>
        <v>184689</v>
      </c>
      <c r="L33" s="288">
        <f t="shared" si="11"/>
        <v>0</v>
      </c>
      <c r="M33" s="387">
        <f t="shared" si="11"/>
        <v>184689</v>
      </c>
      <c r="N33" s="346">
        <f t="shared" si="1"/>
        <v>23.779291342637894</v>
      </c>
    </row>
    <row r="34" spans="1:14" s="1" customFormat="1" ht="12.95" customHeight="1">
      <c r="A34" s="281"/>
      <c r="B34" s="12"/>
      <c r="C34" s="8"/>
      <c r="D34" s="8"/>
      <c r="E34" s="305"/>
      <c r="F34" s="331"/>
      <c r="G34" s="8" t="s">
        <v>94</v>
      </c>
      <c r="H34" s="288"/>
      <c r="I34" s="288"/>
      <c r="J34" s="387"/>
      <c r="K34" s="288"/>
      <c r="L34" s="288"/>
      <c r="M34" s="387"/>
      <c r="N34" s="347" t="str">
        <f t="shared" si="1"/>
        <v/>
      </c>
    </row>
    <row r="35" spans="1:14" s="1" customFormat="1" ht="12.95" customHeight="1">
      <c r="A35" s="281"/>
      <c r="B35" s="12"/>
      <c r="C35" s="8"/>
      <c r="D35" s="8"/>
      <c r="E35" s="305"/>
      <c r="F35" s="331"/>
      <c r="G35" s="8" t="s">
        <v>95</v>
      </c>
      <c r="H35" s="279"/>
      <c r="I35" s="279"/>
      <c r="J35" s="386"/>
      <c r="K35" s="279"/>
      <c r="L35" s="279"/>
      <c r="M35" s="386"/>
      <c r="N35" s="347" t="str">
        <f t="shared" si="1"/>
        <v/>
      </c>
    </row>
    <row r="36" spans="1:14" ht="12.95" customHeight="1" thickBot="1">
      <c r="B36" s="15"/>
      <c r="C36" s="16"/>
      <c r="D36" s="16"/>
      <c r="E36" s="307"/>
      <c r="F36" s="333"/>
      <c r="G36" s="16"/>
      <c r="H36" s="27"/>
      <c r="I36" s="27"/>
      <c r="J36" s="390"/>
      <c r="K36" s="27"/>
      <c r="L36" s="27"/>
      <c r="M36" s="390"/>
      <c r="N36" s="349" t="str">
        <f t="shared" si="1"/>
        <v/>
      </c>
    </row>
    <row r="37" spans="1:14" ht="12.95" customHeight="1">
      <c r="E37" s="308"/>
      <c r="F37" s="334"/>
      <c r="J37" s="393"/>
      <c r="M37" s="393"/>
      <c r="N37" s="350" t="str">
        <f t="shared" si="1"/>
        <v/>
      </c>
    </row>
    <row r="38" spans="1:14" ht="12.95" customHeight="1">
      <c r="B38" s="50"/>
      <c r="E38" s="308"/>
      <c r="F38" s="334"/>
      <c r="J38" s="393"/>
      <c r="M38" s="393"/>
      <c r="N38" s="350" t="str">
        <f t="shared" si="1"/>
        <v/>
      </c>
    </row>
    <row r="39" spans="1:14" ht="12.95" customHeight="1">
      <c r="B39" s="50"/>
      <c r="E39" s="308"/>
      <c r="F39" s="334"/>
      <c r="J39" s="393"/>
      <c r="M39" s="393"/>
      <c r="N39" s="350" t="str">
        <f t="shared" si="1"/>
        <v/>
      </c>
    </row>
    <row r="40" spans="1:14" ht="12.95" customHeight="1">
      <c r="B40" s="50"/>
      <c r="E40" s="308"/>
      <c r="F40" s="334"/>
      <c r="J40" s="393"/>
      <c r="M40" s="393"/>
      <c r="N40" s="350" t="str">
        <f t="shared" si="1"/>
        <v/>
      </c>
    </row>
    <row r="41" spans="1:14" ht="12.95" customHeight="1">
      <c r="B41" s="50"/>
      <c r="E41" s="308"/>
      <c r="F41" s="334"/>
      <c r="J41" s="393"/>
      <c r="M41" s="393"/>
      <c r="N41" s="350" t="str">
        <f t="shared" si="1"/>
        <v/>
      </c>
    </row>
    <row r="42" spans="1:14" ht="12.95" customHeight="1">
      <c r="B42" s="50"/>
      <c r="E42" s="308"/>
      <c r="F42" s="334"/>
      <c r="J42" s="393"/>
      <c r="M42" s="393"/>
      <c r="N42" s="350" t="str">
        <f t="shared" si="1"/>
        <v/>
      </c>
    </row>
    <row r="43" spans="1:14" ht="12.95" customHeight="1">
      <c r="B43" s="50"/>
      <c r="E43" s="308"/>
      <c r="F43" s="334"/>
      <c r="J43" s="393"/>
      <c r="M43" s="393"/>
      <c r="N43" s="350" t="str">
        <f t="shared" si="1"/>
        <v/>
      </c>
    </row>
    <row r="44" spans="1:14" ht="12.95" customHeight="1">
      <c r="B44" s="50"/>
      <c r="E44" s="308"/>
      <c r="F44" s="334"/>
      <c r="J44" s="393"/>
      <c r="M44" s="393"/>
      <c r="N44" s="350" t="str">
        <f t="shared" si="1"/>
        <v/>
      </c>
    </row>
    <row r="45" spans="1:14" ht="12.95" customHeight="1">
      <c r="B45" s="50"/>
      <c r="E45" s="308"/>
      <c r="F45" s="334"/>
      <c r="J45" s="393"/>
      <c r="M45" s="393"/>
      <c r="N45" s="350" t="str">
        <f t="shared" si="1"/>
        <v/>
      </c>
    </row>
    <row r="46" spans="1:14" ht="12.95" customHeight="1">
      <c r="B46" s="50"/>
      <c r="E46" s="308"/>
      <c r="F46" s="334"/>
      <c r="J46" s="393"/>
      <c r="M46" s="393"/>
      <c r="N46" s="350" t="str">
        <f t="shared" si="1"/>
        <v/>
      </c>
    </row>
    <row r="47" spans="1:14" ht="12.95" customHeight="1">
      <c r="B47" s="50"/>
      <c r="E47" s="308"/>
      <c r="F47" s="334"/>
      <c r="J47" s="393"/>
      <c r="M47" s="393"/>
      <c r="N47" s="350" t="str">
        <f t="shared" si="1"/>
        <v/>
      </c>
    </row>
    <row r="48" spans="1:14" ht="12.95" customHeight="1">
      <c r="B48" s="50"/>
      <c r="E48" s="308"/>
      <c r="F48" s="334"/>
      <c r="J48" s="393"/>
      <c r="M48" s="393"/>
      <c r="N48" s="350" t="str">
        <f t="shared" si="1"/>
        <v/>
      </c>
    </row>
    <row r="49" spans="5:14" ht="12.95" customHeight="1">
      <c r="E49" s="308"/>
      <c r="F49" s="334"/>
      <c r="J49" s="393"/>
      <c r="M49" s="393"/>
      <c r="N49" s="350" t="str">
        <f t="shared" si="1"/>
        <v/>
      </c>
    </row>
    <row r="50" spans="5:14" ht="12.95" customHeight="1">
      <c r="E50" s="308"/>
      <c r="F50" s="334"/>
      <c r="J50" s="393"/>
      <c r="M50" s="393"/>
      <c r="N50" s="350" t="str">
        <f t="shared" si="1"/>
        <v/>
      </c>
    </row>
    <row r="51" spans="5:14" ht="12.95" customHeight="1">
      <c r="E51" s="308"/>
      <c r="F51" s="334"/>
      <c r="J51" s="393"/>
      <c r="M51" s="393"/>
      <c r="N51" s="350" t="str">
        <f t="shared" si="1"/>
        <v/>
      </c>
    </row>
    <row r="52" spans="5:14" ht="12.95" customHeight="1">
      <c r="E52" s="308"/>
      <c r="F52" s="334"/>
      <c r="J52" s="393"/>
      <c r="M52" s="393"/>
      <c r="N52" s="350" t="str">
        <f t="shared" si="1"/>
        <v/>
      </c>
    </row>
    <row r="53" spans="5:14" ht="12.95" customHeight="1">
      <c r="E53" s="308"/>
      <c r="F53" s="334"/>
      <c r="J53" s="393"/>
      <c r="M53" s="393"/>
      <c r="N53" s="350" t="str">
        <f t="shared" si="1"/>
        <v/>
      </c>
    </row>
    <row r="54" spans="5:14" ht="12.95" customHeight="1">
      <c r="E54" s="308"/>
      <c r="F54" s="334"/>
      <c r="J54" s="393"/>
      <c r="M54" s="393"/>
      <c r="N54" s="350" t="str">
        <f t="shared" si="1"/>
        <v/>
      </c>
    </row>
    <row r="55" spans="5:14" ht="12.95" customHeight="1">
      <c r="E55" s="308"/>
      <c r="F55" s="334"/>
      <c r="J55" s="393"/>
      <c r="M55" s="393"/>
      <c r="N55" s="350" t="str">
        <f t="shared" si="1"/>
        <v/>
      </c>
    </row>
    <row r="56" spans="5:14" ht="12.95" customHeight="1">
      <c r="E56" s="308"/>
      <c r="F56" s="334"/>
      <c r="J56" s="393"/>
      <c r="M56" s="393"/>
      <c r="N56" s="350" t="str">
        <f t="shared" si="1"/>
        <v/>
      </c>
    </row>
    <row r="57" spans="5:14" ht="12.95" customHeight="1">
      <c r="E57" s="308"/>
      <c r="F57" s="334"/>
      <c r="J57" s="393"/>
      <c r="M57" s="393"/>
      <c r="N57" s="350" t="str">
        <f t="shared" si="1"/>
        <v/>
      </c>
    </row>
    <row r="58" spans="5:14" ht="12.95" customHeight="1">
      <c r="E58" s="308"/>
      <c r="F58" s="334"/>
      <c r="J58" s="393"/>
      <c r="M58" s="393"/>
      <c r="N58" s="350" t="str">
        <f t="shared" si="1"/>
        <v/>
      </c>
    </row>
    <row r="59" spans="5:14" ht="12.95" customHeight="1">
      <c r="E59" s="308"/>
      <c r="F59" s="334"/>
      <c r="J59" s="393"/>
      <c r="M59" s="393"/>
      <c r="N59" s="350" t="str">
        <f t="shared" si="1"/>
        <v/>
      </c>
    </row>
    <row r="60" spans="5:14" ht="17.100000000000001" customHeight="1">
      <c r="E60" s="308"/>
      <c r="F60" s="334"/>
      <c r="J60" s="393"/>
      <c r="M60" s="393"/>
      <c r="N60" s="350" t="str">
        <f t="shared" si="1"/>
        <v/>
      </c>
    </row>
    <row r="61" spans="5:14" ht="14.25">
      <c r="E61" s="308"/>
      <c r="F61" s="334"/>
      <c r="J61" s="393"/>
      <c r="M61" s="393"/>
      <c r="N61" s="350" t="str">
        <f t="shared" si="1"/>
        <v/>
      </c>
    </row>
    <row r="62" spans="5:14" ht="14.25">
      <c r="E62" s="308"/>
      <c r="F62" s="334"/>
      <c r="J62" s="393"/>
      <c r="M62" s="393"/>
      <c r="N62" s="350" t="str">
        <f t="shared" si="1"/>
        <v/>
      </c>
    </row>
    <row r="63" spans="5:14" ht="14.25">
      <c r="E63" s="308"/>
      <c r="F63" s="334"/>
      <c r="J63" s="393"/>
      <c r="M63" s="393"/>
      <c r="N63" s="350" t="str">
        <f t="shared" si="1"/>
        <v/>
      </c>
    </row>
    <row r="64" spans="5:14" ht="14.25">
      <c r="E64" s="308"/>
      <c r="F64" s="334"/>
      <c r="J64" s="393"/>
      <c r="M64" s="393"/>
      <c r="N64" s="350" t="str">
        <f t="shared" si="1"/>
        <v/>
      </c>
    </row>
    <row r="65" spans="5:14" ht="14.25">
      <c r="E65" s="308"/>
      <c r="F65" s="334"/>
      <c r="J65" s="393"/>
      <c r="M65" s="393"/>
      <c r="N65" s="350" t="str">
        <f t="shared" si="1"/>
        <v/>
      </c>
    </row>
    <row r="66" spans="5:14" ht="14.25">
      <c r="E66" s="308"/>
      <c r="F66" s="334"/>
      <c r="J66" s="393"/>
      <c r="M66" s="393"/>
      <c r="N66" s="350" t="str">
        <f t="shared" si="1"/>
        <v/>
      </c>
    </row>
    <row r="67" spans="5:14" ht="14.25">
      <c r="E67" s="308"/>
      <c r="F67" s="334"/>
      <c r="J67" s="393"/>
      <c r="M67" s="393"/>
    </row>
    <row r="68" spans="5:14" ht="14.25">
      <c r="E68" s="308"/>
      <c r="F68" s="334"/>
      <c r="J68" s="393"/>
      <c r="M68" s="393"/>
    </row>
    <row r="69" spans="5:14" ht="14.25">
      <c r="E69" s="308"/>
      <c r="F69" s="334"/>
      <c r="J69" s="393"/>
      <c r="M69" s="393"/>
    </row>
    <row r="70" spans="5:14" ht="14.25">
      <c r="E70" s="308"/>
      <c r="F70" s="334"/>
      <c r="J70" s="393"/>
      <c r="M70" s="393"/>
    </row>
    <row r="71" spans="5:14" ht="14.25">
      <c r="E71" s="308"/>
      <c r="F71" s="334"/>
      <c r="J71" s="393"/>
      <c r="M71" s="393"/>
    </row>
    <row r="72" spans="5:14" ht="14.25">
      <c r="E72" s="308"/>
      <c r="F72" s="334"/>
      <c r="J72" s="393"/>
      <c r="M72" s="393"/>
    </row>
    <row r="73" spans="5:14" ht="14.25">
      <c r="E73" s="308"/>
      <c r="F73" s="334"/>
      <c r="J73" s="393"/>
      <c r="M73" s="393"/>
    </row>
    <row r="74" spans="5:14" ht="14.25">
      <c r="E74" s="308"/>
      <c r="F74" s="308"/>
      <c r="J74" s="393"/>
      <c r="M74" s="393"/>
    </row>
    <row r="75" spans="5:14" ht="14.25">
      <c r="E75" s="308"/>
      <c r="F75" s="308"/>
      <c r="J75" s="393"/>
      <c r="M75" s="393"/>
    </row>
    <row r="76" spans="5:14" ht="14.25">
      <c r="E76" s="308"/>
      <c r="F76" s="308"/>
      <c r="J76" s="393"/>
      <c r="M76" s="393"/>
    </row>
    <row r="77" spans="5:14" ht="14.25">
      <c r="E77" s="308"/>
      <c r="F77" s="308"/>
      <c r="J77" s="393"/>
      <c r="M77" s="393"/>
    </row>
    <row r="78" spans="5:14" ht="14.25">
      <c r="E78" s="308"/>
      <c r="F78" s="308"/>
      <c r="J78" s="393"/>
      <c r="M78" s="393"/>
    </row>
    <row r="79" spans="5:14" ht="14.25">
      <c r="E79" s="308"/>
      <c r="F79" s="308"/>
      <c r="J79" s="393"/>
      <c r="M79" s="393"/>
    </row>
    <row r="80" spans="5:14" ht="14.25">
      <c r="E80" s="308"/>
      <c r="F80" s="308"/>
      <c r="J80" s="393"/>
      <c r="M80" s="393"/>
    </row>
    <row r="81" spans="5:13" ht="14.25">
      <c r="E81" s="308"/>
      <c r="F81" s="308"/>
      <c r="J81" s="393"/>
      <c r="M81" s="393"/>
    </row>
    <row r="82" spans="5:13" ht="14.25">
      <c r="E82" s="308"/>
      <c r="F82" s="308"/>
      <c r="J82" s="393"/>
      <c r="M82" s="393"/>
    </row>
    <row r="83" spans="5:13" ht="14.25">
      <c r="E83" s="308"/>
      <c r="F83" s="308"/>
      <c r="J83" s="393"/>
      <c r="M83" s="393"/>
    </row>
    <row r="84" spans="5:13" ht="14.25">
      <c r="E84" s="308"/>
      <c r="F84" s="308"/>
      <c r="J84" s="393"/>
      <c r="M84" s="393"/>
    </row>
    <row r="85" spans="5:13" ht="14.25">
      <c r="E85" s="308"/>
      <c r="F85" s="308"/>
      <c r="J85" s="393"/>
      <c r="M85" s="393"/>
    </row>
    <row r="86" spans="5:13" ht="14.25">
      <c r="E86" s="308"/>
      <c r="F86" s="308"/>
      <c r="J86" s="393"/>
      <c r="M86" s="393"/>
    </row>
    <row r="87" spans="5:13" ht="14.25">
      <c r="E87" s="308"/>
      <c r="F87" s="308"/>
      <c r="J87" s="393"/>
      <c r="M87" s="393"/>
    </row>
    <row r="88" spans="5:13" ht="14.25">
      <c r="E88" s="308"/>
      <c r="F88" s="308"/>
      <c r="J88" s="393"/>
      <c r="M88" s="393"/>
    </row>
    <row r="89" spans="5:13" ht="14.25">
      <c r="E89" s="308"/>
      <c r="F89" s="308"/>
      <c r="J89" s="393"/>
      <c r="M89" s="393"/>
    </row>
    <row r="90" spans="5:13" ht="14.25">
      <c r="E90" s="308"/>
      <c r="F90" s="308"/>
      <c r="J90" s="393"/>
      <c r="M90" s="393"/>
    </row>
    <row r="91" spans="5:13">
      <c r="F91" s="308"/>
    </row>
    <row r="92" spans="5:13">
      <c r="F92" s="308"/>
    </row>
    <row r="93" spans="5:13">
      <c r="F93" s="308"/>
    </row>
    <row r="94" spans="5:13">
      <c r="F94" s="308"/>
    </row>
    <row r="95" spans="5:13">
      <c r="F95" s="308"/>
    </row>
    <row r="96" spans="5:13">
      <c r="F96" s="308"/>
    </row>
  </sheetData>
  <mergeCells count="10">
    <mergeCell ref="B2:N2"/>
    <mergeCell ref="N4:N5"/>
    <mergeCell ref="G4:G5"/>
    <mergeCell ref="H4:J4"/>
    <mergeCell ref="B4:B5"/>
    <mergeCell ref="C4:C5"/>
    <mergeCell ref="D4:D5"/>
    <mergeCell ref="F4:F5"/>
    <mergeCell ref="E4:E5"/>
    <mergeCell ref="K4:M4"/>
  </mergeCells>
  <phoneticPr fontId="2" type="noConversion"/>
  <pageMargins left="0.78740157480314965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 codeName="Sheet29"/>
  <dimension ref="A1:P96"/>
  <sheetViews>
    <sheetView zoomScaleNormal="100" workbookViewId="0">
      <selection activeCell="K45" sqref="K45"/>
    </sheetView>
  </sheetViews>
  <sheetFormatPr defaultRowHeight="12.75"/>
  <cols>
    <col min="1" max="1" width="9.140625" style="284"/>
    <col min="2" max="2" width="4.7109375" style="9" customWidth="1"/>
    <col min="3" max="3" width="5.140625" style="9" customWidth="1"/>
    <col min="4" max="4" width="5" style="9" customWidth="1"/>
    <col min="5" max="5" width="8.7109375" style="17" customWidth="1"/>
    <col min="6" max="6" width="8.7109375" style="289" customWidth="1"/>
    <col min="7" max="7" width="50.7109375" style="9" customWidth="1"/>
    <col min="8" max="9" width="14.7109375" style="57" customWidth="1"/>
    <col min="10" max="10" width="15.7109375" style="57" customWidth="1"/>
    <col min="11" max="12" width="14.7109375" style="57" customWidth="1"/>
    <col min="13" max="13" width="15.7109375" style="57" customWidth="1"/>
    <col min="14" max="14" width="7.7109375" style="350" customWidth="1"/>
    <col min="15" max="16384" width="9.140625" style="9"/>
  </cols>
  <sheetData>
    <row r="1" spans="1:16" ht="13.5" thickBot="1"/>
    <row r="2" spans="1:16" s="98" customFormat="1" ht="20.100000000000001" customHeight="1" thickTop="1" thickBot="1">
      <c r="A2" s="376"/>
      <c r="B2" s="590" t="s">
        <v>171</v>
      </c>
      <c r="C2" s="591"/>
      <c r="D2" s="591"/>
      <c r="E2" s="591"/>
      <c r="F2" s="591"/>
      <c r="G2" s="591"/>
      <c r="H2" s="609"/>
      <c r="I2" s="377"/>
      <c r="J2" s="377"/>
      <c r="K2" s="377"/>
      <c r="L2" s="377"/>
      <c r="M2" s="377"/>
      <c r="N2" s="380"/>
    </row>
    <row r="3" spans="1:16" s="1" customFormat="1" ht="8.1" customHeight="1" thickTop="1" thickBot="1">
      <c r="A3" s="281"/>
      <c r="E3" s="2"/>
      <c r="F3" s="282"/>
      <c r="G3" s="531"/>
      <c r="H3" s="92"/>
      <c r="I3" s="92"/>
      <c r="J3" s="92"/>
      <c r="K3" s="92"/>
      <c r="L3" s="92"/>
      <c r="M3" s="92"/>
      <c r="N3" s="344"/>
    </row>
    <row r="4" spans="1:16" s="1" customFormat="1" ht="39" customHeight="1">
      <c r="A4" s="281"/>
      <c r="B4" s="596" t="s">
        <v>78</v>
      </c>
      <c r="C4" s="606" t="s">
        <v>79</v>
      </c>
      <c r="D4" s="607" t="s">
        <v>110</v>
      </c>
      <c r="E4" s="608" t="s">
        <v>594</v>
      </c>
      <c r="F4" s="601" t="s">
        <v>653</v>
      </c>
      <c r="G4" s="602" t="s">
        <v>80</v>
      </c>
      <c r="H4" s="593" t="s">
        <v>647</v>
      </c>
      <c r="I4" s="594"/>
      <c r="J4" s="595"/>
      <c r="K4" s="593" t="s">
        <v>801</v>
      </c>
      <c r="L4" s="594"/>
      <c r="M4" s="595"/>
      <c r="N4" s="604" t="s">
        <v>805</v>
      </c>
    </row>
    <row r="5" spans="1:16" s="281" customFormat="1" ht="27" customHeight="1">
      <c r="B5" s="597"/>
      <c r="C5" s="599"/>
      <c r="D5" s="599"/>
      <c r="E5" s="603"/>
      <c r="F5" s="599"/>
      <c r="G5" s="603"/>
      <c r="H5" s="372" t="s">
        <v>705</v>
      </c>
      <c r="I5" s="372" t="s">
        <v>706</v>
      </c>
      <c r="J5" s="382" t="s">
        <v>413</v>
      </c>
      <c r="K5" s="372" t="s">
        <v>705</v>
      </c>
      <c r="L5" s="372" t="s">
        <v>706</v>
      </c>
      <c r="M5" s="382" t="s">
        <v>413</v>
      </c>
      <c r="N5" s="605"/>
    </row>
    <row r="6" spans="1:16" s="2" customFormat="1" ht="12.95" customHeight="1">
      <c r="A6" s="282"/>
      <c r="B6" s="504">
        <v>1</v>
      </c>
      <c r="C6" s="331">
        <v>2</v>
      </c>
      <c r="D6" s="331">
        <v>3</v>
      </c>
      <c r="E6" s="331">
        <v>4</v>
      </c>
      <c r="F6" s="331">
        <v>5</v>
      </c>
      <c r="G6" s="331">
        <v>6</v>
      </c>
      <c r="H6" s="331">
        <v>7</v>
      </c>
      <c r="I6" s="331">
        <v>8</v>
      </c>
      <c r="J6" s="523" t="s">
        <v>804</v>
      </c>
      <c r="K6" s="331">
        <v>10</v>
      </c>
      <c r="L6" s="331">
        <v>11</v>
      </c>
      <c r="M6" s="523" t="s">
        <v>707</v>
      </c>
      <c r="N6" s="505">
        <v>13</v>
      </c>
    </row>
    <row r="7" spans="1:16" s="2" customFormat="1" ht="12.95" customHeight="1">
      <c r="A7" s="282"/>
      <c r="B7" s="6" t="s">
        <v>143</v>
      </c>
      <c r="C7" s="7" t="s">
        <v>145</v>
      </c>
      <c r="D7" s="7" t="s">
        <v>125</v>
      </c>
      <c r="E7" s="5"/>
      <c r="F7" s="283"/>
      <c r="G7" s="5"/>
      <c r="H7" s="86"/>
      <c r="I7" s="86"/>
      <c r="J7" s="392"/>
      <c r="K7" s="86"/>
      <c r="L7" s="86"/>
      <c r="M7" s="392"/>
      <c r="N7" s="345"/>
    </row>
    <row r="8" spans="1:16" s="1" customFormat="1" ht="12.95" customHeight="1">
      <c r="A8" s="281"/>
      <c r="B8" s="12"/>
      <c r="C8" s="8"/>
      <c r="D8" s="8"/>
      <c r="E8" s="305">
        <v>611000</v>
      </c>
      <c r="F8" s="331"/>
      <c r="G8" s="8" t="s">
        <v>163</v>
      </c>
      <c r="H8" s="210">
        <f t="shared" ref="H8:M8" si="0">SUM(H9:H11)</f>
        <v>777700</v>
      </c>
      <c r="I8" s="210">
        <f t="shared" si="0"/>
        <v>0</v>
      </c>
      <c r="J8" s="384">
        <f t="shared" si="0"/>
        <v>777700</v>
      </c>
      <c r="K8" s="210">
        <f t="shared" si="0"/>
        <v>185989</v>
      </c>
      <c r="L8" s="210">
        <f t="shared" si="0"/>
        <v>0</v>
      </c>
      <c r="M8" s="384">
        <f t="shared" si="0"/>
        <v>185989</v>
      </c>
      <c r="N8" s="346">
        <f>IF(J8=0,"",M8/J8*100)</f>
        <v>23.915262954866915</v>
      </c>
    </row>
    <row r="9" spans="1:16" ht="12.95" customHeight="1">
      <c r="B9" s="10"/>
      <c r="C9" s="11"/>
      <c r="D9" s="11"/>
      <c r="E9" s="306">
        <v>611100</v>
      </c>
      <c r="F9" s="332"/>
      <c r="G9" s="18" t="s">
        <v>198</v>
      </c>
      <c r="H9" s="212">
        <f>638300+2500+5*500</f>
        <v>643300</v>
      </c>
      <c r="I9" s="212">
        <v>0</v>
      </c>
      <c r="J9" s="385">
        <f>SUM(H9:I9)</f>
        <v>643300</v>
      </c>
      <c r="K9" s="212">
        <v>159423</v>
      </c>
      <c r="L9" s="212">
        <v>0</v>
      </c>
      <c r="M9" s="385">
        <f>SUM(K9:L9)</f>
        <v>159423</v>
      </c>
      <c r="N9" s="347">
        <f t="shared" ref="N9:N66" si="1">IF(J9=0,"",M9/J9*100)</f>
        <v>24.782061246696721</v>
      </c>
    </row>
    <row r="10" spans="1:16" ht="12.95" customHeight="1">
      <c r="B10" s="10"/>
      <c r="C10" s="11"/>
      <c r="D10" s="11"/>
      <c r="E10" s="306">
        <v>611200</v>
      </c>
      <c r="F10" s="332"/>
      <c r="G10" s="11" t="s">
        <v>199</v>
      </c>
      <c r="H10" s="212">
        <f>127700+2200+5*900</f>
        <v>134400</v>
      </c>
      <c r="I10" s="212">
        <v>0</v>
      </c>
      <c r="J10" s="385">
        <f t="shared" ref="J10:J11" si="2">SUM(H10:I10)</f>
        <v>134400</v>
      </c>
      <c r="K10" s="212">
        <v>26566</v>
      </c>
      <c r="L10" s="212">
        <v>0</v>
      </c>
      <c r="M10" s="385">
        <f t="shared" ref="M10:M11" si="3">SUM(K10:L10)</f>
        <v>26566</v>
      </c>
      <c r="N10" s="347">
        <f t="shared" si="1"/>
        <v>19.766369047619047</v>
      </c>
    </row>
    <row r="11" spans="1:16" ht="12.95" customHeight="1">
      <c r="B11" s="10"/>
      <c r="C11" s="11"/>
      <c r="D11" s="11"/>
      <c r="E11" s="306">
        <v>611200</v>
      </c>
      <c r="F11" s="332"/>
      <c r="G11" s="189" t="s">
        <v>534</v>
      </c>
      <c r="H11" s="209">
        <v>0</v>
      </c>
      <c r="I11" s="209">
        <v>0</v>
      </c>
      <c r="J11" s="385">
        <f t="shared" si="2"/>
        <v>0</v>
      </c>
      <c r="K11" s="209">
        <v>0</v>
      </c>
      <c r="L11" s="209">
        <v>0</v>
      </c>
      <c r="M11" s="385">
        <f t="shared" si="3"/>
        <v>0</v>
      </c>
      <c r="N11" s="347" t="str">
        <f t="shared" si="1"/>
        <v/>
      </c>
      <c r="P11" s="56"/>
    </row>
    <row r="12" spans="1:16" ht="12.95" customHeight="1">
      <c r="B12" s="10"/>
      <c r="C12" s="11"/>
      <c r="D12" s="11"/>
      <c r="E12" s="306"/>
      <c r="F12" s="332"/>
      <c r="G12" s="11"/>
      <c r="H12" s="210"/>
      <c r="I12" s="210"/>
      <c r="J12" s="384"/>
      <c r="K12" s="210"/>
      <c r="L12" s="210"/>
      <c r="M12" s="384"/>
      <c r="N12" s="347" t="str">
        <f t="shared" si="1"/>
        <v/>
      </c>
    </row>
    <row r="13" spans="1:16" s="1" customFormat="1" ht="12.95" customHeight="1">
      <c r="A13" s="281"/>
      <c r="B13" s="12"/>
      <c r="C13" s="8"/>
      <c r="D13" s="8"/>
      <c r="E13" s="305">
        <v>612000</v>
      </c>
      <c r="F13" s="331"/>
      <c r="G13" s="8" t="s">
        <v>162</v>
      </c>
      <c r="H13" s="210">
        <f t="shared" ref="H13:M13" si="4">H14</f>
        <v>72350</v>
      </c>
      <c r="I13" s="210">
        <f t="shared" si="4"/>
        <v>0</v>
      </c>
      <c r="J13" s="384">
        <f t="shared" si="4"/>
        <v>72350</v>
      </c>
      <c r="K13" s="210">
        <f t="shared" si="4"/>
        <v>18285</v>
      </c>
      <c r="L13" s="210">
        <f t="shared" si="4"/>
        <v>0</v>
      </c>
      <c r="M13" s="384">
        <f t="shared" si="4"/>
        <v>18285</v>
      </c>
      <c r="N13" s="346">
        <f t="shared" si="1"/>
        <v>25.272978576364892</v>
      </c>
    </row>
    <row r="14" spans="1:16" ht="12.95" customHeight="1">
      <c r="B14" s="10"/>
      <c r="C14" s="11"/>
      <c r="D14" s="11"/>
      <c r="E14" s="306">
        <v>612100</v>
      </c>
      <c r="F14" s="332"/>
      <c r="G14" s="13" t="s">
        <v>83</v>
      </c>
      <c r="H14" s="212">
        <f>71700+300+5*70</f>
        <v>72350</v>
      </c>
      <c r="I14" s="212">
        <v>0</v>
      </c>
      <c r="J14" s="385">
        <f>SUM(H14:I14)</f>
        <v>72350</v>
      </c>
      <c r="K14" s="212">
        <v>18285</v>
      </c>
      <c r="L14" s="212">
        <v>0</v>
      </c>
      <c r="M14" s="385">
        <f>SUM(K14:L14)</f>
        <v>18285</v>
      </c>
      <c r="N14" s="347">
        <f t="shared" si="1"/>
        <v>25.272978576364892</v>
      </c>
    </row>
    <row r="15" spans="1:16" ht="12.95" customHeight="1">
      <c r="B15" s="10"/>
      <c r="C15" s="11"/>
      <c r="D15" s="11"/>
      <c r="E15" s="306"/>
      <c r="F15" s="332"/>
      <c r="G15" s="11"/>
      <c r="H15" s="288"/>
      <c r="I15" s="288"/>
      <c r="J15" s="387"/>
      <c r="K15" s="288"/>
      <c r="L15" s="288"/>
      <c r="M15" s="387"/>
      <c r="N15" s="347" t="str">
        <f t="shared" si="1"/>
        <v/>
      </c>
    </row>
    <row r="16" spans="1:16" s="1" customFormat="1" ht="12.95" customHeight="1">
      <c r="A16" s="281"/>
      <c r="B16" s="12"/>
      <c r="C16" s="8"/>
      <c r="D16" s="8"/>
      <c r="E16" s="305">
        <v>613000</v>
      </c>
      <c r="F16" s="331"/>
      <c r="G16" s="8" t="s">
        <v>164</v>
      </c>
      <c r="H16" s="293">
        <f t="shared" ref="H16:M16" si="5">SUM(H17:H26)</f>
        <v>63300</v>
      </c>
      <c r="I16" s="293">
        <f t="shared" si="5"/>
        <v>0</v>
      </c>
      <c r="J16" s="387">
        <f t="shared" si="5"/>
        <v>63300</v>
      </c>
      <c r="K16" s="293">
        <f t="shared" si="5"/>
        <v>27587</v>
      </c>
      <c r="L16" s="293">
        <f t="shared" si="5"/>
        <v>0</v>
      </c>
      <c r="M16" s="387">
        <f t="shared" si="5"/>
        <v>27587</v>
      </c>
      <c r="N16" s="346">
        <f t="shared" si="1"/>
        <v>43.581358609794627</v>
      </c>
    </row>
    <row r="17" spans="1:14" ht="12.95" customHeight="1">
      <c r="B17" s="10"/>
      <c r="C17" s="11"/>
      <c r="D17" s="11"/>
      <c r="E17" s="306">
        <v>613100</v>
      </c>
      <c r="F17" s="332"/>
      <c r="G17" s="11" t="s">
        <v>84</v>
      </c>
      <c r="H17" s="363">
        <v>4500</v>
      </c>
      <c r="I17" s="363">
        <v>0</v>
      </c>
      <c r="J17" s="385">
        <f t="shared" ref="J17:J26" si="6">SUM(H17:I17)</f>
        <v>4500</v>
      </c>
      <c r="K17" s="363">
        <v>375</v>
      </c>
      <c r="L17" s="363">
        <v>0</v>
      </c>
      <c r="M17" s="385">
        <f t="shared" ref="M17:M26" si="7">SUM(K17:L17)</f>
        <v>375</v>
      </c>
      <c r="N17" s="347">
        <f t="shared" si="1"/>
        <v>8.3333333333333321</v>
      </c>
    </row>
    <row r="18" spans="1:14" ht="12.95" customHeight="1">
      <c r="B18" s="10"/>
      <c r="C18" s="11"/>
      <c r="D18" s="11"/>
      <c r="E18" s="306">
        <v>613200</v>
      </c>
      <c r="F18" s="332"/>
      <c r="G18" s="11" t="s">
        <v>85</v>
      </c>
      <c r="H18" s="363">
        <v>30000</v>
      </c>
      <c r="I18" s="363">
        <v>0</v>
      </c>
      <c r="J18" s="385">
        <f t="shared" si="6"/>
        <v>30000</v>
      </c>
      <c r="K18" s="363">
        <v>19500</v>
      </c>
      <c r="L18" s="363">
        <v>0</v>
      </c>
      <c r="M18" s="385">
        <f t="shared" si="7"/>
        <v>19500</v>
      </c>
      <c r="N18" s="347">
        <f t="shared" si="1"/>
        <v>65</v>
      </c>
    </row>
    <row r="19" spans="1:14" ht="12.95" customHeight="1">
      <c r="B19" s="10"/>
      <c r="C19" s="11"/>
      <c r="D19" s="11"/>
      <c r="E19" s="306">
        <v>613300</v>
      </c>
      <c r="F19" s="332"/>
      <c r="G19" s="18" t="s">
        <v>200</v>
      </c>
      <c r="H19" s="365">
        <v>2600</v>
      </c>
      <c r="I19" s="365">
        <v>0</v>
      </c>
      <c r="J19" s="385">
        <f t="shared" si="6"/>
        <v>2600</v>
      </c>
      <c r="K19" s="365">
        <v>491</v>
      </c>
      <c r="L19" s="365">
        <v>0</v>
      </c>
      <c r="M19" s="385">
        <f t="shared" si="7"/>
        <v>491</v>
      </c>
      <c r="N19" s="347">
        <f t="shared" si="1"/>
        <v>18.884615384615387</v>
      </c>
    </row>
    <row r="20" spans="1:14" ht="12.95" customHeight="1">
      <c r="B20" s="10"/>
      <c r="C20" s="11"/>
      <c r="D20" s="11"/>
      <c r="E20" s="306">
        <v>613400</v>
      </c>
      <c r="F20" s="332"/>
      <c r="G20" s="11" t="s">
        <v>165</v>
      </c>
      <c r="H20" s="365">
        <v>8200</v>
      </c>
      <c r="I20" s="365">
        <v>0</v>
      </c>
      <c r="J20" s="385">
        <f t="shared" si="6"/>
        <v>8200</v>
      </c>
      <c r="K20" s="365">
        <v>2032</v>
      </c>
      <c r="L20" s="365">
        <v>0</v>
      </c>
      <c r="M20" s="385">
        <f t="shared" si="7"/>
        <v>2032</v>
      </c>
      <c r="N20" s="347">
        <f t="shared" si="1"/>
        <v>24.780487804878049</v>
      </c>
    </row>
    <row r="21" spans="1:14" ht="12.95" customHeight="1">
      <c r="B21" s="10"/>
      <c r="C21" s="11"/>
      <c r="D21" s="11"/>
      <c r="E21" s="306">
        <v>613500</v>
      </c>
      <c r="F21" s="332"/>
      <c r="G21" s="11" t="s">
        <v>86</v>
      </c>
      <c r="H21" s="365">
        <v>0</v>
      </c>
      <c r="I21" s="365">
        <v>0</v>
      </c>
      <c r="J21" s="385">
        <f t="shared" si="6"/>
        <v>0</v>
      </c>
      <c r="K21" s="365">
        <v>0</v>
      </c>
      <c r="L21" s="365">
        <v>0</v>
      </c>
      <c r="M21" s="385">
        <f t="shared" si="7"/>
        <v>0</v>
      </c>
      <c r="N21" s="347" t="str">
        <f t="shared" si="1"/>
        <v/>
      </c>
    </row>
    <row r="22" spans="1:14" ht="12.95" customHeight="1">
      <c r="B22" s="10"/>
      <c r="C22" s="11"/>
      <c r="D22" s="11"/>
      <c r="E22" s="306">
        <v>613600</v>
      </c>
      <c r="F22" s="332"/>
      <c r="G22" s="18" t="s">
        <v>201</v>
      </c>
      <c r="H22" s="365">
        <v>0</v>
      </c>
      <c r="I22" s="365">
        <v>0</v>
      </c>
      <c r="J22" s="385">
        <f t="shared" si="6"/>
        <v>0</v>
      </c>
      <c r="K22" s="365">
        <v>0</v>
      </c>
      <c r="L22" s="365">
        <v>0</v>
      </c>
      <c r="M22" s="385">
        <f t="shared" si="7"/>
        <v>0</v>
      </c>
      <c r="N22" s="347" t="str">
        <f t="shared" si="1"/>
        <v/>
      </c>
    </row>
    <row r="23" spans="1:14" ht="12.95" customHeight="1">
      <c r="B23" s="10"/>
      <c r="C23" s="11"/>
      <c r="D23" s="11"/>
      <c r="E23" s="306">
        <v>613700</v>
      </c>
      <c r="F23" s="332"/>
      <c r="G23" s="11" t="s">
        <v>87</v>
      </c>
      <c r="H23" s="365">
        <v>9000</v>
      </c>
      <c r="I23" s="365">
        <v>0</v>
      </c>
      <c r="J23" s="385">
        <f t="shared" si="6"/>
        <v>9000</v>
      </c>
      <c r="K23" s="365">
        <v>2321</v>
      </c>
      <c r="L23" s="365">
        <v>0</v>
      </c>
      <c r="M23" s="385">
        <f t="shared" si="7"/>
        <v>2321</v>
      </c>
      <c r="N23" s="347">
        <f t="shared" si="1"/>
        <v>25.788888888888888</v>
      </c>
    </row>
    <row r="24" spans="1:14" ht="12.95" customHeight="1">
      <c r="B24" s="10"/>
      <c r="C24" s="11"/>
      <c r="D24" s="11"/>
      <c r="E24" s="306">
        <v>613800</v>
      </c>
      <c r="F24" s="332"/>
      <c r="G24" s="11" t="s">
        <v>166</v>
      </c>
      <c r="H24" s="365">
        <v>0</v>
      </c>
      <c r="I24" s="365">
        <v>0</v>
      </c>
      <c r="J24" s="385">
        <f t="shared" si="6"/>
        <v>0</v>
      </c>
      <c r="K24" s="365">
        <v>0</v>
      </c>
      <c r="L24" s="365">
        <v>0</v>
      </c>
      <c r="M24" s="385">
        <f t="shared" si="7"/>
        <v>0</v>
      </c>
      <c r="N24" s="347" t="str">
        <f t="shared" si="1"/>
        <v/>
      </c>
    </row>
    <row r="25" spans="1:14" ht="12.95" customHeight="1">
      <c r="B25" s="10"/>
      <c r="C25" s="11"/>
      <c r="D25" s="11"/>
      <c r="E25" s="306">
        <v>613900</v>
      </c>
      <c r="F25" s="332"/>
      <c r="G25" s="11" t="s">
        <v>167</v>
      </c>
      <c r="H25" s="365">
        <v>9000</v>
      </c>
      <c r="I25" s="365">
        <v>0</v>
      </c>
      <c r="J25" s="385">
        <f t="shared" si="6"/>
        <v>9000</v>
      </c>
      <c r="K25" s="365">
        <v>2868</v>
      </c>
      <c r="L25" s="365">
        <v>0</v>
      </c>
      <c r="M25" s="385">
        <f t="shared" si="7"/>
        <v>2868</v>
      </c>
      <c r="N25" s="347">
        <f t="shared" si="1"/>
        <v>31.866666666666667</v>
      </c>
    </row>
    <row r="26" spans="1:14" ht="12.95" customHeight="1">
      <c r="B26" s="10"/>
      <c r="C26" s="11"/>
      <c r="D26" s="11"/>
      <c r="E26" s="306">
        <v>613900</v>
      </c>
      <c r="F26" s="332"/>
      <c r="G26" s="189" t="s">
        <v>535</v>
      </c>
      <c r="H26" s="365">
        <v>0</v>
      </c>
      <c r="I26" s="365">
        <v>0</v>
      </c>
      <c r="J26" s="385">
        <f t="shared" si="6"/>
        <v>0</v>
      </c>
      <c r="K26" s="365">
        <v>0</v>
      </c>
      <c r="L26" s="365">
        <v>0</v>
      </c>
      <c r="M26" s="385">
        <f t="shared" si="7"/>
        <v>0</v>
      </c>
      <c r="N26" s="347" t="str">
        <f t="shared" si="1"/>
        <v/>
      </c>
    </row>
    <row r="27" spans="1:14" s="1" customFormat="1" ht="12.95" customHeight="1">
      <c r="A27" s="281"/>
      <c r="B27" s="12"/>
      <c r="C27" s="8"/>
      <c r="D27" s="8"/>
      <c r="E27" s="305"/>
      <c r="F27" s="331"/>
      <c r="G27" s="8"/>
      <c r="H27" s="296"/>
      <c r="I27" s="296"/>
      <c r="J27" s="386"/>
      <c r="K27" s="296"/>
      <c r="L27" s="296"/>
      <c r="M27" s="386"/>
      <c r="N27" s="347" t="str">
        <f t="shared" si="1"/>
        <v/>
      </c>
    </row>
    <row r="28" spans="1:14" s="1" customFormat="1" ht="12.95" customHeight="1">
      <c r="A28" s="281"/>
      <c r="B28" s="12"/>
      <c r="C28" s="8"/>
      <c r="D28" s="8"/>
      <c r="E28" s="305">
        <v>821000</v>
      </c>
      <c r="F28" s="331"/>
      <c r="G28" s="8" t="s">
        <v>90</v>
      </c>
      <c r="H28" s="295">
        <f t="shared" ref="H28:M28" si="8">SUM(H29:H30)</f>
        <v>5100</v>
      </c>
      <c r="I28" s="295">
        <f t="shared" si="8"/>
        <v>4900</v>
      </c>
      <c r="J28" s="387">
        <f t="shared" si="8"/>
        <v>10000</v>
      </c>
      <c r="K28" s="295">
        <f t="shared" si="8"/>
        <v>0</v>
      </c>
      <c r="L28" s="295">
        <f t="shared" si="8"/>
        <v>4899</v>
      </c>
      <c r="M28" s="387">
        <f t="shared" si="8"/>
        <v>4899</v>
      </c>
      <c r="N28" s="346">
        <f t="shared" si="1"/>
        <v>48.99</v>
      </c>
    </row>
    <row r="29" spans="1:14" ht="12.95" customHeight="1">
      <c r="B29" s="10"/>
      <c r="C29" s="11"/>
      <c r="D29" s="11"/>
      <c r="E29" s="306">
        <v>821200</v>
      </c>
      <c r="F29" s="332"/>
      <c r="G29" s="11" t="s">
        <v>91</v>
      </c>
      <c r="H29" s="296">
        <v>5000</v>
      </c>
      <c r="I29" s="296">
        <v>0</v>
      </c>
      <c r="J29" s="385">
        <f t="shared" ref="J29:J30" si="9">SUM(H29:I29)</f>
        <v>5000</v>
      </c>
      <c r="K29" s="296">
        <v>0</v>
      </c>
      <c r="L29" s="296">
        <v>0</v>
      </c>
      <c r="M29" s="385">
        <f t="shared" ref="M29:M30" si="10">SUM(K29:L29)</f>
        <v>0</v>
      </c>
      <c r="N29" s="347">
        <f t="shared" si="1"/>
        <v>0</v>
      </c>
    </row>
    <row r="30" spans="1:14" ht="12.95" customHeight="1">
      <c r="B30" s="10"/>
      <c r="C30" s="11"/>
      <c r="D30" s="11"/>
      <c r="E30" s="306">
        <v>821300</v>
      </c>
      <c r="F30" s="332"/>
      <c r="G30" s="11" t="s">
        <v>92</v>
      </c>
      <c r="H30" s="296">
        <v>100</v>
      </c>
      <c r="I30" s="296">
        <v>4900</v>
      </c>
      <c r="J30" s="385">
        <f t="shared" si="9"/>
        <v>5000</v>
      </c>
      <c r="K30" s="296">
        <v>0</v>
      </c>
      <c r="L30" s="296">
        <v>4899</v>
      </c>
      <c r="M30" s="385">
        <f t="shared" si="10"/>
        <v>4899</v>
      </c>
      <c r="N30" s="347">
        <f t="shared" si="1"/>
        <v>97.98</v>
      </c>
    </row>
    <row r="31" spans="1:14" ht="12.95" customHeight="1">
      <c r="B31" s="10"/>
      <c r="C31" s="11"/>
      <c r="D31" s="11"/>
      <c r="E31" s="306"/>
      <c r="F31" s="332"/>
      <c r="G31" s="11"/>
      <c r="H31" s="291"/>
      <c r="I31" s="291"/>
      <c r="J31" s="386"/>
      <c r="K31" s="291"/>
      <c r="L31" s="291"/>
      <c r="M31" s="386"/>
      <c r="N31" s="347" t="str">
        <f t="shared" si="1"/>
        <v/>
      </c>
    </row>
    <row r="32" spans="1:14" s="1" customFormat="1" ht="12.95" customHeight="1">
      <c r="A32" s="281"/>
      <c r="B32" s="12"/>
      <c r="C32" s="8"/>
      <c r="D32" s="8"/>
      <c r="E32" s="305"/>
      <c r="F32" s="331"/>
      <c r="G32" s="8" t="s">
        <v>93</v>
      </c>
      <c r="H32" s="278" t="s">
        <v>596</v>
      </c>
      <c r="I32" s="278"/>
      <c r="J32" s="389" t="s">
        <v>596</v>
      </c>
      <c r="K32" s="278" t="s">
        <v>831</v>
      </c>
      <c r="L32" s="278"/>
      <c r="M32" s="389" t="s">
        <v>831</v>
      </c>
      <c r="N32" s="347"/>
    </row>
    <row r="33" spans="1:14" s="1" customFormat="1" ht="12.95" customHeight="1">
      <c r="A33" s="281"/>
      <c r="B33" s="12"/>
      <c r="C33" s="8"/>
      <c r="D33" s="8"/>
      <c r="E33" s="305"/>
      <c r="F33" s="331"/>
      <c r="G33" s="8" t="s">
        <v>113</v>
      </c>
      <c r="H33" s="288">
        <f t="shared" ref="H33:M33" si="11">H8+H13+H16+H28</f>
        <v>918450</v>
      </c>
      <c r="I33" s="288">
        <f t="shared" si="11"/>
        <v>4900</v>
      </c>
      <c r="J33" s="387">
        <f t="shared" si="11"/>
        <v>923350</v>
      </c>
      <c r="K33" s="288">
        <f t="shared" si="11"/>
        <v>231861</v>
      </c>
      <c r="L33" s="288">
        <f t="shared" si="11"/>
        <v>4899</v>
      </c>
      <c r="M33" s="387">
        <f t="shared" si="11"/>
        <v>236760</v>
      </c>
      <c r="N33" s="346">
        <f t="shared" si="1"/>
        <v>25.641414414902258</v>
      </c>
    </row>
    <row r="34" spans="1:14" s="1" customFormat="1" ht="12.95" customHeight="1">
      <c r="A34" s="281"/>
      <c r="B34" s="12"/>
      <c r="C34" s="8"/>
      <c r="D34" s="8"/>
      <c r="E34" s="305"/>
      <c r="F34" s="331"/>
      <c r="G34" s="8" t="s">
        <v>94</v>
      </c>
      <c r="H34" s="288"/>
      <c r="I34" s="288"/>
      <c r="J34" s="387"/>
      <c r="K34" s="288"/>
      <c r="L34" s="288"/>
      <c r="M34" s="387"/>
      <c r="N34" s="347" t="str">
        <f t="shared" si="1"/>
        <v/>
      </c>
    </row>
    <row r="35" spans="1:14" s="1" customFormat="1" ht="12.95" customHeight="1">
      <c r="A35" s="281"/>
      <c r="B35" s="12"/>
      <c r="C35" s="8"/>
      <c r="D35" s="8"/>
      <c r="E35" s="305"/>
      <c r="F35" s="331"/>
      <c r="G35" s="8" t="s">
        <v>95</v>
      </c>
      <c r="H35" s="279"/>
      <c r="I35" s="279"/>
      <c r="J35" s="386"/>
      <c r="K35" s="279"/>
      <c r="L35" s="279"/>
      <c r="M35" s="386"/>
      <c r="N35" s="347" t="str">
        <f t="shared" si="1"/>
        <v/>
      </c>
    </row>
    <row r="36" spans="1:14" ht="12.95" customHeight="1" thickBot="1">
      <c r="B36" s="15"/>
      <c r="C36" s="16"/>
      <c r="D36" s="16"/>
      <c r="E36" s="307"/>
      <c r="F36" s="333"/>
      <c r="G36" s="16"/>
      <c r="H36" s="27"/>
      <c r="I36" s="27"/>
      <c r="J36" s="390"/>
      <c r="K36" s="27"/>
      <c r="L36" s="27"/>
      <c r="M36" s="390"/>
      <c r="N36" s="349" t="str">
        <f t="shared" si="1"/>
        <v/>
      </c>
    </row>
    <row r="37" spans="1:14" ht="12.95" customHeight="1">
      <c r="E37" s="308"/>
      <c r="F37" s="334"/>
      <c r="J37" s="393"/>
      <c r="M37" s="393"/>
      <c r="N37" s="350" t="str">
        <f t="shared" si="1"/>
        <v/>
      </c>
    </row>
    <row r="38" spans="1:14" ht="12.95" customHeight="1">
      <c r="E38" s="308"/>
      <c r="F38" s="334"/>
      <c r="J38" s="393"/>
      <c r="M38" s="393"/>
      <c r="N38" s="350" t="str">
        <f t="shared" si="1"/>
        <v/>
      </c>
    </row>
    <row r="39" spans="1:14" ht="12.95" customHeight="1">
      <c r="B39" s="50"/>
      <c r="E39" s="308"/>
      <c r="F39" s="334"/>
      <c r="J39" s="393"/>
      <c r="M39" s="393"/>
      <c r="N39" s="350" t="str">
        <f t="shared" si="1"/>
        <v/>
      </c>
    </row>
    <row r="40" spans="1:14" ht="12.95" customHeight="1">
      <c r="B40" s="50"/>
      <c r="E40" s="308"/>
      <c r="F40" s="334"/>
      <c r="J40" s="393"/>
      <c r="M40" s="393"/>
      <c r="N40" s="350" t="str">
        <f t="shared" si="1"/>
        <v/>
      </c>
    </row>
    <row r="41" spans="1:14" ht="12.95" customHeight="1">
      <c r="B41" s="50"/>
      <c r="E41" s="308"/>
      <c r="F41" s="334"/>
      <c r="J41" s="393"/>
      <c r="M41" s="393"/>
      <c r="N41" s="350" t="str">
        <f t="shared" si="1"/>
        <v/>
      </c>
    </row>
    <row r="42" spans="1:14" ht="12.95" customHeight="1">
      <c r="B42" s="50"/>
      <c r="E42" s="308"/>
      <c r="F42" s="334"/>
      <c r="J42" s="393"/>
      <c r="M42" s="393"/>
      <c r="N42" s="350" t="str">
        <f t="shared" si="1"/>
        <v/>
      </c>
    </row>
    <row r="43" spans="1:14" ht="12.95" customHeight="1">
      <c r="B43" s="50"/>
      <c r="E43" s="308"/>
      <c r="F43" s="334"/>
      <c r="J43" s="393"/>
      <c r="M43" s="393"/>
      <c r="N43" s="350" t="str">
        <f t="shared" si="1"/>
        <v/>
      </c>
    </row>
    <row r="44" spans="1:14" ht="12.95" customHeight="1">
      <c r="E44" s="308"/>
      <c r="F44" s="334"/>
      <c r="J44" s="393"/>
      <c r="M44" s="393"/>
      <c r="N44" s="350" t="str">
        <f t="shared" si="1"/>
        <v/>
      </c>
    </row>
    <row r="45" spans="1:14" ht="12.95" customHeight="1">
      <c r="E45" s="308"/>
      <c r="F45" s="334"/>
      <c r="J45" s="393"/>
      <c r="M45" s="393"/>
      <c r="N45" s="350" t="str">
        <f t="shared" si="1"/>
        <v/>
      </c>
    </row>
    <row r="46" spans="1:14" ht="12.95" customHeight="1">
      <c r="E46" s="308"/>
      <c r="F46" s="334"/>
      <c r="J46" s="393"/>
      <c r="M46" s="393"/>
      <c r="N46" s="350" t="str">
        <f t="shared" si="1"/>
        <v/>
      </c>
    </row>
    <row r="47" spans="1:14" ht="12.95" customHeight="1">
      <c r="E47" s="308"/>
      <c r="F47" s="334"/>
      <c r="J47" s="393"/>
      <c r="M47" s="393"/>
      <c r="N47" s="350" t="str">
        <f t="shared" si="1"/>
        <v/>
      </c>
    </row>
    <row r="48" spans="1:14" ht="12.95" customHeight="1">
      <c r="E48" s="308"/>
      <c r="F48" s="334"/>
      <c r="J48" s="393"/>
      <c r="M48" s="393"/>
      <c r="N48" s="350" t="str">
        <f t="shared" si="1"/>
        <v/>
      </c>
    </row>
    <row r="49" spans="5:14" ht="12.95" customHeight="1">
      <c r="E49" s="308"/>
      <c r="F49" s="334"/>
      <c r="J49" s="393"/>
      <c r="M49" s="393"/>
      <c r="N49" s="350" t="str">
        <f t="shared" si="1"/>
        <v/>
      </c>
    </row>
    <row r="50" spans="5:14" ht="12.95" customHeight="1">
      <c r="E50" s="308"/>
      <c r="F50" s="334"/>
      <c r="J50" s="393"/>
      <c r="M50" s="393"/>
      <c r="N50" s="350" t="str">
        <f t="shared" si="1"/>
        <v/>
      </c>
    </row>
    <row r="51" spans="5:14" ht="12.95" customHeight="1">
      <c r="E51" s="308"/>
      <c r="F51" s="334"/>
      <c r="J51" s="393"/>
      <c r="M51" s="393"/>
      <c r="N51" s="350" t="str">
        <f t="shared" si="1"/>
        <v/>
      </c>
    </row>
    <row r="52" spans="5:14" ht="12.95" customHeight="1">
      <c r="E52" s="308"/>
      <c r="F52" s="334"/>
      <c r="J52" s="393"/>
      <c r="M52" s="393"/>
      <c r="N52" s="350" t="str">
        <f t="shared" si="1"/>
        <v/>
      </c>
    </row>
    <row r="53" spans="5:14" ht="12.95" customHeight="1">
      <c r="E53" s="308"/>
      <c r="F53" s="334"/>
      <c r="J53" s="393"/>
      <c r="M53" s="393"/>
      <c r="N53" s="350" t="str">
        <f t="shared" si="1"/>
        <v/>
      </c>
    </row>
    <row r="54" spans="5:14" ht="12.95" customHeight="1">
      <c r="E54" s="308"/>
      <c r="F54" s="334"/>
      <c r="J54" s="393"/>
      <c r="M54" s="393"/>
      <c r="N54" s="350" t="str">
        <f t="shared" si="1"/>
        <v/>
      </c>
    </row>
    <row r="55" spans="5:14" ht="12.95" customHeight="1">
      <c r="E55" s="308"/>
      <c r="F55" s="334"/>
      <c r="J55" s="393"/>
      <c r="M55" s="393"/>
      <c r="N55" s="350" t="str">
        <f t="shared" si="1"/>
        <v/>
      </c>
    </row>
    <row r="56" spans="5:14" ht="12.95" customHeight="1">
      <c r="E56" s="308"/>
      <c r="F56" s="334"/>
      <c r="J56" s="393"/>
      <c r="M56" s="393"/>
      <c r="N56" s="350" t="str">
        <f t="shared" si="1"/>
        <v/>
      </c>
    </row>
    <row r="57" spans="5:14" ht="12.95" customHeight="1">
      <c r="E57" s="308"/>
      <c r="F57" s="334"/>
      <c r="J57" s="393"/>
      <c r="M57" s="393"/>
      <c r="N57" s="350" t="str">
        <f t="shared" si="1"/>
        <v/>
      </c>
    </row>
    <row r="58" spans="5:14" ht="12.95" customHeight="1">
      <c r="E58" s="308"/>
      <c r="F58" s="334"/>
      <c r="J58" s="393"/>
      <c r="M58" s="393"/>
      <c r="N58" s="350" t="str">
        <f t="shared" si="1"/>
        <v/>
      </c>
    </row>
    <row r="59" spans="5:14" ht="12.95" customHeight="1">
      <c r="E59" s="308"/>
      <c r="F59" s="334"/>
      <c r="J59" s="393"/>
      <c r="M59" s="393"/>
      <c r="N59" s="350" t="str">
        <f t="shared" si="1"/>
        <v/>
      </c>
    </row>
    <row r="60" spans="5:14" ht="17.100000000000001" customHeight="1">
      <c r="E60" s="308"/>
      <c r="F60" s="334"/>
      <c r="J60" s="393"/>
      <c r="M60" s="393"/>
      <c r="N60" s="350" t="str">
        <f t="shared" si="1"/>
        <v/>
      </c>
    </row>
    <row r="61" spans="5:14" ht="14.25">
      <c r="E61" s="308"/>
      <c r="F61" s="334"/>
      <c r="J61" s="393"/>
      <c r="M61" s="393"/>
      <c r="N61" s="350" t="str">
        <f t="shared" si="1"/>
        <v/>
      </c>
    </row>
    <row r="62" spans="5:14" ht="14.25">
      <c r="E62" s="308"/>
      <c r="F62" s="334"/>
      <c r="J62" s="393"/>
      <c r="M62" s="393"/>
      <c r="N62" s="350" t="str">
        <f t="shared" si="1"/>
        <v/>
      </c>
    </row>
    <row r="63" spans="5:14" ht="14.25">
      <c r="E63" s="308"/>
      <c r="F63" s="334"/>
      <c r="J63" s="393"/>
      <c r="M63" s="393"/>
      <c r="N63" s="350" t="str">
        <f t="shared" si="1"/>
        <v/>
      </c>
    </row>
    <row r="64" spans="5:14" ht="14.25">
      <c r="E64" s="308"/>
      <c r="F64" s="334"/>
      <c r="J64" s="393"/>
      <c r="M64" s="393"/>
      <c r="N64" s="350" t="str">
        <f t="shared" si="1"/>
        <v/>
      </c>
    </row>
    <row r="65" spans="5:14" ht="14.25">
      <c r="E65" s="308"/>
      <c r="F65" s="334"/>
      <c r="J65" s="393"/>
      <c r="M65" s="393"/>
      <c r="N65" s="350" t="str">
        <f t="shared" si="1"/>
        <v/>
      </c>
    </row>
    <row r="66" spans="5:14" ht="14.25">
      <c r="E66" s="308"/>
      <c r="F66" s="334"/>
      <c r="J66" s="393"/>
      <c r="M66" s="393"/>
      <c r="N66" s="350" t="str">
        <f t="shared" si="1"/>
        <v/>
      </c>
    </row>
    <row r="67" spans="5:14" ht="14.25">
      <c r="E67" s="308"/>
      <c r="F67" s="334"/>
      <c r="J67" s="393"/>
      <c r="M67" s="393"/>
    </row>
    <row r="68" spans="5:14" ht="14.25">
      <c r="E68" s="308"/>
      <c r="F68" s="334"/>
      <c r="J68" s="393"/>
      <c r="M68" s="393"/>
    </row>
    <row r="69" spans="5:14" ht="14.25">
      <c r="E69" s="308"/>
      <c r="F69" s="334"/>
      <c r="J69" s="393"/>
      <c r="M69" s="393"/>
    </row>
    <row r="70" spans="5:14" ht="14.25">
      <c r="E70" s="308"/>
      <c r="F70" s="334"/>
      <c r="J70" s="393"/>
      <c r="M70" s="393"/>
    </row>
    <row r="71" spans="5:14" ht="14.25">
      <c r="E71" s="308"/>
      <c r="F71" s="334"/>
      <c r="J71" s="393"/>
      <c r="M71" s="393"/>
    </row>
    <row r="72" spans="5:14" ht="14.25">
      <c r="E72" s="308"/>
      <c r="F72" s="334"/>
      <c r="J72" s="393"/>
      <c r="M72" s="393"/>
    </row>
    <row r="73" spans="5:14" ht="14.25">
      <c r="E73" s="308"/>
      <c r="F73" s="334"/>
      <c r="J73" s="393"/>
      <c r="M73" s="393"/>
    </row>
    <row r="74" spans="5:14" ht="14.25">
      <c r="E74" s="308"/>
      <c r="F74" s="308"/>
      <c r="J74" s="393"/>
      <c r="M74" s="393"/>
    </row>
    <row r="75" spans="5:14" ht="14.25">
      <c r="E75" s="308"/>
      <c r="F75" s="308"/>
      <c r="J75" s="393"/>
      <c r="M75" s="393"/>
    </row>
    <row r="76" spans="5:14" ht="14.25">
      <c r="E76" s="308"/>
      <c r="F76" s="308"/>
      <c r="J76" s="393"/>
      <c r="M76" s="393"/>
    </row>
    <row r="77" spans="5:14" ht="14.25">
      <c r="E77" s="308"/>
      <c r="F77" s="308"/>
      <c r="J77" s="393"/>
      <c r="M77" s="393"/>
    </row>
    <row r="78" spans="5:14" ht="14.25">
      <c r="E78" s="308"/>
      <c r="F78" s="308"/>
      <c r="J78" s="393"/>
      <c r="M78" s="393"/>
    </row>
    <row r="79" spans="5:14" ht="14.25">
      <c r="E79" s="308"/>
      <c r="F79" s="308"/>
      <c r="J79" s="393"/>
      <c r="M79" s="393"/>
    </row>
    <row r="80" spans="5:14" ht="14.25">
      <c r="E80" s="308"/>
      <c r="F80" s="308"/>
      <c r="J80" s="393"/>
      <c r="M80" s="393"/>
    </row>
    <row r="81" spans="5:13" ht="14.25">
      <c r="E81" s="308"/>
      <c r="F81" s="308"/>
      <c r="J81" s="393"/>
      <c r="M81" s="393"/>
    </row>
    <row r="82" spans="5:13" ht="14.25">
      <c r="E82" s="308"/>
      <c r="F82" s="308"/>
      <c r="J82" s="393"/>
      <c r="M82" s="393"/>
    </row>
    <row r="83" spans="5:13" ht="14.25">
      <c r="E83" s="308"/>
      <c r="F83" s="308"/>
      <c r="J83" s="393"/>
      <c r="M83" s="393"/>
    </row>
    <row r="84" spans="5:13" ht="14.25">
      <c r="E84" s="308"/>
      <c r="F84" s="308"/>
      <c r="J84" s="393"/>
      <c r="M84" s="393"/>
    </row>
    <row r="85" spans="5:13" ht="14.25">
      <c r="E85" s="308"/>
      <c r="F85" s="308"/>
      <c r="J85" s="393"/>
      <c r="M85" s="393"/>
    </row>
    <row r="86" spans="5:13" ht="14.25">
      <c r="E86" s="308"/>
      <c r="F86" s="308"/>
      <c r="J86" s="393"/>
      <c r="M86" s="393"/>
    </row>
    <row r="87" spans="5:13" ht="14.25">
      <c r="E87" s="308"/>
      <c r="F87" s="308"/>
      <c r="J87" s="393"/>
      <c r="M87" s="393"/>
    </row>
    <row r="88" spans="5:13" ht="14.25">
      <c r="E88" s="308"/>
      <c r="F88" s="308"/>
      <c r="J88" s="393"/>
      <c r="M88" s="393"/>
    </row>
    <row r="89" spans="5:13" ht="14.25">
      <c r="E89" s="308"/>
      <c r="F89" s="308"/>
      <c r="J89" s="393"/>
      <c r="M89" s="393"/>
    </row>
    <row r="90" spans="5:13" ht="14.25">
      <c r="E90" s="308"/>
      <c r="F90" s="308"/>
      <c r="J90" s="393"/>
      <c r="M90" s="393"/>
    </row>
    <row r="91" spans="5:13">
      <c r="F91" s="308"/>
    </row>
    <row r="92" spans="5:13">
      <c r="F92" s="308"/>
    </row>
    <row r="93" spans="5:13">
      <c r="F93" s="308"/>
    </row>
    <row r="94" spans="5:13">
      <c r="F94" s="308"/>
    </row>
    <row r="95" spans="5:13">
      <c r="F95" s="308"/>
    </row>
    <row r="96" spans="5:13">
      <c r="F96" s="308"/>
    </row>
  </sheetData>
  <mergeCells count="10">
    <mergeCell ref="B2:H2"/>
    <mergeCell ref="N4:N5"/>
    <mergeCell ref="G4:G5"/>
    <mergeCell ref="H4:J4"/>
    <mergeCell ref="B4:B5"/>
    <mergeCell ref="C4:C5"/>
    <mergeCell ref="D4:D5"/>
    <mergeCell ref="F4:F5"/>
    <mergeCell ref="E4:E5"/>
    <mergeCell ref="K4:M4"/>
  </mergeCells>
  <phoneticPr fontId="2" type="noConversion"/>
  <pageMargins left="0.78740157480314965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 codeName="Sheet30"/>
  <dimension ref="A1:P96"/>
  <sheetViews>
    <sheetView zoomScaleNormal="100" workbookViewId="0">
      <selection activeCell="K45" sqref="K45"/>
    </sheetView>
  </sheetViews>
  <sheetFormatPr defaultRowHeight="12.75"/>
  <cols>
    <col min="1" max="1" width="9.140625" style="284"/>
    <col min="2" max="2" width="4.7109375" style="9" customWidth="1"/>
    <col min="3" max="3" width="5.140625" style="9" customWidth="1"/>
    <col min="4" max="4" width="5" style="9" customWidth="1"/>
    <col min="5" max="5" width="8.7109375" style="17" customWidth="1"/>
    <col min="6" max="6" width="8.7109375" style="289" customWidth="1"/>
    <col min="7" max="7" width="50.7109375" style="9" customWidth="1"/>
    <col min="8" max="9" width="14.7109375" style="57" customWidth="1"/>
    <col min="10" max="10" width="15.7109375" style="57" customWidth="1"/>
    <col min="11" max="12" width="14.7109375" style="57" customWidth="1"/>
    <col min="13" max="13" width="15.7109375" style="57" customWidth="1"/>
    <col min="14" max="14" width="7.7109375" style="350" customWidth="1"/>
    <col min="15" max="16384" width="9.140625" style="9"/>
  </cols>
  <sheetData>
    <row r="1" spans="1:16" ht="13.5" thickBot="1"/>
    <row r="2" spans="1:16" s="98" customFormat="1" ht="20.100000000000001" customHeight="1" thickTop="1" thickBot="1">
      <c r="A2" s="376"/>
      <c r="B2" s="590" t="s">
        <v>172</v>
      </c>
      <c r="C2" s="591"/>
      <c r="D2" s="591"/>
      <c r="E2" s="591"/>
      <c r="F2" s="591"/>
      <c r="G2" s="591"/>
      <c r="H2" s="609"/>
      <c r="I2" s="609"/>
      <c r="J2" s="609"/>
      <c r="K2" s="609"/>
      <c r="L2" s="609"/>
      <c r="M2" s="609"/>
      <c r="N2" s="610"/>
    </row>
    <row r="3" spans="1:16" s="1" customFormat="1" ht="8.1" customHeight="1" thickTop="1" thickBot="1">
      <c r="A3" s="281"/>
      <c r="E3" s="2"/>
      <c r="F3" s="282"/>
      <c r="G3" s="531"/>
      <c r="H3" s="92"/>
      <c r="I3" s="92"/>
      <c r="J3" s="92"/>
      <c r="K3" s="92"/>
      <c r="L3" s="92"/>
      <c r="M3" s="92"/>
      <c r="N3" s="344"/>
    </row>
    <row r="4" spans="1:16" s="1" customFormat="1" ht="39" customHeight="1">
      <c r="A4" s="281"/>
      <c r="B4" s="596" t="s">
        <v>78</v>
      </c>
      <c r="C4" s="606" t="s">
        <v>79</v>
      </c>
      <c r="D4" s="607" t="s">
        <v>110</v>
      </c>
      <c r="E4" s="608" t="s">
        <v>594</v>
      </c>
      <c r="F4" s="601" t="s">
        <v>653</v>
      </c>
      <c r="G4" s="602" t="s">
        <v>80</v>
      </c>
      <c r="H4" s="593" t="s">
        <v>647</v>
      </c>
      <c r="I4" s="594"/>
      <c r="J4" s="595"/>
      <c r="K4" s="593" t="s">
        <v>801</v>
      </c>
      <c r="L4" s="594"/>
      <c r="M4" s="595"/>
      <c r="N4" s="604" t="s">
        <v>805</v>
      </c>
    </row>
    <row r="5" spans="1:16" s="281" customFormat="1" ht="27" customHeight="1">
      <c r="B5" s="597"/>
      <c r="C5" s="599"/>
      <c r="D5" s="599"/>
      <c r="E5" s="603"/>
      <c r="F5" s="599"/>
      <c r="G5" s="603"/>
      <c r="H5" s="372" t="s">
        <v>705</v>
      </c>
      <c r="I5" s="372" t="s">
        <v>706</v>
      </c>
      <c r="J5" s="382" t="s">
        <v>413</v>
      </c>
      <c r="K5" s="372" t="s">
        <v>705</v>
      </c>
      <c r="L5" s="372" t="s">
        <v>706</v>
      </c>
      <c r="M5" s="382" t="s">
        <v>413</v>
      </c>
      <c r="N5" s="605"/>
    </row>
    <row r="6" spans="1:16" s="2" customFormat="1" ht="12.95" customHeight="1">
      <c r="A6" s="282"/>
      <c r="B6" s="504">
        <v>1</v>
      </c>
      <c r="C6" s="331">
        <v>2</v>
      </c>
      <c r="D6" s="331">
        <v>3</v>
      </c>
      <c r="E6" s="331">
        <v>4</v>
      </c>
      <c r="F6" s="331">
        <v>5</v>
      </c>
      <c r="G6" s="331">
        <v>6</v>
      </c>
      <c r="H6" s="331">
        <v>7</v>
      </c>
      <c r="I6" s="331">
        <v>8</v>
      </c>
      <c r="J6" s="523" t="s">
        <v>804</v>
      </c>
      <c r="K6" s="331">
        <v>10</v>
      </c>
      <c r="L6" s="331">
        <v>11</v>
      </c>
      <c r="M6" s="523" t="s">
        <v>707</v>
      </c>
      <c r="N6" s="505">
        <v>13</v>
      </c>
    </row>
    <row r="7" spans="1:16" s="2" customFormat="1" ht="12.95" customHeight="1">
      <c r="A7" s="282"/>
      <c r="B7" s="6" t="s">
        <v>143</v>
      </c>
      <c r="C7" s="7" t="s">
        <v>145</v>
      </c>
      <c r="D7" s="7" t="s">
        <v>146</v>
      </c>
      <c r="E7" s="5"/>
      <c r="F7" s="283"/>
      <c r="G7" s="5"/>
      <c r="H7" s="86"/>
      <c r="I7" s="86"/>
      <c r="J7" s="392"/>
      <c r="K7" s="86"/>
      <c r="L7" s="86"/>
      <c r="M7" s="392"/>
      <c r="N7" s="345"/>
    </row>
    <row r="8" spans="1:16" s="1" customFormat="1" ht="12.95" customHeight="1">
      <c r="A8" s="281"/>
      <c r="B8" s="12"/>
      <c r="C8" s="8"/>
      <c r="D8" s="8"/>
      <c r="E8" s="305">
        <v>611000</v>
      </c>
      <c r="F8" s="331"/>
      <c r="G8" s="8" t="s">
        <v>163</v>
      </c>
      <c r="H8" s="210">
        <f t="shared" ref="H8:M8" si="0">SUM(H9:H11)</f>
        <v>979810</v>
      </c>
      <c r="I8" s="210">
        <f t="shared" si="0"/>
        <v>0</v>
      </c>
      <c r="J8" s="384">
        <f t="shared" si="0"/>
        <v>979810</v>
      </c>
      <c r="K8" s="210">
        <f t="shared" si="0"/>
        <v>239128</v>
      </c>
      <c r="L8" s="210">
        <f t="shared" si="0"/>
        <v>0</v>
      </c>
      <c r="M8" s="384">
        <f t="shared" si="0"/>
        <v>239128</v>
      </c>
      <c r="N8" s="346">
        <f>IF(J8=0,"",M8/J8*100)</f>
        <v>24.405548014410957</v>
      </c>
    </row>
    <row r="9" spans="1:16" ht="12.95" customHeight="1">
      <c r="B9" s="10"/>
      <c r="C9" s="11"/>
      <c r="D9" s="11"/>
      <c r="E9" s="306">
        <v>611100</v>
      </c>
      <c r="F9" s="332"/>
      <c r="G9" s="18" t="s">
        <v>198</v>
      </c>
      <c r="H9" s="212">
        <f>801200+3200+550+500</f>
        <v>805450</v>
      </c>
      <c r="I9" s="212">
        <v>0</v>
      </c>
      <c r="J9" s="385">
        <f>SUM(H9:I9)</f>
        <v>805450</v>
      </c>
      <c r="K9" s="212">
        <v>202834</v>
      </c>
      <c r="L9" s="212">
        <v>0</v>
      </c>
      <c r="M9" s="385">
        <f>SUM(K9:L9)</f>
        <v>202834</v>
      </c>
      <c r="N9" s="347">
        <f t="shared" ref="N9:N66" si="1">IF(J9=0,"",M9/J9*100)</f>
        <v>25.182692904587501</v>
      </c>
      <c r="O9" s="50"/>
      <c r="P9" s="57"/>
    </row>
    <row r="10" spans="1:16" ht="12.95" customHeight="1">
      <c r="B10" s="10"/>
      <c r="C10" s="11"/>
      <c r="D10" s="11"/>
      <c r="E10" s="306">
        <v>611200</v>
      </c>
      <c r="F10" s="332"/>
      <c r="G10" s="11" t="s">
        <v>199</v>
      </c>
      <c r="H10" s="212">
        <f>167800+2100+3560+900</f>
        <v>174360</v>
      </c>
      <c r="I10" s="212">
        <v>0</v>
      </c>
      <c r="J10" s="385">
        <f t="shared" ref="J10:J11" si="2">SUM(H10:I10)</f>
        <v>174360</v>
      </c>
      <c r="K10" s="212">
        <v>36294</v>
      </c>
      <c r="L10" s="212">
        <v>0</v>
      </c>
      <c r="M10" s="385">
        <f t="shared" ref="M10:M11" si="3">SUM(K10:L10)</f>
        <v>36294</v>
      </c>
      <c r="N10" s="347">
        <f t="shared" si="1"/>
        <v>20.815554026152789</v>
      </c>
    </row>
    <row r="11" spans="1:16" ht="12.95" customHeight="1">
      <c r="B11" s="10"/>
      <c r="C11" s="11"/>
      <c r="D11" s="11"/>
      <c r="E11" s="306">
        <v>611200</v>
      </c>
      <c r="F11" s="332"/>
      <c r="G11" s="189" t="s">
        <v>534</v>
      </c>
      <c r="H11" s="209">
        <v>0</v>
      </c>
      <c r="I11" s="209">
        <v>0</v>
      </c>
      <c r="J11" s="385">
        <f t="shared" si="2"/>
        <v>0</v>
      </c>
      <c r="K11" s="209">
        <v>0</v>
      </c>
      <c r="L11" s="209">
        <v>0</v>
      </c>
      <c r="M11" s="385">
        <f t="shared" si="3"/>
        <v>0</v>
      </c>
      <c r="N11" s="347" t="str">
        <f t="shared" si="1"/>
        <v/>
      </c>
      <c r="P11" s="56"/>
    </row>
    <row r="12" spans="1:16" ht="12.95" customHeight="1">
      <c r="B12" s="10"/>
      <c r="C12" s="11"/>
      <c r="D12" s="11"/>
      <c r="E12" s="306"/>
      <c r="F12" s="332"/>
      <c r="G12" s="11"/>
      <c r="H12" s="210"/>
      <c r="I12" s="210"/>
      <c r="J12" s="384"/>
      <c r="K12" s="210"/>
      <c r="L12" s="210"/>
      <c r="M12" s="384"/>
      <c r="N12" s="347" t="str">
        <f t="shared" si="1"/>
        <v/>
      </c>
    </row>
    <row r="13" spans="1:16" s="1" customFormat="1" ht="12.95" customHeight="1">
      <c r="A13" s="281"/>
      <c r="B13" s="12"/>
      <c r="C13" s="8"/>
      <c r="D13" s="8"/>
      <c r="E13" s="305">
        <v>612000</v>
      </c>
      <c r="F13" s="331"/>
      <c r="G13" s="8" t="s">
        <v>162</v>
      </c>
      <c r="H13" s="210">
        <f t="shared" ref="H13:M13" si="4">H14</f>
        <v>85620</v>
      </c>
      <c r="I13" s="210">
        <f t="shared" si="4"/>
        <v>0</v>
      </c>
      <c r="J13" s="384">
        <f t="shared" si="4"/>
        <v>85620</v>
      </c>
      <c r="K13" s="210">
        <f t="shared" si="4"/>
        <v>22544</v>
      </c>
      <c r="L13" s="210">
        <f t="shared" si="4"/>
        <v>0</v>
      </c>
      <c r="M13" s="384">
        <f t="shared" si="4"/>
        <v>22544</v>
      </c>
      <c r="N13" s="346">
        <f t="shared" si="1"/>
        <v>26.330296659658959</v>
      </c>
    </row>
    <row r="14" spans="1:16" ht="12.95" customHeight="1">
      <c r="B14" s="10"/>
      <c r="C14" s="11"/>
      <c r="D14" s="11"/>
      <c r="E14" s="306">
        <v>612100</v>
      </c>
      <c r="F14" s="332"/>
      <c r="G14" s="13" t="s">
        <v>83</v>
      </c>
      <c r="H14" s="212">
        <f>85200+350+70</f>
        <v>85620</v>
      </c>
      <c r="I14" s="212">
        <v>0</v>
      </c>
      <c r="J14" s="385">
        <f>SUM(H14:I14)</f>
        <v>85620</v>
      </c>
      <c r="K14" s="212">
        <v>22544</v>
      </c>
      <c r="L14" s="212">
        <v>0</v>
      </c>
      <c r="M14" s="385">
        <f>SUM(K14:L14)</f>
        <v>22544</v>
      </c>
      <c r="N14" s="347">
        <f t="shared" si="1"/>
        <v>26.330296659658959</v>
      </c>
    </row>
    <row r="15" spans="1:16" ht="12.95" customHeight="1">
      <c r="B15" s="10"/>
      <c r="C15" s="11"/>
      <c r="D15" s="11"/>
      <c r="E15" s="306"/>
      <c r="F15" s="332"/>
      <c r="G15" s="11"/>
      <c r="H15" s="288"/>
      <c r="I15" s="288"/>
      <c r="J15" s="387"/>
      <c r="K15" s="288"/>
      <c r="L15" s="288"/>
      <c r="M15" s="387"/>
      <c r="N15" s="347" t="str">
        <f t="shared" si="1"/>
        <v/>
      </c>
    </row>
    <row r="16" spans="1:16" s="1" customFormat="1" ht="12.95" customHeight="1">
      <c r="A16" s="281"/>
      <c r="B16" s="12"/>
      <c r="C16" s="8"/>
      <c r="D16" s="8"/>
      <c r="E16" s="305">
        <v>613000</v>
      </c>
      <c r="F16" s="331"/>
      <c r="G16" s="8" t="s">
        <v>164</v>
      </c>
      <c r="H16" s="293">
        <f t="shared" ref="H16:M16" si="5">SUM(H17:H26)</f>
        <v>98650</v>
      </c>
      <c r="I16" s="293">
        <f t="shared" si="5"/>
        <v>0</v>
      </c>
      <c r="J16" s="387">
        <f t="shared" si="5"/>
        <v>98650</v>
      </c>
      <c r="K16" s="293">
        <f t="shared" si="5"/>
        <v>25291</v>
      </c>
      <c r="L16" s="293">
        <f t="shared" si="5"/>
        <v>0</v>
      </c>
      <c r="M16" s="387">
        <f t="shared" si="5"/>
        <v>25291</v>
      </c>
      <c r="N16" s="346">
        <f t="shared" si="1"/>
        <v>25.637100861632035</v>
      </c>
    </row>
    <row r="17" spans="1:14" ht="12.95" customHeight="1">
      <c r="B17" s="10"/>
      <c r="C17" s="11"/>
      <c r="D17" s="11"/>
      <c r="E17" s="306">
        <v>613100</v>
      </c>
      <c r="F17" s="332"/>
      <c r="G17" s="11" t="s">
        <v>84</v>
      </c>
      <c r="H17" s="363">
        <v>4000</v>
      </c>
      <c r="I17" s="363">
        <v>0</v>
      </c>
      <c r="J17" s="385">
        <f t="shared" ref="J17:J26" si="6">SUM(H17:I17)</f>
        <v>4000</v>
      </c>
      <c r="K17" s="363">
        <v>400</v>
      </c>
      <c r="L17" s="363">
        <v>0</v>
      </c>
      <c r="M17" s="385">
        <f t="shared" ref="M17:M26" si="7">SUM(K17:L17)</f>
        <v>400</v>
      </c>
      <c r="N17" s="347">
        <f t="shared" si="1"/>
        <v>10</v>
      </c>
    </row>
    <row r="18" spans="1:14" ht="12.95" customHeight="1">
      <c r="B18" s="10"/>
      <c r="C18" s="11"/>
      <c r="D18" s="11"/>
      <c r="E18" s="306">
        <v>613200</v>
      </c>
      <c r="F18" s="332"/>
      <c r="G18" s="11" t="s">
        <v>85</v>
      </c>
      <c r="H18" s="363">
        <v>55000</v>
      </c>
      <c r="I18" s="363">
        <v>0</v>
      </c>
      <c r="J18" s="385">
        <f t="shared" si="6"/>
        <v>55000</v>
      </c>
      <c r="K18" s="363">
        <v>16707</v>
      </c>
      <c r="L18" s="363">
        <v>0</v>
      </c>
      <c r="M18" s="385">
        <f t="shared" si="7"/>
        <v>16707</v>
      </c>
      <c r="N18" s="347">
        <f t="shared" si="1"/>
        <v>30.376363636363635</v>
      </c>
    </row>
    <row r="19" spans="1:14" ht="12.95" customHeight="1">
      <c r="B19" s="10"/>
      <c r="C19" s="11"/>
      <c r="D19" s="11"/>
      <c r="E19" s="306">
        <v>613300</v>
      </c>
      <c r="F19" s="332"/>
      <c r="G19" s="18" t="s">
        <v>200</v>
      </c>
      <c r="H19" s="363">
        <v>4500</v>
      </c>
      <c r="I19" s="363">
        <v>0</v>
      </c>
      <c r="J19" s="385">
        <f t="shared" si="6"/>
        <v>4500</v>
      </c>
      <c r="K19" s="363">
        <v>1147</v>
      </c>
      <c r="L19" s="363">
        <v>0</v>
      </c>
      <c r="M19" s="385">
        <f t="shared" si="7"/>
        <v>1147</v>
      </c>
      <c r="N19" s="347">
        <f t="shared" si="1"/>
        <v>25.488888888888887</v>
      </c>
    </row>
    <row r="20" spans="1:14" ht="12.95" customHeight="1">
      <c r="B20" s="10"/>
      <c r="C20" s="11"/>
      <c r="D20" s="11"/>
      <c r="E20" s="306">
        <v>613400</v>
      </c>
      <c r="F20" s="332"/>
      <c r="G20" s="11" t="s">
        <v>165</v>
      </c>
      <c r="H20" s="363">
        <v>12000</v>
      </c>
      <c r="I20" s="363">
        <v>0</v>
      </c>
      <c r="J20" s="385">
        <f t="shared" si="6"/>
        <v>12000</v>
      </c>
      <c r="K20" s="363">
        <v>2405</v>
      </c>
      <c r="L20" s="363">
        <v>0</v>
      </c>
      <c r="M20" s="385">
        <f t="shared" si="7"/>
        <v>2405</v>
      </c>
      <c r="N20" s="347">
        <f t="shared" si="1"/>
        <v>20.041666666666664</v>
      </c>
    </row>
    <row r="21" spans="1:14" ht="12.95" customHeight="1">
      <c r="B21" s="10"/>
      <c r="C21" s="11"/>
      <c r="D21" s="11"/>
      <c r="E21" s="306">
        <v>613500</v>
      </c>
      <c r="F21" s="332"/>
      <c r="G21" s="11" t="s">
        <v>86</v>
      </c>
      <c r="H21" s="365">
        <v>1000</v>
      </c>
      <c r="I21" s="365">
        <v>0</v>
      </c>
      <c r="J21" s="385">
        <f t="shared" si="6"/>
        <v>1000</v>
      </c>
      <c r="K21" s="365">
        <v>546</v>
      </c>
      <c r="L21" s="365">
        <v>0</v>
      </c>
      <c r="M21" s="385">
        <f t="shared" si="7"/>
        <v>546</v>
      </c>
      <c r="N21" s="347">
        <f t="shared" si="1"/>
        <v>54.6</v>
      </c>
    </row>
    <row r="22" spans="1:14" ht="12.95" customHeight="1">
      <c r="B22" s="10"/>
      <c r="C22" s="11"/>
      <c r="D22" s="11"/>
      <c r="E22" s="306">
        <v>613600</v>
      </c>
      <c r="F22" s="332"/>
      <c r="G22" s="18" t="s">
        <v>201</v>
      </c>
      <c r="H22" s="365">
        <v>0</v>
      </c>
      <c r="I22" s="365">
        <v>0</v>
      </c>
      <c r="J22" s="385">
        <f t="shared" si="6"/>
        <v>0</v>
      </c>
      <c r="K22" s="365">
        <v>0</v>
      </c>
      <c r="L22" s="365">
        <v>0</v>
      </c>
      <c r="M22" s="385">
        <f t="shared" si="7"/>
        <v>0</v>
      </c>
      <c r="N22" s="347" t="str">
        <f t="shared" si="1"/>
        <v/>
      </c>
    </row>
    <row r="23" spans="1:14" ht="12.95" customHeight="1">
      <c r="B23" s="10"/>
      <c r="C23" s="11"/>
      <c r="D23" s="11"/>
      <c r="E23" s="306">
        <v>613700</v>
      </c>
      <c r="F23" s="332"/>
      <c r="G23" s="11" t="s">
        <v>87</v>
      </c>
      <c r="H23" s="365">
        <v>11100</v>
      </c>
      <c r="I23" s="365">
        <v>0</v>
      </c>
      <c r="J23" s="385">
        <f t="shared" si="6"/>
        <v>11100</v>
      </c>
      <c r="K23" s="365">
        <v>1555</v>
      </c>
      <c r="L23" s="365">
        <v>0</v>
      </c>
      <c r="M23" s="385">
        <f t="shared" si="7"/>
        <v>1555</v>
      </c>
      <c r="N23" s="347">
        <f t="shared" si="1"/>
        <v>14.009009009009009</v>
      </c>
    </row>
    <row r="24" spans="1:14" ht="12.95" customHeight="1">
      <c r="B24" s="10"/>
      <c r="C24" s="11"/>
      <c r="D24" s="11"/>
      <c r="E24" s="306">
        <v>613800</v>
      </c>
      <c r="F24" s="332"/>
      <c r="G24" s="11" t="s">
        <v>166</v>
      </c>
      <c r="H24" s="365">
        <v>1050</v>
      </c>
      <c r="I24" s="365">
        <v>0</v>
      </c>
      <c r="J24" s="385">
        <f t="shared" si="6"/>
        <v>1050</v>
      </c>
      <c r="K24" s="365">
        <v>1050</v>
      </c>
      <c r="L24" s="365">
        <v>0</v>
      </c>
      <c r="M24" s="385">
        <f t="shared" si="7"/>
        <v>1050</v>
      </c>
      <c r="N24" s="347">
        <f t="shared" si="1"/>
        <v>100</v>
      </c>
    </row>
    <row r="25" spans="1:14" ht="12.95" customHeight="1">
      <c r="B25" s="10"/>
      <c r="C25" s="11"/>
      <c r="D25" s="11"/>
      <c r="E25" s="306">
        <v>613900</v>
      </c>
      <c r="F25" s="332"/>
      <c r="G25" s="11" t="s">
        <v>167</v>
      </c>
      <c r="H25" s="365">
        <v>10000</v>
      </c>
      <c r="I25" s="365">
        <v>0</v>
      </c>
      <c r="J25" s="385">
        <f t="shared" si="6"/>
        <v>10000</v>
      </c>
      <c r="K25" s="365">
        <v>1481</v>
      </c>
      <c r="L25" s="365">
        <v>0</v>
      </c>
      <c r="M25" s="385">
        <f t="shared" si="7"/>
        <v>1481</v>
      </c>
      <c r="N25" s="347">
        <f t="shared" si="1"/>
        <v>14.81</v>
      </c>
    </row>
    <row r="26" spans="1:14" ht="12.95" customHeight="1">
      <c r="B26" s="10"/>
      <c r="C26" s="11"/>
      <c r="D26" s="11"/>
      <c r="E26" s="306">
        <v>613900</v>
      </c>
      <c r="F26" s="332"/>
      <c r="G26" s="189" t="s">
        <v>535</v>
      </c>
      <c r="H26" s="361">
        <v>0</v>
      </c>
      <c r="I26" s="361">
        <v>0</v>
      </c>
      <c r="J26" s="385">
        <f t="shared" si="6"/>
        <v>0</v>
      </c>
      <c r="K26" s="361">
        <v>0</v>
      </c>
      <c r="L26" s="361">
        <v>0</v>
      </c>
      <c r="M26" s="385">
        <f t="shared" si="7"/>
        <v>0</v>
      </c>
      <c r="N26" s="347" t="str">
        <f t="shared" si="1"/>
        <v/>
      </c>
    </row>
    <row r="27" spans="1:14" s="1" customFormat="1" ht="12.95" customHeight="1">
      <c r="A27" s="281"/>
      <c r="B27" s="12"/>
      <c r="C27" s="8"/>
      <c r="D27" s="8"/>
      <c r="E27" s="305"/>
      <c r="F27" s="331"/>
      <c r="G27" s="8"/>
      <c r="H27" s="296"/>
      <c r="I27" s="296"/>
      <c r="J27" s="386"/>
      <c r="K27" s="296"/>
      <c r="L27" s="296"/>
      <c r="M27" s="386"/>
      <c r="N27" s="347" t="str">
        <f t="shared" si="1"/>
        <v/>
      </c>
    </row>
    <row r="28" spans="1:14" s="1" customFormat="1" ht="12.95" customHeight="1">
      <c r="A28" s="281"/>
      <c r="B28" s="12"/>
      <c r="C28" s="8"/>
      <c r="D28" s="8"/>
      <c r="E28" s="305">
        <v>821000</v>
      </c>
      <c r="F28" s="331"/>
      <c r="G28" s="8" t="s">
        <v>90</v>
      </c>
      <c r="H28" s="295">
        <f t="shared" ref="H28:M28" si="8">SUM(H29:H30)</f>
        <v>16000</v>
      </c>
      <c r="I28" s="295">
        <f t="shared" si="8"/>
        <v>0</v>
      </c>
      <c r="J28" s="387">
        <f t="shared" si="8"/>
        <v>16000</v>
      </c>
      <c r="K28" s="295">
        <f t="shared" si="8"/>
        <v>630</v>
      </c>
      <c r="L28" s="295">
        <f t="shared" si="8"/>
        <v>0</v>
      </c>
      <c r="M28" s="387">
        <f t="shared" si="8"/>
        <v>630</v>
      </c>
      <c r="N28" s="346">
        <f t="shared" si="1"/>
        <v>3.9375</v>
      </c>
    </row>
    <row r="29" spans="1:14" ht="12.95" customHeight="1">
      <c r="B29" s="10"/>
      <c r="C29" s="11"/>
      <c r="D29" s="11"/>
      <c r="E29" s="306">
        <v>821200</v>
      </c>
      <c r="F29" s="332"/>
      <c r="G29" s="11" t="s">
        <v>91</v>
      </c>
      <c r="H29" s="296">
        <v>11000</v>
      </c>
      <c r="I29" s="296">
        <v>0</v>
      </c>
      <c r="J29" s="385">
        <f t="shared" ref="J29:J30" si="9">SUM(H29:I29)</f>
        <v>11000</v>
      </c>
      <c r="K29" s="296">
        <v>0</v>
      </c>
      <c r="L29" s="296">
        <v>0</v>
      </c>
      <c r="M29" s="385">
        <f t="shared" ref="M29:M30" si="10">SUM(K29:L29)</f>
        <v>0</v>
      </c>
      <c r="N29" s="347">
        <f t="shared" si="1"/>
        <v>0</v>
      </c>
    </row>
    <row r="30" spans="1:14" ht="12.95" customHeight="1">
      <c r="B30" s="10"/>
      <c r="C30" s="11"/>
      <c r="D30" s="11"/>
      <c r="E30" s="306">
        <v>821300</v>
      </c>
      <c r="F30" s="332"/>
      <c r="G30" s="11" t="s">
        <v>92</v>
      </c>
      <c r="H30" s="296">
        <v>5000</v>
      </c>
      <c r="I30" s="296">
        <v>0</v>
      </c>
      <c r="J30" s="385">
        <f t="shared" si="9"/>
        <v>5000</v>
      </c>
      <c r="K30" s="296">
        <v>630</v>
      </c>
      <c r="L30" s="296">
        <v>0</v>
      </c>
      <c r="M30" s="385">
        <f t="shared" si="10"/>
        <v>630</v>
      </c>
      <c r="N30" s="347">
        <f t="shared" si="1"/>
        <v>12.6</v>
      </c>
    </row>
    <row r="31" spans="1:14" ht="12.95" customHeight="1">
      <c r="B31" s="10"/>
      <c r="C31" s="11"/>
      <c r="D31" s="11"/>
      <c r="E31" s="306"/>
      <c r="F31" s="332"/>
      <c r="G31" s="11"/>
      <c r="H31" s="291"/>
      <c r="I31" s="291"/>
      <c r="J31" s="386"/>
      <c r="K31" s="291"/>
      <c r="L31" s="291"/>
      <c r="M31" s="386"/>
      <c r="N31" s="347" t="str">
        <f t="shared" si="1"/>
        <v/>
      </c>
    </row>
    <row r="32" spans="1:14" s="1" customFormat="1" ht="12.95" customHeight="1">
      <c r="A32" s="281"/>
      <c r="B32" s="12"/>
      <c r="C32" s="8"/>
      <c r="D32" s="8"/>
      <c r="E32" s="305"/>
      <c r="F32" s="331"/>
      <c r="G32" s="8" t="s">
        <v>93</v>
      </c>
      <c r="H32" s="297" t="s">
        <v>650</v>
      </c>
      <c r="I32" s="297"/>
      <c r="J32" s="389" t="s">
        <v>650</v>
      </c>
      <c r="K32" s="297" t="s">
        <v>832</v>
      </c>
      <c r="L32" s="297"/>
      <c r="M32" s="389" t="s">
        <v>832</v>
      </c>
      <c r="N32" s="347"/>
    </row>
    <row r="33" spans="1:14" s="1" customFormat="1" ht="12.95" customHeight="1">
      <c r="A33" s="281"/>
      <c r="B33" s="12"/>
      <c r="C33" s="8"/>
      <c r="D33" s="8"/>
      <c r="E33" s="305"/>
      <c r="F33" s="331"/>
      <c r="G33" s="8" t="s">
        <v>113</v>
      </c>
      <c r="H33" s="288">
        <f t="shared" ref="H33:M33" si="11">H8+H13+H16+H28</f>
        <v>1180080</v>
      </c>
      <c r="I33" s="288">
        <f t="shared" si="11"/>
        <v>0</v>
      </c>
      <c r="J33" s="387">
        <f t="shared" si="11"/>
        <v>1180080</v>
      </c>
      <c r="K33" s="288">
        <f t="shared" si="11"/>
        <v>287593</v>
      </c>
      <c r="L33" s="288">
        <f t="shared" si="11"/>
        <v>0</v>
      </c>
      <c r="M33" s="387">
        <f t="shared" si="11"/>
        <v>287593</v>
      </c>
      <c r="N33" s="346">
        <f t="shared" si="1"/>
        <v>24.370635889092267</v>
      </c>
    </row>
    <row r="34" spans="1:14" s="1" customFormat="1" ht="12.95" customHeight="1">
      <c r="A34" s="281"/>
      <c r="B34" s="12"/>
      <c r="C34" s="8"/>
      <c r="D34" s="8"/>
      <c r="E34" s="305"/>
      <c r="F34" s="331"/>
      <c r="G34" s="8" t="s">
        <v>94</v>
      </c>
      <c r="H34" s="288"/>
      <c r="I34" s="288"/>
      <c r="J34" s="387"/>
      <c r="K34" s="288"/>
      <c r="L34" s="288"/>
      <c r="M34" s="387"/>
      <c r="N34" s="347" t="str">
        <f t="shared" si="1"/>
        <v/>
      </c>
    </row>
    <row r="35" spans="1:14" s="1" customFormat="1" ht="12.95" customHeight="1">
      <c r="A35" s="281"/>
      <c r="B35" s="12"/>
      <c r="C35" s="8"/>
      <c r="D35" s="8"/>
      <c r="E35" s="305"/>
      <c r="F35" s="331"/>
      <c r="G35" s="8" t="s">
        <v>95</v>
      </c>
      <c r="H35" s="279"/>
      <c r="I35" s="279"/>
      <c r="J35" s="386"/>
      <c r="K35" s="279"/>
      <c r="L35" s="279"/>
      <c r="M35" s="386"/>
      <c r="N35" s="347" t="str">
        <f t="shared" si="1"/>
        <v/>
      </c>
    </row>
    <row r="36" spans="1:14" ht="12.95" customHeight="1" thickBot="1">
      <c r="B36" s="15"/>
      <c r="C36" s="16"/>
      <c r="D36" s="16"/>
      <c r="E36" s="307"/>
      <c r="F36" s="333"/>
      <c r="G36" s="16"/>
      <c r="H36" s="27"/>
      <c r="I36" s="27"/>
      <c r="J36" s="390"/>
      <c r="K36" s="27"/>
      <c r="L36" s="27"/>
      <c r="M36" s="390"/>
      <c r="N36" s="349" t="str">
        <f t="shared" si="1"/>
        <v/>
      </c>
    </row>
    <row r="37" spans="1:14" ht="12.95" customHeight="1">
      <c r="E37" s="308"/>
      <c r="F37" s="334"/>
      <c r="J37" s="393"/>
      <c r="M37" s="393"/>
      <c r="N37" s="350" t="str">
        <f t="shared" si="1"/>
        <v/>
      </c>
    </row>
    <row r="38" spans="1:14" ht="12.95" customHeight="1">
      <c r="B38" s="50"/>
      <c r="E38" s="308"/>
      <c r="F38" s="334"/>
      <c r="J38" s="393"/>
      <c r="M38" s="393"/>
      <c r="N38" s="350" t="str">
        <f t="shared" si="1"/>
        <v/>
      </c>
    </row>
    <row r="39" spans="1:14" ht="12.95" customHeight="1">
      <c r="B39" s="50"/>
      <c r="E39" s="308"/>
      <c r="F39" s="334"/>
      <c r="J39" s="393"/>
      <c r="M39" s="393"/>
      <c r="N39" s="350" t="str">
        <f t="shared" si="1"/>
        <v/>
      </c>
    </row>
    <row r="40" spans="1:14" ht="12.95" customHeight="1">
      <c r="B40" s="50"/>
      <c r="E40" s="308"/>
      <c r="F40" s="334"/>
      <c r="J40" s="393"/>
      <c r="M40" s="393"/>
      <c r="N40" s="350" t="str">
        <f t="shared" si="1"/>
        <v/>
      </c>
    </row>
    <row r="41" spans="1:14" ht="12.95" customHeight="1">
      <c r="B41" s="50"/>
      <c r="E41" s="308"/>
      <c r="F41" s="334"/>
      <c r="J41" s="393"/>
      <c r="M41" s="393"/>
      <c r="N41" s="350" t="str">
        <f t="shared" si="1"/>
        <v/>
      </c>
    </row>
    <row r="42" spans="1:14" ht="12.95" customHeight="1">
      <c r="B42" s="50"/>
      <c r="E42" s="308"/>
      <c r="F42" s="334"/>
      <c r="J42" s="393"/>
      <c r="M42" s="393"/>
      <c r="N42" s="350" t="str">
        <f t="shared" si="1"/>
        <v/>
      </c>
    </row>
    <row r="43" spans="1:14" ht="12.95" customHeight="1">
      <c r="B43" s="50"/>
      <c r="E43" s="308"/>
      <c r="F43" s="334"/>
      <c r="J43" s="393"/>
      <c r="M43" s="393"/>
      <c r="N43" s="350" t="str">
        <f t="shared" si="1"/>
        <v/>
      </c>
    </row>
    <row r="44" spans="1:14" ht="12.95" customHeight="1">
      <c r="B44" s="50"/>
      <c r="E44" s="308"/>
      <c r="F44" s="334"/>
      <c r="J44" s="393"/>
      <c r="M44" s="393"/>
      <c r="N44" s="350" t="str">
        <f t="shared" si="1"/>
        <v/>
      </c>
    </row>
    <row r="45" spans="1:14" ht="12.95" customHeight="1">
      <c r="E45" s="308"/>
      <c r="F45" s="334"/>
      <c r="J45" s="393"/>
      <c r="M45" s="393"/>
      <c r="N45" s="350" t="str">
        <f t="shared" si="1"/>
        <v/>
      </c>
    </row>
    <row r="46" spans="1:14" ht="12.95" customHeight="1">
      <c r="E46" s="308"/>
      <c r="F46" s="334"/>
      <c r="J46" s="393"/>
      <c r="M46" s="393"/>
      <c r="N46" s="350" t="str">
        <f t="shared" si="1"/>
        <v/>
      </c>
    </row>
    <row r="47" spans="1:14" ht="12.95" customHeight="1">
      <c r="E47" s="308"/>
      <c r="F47" s="334"/>
      <c r="J47" s="393"/>
      <c r="M47" s="393"/>
      <c r="N47" s="350" t="str">
        <f t="shared" si="1"/>
        <v/>
      </c>
    </row>
    <row r="48" spans="1:14" ht="12.95" customHeight="1">
      <c r="E48" s="308"/>
      <c r="F48" s="334"/>
      <c r="J48" s="393"/>
      <c r="M48" s="393"/>
      <c r="N48" s="350" t="str">
        <f t="shared" si="1"/>
        <v/>
      </c>
    </row>
    <row r="49" spans="5:14" ht="12.95" customHeight="1">
      <c r="E49" s="308"/>
      <c r="F49" s="334"/>
      <c r="J49" s="393"/>
      <c r="M49" s="393"/>
      <c r="N49" s="350" t="str">
        <f t="shared" si="1"/>
        <v/>
      </c>
    </row>
    <row r="50" spans="5:14" ht="12.95" customHeight="1">
      <c r="E50" s="308"/>
      <c r="F50" s="334"/>
      <c r="J50" s="393"/>
      <c r="M50" s="393"/>
      <c r="N50" s="350" t="str">
        <f t="shared" si="1"/>
        <v/>
      </c>
    </row>
    <row r="51" spans="5:14" ht="12.95" customHeight="1">
      <c r="E51" s="308"/>
      <c r="F51" s="334"/>
      <c r="J51" s="393"/>
      <c r="M51" s="393"/>
      <c r="N51" s="350" t="str">
        <f t="shared" si="1"/>
        <v/>
      </c>
    </row>
    <row r="52" spans="5:14" ht="12.95" customHeight="1">
      <c r="E52" s="308"/>
      <c r="F52" s="334"/>
      <c r="J52" s="393"/>
      <c r="M52" s="393"/>
      <c r="N52" s="350" t="str">
        <f t="shared" si="1"/>
        <v/>
      </c>
    </row>
    <row r="53" spans="5:14" ht="12.95" customHeight="1">
      <c r="E53" s="308"/>
      <c r="F53" s="334"/>
      <c r="J53" s="393"/>
      <c r="M53" s="393"/>
      <c r="N53" s="350" t="str">
        <f t="shared" si="1"/>
        <v/>
      </c>
    </row>
    <row r="54" spans="5:14" ht="12.95" customHeight="1">
      <c r="E54" s="308"/>
      <c r="F54" s="334"/>
      <c r="J54" s="393"/>
      <c r="M54" s="393"/>
      <c r="N54" s="350" t="str">
        <f t="shared" si="1"/>
        <v/>
      </c>
    </row>
    <row r="55" spans="5:14" ht="12.95" customHeight="1">
      <c r="E55" s="308"/>
      <c r="F55" s="334"/>
      <c r="J55" s="393"/>
      <c r="M55" s="393"/>
      <c r="N55" s="350" t="str">
        <f t="shared" si="1"/>
        <v/>
      </c>
    </row>
    <row r="56" spans="5:14" ht="12.95" customHeight="1">
      <c r="E56" s="308"/>
      <c r="F56" s="334"/>
      <c r="J56" s="393"/>
      <c r="M56" s="393"/>
      <c r="N56" s="350" t="str">
        <f t="shared" si="1"/>
        <v/>
      </c>
    </row>
    <row r="57" spans="5:14" ht="12.95" customHeight="1">
      <c r="E57" s="308"/>
      <c r="F57" s="334"/>
      <c r="J57" s="393"/>
      <c r="M57" s="393"/>
      <c r="N57" s="350" t="str">
        <f t="shared" si="1"/>
        <v/>
      </c>
    </row>
    <row r="58" spans="5:14" ht="12.95" customHeight="1">
      <c r="E58" s="308"/>
      <c r="F58" s="334"/>
      <c r="J58" s="393"/>
      <c r="M58" s="393"/>
      <c r="N58" s="350" t="str">
        <f t="shared" si="1"/>
        <v/>
      </c>
    </row>
    <row r="59" spans="5:14" ht="12.95" customHeight="1">
      <c r="E59" s="308"/>
      <c r="F59" s="334"/>
      <c r="J59" s="393"/>
      <c r="M59" s="393"/>
      <c r="N59" s="350" t="str">
        <f t="shared" si="1"/>
        <v/>
      </c>
    </row>
    <row r="60" spans="5:14" ht="17.100000000000001" customHeight="1">
      <c r="E60" s="308"/>
      <c r="F60" s="334"/>
      <c r="J60" s="393"/>
      <c r="M60" s="393"/>
      <c r="N60" s="350" t="str">
        <f t="shared" si="1"/>
        <v/>
      </c>
    </row>
    <row r="61" spans="5:14" ht="14.25">
      <c r="E61" s="308"/>
      <c r="F61" s="334"/>
      <c r="J61" s="393"/>
      <c r="M61" s="393"/>
      <c r="N61" s="350" t="str">
        <f t="shared" si="1"/>
        <v/>
      </c>
    </row>
    <row r="62" spans="5:14" ht="14.25">
      <c r="E62" s="308"/>
      <c r="F62" s="334"/>
      <c r="J62" s="393"/>
      <c r="M62" s="393"/>
      <c r="N62" s="350" t="str">
        <f t="shared" si="1"/>
        <v/>
      </c>
    </row>
    <row r="63" spans="5:14" ht="14.25">
      <c r="E63" s="308"/>
      <c r="F63" s="334"/>
      <c r="J63" s="393"/>
      <c r="M63" s="393"/>
      <c r="N63" s="350" t="str">
        <f t="shared" si="1"/>
        <v/>
      </c>
    </row>
    <row r="64" spans="5:14" ht="14.25">
      <c r="E64" s="308"/>
      <c r="F64" s="334"/>
      <c r="J64" s="393"/>
      <c r="M64" s="393"/>
      <c r="N64" s="350" t="str">
        <f t="shared" si="1"/>
        <v/>
      </c>
    </row>
    <row r="65" spans="5:14" ht="14.25">
      <c r="E65" s="308"/>
      <c r="F65" s="334"/>
      <c r="J65" s="393"/>
      <c r="M65" s="393"/>
      <c r="N65" s="350" t="str">
        <f t="shared" si="1"/>
        <v/>
      </c>
    </row>
    <row r="66" spans="5:14" ht="14.25">
      <c r="E66" s="308"/>
      <c r="F66" s="334"/>
      <c r="J66" s="393"/>
      <c r="M66" s="393"/>
      <c r="N66" s="350" t="str">
        <f t="shared" si="1"/>
        <v/>
      </c>
    </row>
    <row r="67" spans="5:14" ht="14.25">
      <c r="E67" s="308"/>
      <c r="F67" s="334"/>
      <c r="J67" s="393"/>
      <c r="M67" s="393"/>
    </row>
    <row r="68" spans="5:14" ht="14.25">
      <c r="E68" s="308"/>
      <c r="F68" s="334"/>
      <c r="J68" s="393"/>
      <c r="M68" s="393"/>
    </row>
    <row r="69" spans="5:14" ht="14.25">
      <c r="E69" s="308"/>
      <c r="F69" s="334"/>
      <c r="J69" s="393"/>
      <c r="M69" s="393"/>
    </row>
    <row r="70" spans="5:14" ht="14.25">
      <c r="E70" s="308"/>
      <c r="F70" s="334"/>
      <c r="J70" s="393"/>
      <c r="M70" s="393"/>
    </row>
    <row r="71" spans="5:14" ht="14.25">
      <c r="E71" s="308"/>
      <c r="F71" s="334"/>
      <c r="J71" s="393"/>
      <c r="M71" s="393"/>
    </row>
    <row r="72" spans="5:14" ht="14.25">
      <c r="E72" s="308"/>
      <c r="F72" s="334"/>
      <c r="J72" s="393"/>
      <c r="M72" s="393"/>
    </row>
    <row r="73" spans="5:14" ht="14.25">
      <c r="E73" s="308"/>
      <c r="F73" s="334"/>
      <c r="J73" s="393"/>
      <c r="M73" s="393"/>
    </row>
    <row r="74" spans="5:14" ht="14.25">
      <c r="E74" s="308"/>
      <c r="F74" s="308"/>
      <c r="J74" s="393"/>
      <c r="M74" s="393"/>
    </row>
    <row r="75" spans="5:14" ht="14.25">
      <c r="E75" s="308"/>
      <c r="F75" s="308"/>
      <c r="J75" s="393"/>
      <c r="M75" s="393"/>
    </row>
    <row r="76" spans="5:14" ht="14.25">
      <c r="E76" s="308"/>
      <c r="F76" s="308"/>
      <c r="J76" s="393"/>
      <c r="M76" s="393"/>
    </row>
    <row r="77" spans="5:14" ht="14.25">
      <c r="E77" s="308"/>
      <c r="F77" s="308"/>
      <c r="J77" s="393"/>
      <c r="M77" s="393"/>
    </row>
    <row r="78" spans="5:14" ht="14.25">
      <c r="E78" s="308"/>
      <c r="F78" s="308"/>
      <c r="J78" s="393"/>
      <c r="M78" s="393"/>
    </row>
    <row r="79" spans="5:14" ht="14.25">
      <c r="E79" s="308"/>
      <c r="F79" s="308"/>
      <c r="J79" s="393"/>
      <c r="M79" s="393"/>
    </row>
    <row r="80" spans="5:14" ht="14.25">
      <c r="E80" s="308"/>
      <c r="F80" s="308"/>
      <c r="J80" s="393"/>
      <c r="M80" s="393"/>
    </row>
    <row r="81" spans="5:13" ht="14.25">
      <c r="E81" s="308"/>
      <c r="F81" s="308"/>
      <c r="J81" s="393"/>
      <c r="M81" s="393"/>
    </row>
    <row r="82" spans="5:13" ht="14.25">
      <c r="E82" s="308"/>
      <c r="F82" s="308"/>
      <c r="J82" s="393"/>
      <c r="M82" s="393"/>
    </row>
    <row r="83" spans="5:13" ht="14.25">
      <c r="E83" s="308"/>
      <c r="F83" s="308"/>
      <c r="J83" s="393"/>
      <c r="M83" s="393"/>
    </row>
    <row r="84" spans="5:13" ht="14.25">
      <c r="E84" s="308"/>
      <c r="F84" s="308"/>
      <c r="J84" s="393"/>
      <c r="M84" s="393"/>
    </row>
    <row r="85" spans="5:13" ht="14.25">
      <c r="E85" s="308"/>
      <c r="F85" s="308"/>
      <c r="J85" s="393"/>
      <c r="M85" s="393"/>
    </row>
    <row r="86" spans="5:13" ht="14.25">
      <c r="E86" s="308"/>
      <c r="F86" s="308"/>
      <c r="J86" s="393"/>
      <c r="M86" s="393"/>
    </row>
    <row r="87" spans="5:13" ht="14.25">
      <c r="E87" s="308"/>
      <c r="F87" s="308"/>
      <c r="J87" s="393"/>
      <c r="M87" s="393"/>
    </row>
    <row r="88" spans="5:13" ht="14.25">
      <c r="E88" s="308"/>
      <c r="F88" s="308"/>
      <c r="J88" s="393"/>
      <c r="M88" s="393"/>
    </row>
    <row r="89" spans="5:13" ht="14.25">
      <c r="E89" s="308"/>
      <c r="F89" s="308"/>
      <c r="J89" s="393"/>
      <c r="M89" s="393"/>
    </row>
    <row r="90" spans="5:13" ht="14.25">
      <c r="E90" s="308"/>
      <c r="F90" s="308"/>
      <c r="J90" s="393"/>
      <c r="M90" s="393"/>
    </row>
    <row r="91" spans="5:13">
      <c r="F91" s="308"/>
    </row>
    <row r="92" spans="5:13">
      <c r="F92" s="308"/>
    </row>
    <row r="93" spans="5:13">
      <c r="F93" s="308"/>
    </row>
    <row r="94" spans="5:13">
      <c r="F94" s="308"/>
    </row>
    <row r="95" spans="5:13">
      <c r="F95" s="308"/>
    </row>
    <row r="96" spans="5:13">
      <c r="F96" s="308"/>
    </row>
  </sheetData>
  <mergeCells count="10">
    <mergeCell ref="B2:N2"/>
    <mergeCell ref="N4:N5"/>
    <mergeCell ref="G4:G5"/>
    <mergeCell ref="H4:J4"/>
    <mergeCell ref="B4:B5"/>
    <mergeCell ref="C4:C5"/>
    <mergeCell ref="D4:D5"/>
    <mergeCell ref="F4:F5"/>
    <mergeCell ref="E4:E5"/>
    <mergeCell ref="K4:M4"/>
  </mergeCells>
  <phoneticPr fontId="2" type="noConversion"/>
  <pageMargins left="0.78740157480314965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 codeName="Sheet31"/>
  <dimension ref="A1:P96"/>
  <sheetViews>
    <sheetView zoomScaleNormal="100" workbookViewId="0">
      <selection activeCell="K45" sqref="K45"/>
    </sheetView>
  </sheetViews>
  <sheetFormatPr defaultRowHeight="12.75"/>
  <cols>
    <col min="1" max="1" width="9.140625" style="284"/>
    <col min="2" max="2" width="4.7109375" style="9" customWidth="1"/>
    <col min="3" max="3" width="5.140625" style="9" customWidth="1"/>
    <col min="4" max="4" width="5" style="9" customWidth="1"/>
    <col min="5" max="5" width="8.7109375" style="17" customWidth="1"/>
    <col min="6" max="6" width="8.7109375" style="289" customWidth="1"/>
    <col min="7" max="7" width="50.7109375" style="9" customWidth="1"/>
    <col min="8" max="9" width="14.7109375" style="57" customWidth="1"/>
    <col min="10" max="10" width="15.7109375" style="57" customWidth="1"/>
    <col min="11" max="12" width="14.7109375" style="57" customWidth="1"/>
    <col min="13" max="13" width="15.7109375" style="57" customWidth="1"/>
    <col min="14" max="14" width="7.7109375" style="350" customWidth="1"/>
    <col min="15" max="16384" width="9.140625" style="9"/>
  </cols>
  <sheetData>
    <row r="1" spans="1:16" ht="13.5" thickBot="1"/>
    <row r="2" spans="1:16" s="98" customFormat="1" ht="20.100000000000001" customHeight="1" thickTop="1" thickBot="1">
      <c r="A2" s="376"/>
      <c r="B2" s="590" t="s">
        <v>173</v>
      </c>
      <c r="C2" s="591"/>
      <c r="D2" s="591"/>
      <c r="E2" s="591"/>
      <c r="F2" s="591"/>
      <c r="G2" s="591"/>
      <c r="H2" s="377"/>
      <c r="I2" s="377"/>
      <c r="J2" s="377"/>
      <c r="K2" s="377"/>
      <c r="L2" s="377"/>
      <c r="M2" s="377"/>
      <c r="N2" s="380"/>
    </row>
    <row r="3" spans="1:16" s="1" customFormat="1" ht="8.1" customHeight="1" thickTop="1" thickBot="1">
      <c r="A3" s="281"/>
      <c r="E3" s="2"/>
      <c r="F3" s="282"/>
      <c r="G3" s="531"/>
      <c r="H3" s="92"/>
      <c r="I3" s="92"/>
      <c r="J3" s="92"/>
      <c r="K3" s="92"/>
      <c r="L3" s="92"/>
      <c r="M3" s="92"/>
      <c r="N3" s="344"/>
    </row>
    <row r="4" spans="1:16" s="1" customFormat="1" ht="39" customHeight="1">
      <c r="A4" s="281"/>
      <c r="B4" s="596" t="s">
        <v>78</v>
      </c>
      <c r="C4" s="606" t="s">
        <v>79</v>
      </c>
      <c r="D4" s="607" t="s">
        <v>110</v>
      </c>
      <c r="E4" s="608" t="s">
        <v>594</v>
      </c>
      <c r="F4" s="601" t="s">
        <v>653</v>
      </c>
      <c r="G4" s="602" t="s">
        <v>80</v>
      </c>
      <c r="H4" s="593" t="s">
        <v>647</v>
      </c>
      <c r="I4" s="594"/>
      <c r="J4" s="595"/>
      <c r="K4" s="593" t="s">
        <v>801</v>
      </c>
      <c r="L4" s="594"/>
      <c r="M4" s="595"/>
      <c r="N4" s="604" t="s">
        <v>805</v>
      </c>
    </row>
    <row r="5" spans="1:16" s="281" customFormat="1" ht="27" customHeight="1">
      <c r="B5" s="597"/>
      <c r="C5" s="599"/>
      <c r="D5" s="599"/>
      <c r="E5" s="603"/>
      <c r="F5" s="599"/>
      <c r="G5" s="603"/>
      <c r="H5" s="372" t="s">
        <v>705</v>
      </c>
      <c r="I5" s="372" t="s">
        <v>706</v>
      </c>
      <c r="J5" s="382" t="s">
        <v>413</v>
      </c>
      <c r="K5" s="372" t="s">
        <v>705</v>
      </c>
      <c r="L5" s="372" t="s">
        <v>706</v>
      </c>
      <c r="M5" s="382" t="s">
        <v>413</v>
      </c>
      <c r="N5" s="605"/>
    </row>
    <row r="6" spans="1:16" s="2" customFormat="1" ht="12.95" customHeight="1">
      <c r="A6" s="282"/>
      <c r="B6" s="504">
        <v>1</v>
      </c>
      <c r="C6" s="331">
        <v>2</v>
      </c>
      <c r="D6" s="331">
        <v>3</v>
      </c>
      <c r="E6" s="331">
        <v>4</v>
      </c>
      <c r="F6" s="331">
        <v>5</v>
      </c>
      <c r="G6" s="331">
        <v>6</v>
      </c>
      <c r="H6" s="331">
        <v>7</v>
      </c>
      <c r="I6" s="331">
        <v>8</v>
      </c>
      <c r="J6" s="523" t="s">
        <v>804</v>
      </c>
      <c r="K6" s="331">
        <v>10</v>
      </c>
      <c r="L6" s="331">
        <v>11</v>
      </c>
      <c r="M6" s="523" t="s">
        <v>707</v>
      </c>
      <c r="N6" s="505">
        <v>13</v>
      </c>
    </row>
    <row r="7" spans="1:16" s="2" customFormat="1" ht="12.95" customHeight="1">
      <c r="A7" s="282"/>
      <c r="B7" s="6" t="s">
        <v>143</v>
      </c>
      <c r="C7" s="7" t="s">
        <v>145</v>
      </c>
      <c r="D7" s="7" t="s">
        <v>147</v>
      </c>
      <c r="E7" s="5"/>
      <c r="F7" s="283"/>
      <c r="G7" s="5"/>
      <c r="H7" s="86"/>
      <c r="I7" s="86"/>
      <c r="J7" s="392"/>
      <c r="K7" s="86"/>
      <c r="L7" s="86"/>
      <c r="M7" s="392"/>
      <c r="N7" s="345"/>
    </row>
    <row r="8" spans="1:16" s="1" customFormat="1" ht="12.95" customHeight="1">
      <c r="A8" s="281"/>
      <c r="B8" s="12"/>
      <c r="C8" s="8"/>
      <c r="D8" s="8"/>
      <c r="E8" s="305">
        <v>611000</v>
      </c>
      <c r="F8" s="331"/>
      <c r="G8" s="8" t="s">
        <v>163</v>
      </c>
      <c r="H8" s="210">
        <f t="shared" ref="H8:M8" si="0">SUM(H9:H11)</f>
        <v>390200</v>
      </c>
      <c r="I8" s="210">
        <f t="shared" si="0"/>
        <v>0</v>
      </c>
      <c r="J8" s="384">
        <f t="shared" si="0"/>
        <v>390200</v>
      </c>
      <c r="K8" s="210">
        <f t="shared" si="0"/>
        <v>92648</v>
      </c>
      <c r="L8" s="210">
        <f t="shared" si="0"/>
        <v>0</v>
      </c>
      <c r="M8" s="384">
        <f t="shared" si="0"/>
        <v>92648</v>
      </c>
      <c r="N8" s="346">
        <f>IF(J8=0,"",M8/J8*100)</f>
        <v>23.74372116863147</v>
      </c>
    </row>
    <row r="9" spans="1:16" ht="12.95" customHeight="1">
      <c r="B9" s="10"/>
      <c r="C9" s="11"/>
      <c r="D9" s="11"/>
      <c r="E9" s="306">
        <v>611100</v>
      </c>
      <c r="F9" s="332"/>
      <c r="G9" s="18" t="s">
        <v>198</v>
      </c>
      <c r="H9" s="212">
        <f>314100+1300+500</f>
        <v>315900</v>
      </c>
      <c r="I9" s="212">
        <v>0</v>
      </c>
      <c r="J9" s="385">
        <f>SUM(H9:I9)</f>
        <v>315900</v>
      </c>
      <c r="K9" s="212">
        <v>78237</v>
      </c>
      <c r="L9" s="212">
        <v>0</v>
      </c>
      <c r="M9" s="385">
        <f>SUM(K9:L9)</f>
        <v>78237</v>
      </c>
      <c r="N9" s="347">
        <f t="shared" ref="N9:N66" si="1">IF(J9=0,"",M9/J9*100)</f>
        <v>24.766381766381766</v>
      </c>
    </row>
    <row r="10" spans="1:16" ht="12.95" customHeight="1">
      <c r="B10" s="10"/>
      <c r="C10" s="11"/>
      <c r="D10" s="11"/>
      <c r="E10" s="306">
        <v>611200</v>
      </c>
      <c r="F10" s="332"/>
      <c r="G10" s="11" t="s">
        <v>199</v>
      </c>
      <c r="H10" s="212">
        <f>72000+1400+900</f>
        <v>74300</v>
      </c>
      <c r="I10" s="212">
        <v>0</v>
      </c>
      <c r="J10" s="385">
        <f t="shared" ref="J10:J11" si="2">SUM(H10:I10)</f>
        <v>74300</v>
      </c>
      <c r="K10" s="212">
        <v>14411</v>
      </c>
      <c r="L10" s="212">
        <v>0</v>
      </c>
      <c r="M10" s="385">
        <f t="shared" ref="M10:M11" si="3">SUM(K10:L10)</f>
        <v>14411</v>
      </c>
      <c r="N10" s="347">
        <f t="shared" si="1"/>
        <v>19.395693135935396</v>
      </c>
    </row>
    <row r="11" spans="1:16" ht="12.95" customHeight="1">
      <c r="B11" s="10"/>
      <c r="C11" s="11"/>
      <c r="D11" s="11"/>
      <c r="E11" s="306">
        <v>611200</v>
      </c>
      <c r="F11" s="332"/>
      <c r="G11" s="189" t="s">
        <v>534</v>
      </c>
      <c r="H11" s="209">
        <v>0</v>
      </c>
      <c r="I11" s="209">
        <v>0</v>
      </c>
      <c r="J11" s="385">
        <f t="shared" si="2"/>
        <v>0</v>
      </c>
      <c r="K11" s="209">
        <v>0</v>
      </c>
      <c r="L11" s="209">
        <v>0</v>
      </c>
      <c r="M11" s="385">
        <f t="shared" si="3"/>
        <v>0</v>
      </c>
      <c r="N11" s="347" t="str">
        <f t="shared" si="1"/>
        <v/>
      </c>
      <c r="P11" s="56"/>
    </row>
    <row r="12" spans="1:16" ht="12.95" customHeight="1">
      <c r="B12" s="10"/>
      <c r="C12" s="11"/>
      <c r="D12" s="11"/>
      <c r="E12" s="306"/>
      <c r="F12" s="332"/>
      <c r="G12" s="11"/>
      <c r="H12" s="210"/>
      <c r="I12" s="210"/>
      <c r="J12" s="384"/>
      <c r="K12" s="210"/>
      <c r="L12" s="210"/>
      <c r="M12" s="384"/>
      <c r="N12" s="347" t="str">
        <f t="shared" si="1"/>
        <v/>
      </c>
    </row>
    <row r="13" spans="1:16" s="1" customFormat="1" ht="12.95" customHeight="1">
      <c r="A13" s="281"/>
      <c r="B13" s="12"/>
      <c r="C13" s="8"/>
      <c r="D13" s="8"/>
      <c r="E13" s="305">
        <v>612000</v>
      </c>
      <c r="F13" s="331"/>
      <c r="G13" s="8" t="s">
        <v>162</v>
      </c>
      <c r="H13" s="210">
        <f t="shared" ref="H13:M13" si="4">H14</f>
        <v>35840</v>
      </c>
      <c r="I13" s="210">
        <f t="shared" si="4"/>
        <v>0</v>
      </c>
      <c r="J13" s="384">
        <f t="shared" si="4"/>
        <v>35840</v>
      </c>
      <c r="K13" s="210">
        <f t="shared" si="4"/>
        <v>8875</v>
      </c>
      <c r="L13" s="210">
        <f t="shared" si="4"/>
        <v>0</v>
      </c>
      <c r="M13" s="384">
        <f t="shared" si="4"/>
        <v>8875</v>
      </c>
      <c r="N13" s="346">
        <f t="shared" si="1"/>
        <v>24.762834821428573</v>
      </c>
    </row>
    <row r="14" spans="1:16" ht="12.95" customHeight="1">
      <c r="B14" s="10"/>
      <c r="C14" s="11"/>
      <c r="D14" s="11"/>
      <c r="E14" s="306">
        <v>612100</v>
      </c>
      <c r="F14" s="332"/>
      <c r="G14" s="13" t="s">
        <v>83</v>
      </c>
      <c r="H14" s="212">
        <f>35600+170+70</f>
        <v>35840</v>
      </c>
      <c r="I14" s="212">
        <v>0</v>
      </c>
      <c r="J14" s="385">
        <f>SUM(H14:I14)</f>
        <v>35840</v>
      </c>
      <c r="K14" s="212">
        <v>8875</v>
      </c>
      <c r="L14" s="212">
        <v>0</v>
      </c>
      <c r="M14" s="385">
        <f>SUM(K14:L14)</f>
        <v>8875</v>
      </c>
      <c r="N14" s="347">
        <f t="shared" si="1"/>
        <v>24.762834821428573</v>
      </c>
    </row>
    <row r="15" spans="1:16" ht="12.95" customHeight="1">
      <c r="B15" s="10"/>
      <c r="C15" s="11"/>
      <c r="D15" s="11"/>
      <c r="E15" s="306"/>
      <c r="F15" s="332"/>
      <c r="G15" s="11"/>
      <c r="H15" s="288"/>
      <c r="I15" s="288"/>
      <c r="J15" s="387"/>
      <c r="K15" s="288"/>
      <c r="L15" s="288"/>
      <c r="M15" s="387"/>
      <c r="N15" s="347" t="str">
        <f t="shared" si="1"/>
        <v/>
      </c>
    </row>
    <row r="16" spans="1:16" s="1" customFormat="1" ht="12.95" customHeight="1">
      <c r="A16" s="281"/>
      <c r="B16" s="12"/>
      <c r="C16" s="8"/>
      <c r="D16" s="8"/>
      <c r="E16" s="305">
        <v>613000</v>
      </c>
      <c r="F16" s="331"/>
      <c r="G16" s="8" t="s">
        <v>164</v>
      </c>
      <c r="H16" s="293">
        <f t="shared" ref="H16:M16" si="5">SUM(H17:H26)</f>
        <v>47300</v>
      </c>
      <c r="I16" s="293">
        <f t="shared" si="5"/>
        <v>0</v>
      </c>
      <c r="J16" s="387">
        <f t="shared" si="5"/>
        <v>47300</v>
      </c>
      <c r="K16" s="293">
        <f t="shared" si="5"/>
        <v>8327</v>
      </c>
      <c r="L16" s="293">
        <f t="shared" si="5"/>
        <v>0</v>
      </c>
      <c r="M16" s="387">
        <f t="shared" si="5"/>
        <v>8327</v>
      </c>
      <c r="N16" s="346">
        <f t="shared" si="1"/>
        <v>17.604651162790695</v>
      </c>
    </row>
    <row r="17" spans="1:14" ht="12.95" customHeight="1">
      <c r="B17" s="10"/>
      <c r="C17" s="11"/>
      <c r="D17" s="11"/>
      <c r="E17" s="306">
        <v>613100</v>
      </c>
      <c r="F17" s="332"/>
      <c r="G17" s="11" t="s">
        <v>84</v>
      </c>
      <c r="H17" s="363">
        <v>4000</v>
      </c>
      <c r="I17" s="363">
        <v>0</v>
      </c>
      <c r="J17" s="385">
        <f t="shared" ref="J17:J26" si="6">SUM(H17:I17)</f>
        <v>4000</v>
      </c>
      <c r="K17" s="363">
        <v>660</v>
      </c>
      <c r="L17" s="363">
        <v>0</v>
      </c>
      <c r="M17" s="385">
        <f t="shared" ref="M17:M26" si="7">SUM(K17:L17)</f>
        <v>660</v>
      </c>
      <c r="N17" s="347">
        <f t="shared" si="1"/>
        <v>16.5</v>
      </c>
    </row>
    <row r="18" spans="1:14" ht="12.95" customHeight="1">
      <c r="B18" s="10"/>
      <c r="C18" s="11"/>
      <c r="D18" s="11"/>
      <c r="E18" s="306">
        <v>613200</v>
      </c>
      <c r="F18" s="332"/>
      <c r="G18" s="11" t="s">
        <v>85</v>
      </c>
      <c r="H18" s="363">
        <v>16200</v>
      </c>
      <c r="I18" s="363">
        <v>0</v>
      </c>
      <c r="J18" s="385">
        <f t="shared" si="6"/>
        <v>16200</v>
      </c>
      <c r="K18" s="363">
        <v>3261</v>
      </c>
      <c r="L18" s="363">
        <v>0</v>
      </c>
      <c r="M18" s="385">
        <f t="shared" si="7"/>
        <v>3261</v>
      </c>
      <c r="N18" s="347">
        <f t="shared" si="1"/>
        <v>20.12962962962963</v>
      </c>
    </row>
    <row r="19" spans="1:14" ht="12.95" customHeight="1">
      <c r="B19" s="10"/>
      <c r="C19" s="11"/>
      <c r="D19" s="11"/>
      <c r="E19" s="306">
        <v>613300</v>
      </c>
      <c r="F19" s="332"/>
      <c r="G19" s="18" t="s">
        <v>200</v>
      </c>
      <c r="H19" s="363">
        <v>2500</v>
      </c>
      <c r="I19" s="363">
        <v>0</v>
      </c>
      <c r="J19" s="385">
        <f t="shared" si="6"/>
        <v>2500</v>
      </c>
      <c r="K19" s="363">
        <v>597</v>
      </c>
      <c r="L19" s="363">
        <v>0</v>
      </c>
      <c r="M19" s="385">
        <f t="shared" si="7"/>
        <v>597</v>
      </c>
      <c r="N19" s="347">
        <f t="shared" si="1"/>
        <v>23.880000000000003</v>
      </c>
    </row>
    <row r="20" spans="1:14" ht="12.95" customHeight="1">
      <c r="B20" s="10"/>
      <c r="C20" s="11"/>
      <c r="D20" s="11"/>
      <c r="E20" s="306">
        <v>613400</v>
      </c>
      <c r="F20" s="332"/>
      <c r="G20" s="11" t="s">
        <v>165</v>
      </c>
      <c r="H20" s="363">
        <v>10500</v>
      </c>
      <c r="I20" s="363">
        <v>0</v>
      </c>
      <c r="J20" s="385">
        <f t="shared" si="6"/>
        <v>10500</v>
      </c>
      <c r="K20" s="363">
        <v>1277</v>
      </c>
      <c r="L20" s="363">
        <v>0</v>
      </c>
      <c r="M20" s="385">
        <f t="shared" si="7"/>
        <v>1277</v>
      </c>
      <c r="N20" s="347">
        <f t="shared" si="1"/>
        <v>12.161904761904761</v>
      </c>
    </row>
    <row r="21" spans="1:14" ht="12.95" customHeight="1">
      <c r="B21" s="10"/>
      <c r="C21" s="11"/>
      <c r="D21" s="11"/>
      <c r="E21" s="306">
        <v>613500</v>
      </c>
      <c r="F21" s="332"/>
      <c r="G21" s="11" t="s">
        <v>86</v>
      </c>
      <c r="H21" s="363">
        <v>600</v>
      </c>
      <c r="I21" s="363">
        <v>0</v>
      </c>
      <c r="J21" s="385">
        <f t="shared" si="6"/>
        <v>600</v>
      </c>
      <c r="K21" s="363">
        <v>87</v>
      </c>
      <c r="L21" s="363">
        <v>0</v>
      </c>
      <c r="M21" s="385">
        <f t="shared" si="7"/>
        <v>87</v>
      </c>
      <c r="N21" s="347">
        <f t="shared" si="1"/>
        <v>14.499999999999998</v>
      </c>
    </row>
    <row r="22" spans="1:14" ht="12.95" customHeight="1">
      <c r="B22" s="10"/>
      <c r="C22" s="11"/>
      <c r="D22" s="11"/>
      <c r="E22" s="306">
        <v>613600</v>
      </c>
      <c r="F22" s="332"/>
      <c r="G22" s="18" t="s">
        <v>201</v>
      </c>
      <c r="H22" s="363">
        <v>0</v>
      </c>
      <c r="I22" s="363">
        <v>0</v>
      </c>
      <c r="J22" s="385">
        <f t="shared" si="6"/>
        <v>0</v>
      </c>
      <c r="K22" s="363">
        <v>0</v>
      </c>
      <c r="L22" s="363">
        <v>0</v>
      </c>
      <c r="M22" s="385">
        <f t="shared" si="7"/>
        <v>0</v>
      </c>
      <c r="N22" s="347" t="str">
        <f t="shared" si="1"/>
        <v/>
      </c>
    </row>
    <row r="23" spans="1:14" ht="12.95" customHeight="1">
      <c r="B23" s="10"/>
      <c r="C23" s="11"/>
      <c r="D23" s="11"/>
      <c r="E23" s="306">
        <v>613700</v>
      </c>
      <c r="F23" s="332"/>
      <c r="G23" s="11" t="s">
        <v>87</v>
      </c>
      <c r="H23" s="363">
        <v>6500</v>
      </c>
      <c r="I23" s="363">
        <v>0</v>
      </c>
      <c r="J23" s="385">
        <f t="shared" si="6"/>
        <v>6500</v>
      </c>
      <c r="K23" s="363">
        <v>301</v>
      </c>
      <c r="L23" s="363">
        <v>0</v>
      </c>
      <c r="M23" s="385">
        <f t="shared" si="7"/>
        <v>301</v>
      </c>
      <c r="N23" s="347">
        <f t="shared" si="1"/>
        <v>4.6307692307692303</v>
      </c>
    </row>
    <row r="24" spans="1:14" ht="12.95" customHeight="1">
      <c r="B24" s="10"/>
      <c r="C24" s="11"/>
      <c r="D24" s="11"/>
      <c r="E24" s="306">
        <v>613800</v>
      </c>
      <c r="F24" s="332"/>
      <c r="G24" s="11" t="s">
        <v>166</v>
      </c>
      <c r="H24" s="365">
        <v>0</v>
      </c>
      <c r="I24" s="365">
        <v>0</v>
      </c>
      <c r="J24" s="385">
        <f t="shared" si="6"/>
        <v>0</v>
      </c>
      <c r="K24" s="365">
        <v>0</v>
      </c>
      <c r="L24" s="365">
        <v>0</v>
      </c>
      <c r="M24" s="385">
        <f t="shared" si="7"/>
        <v>0</v>
      </c>
      <c r="N24" s="347" t="str">
        <f t="shared" si="1"/>
        <v/>
      </c>
    </row>
    <row r="25" spans="1:14" ht="12.95" customHeight="1">
      <c r="B25" s="10"/>
      <c r="C25" s="11"/>
      <c r="D25" s="11"/>
      <c r="E25" s="306">
        <v>613900</v>
      </c>
      <c r="F25" s="332"/>
      <c r="G25" s="11" t="s">
        <v>167</v>
      </c>
      <c r="H25" s="365">
        <v>7000</v>
      </c>
      <c r="I25" s="365">
        <v>0</v>
      </c>
      <c r="J25" s="385">
        <f t="shared" si="6"/>
        <v>7000</v>
      </c>
      <c r="K25" s="365">
        <v>2144</v>
      </c>
      <c r="L25" s="365">
        <v>0</v>
      </c>
      <c r="M25" s="385">
        <f t="shared" si="7"/>
        <v>2144</v>
      </c>
      <c r="N25" s="347">
        <f t="shared" si="1"/>
        <v>30.628571428571426</v>
      </c>
    </row>
    <row r="26" spans="1:14" ht="12.95" customHeight="1">
      <c r="B26" s="10"/>
      <c r="C26" s="11"/>
      <c r="D26" s="11"/>
      <c r="E26" s="306">
        <v>613900</v>
      </c>
      <c r="F26" s="332"/>
      <c r="G26" s="189" t="s">
        <v>535</v>
      </c>
      <c r="H26" s="365">
        <v>0</v>
      </c>
      <c r="I26" s="365">
        <v>0</v>
      </c>
      <c r="J26" s="385">
        <f t="shared" si="6"/>
        <v>0</v>
      </c>
      <c r="K26" s="365">
        <v>0</v>
      </c>
      <c r="L26" s="365">
        <v>0</v>
      </c>
      <c r="M26" s="385">
        <f t="shared" si="7"/>
        <v>0</v>
      </c>
      <c r="N26" s="347" t="str">
        <f t="shared" si="1"/>
        <v/>
      </c>
    </row>
    <row r="27" spans="1:14" ht="12.95" customHeight="1">
      <c r="B27" s="10"/>
      <c r="C27" s="11"/>
      <c r="D27" s="11"/>
      <c r="E27" s="306"/>
      <c r="F27" s="332"/>
      <c r="G27" s="11"/>
      <c r="H27" s="295"/>
      <c r="I27" s="295"/>
      <c r="J27" s="387"/>
      <c r="K27" s="295"/>
      <c r="L27" s="295"/>
      <c r="M27" s="387"/>
      <c r="N27" s="347" t="str">
        <f t="shared" si="1"/>
        <v/>
      </c>
    </row>
    <row r="28" spans="1:14" s="1" customFormat="1" ht="12.95" customHeight="1">
      <c r="A28" s="281"/>
      <c r="B28" s="12"/>
      <c r="C28" s="8"/>
      <c r="D28" s="8"/>
      <c r="E28" s="305">
        <v>821000</v>
      </c>
      <c r="F28" s="331"/>
      <c r="G28" s="8" t="s">
        <v>90</v>
      </c>
      <c r="H28" s="295">
        <f t="shared" ref="H28:M28" si="8">SUM(H29:H30)</f>
        <v>3000</v>
      </c>
      <c r="I28" s="295">
        <f t="shared" si="8"/>
        <v>0</v>
      </c>
      <c r="J28" s="387">
        <f t="shared" si="8"/>
        <v>3000</v>
      </c>
      <c r="K28" s="295">
        <f t="shared" si="8"/>
        <v>0</v>
      </c>
      <c r="L28" s="295">
        <f t="shared" si="8"/>
        <v>0</v>
      </c>
      <c r="M28" s="387">
        <f t="shared" si="8"/>
        <v>0</v>
      </c>
      <c r="N28" s="346">
        <f t="shared" si="1"/>
        <v>0</v>
      </c>
    </row>
    <row r="29" spans="1:14" ht="12.95" customHeight="1">
      <c r="B29" s="10"/>
      <c r="C29" s="11"/>
      <c r="D29" s="11"/>
      <c r="E29" s="306">
        <v>821200</v>
      </c>
      <c r="F29" s="332"/>
      <c r="G29" s="11" t="s">
        <v>91</v>
      </c>
      <c r="H29" s="296">
        <v>0</v>
      </c>
      <c r="I29" s="296">
        <v>0</v>
      </c>
      <c r="J29" s="385">
        <f t="shared" ref="J29:J30" si="9">SUM(H29:I29)</f>
        <v>0</v>
      </c>
      <c r="K29" s="296">
        <v>0</v>
      </c>
      <c r="L29" s="296">
        <v>0</v>
      </c>
      <c r="M29" s="385">
        <f t="shared" ref="M29:M30" si="10">SUM(K29:L29)</f>
        <v>0</v>
      </c>
      <c r="N29" s="347" t="str">
        <f t="shared" si="1"/>
        <v/>
      </c>
    </row>
    <row r="30" spans="1:14" ht="12.95" customHeight="1">
      <c r="B30" s="10"/>
      <c r="C30" s="11"/>
      <c r="D30" s="11"/>
      <c r="E30" s="306">
        <v>821300</v>
      </c>
      <c r="F30" s="332"/>
      <c r="G30" s="11" t="s">
        <v>92</v>
      </c>
      <c r="H30" s="296">
        <v>3000</v>
      </c>
      <c r="I30" s="296">
        <v>0</v>
      </c>
      <c r="J30" s="385">
        <f t="shared" si="9"/>
        <v>3000</v>
      </c>
      <c r="K30" s="296">
        <v>0</v>
      </c>
      <c r="L30" s="296">
        <v>0</v>
      </c>
      <c r="M30" s="385">
        <f t="shared" si="10"/>
        <v>0</v>
      </c>
      <c r="N30" s="347">
        <f t="shared" si="1"/>
        <v>0</v>
      </c>
    </row>
    <row r="31" spans="1:14" ht="12.95" customHeight="1">
      <c r="B31" s="10"/>
      <c r="C31" s="11"/>
      <c r="D31" s="11"/>
      <c r="E31" s="306"/>
      <c r="F31" s="332"/>
      <c r="G31" s="11"/>
      <c r="H31" s="291"/>
      <c r="I31" s="291"/>
      <c r="J31" s="386"/>
      <c r="K31" s="291"/>
      <c r="L31" s="291"/>
      <c r="M31" s="386"/>
      <c r="N31" s="347" t="str">
        <f t="shared" si="1"/>
        <v/>
      </c>
    </row>
    <row r="32" spans="1:14" s="1" customFormat="1" ht="12.95" customHeight="1">
      <c r="A32" s="281"/>
      <c r="B32" s="12"/>
      <c r="C32" s="8"/>
      <c r="D32" s="8"/>
      <c r="E32" s="305"/>
      <c r="F32" s="331"/>
      <c r="G32" s="8" t="s">
        <v>93</v>
      </c>
      <c r="H32" s="278" t="s">
        <v>651</v>
      </c>
      <c r="I32" s="278"/>
      <c r="J32" s="389" t="s">
        <v>651</v>
      </c>
      <c r="K32" s="278" t="s">
        <v>833</v>
      </c>
      <c r="L32" s="278"/>
      <c r="M32" s="389" t="s">
        <v>833</v>
      </c>
      <c r="N32" s="347"/>
    </row>
    <row r="33" spans="1:14" s="1" customFormat="1" ht="12.95" customHeight="1">
      <c r="A33" s="281"/>
      <c r="B33" s="12"/>
      <c r="C33" s="8"/>
      <c r="D33" s="8"/>
      <c r="E33" s="305"/>
      <c r="F33" s="331"/>
      <c r="G33" s="8" t="s">
        <v>113</v>
      </c>
      <c r="H33" s="288">
        <f t="shared" ref="H33:M33" si="11">H8+H13+H16+H28</f>
        <v>476340</v>
      </c>
      <c r="I33" s="288">
        <f t="shared" si="11"/>
        <v>0</v>
      </c>
      <c r="J33" s="387">
        <f t="shared" si="11"/>
        <v>476340</v>
      </c>
      <c r="K33" s="288">
        <f t="shared" si="11"/>
        <v>109850</v>
      </c>
      <c r="L33" s="288">
        <f t="shared" si="11"/>
        <v>0</v>
      </c>
      <c r="M33" s="387">
        <f t="shared" si="11"/>
        <v>109850</v>
      </c>
      <c r="N33" s="346">
        <f t="shared" si="1"/>
        <v>23.061258764747869</v>
      </c>
    </row>
    <row r="34" spans="1:14" s="1" customFormat="1" ht="12.95" customHeight="1">
      <c r="A34" s="281"/>
      <c r="B34" s="12"/>
      <c r="C34" s="8"/>
      <c r="D34" s="8"/>
      <c r="E34" s="305"/>
      <c r="F34" s="331"/>
      <c r="G34" s="8" t="s">
        <v>94</v>
      </c>
      <c r="H34" s="288"/>
      <c r="I34" s="288"/>
      <c r="J34" s="387"/>
      <c r="K34" s="288"/>
      <c r="L34" s="288"/>
      <c r="M34" s="387"/>
      <c r="N34" s="347" t="str">
        <f t="shared" si="1"/>
        <v/>
      </c>
    </row>
    <row r="35" spans="1:14" s="1" customFormat="1" ht="12.95" customHeight="1">
      <c r="A35" s="281"/>
      <c r="B35" s="12"/>
      <c r="C35" s="8"/>
      <c r="D35" s="8"/>
      <c r="E35" s="305"/>
      <c r="F35" s="331"/>
      <c r="G35" s="8" t="s">
        <v>95</v>
      </c>
      <c r="H35" s="279"/>
      <c r="I35" s="279"/>
      <c r="J35" s="386"/>
      <c r="K35" s="279"/>
      <c r="L35" s="279"/>
      <c r="M35" s="386"/>
      <c r="N35" s="347" t="str">
        <f t="shared" si="1"/>
        <v/>
      </c>
    </row>
    <row r="36" spans="1:14" ht="12.95" customHeight="1" thickBot="1">
      <c r="B36" s="15"/>
      <c r="C36" s="16"/>
      <c r="D36" s="16"/>
      <c r="E36" s="307"/>
      <c r="F36" s="333"/>
      <c r="G36" s="16"/>
      <c r="H36" s="27"/>
      <c r="I36" s="27"/>
      <c r="J36" s="390"/>
      <c r="K36" s="27"/>
      <c r="L36" s="27"/>
      <c r="M36" s="390"/>
      <c r="N36" s="349" t="str">
        <f t="shared" si="1"/>
        <v/>
      </c>
    </row>
    <row r="37" spans="1:14" ht="12.95" customHeight="1">
      <c r="E37" s="308"/>
      <c r="F37" s="334"/>
      <c r="J37" s="393"/>
      <c r="M37" s="393"/>
      <c r="N37" s="350" t="str">
        <f t="shared" si="1"/>
        <v/>
      </c>
    </row>
    <row r="38" spans="1:14" ht="12.95" customHeight="1">
      <c r="E38" s="308"/>
      <c r="F38" s="334"/>
      <c r="J38" s="393"/>
      <c r="M38" s="393"/>
      <c r="N38" s="350" t="str">
        <f t="shared" si="1"/>
        <v/>
      </c>
    </row>
    <row r="39" spans="1:14" ht="12.95" customHeight="1">
      <c r="B39" s="50"/>
      <c r="E39" s="308"/>
      <c r="F39" s="334"/>
      <c r="J39" s="393"/>
      <c r="M39" s="393"/>
      <c r="N39" s="350" t="str">
        <f t="shared" si="1"/>
        <v/>
      </c>
    </row>
    <row r="40" spans="1:14" ht="12.95" customHeight="1">
      <c r="B40" s="50"/>
      <c r="E40" s="308"/>
      <c r="F40" s="334"/>
      <c r="J40" s="393"/>
      <c r="M40" s="393"/>
      <c r="N40" s="350" t="str">
        <f t="shared" si="1"/>
        <v/>
      </c>
    </row>
    <row r="41" spans="1:14" ht="12.95" customHeight="1">
      <c r="B41" s="50"/>
      <c r="E41" s="308"/>
      <c r="F41" s="334"/>
      <c r="J41" s="393"/>
      <c r="M41" s="393"/>
      <c r="N41" s="350" t="str">
        <f t="shared" si="1"/>
        <v/>
      </c>
    </row>
    <row r="42" spans="1:14" ht="12.95" customHeight="1">
      <c r="B42" s="50"/>
      <c r="E42" s="308"/>
      <c r="F42" s="334"/>
      <c r="J42" s="393"/>
      <c r="M42" s="393"/>
      <c r="N42" s="350" t="str">
        <f t="shared" si="1"/>
        <v/>
      </c>
    </row>
    <row r="43" spans="1:14" ht="12.95" customHeight="1">
      <c r="B43" s="50"/>
      <c r="E43" s="308"/>
      <c r="F43" s="334"/>
      <c r="J43" s="393"/>
      <c r="M43" s="393"/>
      <c r="N43" s="350" t="str">
        <f t="shared" si="1"/>
        <v/>
      </c>
    </row>
    <row r="44" spans="1:14" ht="12.95" customHeight="1">
      <c r="B44" s="50"/>
      <c r="E44" s="308"/>
      <c r="F44" s="334"/>
      <c r="J44" s="393"/>
      <c r="M44" s="393"/>
      <c r="N44" s="350" t="str">
        <f t="shared" si="1"/>
        <v/>
      </c>
    </row>
    <row r="45" spans="1:14" ht="12.95" customHeight="1">
      <c r="B45" s="50"/>
      <c r="E45" s="308"/>
      <c r="F45" s="334"/>
      <c r="J45" s="393"/>
      <c r="M45" s="393"/>
      <c r="N45" s="350" t="str">
        <f t="shared" si="1"/>
        <v/>
      </c>
    </row>
    <row r="46" spans="1:14" ht="12.95" customHeight="1">
      <c r="E46" s="308"/>
      <c r="F46" s="334"/>
      <c r="J46" s="393"/>
      <c r="M46" s="393"/>
      <c r="N46" s="350" t="str">
        <f t="shared" si="1"/>
        <v/>
      </c>
    </row>
    <row r="47" spans="1:14" ht="12.95" customHeight="1">
      <c r="E47" s="308"/>
      <c r="F47" s="334"/>
      <c r="J47" s="393"/>
      <c r="M47" s="393"/>
      <c r="N47" s="350" t="str">
        <f t="shared" si="1"/>
        <v/>
      </c>
    </row>
    <row r="48" spans="1:14" ht="12.95" customHeight="1">
      <c r="E48" s="308"/>
      <c r="F48" s="334"/>
      <c r="J48" s="393"/>
      <c r="M48" s="393"/>
      <c r="N48" s="350" t="str">
        <f t="shared" si="1"/>
        <v/>
      </c>
    </row>
    <row r="49" spans="5:14" ht="12.95" customHeight="1">
      <c r="E49" s="308"/>
      <c r="F49" s="334"/>
      <c r="J49" s="393"/>
      <c r="M49" s="393"/>
      <c r="N49" s="350" t="str">
        <f t="shared" si="1"/>
        <v/>
      </c>
    </row>
    <row r="50" spans="5:14" ht="12.95" customHeight="1">
      <c r="E50" s="308"/>
      <c r="F50" s="334"/>
      <c r="J50" s="393"/>
      <c r="M50" s="393"/>
      <c r="N50" s="350" t="str">
        <f t="shared" si="1"/>
        <v/>
      </c>
    </row>
    <row r="51" spans="5:14" ht="12.95" customHeight="1">
      <c r="E51" s="308"/>
      <c r="F51" s="334"/>
      <c r="J51" s="393"/>
      <c r="M51" s="393"/>
      <c r="N51" s="350" t="str">
        <f t="shared" si="1"/>
        <v/>
      </c>
    </row>
    <row r="52" spans="5:14" ht="12.95" customHeight="1">
      <c r="E52" s="308"/>
      <c r="F52" s="334"/>
      <c r="J52" s="393"/>
      <c r="M52" s="393"/>
      <c r="N52" s="350" t="str">
        <f t="shared" si="1"/>
        <v/>
      </c>
    </row>
    <row r="53" spans="5:14" ht="12.95" customHeight="1">
      <c r="E53" s="308"/>
      <c r="F53" s="334"/>
      <c r="J53" s="393"/>
      <c r="M53" s="393"/>
      <c r="N53" s="350" t="str">
        <f t="shared" si="1"/>
        <v/>
      </c>
    </row>
    <row r="54" spans="5:14" ht="12.95" customHeight="1">
      <c r="E54" s="308"/>
      <c r="F54" s="334"/>
      <c r="J54" s="393"/>
      <c r="M54" s="393"/>
      <c r="N54" s="350" t="str">
        <f t="shared" si="1"/>
        <v/>
      </c>
    </row>
    <row r="55" spans="5:14" ht="12.95" customHeight="1">
      <c r="E55" s="308"/>
      <c r="F55" s="334"/>
      <c r="J55" s="393"/>
      <c r="M55" s="393"/>
      <c r="N55" s="350" t="str">
        <f t="shared" si="1"/>
        <v/>
      </c>
    </row>
    <row r="56" spans="5:14" ht="12.95" customHeight="1">
      <c r="E56" s="308"/>
      <c r="F56" s="334"/>
      <c r="J56" s="393"/>
      <c r="M56" s="393"/>
      <c r="N56" s="350" t="str">
        <f t="shared" si="1"/>
        <v/>
      </c>
    </row>
    <row r="57" spans="5:14" ht="12.95" customHeight="1">
      <c r="E57" s="308"/>
      <c r="F57" s="334"/>
      <c r="J57" s="393"/>
      <c r="M57" s="393"/>
      <c r="N57" s="350" t="str">
        <f t="shared" si="1"/>
        <v/>
      </c>
    </row>
    <row r="58" spans="5:14" ht="12.95" customHeight="1">
      <c r="E58" s="308"/>
      <c r="F58" s="334"/>
      <c r="J58" s="393"/>
      <c r="M58" s="393"/>
      <c r="N58" s="350" t="str">
        <f t="shared" si="1"/>
        <v/>
      </c>
    </row>
    <row r="59" spans="5:14" ht="12.95" customHeight="1">
      <c r="E59" s="308"/>
      <c r="F59" s="334"/>
      <c r="J59" s="393"/>
      <c r="M59" s="393"/>
      <c r="N59" s="350" t="str">
        <f t="shared" si="1"/>
        <v/>
      </c>
    </row>
    <row r="60" spans="5:14" ht="17.100000000000001" customHeight="1">
      <c r="E60" s="308"/>
      <c r="F60" s="334"/>
      <c r="J60" s="393"/>
      <c r="M60" s="393"/>
      <c r="N60" s="350" t="str">
        <f t="shared" si="1"/>
        <v/>
      </c>
    </row>
    <row r="61" spans="5:14" ht="14.25">
      <c r="E61" s="308"/>
      <c r="F61" s="334"/>
      <c r="J61" s="393"/>
      <c r="M61" s="393"/>
      <c r="N61" s="350" t="str">
        <f t="shared" si="1"/>
        <v/>
      </c>
    </row>
    <row r="62" spans="5:14" ht="14.25">
      <c r="E62" s="308"/>
      <c r="F62" s="334"/>
      <c r="J62" s="393"/>
      <c r="M62" s="393"/>
      <c r="N62" s="350" t="str">
        <f t="shared" si="1"/>
        <v/>
      </c>
    </row>
    <row r="63" spans="5:14" ht="14.25">
      <c r="E63" s="308"/>
      <c r="F63" s="334"/>
      <c r="J63" s="393"/>
      <c r="M63" s="393"/>
      <c r="N63" s="350" t="str">
        <f t="shared" si="1"/>
        <v/>
      </c>
    </row>
    <row r="64" spans="5:14" ht="14.25">
      <c r="E64" s="308"/>
      <c r="F64" s="334"/>
      <c r="J64" s="393"/>
      <c r="M64" s="393"/>
      <c r="N64" s="350" t="str">
        <f t="shared" si="1"/>
        <v/>
      </c>
    </row>
    <row r="65" spans="5:14" ht="14.25">
      <c r="E65" s="308"/>
      <c r="F65" s="334"/>
      <c r="J65" s="393"/>
      <c r="M65" s="393"/>
      <c r="N65" s="350" t="str">
        <f t="shared" si="1"/>
        <v/>
      </c>
    </row>
    <row r="66" spans="5:14" ht="14.25">
      <c r="E66" s="308"/>
      <c r="F66" s="334"/>
      <c r="J66" s="393"/>
      <c r="M66" s="393"/>
      <c r="N66" s="350" t="str">
        <f t="shared" si="1"/>
        <v/>
      </c>
    </row>
    <row r="67" spans="5:14" ht="14.25">
      <c r="E67" s="308"/>
      <c r="F67" s="334"/>
      <c r="J67" s="393"/>
      <c r="M67" s="393"/>
    </row>
    <row r="68" spans="5:14" ht="14.25">
      <c r="E68" s="308"/>
      <c r="F68" s="334"/>
      <c r="J68" s="393"/>
      <c r="M68" s="393"/>
    </row>
    <row r="69" spans="5:14" ht="14.25">
      <c r="E69" s="308"/>
      <c r="F69" s="334"/>
      <c r="J69" s="393"/>
      <c r="M69" s="393"/>
    </row>
    <row r="70" spans="5:14" ht="14.25">
      <c r="E70" s="308"/>
      <c r="F70" s="334"/>
      <c r="J70" s="393"/>
      <c r="M70" s="393"/>
    </row>
    <row r="71" spans="5:14" ht="14.25">
      <c r="E71" s="308"/>
      <c r="F71" s="334"/>
      <c r="J71" s="393"/>
      <c r="M71" s="393"/>
    </row>
    <row r="72" spans="5:14" ht="14.25">
      <c r="E72" s="308"/>
      <c r="F72" s="334"/>
      <c r="J72" s="393"/>
      <c r="M72" s="393"/>
    </row>
    <row r="73" spans="5:14" ht="14.25">
      <c r="E73" s="308"/>
      <c r="F73" s="334"/>
      <c r="J73" s="393"/>
      <c r="M73" s="393"/>
    </row>
    <row r="74" spans="5:14" ht="14.25">
      <c r="E74" s="308"/>
      <c r="F74" s="308"/>
      <c r="J74" s="393"/>
      <c r="M74" s="393"/>
    </row>
    <row r="75" spans="5:14" ht="14.25">
      <c r="E75" s="308"/>
      <c r="F75" s="308"/>
      <c r="J75" s="393"/>
      <c r="M75" s="393"/>
    </row>
    <row r="76" spans="5:14" ht="14.25">
      <c r="E76" s="308"/>
      <c r="F76" s="308"/>
      <c r="J76" s="393"/>
      <c r="M76" s="393"/>
    </row>
    <row r="77" spans="5:14" ht="14.25">
      <c r="E77" s="308"/>
      <c r="F77" s="308"/>
      <c r="J77" s="393"/>
      <c r="M77" s="393"/>
    </row>
    <row r="78" spans="5:14" ht="14.25">
      <c r="E78" s="308"/>
      <c r="F78" s="308"/>
      <c r="J78" s="393"/>
      <c r="M78" s="393"/>
    </row>
    <row r="79" spans="5:14" ht="14.25">
      <c r="E79" s="308"/>
      <c r="F79" s="308"/>
      <c r="J79" s="393"/>
      <c r="M79" s="393"/>
    </row>
    <row r="80" spans="5:14" ht="14.25">
      <c r="E80" s="308"/>
      <c r="F80" s="308"/>
      <c r="J80" s="393"/>
      <c r="M80" s="393"/>
    </row>
    <row r="81" spans="5:13" ht="14.25">
      <c r="E81" s="308"/>
      <c r="F81" s="308"/>
      <c r="J81" s="393"/>
      <c r="M81" s="393"/>
    </row>
    <row r="82" spans="5:13" ht="14.25">
      <c r="E82" s="308"/>
      <c r="F82" s="308"/>
      <c r="J82" s="393"/>
      <c r="M82" s="393"/>
    </row>
    <row r="83" spans="5:13" ht="14.25">
      <c r="E83" s="308"/>
      <c r="F83" s="308"/>
      <c r="J83" s="393"/>
      <c r="M83" s="393"/>
    </row>
    <row r="84" spans="5:13" ht="14.25">
      <c r="E84" s="308"/>
      <c r="F84" s="308"/>
      <c r="J84" s="393"/>
      <c r="M84" s="393"/>
    </row>
    <row r="85" spans="5:13" ht="14.25">
      <c r="E85" s="308"/>
      <c r="F85" s="308"/>
      <c r="J85" s="393"/>
      <c r="M85" s="393"/>
    </row>
    <row r="86" spans="5:13" ht="14.25">
      <c r="E86" s="308"/>
      <c r="F86" s="308"/>
      <c r="J86" s="393"/>
      <c r="M86" s="393"/>
    </row>
    <row r="87" spans="5:13" ht="14.25">
      <c r="E87" s="308"/>
      <c r="F87" s="308"/>
      <c r="J87" s="393"/>
      <c r="M87" s="393"/>
    </row>
    <row r="88" spans="5:13" ht="14.25">
      <c r="E88" s="308"/>
      <c r="F88" s="308"/>
      <c r="J88" s="393"/>
      <c r="M88" s="393"/>
    </row>
    <row r="89" spans="5:13" ht="14.25">
      <c r="E89" s="308"/>
      <c r="F89" s="308"/>
      <c r="J89" s="393"/>
      <c r="M89" s="393"/>
    </row>
    <row r="90" spans="5:13" ht="14.25">
      <c r="E90" s="308"/>
      <c r="F90" s="308"/>
      <c r="J90" s="393"/>
      <c r="M90" s="393"/>
    </row>
    <row r="91" spans="5:13">
      <c r="F91" s="308"/>
    </row>
    <row r="92" spans="5:13">
      <c r="F92" s="308"/>
    </row>
    <row r="93" spans="5:13">
      <c r="F93" s="308"/>
    </row>
    <row r="94" spans="5:13">
      <c r="F94" s="308"/>
    </row>
    <row r="95" spans="5:13">
      <c r="F95" s="308"/>
    </row>
    <row r="96" spans="5:13">
      <c r="F96" s="308"/>
    </row>
  </sheetData>
  <mergeCells count="10">
    <mergeCell ref="N4:N5"/>
    <mergeCell ref="G4:G5"/>
    <mergeCell ref="B2:G2"/>
    <mergeCell ref="H4:J4"/>
    <mergeCell ref="B4:B5"/>
    <mergeCell ref="C4:C5"/>
    <mergeCell ref="D4:D5"/>
    <mergeCell ref="F4:F5"/>
    <mergeCell ref="E4:E5"/>
    <mergeCell ref="K4:M4"/>
  </mergeCells>
  <phoneticPr fontId="2" type="noConversion"/>
  <pageMargins left="0.78740157480314965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 codeName="Sheet32"/>
  <dimension ref="A1:P96"/>
  <sheetViews>
    <sheetView zoomScaleNormal="100" workbookViewId="0">
      <selection activeCell="K45" sqref="K45"/>
    </sheetView>
  </sheetViews>
  <sheetFormatPr defaultRowHeight="12.75"/>
  <cols>
    <col min="1" max="1" width="9.140625" style="284"/>
    <col min="2" max="2" width="4.7109375" style="9" customWidth="1"/>
    <col min="3" max="3" width="5.140625" style="9" customWidth="1"/>
    <col min="4" max="4" width="5" style="9" customWidth="1"/>
    <col min="5" max="5" width="8.7109375" style="17" customWidth="1"/>
    <col min="6" max="6" width="8.7109375" style="289" customWidth="1"/>
    <col min="7" max="7" width="50.7109375" style="9" customWidth="1"/>
    <col min="8" max="9" width="14.7109375" style="57" customWidth="1"/>
    <col min="10" max="10" width="15.7109375" style="57" customWidth="1"/>
    <col min="11" max="12" width="14.7109375" style="57" customWidth="1"/>
    <col min="13" max="13" width="15.7109375" style="57" customWidth="1"/>
    <col min="14" max="14" width="7.7109375" style="350" customWidth="1"/>
    <col min="15" max="16384" width="9.140625" style="9"/>
  </cols>
  <sheetData>
    <row r="1" spans="1:16" ht="13.5" thickBot="1"/>
    <row r="2" spans="1:16" s="98" customFormat="1" ht="20.100000000000001" customHeight="1" thickTop="1" thickBot="1">
      <c r="A2" s="376"/>
      <c r="B2" s="590" t="s">
        <v>174</v>
      </c>
      <c r="C2" s="591"/>
      <c r="D2" s="591"/>
      <c r="E2" s="591"/>
      <c r="F2" s="591"/>
      <c r="G2" s="591"/>
      <c r="H2" s="609"/>
      <c r="I2" s="377"/>
      <c r="J2" s="377"/>
      <c r="K2" s="377"/>
      <c r="L2" s="377"/>
      <c r="M2" s="377"/>
      <c r="N2" s="380"/>
    </row>
    <row r="3" spans="1:16" s="1" customFormat="1" ht="8.1" customHeight="1" thickTop="1" thickBot="1">
      <c r="A3" s="281"/>
      <c r="E3" s="2"/>
      <c r="F3" s="282"/>
      <c r="G3" s="531"/>
      <c r="H3" s="92"/>
      <c r="I3" s="92"/>
      <c r="J3" s="92"/>
      <c r="K3" s="92"/>
      <c r="L3" s="92"/>
      <c r="M3" s="92"/>
      <c r="N3" s="344"/>
    </row>
    <row r="4" spans="1:16" s="1" customFormat="1" ht="39" customHeight="1">
      <c r="A4" s="281"/>
      <c r="B4" s="596" t="s">
        <v>78</v>
      </c>
      <c r="C4" s="606" t="s">
        <v>79</v>
      </c>
      <c r="D4" s="607" t="s">
        <v>110</v>
      </c>
      <c r="E4" s="608" t="s">
        <v>594</v>
      </c>
      <c r="F4" s="601" t="s">
        <v>653</v>
      </c>
      <c r="G4" s="602" t="s">
        <v>80</v>
      </c>
      <c r="H4" s="593" t="s">
        <v>647</v>
      </c>
      <c r="I4" s="594"/>
      <c r="J4" s="595"/>
      <c r="K4" s="593" t="s">
        <v>801</v>
      </c>
      <c r="L4" s="594"/>
      <c r="M4" s="595"/>
      <c r="N4" s="604" t="s">
        <v>805</v>
      </c>
    </row>
    <row r="5" spans="1:16" s="281" customFormat="1" ht="27" customHeight="1">
      <c r="B5" s="597"/>
      <c r="C5" s="599"/>
      <c r="D5" s="599"/>
      <c r="E5" s="603"/>
      <c r="F5" s="599"/>
      <c r="G5" s="603"/>
      <c r="H5" s="372" t="s">
        <v>705</v>
      </c>
      <c r="I5" s="372" t="s">
        <v>706</v>
      </c>
      <c r="J5" s="382" t="s">
        <v>413</v>
      </c>
      <c r="K5" s="372" t="s">
        <v>705</v>
      </c>
      <c r="L5" s="372" t="s">
        <v>706</v>
      </c>
      <c r="M5" s="382" t="s">
        <v>413</v>
      </c>
      <c r="N5" s="605"/>
    </row>
    <row r="6" spans="1:16" s="2" customFormat="1" ht="12.95" customHeight="1">
      <c r="A6" s="282"/>
      <c r="B6" s="504">
        <v>1</v>
      </c>
      <c r="C6" s="331">
        <v>2</v>
      </c>
      <c r="D6" s="331">
        <v>3</v>
      </c>
      <c r="E6" s="331">
        <v>4</v>
      </c>
      <c r="F6" s="331">
        <v>5</v>
      </c>
      <c r="G6" s="331">
        <v>6</v>
      </c>
      <c r="H6" s="331">
        <v>7</v>
      </c>
      <c r="I6" s="331">
        <v>8</v>
      </c>
      <c r="J6" s="523" t="s">
        <v>804</v>
      </c>
      <c r="K6" s="331">
        <v>10</v>
      </c>
      <c r="L6" s="331">
        <v>11</v>
      </c>
      <c r="M6" s="523" t="s">
        <v>707</v>
      </c>
      <c r="N6" s="505">
        <v>13</v>
      </c>
    </row>
    <row r="7" spans="1:16" s="2" customFormat="1" ht="12.95" customHeight="1">
      <c r="A7" s="282"/>
      <c r="B7" s="6" t="s">
        <v>143</v>
      </c>
      <c r="C7" s="7" t="s">
        <v>145</v>
      </c>
      <c r="D7" s="7" t="s">
        <v>148</v>
      </c>
      <c r="E7" s="5"/>
      <c r="F7" s="283"/>
      <c r="G7" s="5"/>
      <c r="H7" s="86"/>
      <c r="I7" s="86"/>
      <c r="J7" s="392"/>
      <c r="K7" s="86"/>
      <c r="L7" s="86"/>
      <c r="M7" s="392"/>
      <c r="N7" s="345"/>
    </row>
    <row r="8" spans="1:16" s="1" customFormat="1" ht="12.95" customHeight="1">
      <c r="A8" s="281"/>
      <c r="B8" s="12"/>
      <c r="C8" s="8"/>
      <c r="D8" s="8"/>
      <c r="E8" s="305">
        <v>611000</v>
      </c>
      <c r="F8" s="331"/>
      <c r="G8" s="8" t="s">
        <v>163</v>
      </c>
      <c r="H8" s="210">
        <f t="shared" ref="H8:M8" si="0">SUM(H9:H11)</f>
        <v>579860</v>
      </c>
      <c r="I8" s="210">
        <f t="shared" si="0"/>
        <v>0</v>
      </c>
      <c r="J8" s="384">
        <f t="shared" si="0"/>
        <v>579860</v>
      </c>
      <c r="K8" s="210">
        <f t="shared" si="0"/>
        <v>144908</v>
      </c>
      <c r="L8" s="210">
        <f t="shared" si="0"/>
        <v>0</v>
      </c>
      <c r="M8" s="384">
        <f t="shared" si="0"/>
        <v>144908</v>
      </c>
      <c r="N8" s="346">
        <f>IF(J8=0,"",M8/J8*100)</f>
        <v>24.99017004104439</v>
      </c>
    </row>
    <row r="9" spans="1:16" ht="12.95" customHeight="1">
      <c r="B9" s="10"/>
      <c r="C9" s="11"/>
      <c r="D9" s="11"/>
      <c r="E9" s="306">
        <v>611100</v>
      </c>
      <c r="F9" s="332"/>
      <c r="G9" s="18" t="s">
        <v>198</v>
      </c>
      <c r="H9" s="212">
        <f>473000+0+3000+2*500</f>
        <v>477000</v>
      </c>
      <c r="I9" s="212">
        <v>0</v>
      </c>
      <c r="J9" s="385">
        <f>SUM(H9:I9)</f>
        <v>477000</v>
      </c>
      <c r="K9" s="212">
        <v>120618</v>
      </c>
      <c r="L9" s="212">
        <v>0</v>
      </c>
      <c r="M9" s="385">
        <f>SUM(K9:L9)</f>
        <v>120618</v>
      </c>
      <c r="N9" s="347">
        <f t="shared" ref="N9:N66" si="1">IF(J9=0,"",M9/J9*100)</f>
        <v>25.286792452830188</v>
      </c>
    </row>
    <row r="10" spans="1:16" ht="12.95" customHeight="1">
      <c r="B10" s="10"/>
      <c r="C10" s="11"/>
      <c r="D10" s="11"/>
      <c r="E10" s="306">
        <v>611200</v>
      </c>
      <c r="F10" s="332"/>
      <c r="G10" s="11" t="s">
        <v>199</v>
      </c>
      <c r="H10" s="212">
        <f>95300+2000+3760+2*900</f>
        <v>102860</v>
      </c>
      <c r="I10" s="212">
        <v>0</v>
      </c>
      <c r="J10" s="385">
        <f t="shared" ref="J10:J11" si="2">SUM(H10:I10)</f>
        <v>102860</v>
      </c>
      <c r="K10" s="212">
        <v>24290</v>
      </c>
      <c r="L10" s="212">
        <v>0</v>
      </c>
      <c r="M10" s="385">
        <f t="shared" ref="M10:M11" si="3">SUM(K10:L10)</f>
        <v>24290</v>
      </c>
      <c r="N10" s="347">
        <f t="shared" si="1"/>
        <v>23.614621816060666</v>
      </c>
    </row>
    <row r="11" spans="1:16" ht="12.95" customHeight="1">
      <c r="B11" s="10"/>
      <c r="C11" s="11"/>
      <c r="D11" s="11"/>
      <c r="E11" s="306">
        <v>611200</v>
      </c>
      <c r="F11" s="332"/>
      <c r="G11" s="189" t="s">
        <v>534</v>
      </c>
      <c r="H11" s="209">
        <v>0</v>
      </c>
      <c r="I11" s="209">
        <v>0</v>
      </c>
      <c r="J11" s="385">
        <f t="shared" si="2"/>
        <v>0</v>
      </c>
      <c r="K11" s="209">
        <v>0</v>
      </c>
      <c r="L11" s="209">
        <v>0</v>
      </c>
      <c r="M11" s="385">
        <f t="shared" si="3"/>
        <v>0</v>
      </c>
      <c r="N11" s="347" t="str">
        <f t="shared" si="1"/>
        <v/>
      </c>
      <c r="P11" s="56"/>
    </row>
    <row r="12" spans="1:16" ht="12.95" customHeight="1">
      <c r="B12" s="10"/>
      <c r="C12" s="11"/>
      <c r="D12" s="11"/>
      <c r="E12" s="306"/>
      <c r="F12" s="332"/>
      <c r="G12" s="11"/>
      <c r="H12" s="210"/>
      <c r="I12" s="210"/>
      <c r="J12" s="384"/>
      <c r="K12" s="210"/>
      <c r="L12" s="210"/>
      <c r="M12" s="384"/>
      <c r="N12" s="347" t="str">
        <f t="shared" si="1"/>
        <v/>
      </c>
    </row>
    <row r="13" spans="1:16" s="1" customFormat="1" ht="12.95" customHeight="1">
      <c r="A13" s="281"/>
      <c r="B13" s="12"/>
      <c r="C13" s="8"/>
      <c r="D13" s="8"/>
      <c r="E13" s="305">
        <v>612000</v>
      </c>
      <c r="F13" s="331"/>
      <c r="G13" s="8" t="s">
        <v>162</v>
      </c>
      <c r="H13" s="210">
        <f t="shared" ref="H13:M13" si="4">H14</f>
        <v>50890</v>
      </c>
      <c r="I13" s="210">
        <f t="shared" si="4"/>
        <v>0</v>
      </c>
      <c r="J13" s="384">
        <f t="shared" si="4"/>
        <v>50890</v>
      </c>
      <c r="K13" s="210">
        <f t="shared" si="4"/>
        <v>12988</v>
      </c>
      <c r="L13" s="210">
        <f t="shared" si="4"/>
        <v>0</v>
      </c>
      <c r="M13" s="384">
        <f t="shared" si="4"/>
        <v>12988</v>
      </c>
      <c r="N13" s="346">
        <f t="shared" si="1"/>
        <v>25.521713499705246</v>
      </c>
    </row>
    <row r="14" spans="1:16" ht="12.95" customHeight="1">
      <c r="B14" s="10"/>
      <c r="C14" s="11"/>
      <c r="D14" s="11"/>
      <c r="E14" s="306">
        <v>612100</v>
      </c>
      <c r="F14" s="332"/>
      <c r="G14" s="13" t="s">
        <v>83</v>
      </c>
      <c r="H14" s="212">
        <f>50500+250+2*70</f>
        <v>50890</v>
      </c>
      <c r="I14" s="212">
        <v>0</v>
      </c>
      <c r="J14" s="385">
        <f>SUM(H14:I14)</f>
        <v>50890</v>
      </c>
      <c r="K14" s="212">
        <v>12988</v>
      </c>
      <c r="L14" s="212">
        <v>0</v>
      </c>
      <c r="M14" s="385">
        <f>SUM(K14:L14)</f>
        <v>12988</v>
      </c>
      <c r="N14" s="347">
        <f t="shared" si="1"/>
        <v>25.521713499705246</v>
      </c>
    </row>
    <row r="15" spans="1:16" ht="12.95" customHeight="1">
      <c r="B15" s="10"/>
      <c r="C15" s="11"/>
      <c r="D15" s="11"/>
      <c r="E15" s="306"/>
      <c r="F15" s="332"/>
      <c r="G15" s="11"/>
      <c r="H15" s="288"/>
      <c r="I15" s="288"/>
      <c r="J15" s="387"/>
      <c r="K15" s="288"/>
      <c r="L15" s="288"/>
      <c r="M15" s="387"/>
      <c r="N15" s="347" t="str">
        <f t="shared" si="1"/>
        <v/>
      </c>
    </row>
    <row r="16" spans="1:16" s="1" customFormat="1" ht="12.95" customHeight="1">
      <c r="A16" s="281"/>
      <c r="B16" s="12"/>
      <c r="C16" s="8"/>
      <c r="D16" s="8"/>
      <c r="E16" s="305">
        <v>613000</v>
      </c>
      <c r="F16" s="331"/>
      <c r="G16" s="8" t="s">
        <v>164</v>
      </c>
      <c r="H16" s="293">
        <f t="shared" ref="H16:M16" si="5">SUM(H17:H26)</f>
        <v>63400</v>
      </c>
      <c r="I16" s="293">
        <f t="shared" si="5"/>
        <v>0</v>
      </c>
      <c r="J16" s="387">
        <f t="shared" si="5"/>
        <v>63400</v>
      </c>
      <c r="K16" s="293">
        <f t="shared" si="5"/>
        <v>20500</v>
      </c>
      <c r="L16" s="293">
        <f t="shared" si="5"/>
        <v>0</v>
      </c>
      <c r="M16" s="387">
        <f t="shared" si="5"/>
        <v>20500</v>
      </c>
      <c r="N16" s="346">
        <f t="shared" si="1"/>
        <v>32.33438485804416</v>
      </c>
    </row>
    <row r="17" spans="1:14" ht="12.95" customHeight="1">
      <c r="B17" s="10"/>
      <c r="C17" s="11"/>
      <c r="D17" s="11"/>
      <c r="E17" s="306">
        <v>613100</v>
      </c>
      <c r="F17" s="332"/>
      <c r="G17" s="11" t="s">
        <v>84</v>
      </c>
      <c r="H17" s="363">
        <v>4500</v>
      </c>
      <c r="I17" s="363">
        <v>0</v>
      </c>
      <c r="J17" s="385">
        <f t="shared" ref="J17:J26" si="6">SUM(H17:I17)</f>
        <v>4500</v>
      </c>
      <c r="K17" s="363">
        <v>0</v>
      </c>
      <c r="L17" s="363">
        <v>0</v>
      </c>
      <c r="M17" s="385">
        <f t="shared" ref="M17:M26" si="7">SUM(K17:L17)</f>
        <v>0</v>
      </c>
      <c r="N17" s="347">
        <f t="shared" si="1"/>
        <v>0</v>
      </c>
    </row>
    <row r="18" spans="1:14" ht="12.95" customHeight="1">
      <c r="B18" s="10"/>
      <c r="C18" s="11"/>
      <c r="D18" s="11"/>
      <c r="E18" s="306">
        <v>613200</v>
      </c>
      <c r="F18" s="332"/>
      <c r="G18" s="11" t="s">
        <v>85</v>
      </c>
      <c r="H18" s="363">
        <v>30500</v>
      </c>
      <c r="I18" s="363">
        <v>0</v>
      </c>
      <c r="J18" s="385">
        <f t="shared" si="6"/>
        <v>30500</v>
      </c>
      <c r="K18" s="363">
        <v>14656</v>
      </c>
      <c r="L18" s="363">
        <v>0</v>
      </c>
      <c r="M18" s="385">
        <f t="shared" si="7"/>
        <v>14656</v>
      </c>
      <c r="N18" s="347">
        <f t="shared" si="1"/>
        <v>48.052459016393442</v>
      </c>
    </row>
    <row r="19" spans="1:14" ht="12.95" customHeight="1">
      <c r="B19" s="10"/>
      <c r="C19" s="11"/>
      <c r="D19" s="11"/>
      <c r="E19" s="306">
        <v>613300</v>
      </c>
      <c r="F19" s="332"/>
      <c r="G19" s="18" t="s">
        <v>200</v>
      </c>
      <c r="H19" s="363">
        <v>2400</v>
      </c>
      <c r="I19" s="363">
        <v>0</v>
      </c>
      <c r="J19" s="385">
        <f t="shared" si="6"/>
        <v>2400</v>
      </c>
      <c r="K19" s="363">
        <v>855</v>
      </c>
      <c r="L19" s="363">
        <v>0</v>
      </c>
      <c r="M19" s="385">
        <f t="shared" si="7"/>
        <v>855</v>
      </c>
      <c r="N19" s="347">
        <f t="shared" si="1"/>
        <v>35.625</v>
      </c>
    </row>
    <row r="20" spans="1:14" ht="12.95" customHeight="1">
      <c r="B20" s="10"/>
      <c r="C20" s="11"/>
      <c r="D20" s="11"/>
      <c r="E20" s="306">
        <v>613400</v>
      </c>
      <c r="F20" s="332"/>
      <c r="G20" s="11" t="s">
        <v>165</v>
      </c>
      <c r="H20" s="365">
        <v>9000</v>
      </c>
      <c r="I20" s="365">
        <v>0</v>
      </c>
      <c r="J20" s="385">
        <f t="shared" si="6"/>
        <v>9000</v>
      </c>
      <c r="K20" s="365">
        <v>1372</v>
      </c>
      <c r="L20" s="365">
        <v>0</v>
      </c>
      <c r="M20" s="385">
        <f t="shared" si="7"/>
        <v>1372</v>
      </c>
      <c r="N20" s="347">
        <f t="shared" si="1"/>
        <v>15.244444444444444</v>
      </c>
    </row>
    <row r="21" spans="1:14" ht="12.95" customHeight="1">
      <c r="B21" s="10"/>
      <c r="C21" s="11"/>
      <c r="D21" s="11"/>
      <c r="E21" s="306">
        <v>613500</v>
      </c>
      <c r="F21" s="332"/>
      <c r="G21" s="11" t="s">
        <v>86</v>
      </c>
      <c r="H21" s="365">
        <v>1000</v>
      </c>
      <c r="I21" s="365">
        <v>0</v>
      </c>
      <c r="J21" s="385">
        <f t="shared" si="6"/>
        <v>1000</v>
      </c>
      <c r="K21" s="365">
        <v>107</v>
      </c>
      <c r="L21" s="365">
        <v>0</v>
      </c>
      <c r="M21" s="385">
        <f t="shared" si="7"/>
        <v>107</v>
      </c>
      <c r="N21" s="347">
        <f t="shared" si="1"/>
        <v>10.7</v>
      </c>
    </row>
    <row r="22" spans="1:14" ht="12.95" customHeight="1">
      <c r="B22" s="10"/>
      <c r="C22" s="11"/>
      <c r="D22" s="11"/>
      <c r="E22" s="306">
        <v>613600</v>
      </c>
      <c r="F22" s="332"/>
      <c r="G22" s="18" t="s">
        <v>201</v>
      </c>
      <c r="H22" s="365">
        <v>0</v>
      </c>
      <c r="I22" s="365">
        <v>0</v>
      </c>
      <c r="J22" s="385">
        <f t="shared" si="6"/>
        <v>0</v>
      </c>
      <c r="K22" s="365">
        <v>0</v>
      </c>
      <c r="L22" s="365">
        <v>0</v>
      </c>
      <c r="M22" s="385">
        <f t="shared" si="7"/>
        <v>0</v>
      </c>
      <c r="N22" s="347" t="str">
        <f t="shared" si="1"/>
        <v/>
      </c>
    </row>
    <row r="23" spans="1:14" ht="12.95" customHeight="1">
      <c r="B23" s="10"/>
      <c r="C23" s="11"/>
      <c r="D23" s="11"/>
      <c r="E23" s="306">
        <v>613700</v>
      </c>
      <c r="F23" s="332"/>
      <c r="G23" s="11" t="s">
        <v>87</v>
      </c>
      <c r="H23" s="365">
        <v>8500</v>
      </c>
      <c r="I23" s="365">
        <v>0</v>
      </c>
      <c r="J23" s="385">
        <f t="shared" si="6"/>
        <v>8500</v>
      </c>
      <c r="K23" s="365">
        <v>1548</v>
      </c>
      <c r="L23" s="365">
        <v>0</v>
      </c>
      <c r="M23" s="385">
        <f t="shared" si="7"/>
        <v>1548</v>
      </c>
      <c r="N23" s="347">
        <f t="shared" si="1"/>
        <v>18.211764705882352</v>
      </c>
    </row>
    <row r="24" spans="1:14" ht="12.95" customHeight="1">
      <c r="B24" s="10"/>
      <c r="C24" s="11"/>
      <c r="D24" s="11"/>
      <c r="E24" s="306">
        <v>613800</v>
      </c>
      <c r="F24" s="332"/>
      <c r="G24" s="11" t="s">
        <v>166</v>
      </c>
      <c r="H24" s="365">
        <v>0</v>
      </c>
      <c r="I24" s="365">
        <v>0</v>
      </c>
      <c r="J24" s="385">
        <f t="shared" si="6"/>
        <v>0</v>
      </c>
      <c r="K24" s="365">
        <v>0</v>
      </c>
      <c r="L24" s="365">
        <v>0</v>
      </c>
      <c r="M24" s="385">
        <f t="shared" si="7"/>
        <v>0</v>
      </c>
      <c r="N24" s="347" t="str">
        <f t="shared" si="1"/>
        <v/>
      </c>
    </row>
    <row r="25" spans="1:14" ht="12.95" customHeight="1">
      <c r="B25" s="10"/>
      <c r="C25" s="11"/>
      <c r="D25" s="11"/>
      <c r="E25" s="306">
        <v>613900</v>
      </c>
      <c r="F25" s="332"/>
      <c r="G25" s="11" t="s">
        <v>167</v>
      </c>
      <c r="H25" s="365">
        <v>7500</v>
      </c>
      <c r="I25" s="365">
        <v>0</v>
      </c>
      <c r="J25" s="385">
        <f t="shared" si="6"/>
        <v>7500</v>
      </c>
      <c r="K25" s="365">
        <v>1962</v>
      </c>
      <c r="L25" s="365">
        <v>0</v>
      </c>
      <c r="M25" s="385">
        <f t="shared" si="7"/>
        <v>1962</v>
      </c>
      <c r="N25" s="347">
        <f t="shared" si="1"/>
        <v>26.16</v>
      </c>
    </row>
    <row r="26" spans="1:14" ht="12.95" customHeight="1">
      <c r="B26" s="10"/>
      <c r="C26" s="11"/>
      <c r="D26" s="11"/>
      <c r="E26" s="306">
        <v>613900</v>
      </c>
      <c r="F26" s="332"/>
      <c r="G26" s="189" t="s">
        <v>535</v>
      </c>
      <c r="H26" s="365">
        <v>0</v>
      </c>
      <c r="I26" s="365">
        <v>0</v>
      </c>
      <c r="J26" s="385">
        <f t="shared" si="6"/>
        <v>0</v>
      </c>
      <c r="K26" s="365">
        <v>0</v>
      </c>
      <c r="L26" s="365">
        <v>0</v>
      </c>
      <c r="M26" s="385">
        <f t="shared" si="7"/>
        <v>0</v>
      </c>
      <c r="N26" s="347" t="str">
        <f t="shared" si="1"/>
        <v/>
      </c>
    </row>
    <row r="27" spans="1:14" s="1" customFormat="1" ht="12.95" customHeight="1">
      <c r="A27" s="281"/>
      <c r="B27" s="12"/>
      <c r="C27" s="8"/>
      <c r="D27" s="8"/>
      <c r="E27" s="305"/>
      <c r="F27" s="331"/>
      <c r="G27" s="8"/>
      <c r="H27" s="296"/>
      <c r="I27" s="296"/>
      <c r="J27" s="386"/>
      <c r="K27" s="296"/>
      <c r="L27" s="296"/>
      <c r="M27" s="386"/>
      <c r="N27" s="347" t="str">
        <f t="shared" si="1"/>
        <v/>
      </c>
    </row>
    <row r="28" spans="1:14" s="1" customFormat="1" ht="12.95" customHeight="1">
      <c r="A28" s="281"/>
      <c r="B28" s="12"/>
      <c r="C28" s="8"/>
      <c r="D28" s="8"/>
      <c r="E28" s="305">
        <v>821000</v>
      </c>
      <c r="F28" s="331"/>
      <c r="G28" s="8" t="s">
        <v>90</v>
      </c>
      <c r="H28" s="295">
        <f t="shared" ref="H28:M28" si="8">SUM(H29:H31)</f>
        <v>3000</v>
      </c>
      <c r="I28" s="295">
        <f t="shared" si="8"/>
        <v>0</v>
      </c>
      <c r="J28" s="387">
        <f t="shared" si="8"/>
        <v>3000</v>
      </c>
      <c r="K28" s="295">
        <f t="shared" si="8"/>
        <v>2899</v>
      </c>
      <c r="L28" s="295">
        <f t="shared" si="8"/>
        <v>0</v>
      </c>
      <c r="M28" s="387">
        <f t="shared" si="8"/>
        <v>2899</v>
      </c>
      <c r="N28" s="346">
        <f t="shared" si="1"/>
        <v>96.63333333333334</v>
      </c>
    </row>
    <row r="29" spans="1:14" ht="12.95" customHeight="1">
      <c r="B29" s="10"/>
      <c r="C29" s="11"/>
      <c r="D29" s="11"/>
      <c r="E29" s="306">
        <v>821200</v>
      </c>
      <c r="F29" s="332"/>
      <c r="G29" s="11" t="s">
        <v>91</v>
      </c>
      <c r="H29" s="296">
        <v>0</v>
      </c>
      <c r="I29" s="296">
        <v>0</v>
      </c>
      <c r="J29" s="385">
        <f t="shared" ref="J29:J30" si="9">SUM(H29:I29)</f>
        <v>0</v>
      </c>
      <c r="K29" s="296">
        <v>0</v>
      </c>
      <c r="L29" s="296">
        <v>0</v>
      </c>
      <c r="M29" s="385">
        <f t="shared" ref="M29:M30" si="10">SUM(K29:L29)</f>
        <v>0</v>
      </c>
      <c r="N29" s="347" t="str">
        <f t="shared" si="1"/>
        <v/>
      </c>
    </row>
    <row r="30" spans="1:14" ht="12.95" customHeight="1">
      <c r="B30" s="10"/>
      <c r="C30" s="11"/>
      <c r="D30" s="11"/>
      <c r="E30" s="306">
        <v>821300</v>
      </c>
      <c r="F30" s="332"/>
      <c r="G30" s="11" t="s">
        <v>92</v>
      </c>
      <c r="H30" s="296">
        <v>3000</v>
      </c>
      <c r="I30" s="296">
        <v>0</v>
      </c>
      <c r="J30" s="385">
        <f t="shared" si="9"/>
        <v>3000</v>
      </c>
      <c r="K30" s="296">
        <v>2899</v>
      </c>
      <c r="L30" s="296">
        <v>0</v>
      </c>
      <c r="M30" s="385">
        <f t="shared" si="10"/>
        <v>2899</v>
      </c>
      <c r="N30" s="347">
        <f t="shared" si="1"/>
        <v>96.63333333333334</v>
      </c>
    </row>
    <row r="31" spans="1:14" ht="12.95" customHeight="1">
      <c r="B31" s="10"/>
      <c r="C31" s="11"/>
      <c r="D31" s="11"/>
      <c r="E31" s="306"/>
      <c r="F31" s="332"/>
      <c r="G31" s="18"/>
      <c r="H31" s="296"/>
      <c r="I31" s="296"/>
      <c r="J31" s="386"/>
      <c r="K31" s="296"/>
      <c r="L31" s="296"/>
      <c r="M31" s="386"/>
      <c r="N31" s="347" t="str">
        <f t="shared" si="1"/>
        <v/>
      </c>
    </row>
    <row r="32" spans="1:14" s="1" customFormat="1" ht="12.95" customHeight="1">
      <c r="A32" s="281"/>
      <c r="B32" s="12"/>
      <c r="C32" s="8"/>
      <c r="D32" s="8"/>
      <c r="E32" s="305"/>
      <c r="F32" s="331"/>
      <c r="G32" s="8" t="s">
        <v>93</v>
      </c>
      <c r="H32" s="278" t="s">
        <v>597</v>
      </c>
      <c r="I32" s="278"/>
      <c r="J32" s="389" t="s">
        <v>597</v>
      </c>
      <c r="K32" s="278" t="s">
        <v>834</v>
      </c>
      <c r="L32" s="278"/>
      <c r="M32" s="389" t="s">
        <v>834</v>
      </c>
      <c r="N32" s="347"/>
    </row>
    <row r="33" spans="1:14" s="1" customFormat="1" ht="12.95" customHeight="1">
      <c r="A33" s="281"/>
      <c r="B33" s="12"/>
      <c r="C33" s="8"/>
      <c r="D33" s="8"/>
      <c r="E33" s="305"/>
      <c r="F33" s="331"/>
      <c r="G33" s="8" t="s">
        <v>113</v>
      </c>
      <c r="H33" s="288">
        <f t="shared" ref="H33:M33" si="11">H8+H13+H16+H28</f>
        <v>697150</v>
      </c>
      <c r="I33" s="288">
        <f t="shared" si="11"/>
        <v>0</v>
      </c>
      <c r="J33" s="387">
        <f t="shared" si="11"/>
        <v>697150</v>
      </c>
      <c r="K33" s="288">
        <f t="shared" si="11"/>
        <v>181295</v>
      </c>
      <c r="L33" s="288">
        <f t="shared" si="11"/>
        <v>0</v>
      </c>
      <c r="M33" s="387">
        <f t="shared" si="11"/>
        <v>181295</v>
      </c>
      <c r="N33" s="346">
        <f t="shared" si="1"/>
        <v>26.005163881517607</v>
      </c>
    </row>
    <row r="34" spans="1:14" s="1" customFormat="1" ht="12.95" customHeight="1">
      <c r="A34" s="281"/>
      <c r="B34" s="12"/>
      <c r="C34" s="8"/>
      <c r="D34" s="8"/>
      <c r="E34" s="305"/>
      <c r="F34" s="331"/>
      <c r="G34" s="8" t="s">
        <v>94</v>
      </c>
      <c r="H34" s="288">
        <f>H33+'29'!H33+'28'!H33+'27'!H33+'26'!H33+'25'!H33+'24'!H33</f>
        <v>7967330</v>
      </c>
      <c r="I34" s="288">
        <f>I33+'29'!I33+'28'!I33+'27'!I33+'26'!I33+'25'!I33+'24'!I33</f>
        <v>9560</v>
      </c>
      <c r="J34" s="387">
        <f>J33+'29'!J33+'28'!J33+'27'!J33+'26'!J33+'25'!J33+'24'!J33</f>
        <v>7976890</v>
      </c>
      <c r="K34" s="288">
        <f>K33+'29'!N33+'28'!N33+'27'!N33+'26'!N33+'25'!N33+'24'!N33</f>
        <v>181440.26796583497</v>
      </c>
      <c r="L34" s="288">
        <f>L33+'29'!O33+'28'!O33+'27'!O33+'26'!O33+'25'!O33+'24'!O33</f>
        <v>0</v>
      </c>
      <c r="M34" s="387">
        <f>M33+'29'!P33+'28'!P33+'27'!P33+'26'!P33+'25'!P33+'24'!P33</f>
        <v>181295</v>
      </c>
      <c r="N34" s="346">
        <f t="shared" si="1"/>
        <v>2.2727529149831578</v>
      </c>
    </row>
    <row r="35" spans="1:14" s="1" customFormat="1" ht="12.95" customHeight="1">
      <c r="A35" s="281"/>
      <c r="B35" s="12"/>
      <c r="C35" s="8"/>
      <c r="D35" s="8"/>
      <c r="E35" s="305"/>
      <c r="F35" s="331"/>
      <c r="G35" s="8" t="s">
        <v>95</v>
      </c>
      <c r="H35" s="288">
        <f>H34+'23'!H35+'20'!H52</f>
        <v>13474630</v>
      </c>
      <c r="I35" s="288">
        <f>I34+'23'!I35+'20'!I52</f>
        <v>26650</v>
      </c>
      <c r="J35" s="387">
        <f>J34+'23'!J35+'20'!J52</f>
        <v>13501280</v>
      </c>
      <c r="K35" s="288">
        <f>K34+'23'!N35+'20'!N52</f>
        <v>181465.63348121822</v>
      </c>
      <c r="L35" s="288">
        <f>L34+'23'!O35+'20'!O52</f>
        <v>0</v>
      </c>
      <c r="M35" s="387">
        <f>M34+'23'!P35+'20'!P52</f>
        <v>181295</v>
      </c>
      <c r="N35" s="346">
        <f t="shared" si="1"/>
        <v>1.3427986087245061</v>
      </c>
    </row>
    <row r="36" spans="1:14" ht="12.95" customHeight="1" thickBot="1">
      <c r="B36" s="15"/>
      <c r="C36" s="16"/>
      <c r="D36" s="16"/>
      <c r="E36" s="307"/>
      <c r="F36" s="333"/>
      <c r="G36" s="16"/>
      <c r="H36" s="27"/>
      <c r="I36" s="27"/>
      <c r="J36" s="390"/>
      <c r="K36" s="27"/>
      <c r="L36" s="27"/>
      <c r="M36" s="390"/>
      <c r="N36" s="349" t="str">
        <f t="shared" si="1"/>
        <v/>
      </c>
    </row>
    <row r="37" spans="1:14" ht="12.95" customHeight="1">
      <c r="E37" s="308"/>
      <c r="F37" s="334"/>
      <c r="J37" s="393"/>
      <c r="M37" s="393"/>
      <c r="N37" s="350" t="str">
        <f t="shared" si="1"/>
        <v/>
      </c>
    </row>
    <row r="38" spans="1:14" ht="12.95" customHeight="1">
      <c r="B38" s="50"/>
      <c r="E38" s="308"/>
      <c r="F38" s="334"/>
      <c r="J38" s="393"/>
      <c r="M38" s="393"/>
      <c r="N38" s="350" t="str">
        <f t="shared" si="1"/>
        <v/>
      </c>
    </row>
    <row r="39" spans="1:14" ht="12.95" customHeight="1">
      <c r="B39" s="50"/>
      <c r="E39" s="308"/>
      <c r="F39" s="334"/>
      <c r="J39" s="393"/>
      <c r="M39" s="393"/>
      <c r="N39" s="350" t="str">
        <f t="shared" si="1"/>
        <v/>
      </c>
    </row>
    <row r="40" spans="1:14" ht="12.95" customHeight="1">
      <c r="B40" s="50"/>
      <c r="E40" s="308"/>
      <c r="F40" s="334"/>
      <c r="J40" s="393"/>
      <c r="M40" s="393"/>
      <c r="N40" s="350" t="str">
        <f t="shared" si="1"/>
        <v/>
      </c>
    </row>
    <row r="41" spans="1:14" ht="12.95" customHeight="1">
      <c r="B41" s="50"/>
      <c r="E41" s="308"/>
      <c r="F41" s="334"/>
      <c r="J41" s="393"/>
      <c r="M41" s="393"/>
      <c r="N41" s="350" t="str">
        <f t="shared" si="1"/>
        <v/>
      </c>
    </row>
    <row r="42" spans="1:14" ht="12.95" customHeight="1">
      <c r="B42" s="50"/>
      <c r="E42" s="308"/>
      <c r="F42" s="334"/>
      <c r="J42" s="393"/>
      <c r="M42" s="393"/>
      <c r="N42" s="350" t="str">
        <f t="shared" si="1"/>
        <v/>
      </c>
    </row>
    <row r="43" spans="1:14" ht="12.95" customHeight="1">
      <c r="B43" s="50"/>
      <c r="E43" s="308"/>
      <c r="F43" s="334"/>
      <c r="J43" s="393"/>
      <c r="M43" s="393"/>
      <c r="N43" s="350" t="str">
        <f t="shared" si="1"/>
        <v/>
      </c>
    </row>
    <row r="44" spans="1:14" ht="12.95" customHeight="1">
      <c r="B44" s="50"/>
      <c r="E44" s="308"/>
      <c r="F44" s="334"/>
      <c r="J44" s="393"/>
      <c r="M44" s="393"/>
      <c r="N44" s="350" t="str">
        <f t="shared" si="1"/>
        <v/>
      </c>
    </row>
    <row r="45" spans="1:14" ht="12.95" customHeight="1">
      <c r="E45" s="308"/>
      <c r="F45" s="334"/>
      <c r="J45" s="393"/>
      <c r="M45" s="393"/>
      <c r="N45" s="350" t="str">
        <f t="shared" si="1"/>
        <v/>
      </c>
    </row>
    <row r="46" spans="1:14" ht="12.95" customHeight="1">
      <c r="E46" s="308"/>
      <c r="F46" s="334"/>
      <c r="J46" s="393"/>
      <c r="M46" s="393"/>
      <c r="N46" s="350" t="str">
        <f t="shared" si="1"/>
        <v/>
      </c>
    </row>
    <row r="47" spans="1:14" ht="12.95" customHeight="1">
      <c r="E47" s="308"/>
      <c r="F47" s="334"/>
      <c r="J47" s="393"/>
      <c r="M47" s="393"/>
      <c r="N47" s="350" t="str">
        <f t="shared" si="1"/>
        <v/>
      </c>
    </row>
    <row r="48" spans="1:14" ht="12.95" customHeight="1">
      <c r="E48" s="308"/>
      <c r="F48" s="334"/>
      <c r="J48" s="393"/>
      <c r="M48" s="393"/>
      <c r="N48" s="350" t="str">
        <f t="shared" si="1"/>
        <v/>
      </c>
    </row>
    <row r="49" spans="5:14" ht="12.95" customHeight="1">
      <c r="E49" s="308"/>
      <c r="F49" s="334"/>
      <c r="J49" s="393"/>
      <c r="M49" s="393"/>
      <c r="N49" s="350" t="str">
        <f t="shared" si="1"/>
        <v/>
      </c>
    </row>
    <row r="50" spans="5:14" ht="12.95" customHeight="1">
      <c r="E50" s="308"/>
      <c r="F50" s="334"/>
      <c r="J50" s="393"/>
      <c r="M50" s="393"/>
      <c r="N50" s="350" t="str">
        <f t="shared" si="1"/>
        <v/>
      </c>
    </row>
    <row r="51" spans="5:14" ht="12.95" customHeight="1">
      <c r="E51" s="308"/>
      <c r="F51" s="334"/>
      <c r="J51" s="393"/>
      <c r="M51" s="393"/>
      <c r="N51" s="350" t="str">
        <f t="shared" si="1"/>
        <v/>
      </c>
    </row>
    <row r="52" spans="5:14" ht="12.95" customHeight="1">
      <c r="E52" s="308"/>
      <c r="F52" s="334"/>
      <c r="J52" s="393"/>
      <c r="M52" s="393"/>
      <c r="N52" s="350" t="str">
        <f t="shared" si="1"/>
        <v/>
      </c>
    </row>
    <row r="53" spans="5:14" ht="12.95" customHeight="1">
      <c r="E53" s="308"/>
      <c r="F53" s="334"/>
      <c r="J53" s="393"/>
      <c r="M53" s="393"/>
      <c r="N53" s="350" t="str">
        <f t="shared" si="1"/>
        <v/>
      </c>
    </row>
    <row r="54" spans="5:14" ht="12.95" customHeight="1">
      <c r="E54" s="308"/>
      <c r="F54" s="334"/>
      <c r="J54" s="393"/>
      <c r="M54" s="393"/>
      <c r="N54" s="350" t="str">
        <f t="shared" si="1"/>
        <v/>
      </c>
    </row>
    <row r="55" spans="5:14" ht="12.95" customHeight="1">
      <c r="E55" s="308"/>
      <c r="F55" s="334"/>
      <c r="J55" s="393"/>
      <c r="M55" s="393"/>
      <c r="N55" s="350" t="str">
        <f t="shared" si="1"/>
        <v/>
      </c>
    </row>
    <row r="56" spans="5:14" ht="12.95" customHeight="1">
      <c r="E56" s="308"/>
      <c r="F56" s="334"/>
      <c r="J56" s="393"/>
      <c r="M56" s="393"/>
      <c r="N56" s="350" t="str">
        <f t="shared" si="1"/>
        <v/>
      </c>
    </row>
    <row r="57" spans="5:14" ht="12.95" customHeight="1">
      <c r="E57" s="308"/>
      <c r="F57" s="334"/>
      <c r="J57" s="393"/>
      <c r="M57" s="393"/>
      <c r="N57" s="350" t="str">
        <f t="shared" si="1"/>
        <v/>
      </c>
    </row>
    <row r="58" spans="5:14" ht="12.95" customHeight="1">
      <c r="E58" s="308"/>
      <c r="F58" s="334"/>
      <c r="J58" s="393"/>
      <c r="M58" s="393"/>
      <c r="N58" s="350" t="str">
        <f t="shared" si="1"/>
        <v/>
      </c>
    </row>
    <row r="59" spans="5:14" ht="12.95" customHeight="1">
      <c r="E59" s="308"/>
      <c r="F59" s="334"/>
      <c r="J59" s="393"/>
      <c r="M59" s="393"/>
      <c r="N59" s="350" t="str">
        <f t="shared" si="1"/>
        <v/>
      </c>
    </row>
    <row r="60" spans="5:14" ht="17.100000000000001" customHeight="1">
      <c r="E60" s="308"/>
      <c r="F60" s="334"/>
      <c r="J60" s="393"/>
      <c r="M60" s="393"/>
      <c r="N60" s="350" t="str">
        <f t="shared" si="1"/>
        <v/>
      </c>
    </row>
    <row r="61" spans="5:14" ht="14.25">
      <c r="E61" s="308"/>
      <c r="F61" s="334"/>
      <c r="J61" s="393"/>
      <c r="M61" s="393"/>
      <c r="N61" s="350" t="str">
        <f t="shared" si="1"/>
        <v/>
      </c>
    </row>
    <row r="62" spans="5:14" ht="14.25">
      <c r="E62" s="308"/>
      <c r="F62" s="334"/>
      <c r="J62" s="393"/>
      <c r="M62" s="393"/>
      <c r="N62" s="350" t="str">
        <f t="shared" si="1"/>
        <v/>
      </c>
    </row>
    <row r="63" spans="5:14" ht="14.25">
      <c r="E63" s="308"/>
      <c r="F63" s="334"/>
      <c r="J63" s="393"/>
      <c r="M63" s="393"/>
      <c r="N63" s="350" t="str">
        <f t="shared" si="1"/>
        <v/>
      </c>
    </row>
    <row r="64" spans="5:14" ht="14.25">
      <c r="E64" s="308"/>
      <c r="F64" s="334"/>
      <c r="J64" s="393"/>
      <c r="M64" s="393"/>
      <c r="N64" s="350" t="str">
        <f t="shared" si="1"/>
        <v/>
      </c>
    </row>
    <row r="65" spans="5:14" ht="14.25">
      <c r="E65" s="308"/>
      <c r="F65" s="334"/>
      <c r="J65" s="393"/>
      <c r="M65" s="393"/>
      <c r="N65" s="350" t="str">
        <f t="shared" si="1"/>
        <v/>
      </c>
    </row>
    <row r="66" spans="5:14" ht="14.25">
      <c r="E66" s="308"/>
      <c r="F66" s="334"/>
      <c r="J66" s="393"/>
      <c r="M66" s="393"/>
      <c r="N66" s="350" t="str">
        <f t="shared" si="1"/>
        <v/>
      </c>
    </row>
    <row r="67" spans="5:14" ht="14.25">
      <c r="E67" s="308"/>
      <c r="F67" s="334"/>
      <c r="J67" s="393"/>
      <c r="M67" s="393"/>
    </row>
    <row r="68" spans="5:14" ht="14.25">
      <c r="E68" s="308"/>
      <c r="F68" s="334"/>
      <c r="J68" s="393"/>
      <c r="M68" s="393"/>
    </row>
    <row r="69" spans="5:14" ht="14.25">
      <c r="E69" s="308"/>
      <c r="F69" s="334"/>
      <c r="J69" s="393"/>
      <c r="M69" s="393"/>
    </row>
    <row r="70" spans="5:14" ht="14.25">
      <c r="E70" s="308"/>
      <c r="F70" s="334"/>
      <c r="J70" s="393"/>
      <c r="M70" s="393"/>
    </row>
    <row r="71" spans="5:14" ht="14.25">
      <c r="E71" s="308"/>
      <c r="F71" s="334"/>
      <c r="J71" s="393"/>
      <c r="M71" s="393"/>
    </row>
    <row r="72" spans="5:14" ht="14.25">
      <c r="E72" s="308"/>
      <c r="F72" s="334"/>
      <c r="J72" s="393"/>
      <c r="M72" s="393"/>
    </row>
    <row r="73" spans="5:14" ht="14.25">
      <c r="E73" s="308"/>
      <c r="F73" s="334"/>
      <c r="J73" s="393"/>
      <c r="M73" s="393"/>
    </row>
    <row r="74" spans="5:14" ht="14.25">
      <c r="E74" s="308"/>
      <c r="F74" s="308"/>
      <c r="J74" s="393"/>
      <c r="M74" s="393"/>
    </row>
    <row r="75" spans="5:14" ht="14.25">
      <c r="E75" s="308"/>
      <c r="F75" s="308"/>
      <c r="J75" s="393"/>
      <c r="M75" s="393"/>
    </row>
    <row r="76" spans="5:14" ht="14.25">
      <c r="E76" s="308"/>
      <c r="F76" s="308"/>
      <c r="J76" s="393"/>
      <c r="M76" s="393"/>
    </row>
    <row r="77" spans="5:14" ht="14.25">
      <c r="E77" s="308"/>
      <c r="F77" s="308"/>
      <c r="J77" s="393"/>
      <c r="M77" s="393"/>
    </row>
    <row r="78" spans="5:14" ht="14.25">
      <c r="E78" s="308"/>
      <c r="F78" s="308"/>
      <c r="J78" s="393"/>
      <c r="M78" s="393"/>
    </row>
    <row r="79" spans="5:14" ht="14.25">
      <c r="E79" s="308"/>
      <c r="F79" s="308"/>
      <c r="J79" s="393"/>
      <c r="M79" s="393"/>
    </row>
    <row r="80" spans="5:14" ht="14.25">
      <c r="E80" s="308"/>
      <c r="F80" s="308"/>
      <c r="J80" s="393"/>
      <c r="M80" s="393"/>
    </row>
    <row r="81" spans="5:13" ht="14.25">
      <c r="E81" s="308"/>
      <c r="F81" s="308"/>
      <c r="J81" s="393"/>
      <c r="M81" s="393"/>
    </row>
    <row r="82" spans="5:13" ht="14.25">
      <c r="E82" s="308"/>
      <c r="F82" s="308"/>
      <c r="J82" s="393"/>
      <c r="M82" s="393"/>
    </row>
    <row r="83" spans="5:13" ht="14.25">
      <c r="E83" s="308"/>
      <c r="F83" s="308"/>
      <c r="J83" s="393"/>
      <c r="M83" s="393"/>
    </row>
    <row r="84" spans="5:13" ht="14.25">
      <c r="E84" s="308"/>
      <c r="F84" s="308"/>
      <c r="J84" s="393"/>
      <c r="M84" s="393"/>
    </row>
    <row r="85" spans="5:13" ht="14.25">
      <c r="E85" s="308"/>
      <c r="F85" s="308"/>
      <c r="J85" s="393"/>
      <c r="M85" s="393"/>
    </row>
    <row r="86" spans="5:13" ht="14.25">
      <c r="E86" s="308"/>
      <c r="F86" s="308"/>
      <c r="J86" s="393"/>
      <c r="M86" s="393"/>
    </row>
    <row r="87" spans="5:13" ht="14.25">
      <c r="E87" s="308"/>
      <c r="F87" s="308"/>
      <c r="J87" s="393"/>
      <c r="M87" s="393"/>
    </row>
    <row r="88" spans="5:13" ht="14.25">
      <c r="E88" s="308"/>
      <c r="F88" s="308"/>
      <c r="J88" s="393"/>
      <c r="M88" s="393"/>
    </row>
    <row r="89" spans="5:13" ht="14.25">
      <c r="E89" s="308"/>
      <c r="F89" s="308"/>
      <c r="J89" s="393"/>
      <c r="M89" s="393"/>
    </row>
    <row r="90" spans="5:13" ht="14.25">
      <c r="E90" s="308"/>
      <c r="F90" s="308"/>
      <c r="J90" s="393"/>
      <c r="M90" s="393"/>
    </row>
    <row r="91" spans="5:13">
      <c r="F91" s="308"/>
    </row>
    <row r="92" spans="5:13">
      <c r="F92" s="308"/>
    </row>
    <row r="93" spans="5:13">
      <c r="F93" s="308"/>
    </row>
    <row r="94" spans="5:13">
      <c r="F94" s="308"/>
    </row>
    <row r="95" spans="5:13">
      <c r="F95" s="308"/>
    </row>
    <row r="96" spans="5:13">
      <c r="F96" s="308"/>
    </row>
  </sheetData>
  <mergeCells count="10">
    <mergeCell ref="B2:H2"/>
    <mergeCell ref="N4:N5"/>
    <mergeCell ref="G4:G5"/>
    <mergeCell ref="H4:J4"/>
    <mergeCell ref="B4:B5"/>
    <mergeCell ref="C4:C5"/>
    <mergeCell ref="D4:D5"/>
    <mergeCell ref="F4:F5"/>
    <mergeCell ref="E4:E5"/>
    <mergeCell ref="K4:M4"/>
  </mergeCells>
  <phoneticPr fontId="2" type="noConversion"/>
  <pageMargins left="0.78740157480314965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 codeName="Sheet36"/>
  <dimension ref="A1:P96"/>
  <sheetViews>
    <sheetView zoomScaleNormal="100" workbookViewId="0">
      <selection activeCell="K45" sqref="K45"/>
    </sheetView>
  </sheetViews>
  <sheetFormatPr defaultRowHeight="12.75"/>
  <cols>
    <col min="1" max="1" width="9.140625" style="284"/>
    <col min="2" max="2" width="4.7109375" style="9" customWidth="1"/>
    <col min="3" max="3" width="5.140625" style="9" customWidth="1"/>
    <col min="4" max="4" width="5" style="9" customWidth="1"/>
    <col min="5" max="5" width="8.7109375" style="17" customWidth="1"/>
    <col min="6" max="6" width="8.7109375" style="289" customWidth="1"/>
    <col min="7" max="7" width="50.7109375" style="9" customWidth="1"/>
    <col min="8" max="9" width="14.7109375" style="57" customWidth="1"/>
    <col min="10" max="10" width="15.7109375" style="57" customWidth="1"/>
    <col min="11" max="12" width="14.7109375" style="57" customWidth="1"/>
    <col min="13" max="13" width="15.7109375" style="57" customWidth="1"/>
    <col min="14" max="14" width="7.7109375" style="350" customWidth="1"/>
    <col min="15" max="16384" width="9.140625" style="9"/>
  </cols>
  <sheetData>
    <row r="1" spans="1:16" ht="13.5" thickBot="1"/>
    <row r="2" spans="1:16" s="98" customFormat="1" ht="20.100000000000001" customHeight="1" thickTop="1" thickBot="1">
      <c r="A2" s="376"/>
      <c r="B2" s="590" t="s">
        <v>179</v>
      </c>
      <c r="C2" s="591"/>
      <c r="D2" s="591"/>
      <c r="E2" s="591"/>
      <c r="F2" s="591"/>
      <c r="G2" s="591"/>
      <c r="H2" s="377"/>
      <c r="I2" s="377"/>
      <c r="J2" s="377"/>
      <c r="K2" s="377"/>
      <c r="L2" s="377"/>
      <c r="M2" s="377"/>
      <c r="N2" s="380"/>
    </row>
    <row r="3" spans="1:16" s="1" customFormat="1" ht="8.1" customHeight="1" thickTop="1" thickBot="1">
      <c r="A3" s="281"/>
      <c r="E3" s="2"/>
      <c r="F3" s="282"/>
      <c r="G3" s="531"/>
      <c r="H3" s="92"/>
      <c r="I3" s="92"/>
      <c r="J3" s="92"/>
      <c r="K3" s="92"/>
      <c r="L3" s="92"/>
      <c r="M3" s="92"/>
      <c r="N3" s="344"/>
    </row>
    <row r="4" spans="1:16" s="1" customFormat="1" ht="39" customHeight="1">
      <c r="A4" s="281"/>
      <c r="B4" s="596" t="s">
        <v>78</v>
      </c>
      <c r="C4" s="606" t="s">
        <v>79</v>
      </c>
      <c r="D4" s="607" t="s">
        <v>110</v>
      </c>
      <c r="E4" s="608" t="s">
        <v>594</v>
      </c>
      <c r="F4" s="601" t="s">
        <v>653</v>
      </c>
      <c r="G4" s="602" t="s">
        <v>80</v>
      </c>
      <c r="H4" s="593" t="s">
        <v>647</v>
      </c>
      <c r="I4" s="594"/>
      <c r="J4" s="595"/>
      <c r="K4" s="593" t="s">
        <v>801</v>
      </c>
      <c r="L4" s="594"/>
      <c r="M4" s="595"/>
      <c r="N4" s="604" t="s">
        <v>805</v>
      </c>
    </row>
    <row r="5" spans="1:16" s="281" customFormat="1" ht="27" customHeight="1">
      <c r="B5" s="597"/>
      <c r="C5" s="599"/>
      <c r="D5" s="599"/>
      <c r="E5" s="603"/>
      <c r="F5" s="599"/>
      <c r="G5" s="603"/>
      <c r="H5" s="372" t="s">
        <v>705</v>
      </c>
      <c r="I5" s="372" t="s">
        <v>706</v>
      </c>
      <c r="J5" s="382" t="s">
        <v>413</v>
      </c>
      <c r="K5" s="372" t="s">
        <v>705</v>
      </c>
      <c r="L5" s="372" t="s">
        <v>706</v>
      </c>
      <c r="M5" s="382" t="s">
        <v>413</v>
      </c>
      <c r="N5" s="605"/>
    </row>
    <row r="6" spans="1:16" s="2" customFormat="1" ht="12.95" customHeight="1">
      <c r="A6" s="282"/>
      <c r="B6" s="504">
        <v>1</v>
      </c>
      <c r="C6" s="331">
        <v>2</v>
      </c>
      <c r="D6" s="331">
        <v>3</v>
      </c>
      <c r="E6" s="331">
        <v>4</v>
      </c>
      <c r="F6" s="331">
        <v>5</v>
      </c>
      <c r="G6" s="331">
        <v>6</v>
      </c>
      <c r="H6" s="331">
        <v>7</v>
      </c>
      <c r="I6" s="331">
        <v>8</v>
      </c>
      <c r="J6" s="523" t="s">
        <v>804</v>
      </c>
      <c r="K6" s="331">
        <v>10</v>
      </c>
      <c r="L6" s="331">
        <v>11</v>
      </c>
      <c r="M6" s="523" t="s">
        <v>707</v>
      </c>
      <c r="N6" s="505">
        <v>13</v>
      </c>
    </row>
    <row r="7" spans="1:16" s="2" customFormat="1" ht="12.95" customHeight="1">
      <c r="A7" s="282"/>
      <c r="B7" s="6" t="s">
        <v>149</v>
      </c>
      <c r="C7" s="7" t="s">
        <v>81</v>
      </c>
      <c r="D7" s="7" t="s">
        <v>82</v>
      </c>
      <c r="E7" s="5"/>
      <c r="F7" s="283"/>
      <c r="G7" s="5"/>
      <c r="H7" s="86"/>
      <c r="I7" s="86"/>
      <c r="J7" s="392"/>
      <c r="K7" s="86"/>
      <c r="L7" s="86"/>
      <c r="M7" s="392"/>
      <c r="N7" s="345"/>
    </row>
    <row r="8" spans="1:16" s="1" customFormat="1" ht="12.95" customHeight="1">
      <c r="A8" s="281"/>
      <c r="B8" s="12"/>
      <c r="C8" s="8"/>
      <c r="D8" s="8"/>
      <c r="E8" s="305">
        <v>611000</v>
      </c>
      <c r="F8" s="331"/>
      <c r="G8" s="8" t="s">
        <v>163</v>
      </c>
      <c r="H8" s="210">
        <f t="shared" ref="H8:M8" si="0">SUM(H9:H11)</f>
        <v>263080</v>
      </c>
      <c r="I8" s="210">
        <f t="shared" si="0"/>
        <v>0</v>
      </c>
      <c r="J8" s="384">
        <f t="shared" si="0"/>
        <v>263080</v>
      </c>
      <c r="K8" s="210">
        <f t="shared" si="0"/>
        <v>59147</v>
      </c>
      <c r="L8" s="210">
        <f t="shared" si="0"/>
        <v>0</v>
      </c>
      <c r="M8" s="384">
        <f t="shared" si="0"/>
        <v>59147</v>
      </c>
      <c r="N8" s="346">
        <f>IF(J8=0,"",M8/J8*100)</f>
        <v>22.482514824388019</v>
      </c>
    </row>
    <row r="9" spans="1:16" ht="12.95" customHeight="1">
      <c r="B9" s="10"/>
      <c r="C9" s="11"/>
      <c r="D9" s="11"/>
      <c r="E9" s="306">
        <v>611100</v>
      </c>
      <c r="F9" s="332"/>
      <c r="G9" s="18" t="s">
        <v>198</v>
      </c>
      <c r="H9" s="212">
        <f>174500+1740+2*500+1*12*1980+1*9*950</f>
        <v>209550</v>
      </c>
      <c r="I9" s="212">
        <v>0</v>
      </c>
      <c r="J9" s="385">
        <f>SUM(H9:I9)</f>
        <v>209550</v>
      </c>
      <c r="K9" s="212">
        <v>48114</v>
      </c>
      <c r="L9" s="212"/>
      <c r="M9" s="385">
        <f>SUM(K9:L9)</f>
        <v>48114</v>
      </c>
      <c r="N9" s="347">
        <f t="shared" ref="N9:N66" si="1">IF(J9=0,"",M9/J9*100)</f>
        <v>22.960629921259841</v>
      </c>
    </row>
    <row r="10" spans="1:16" ht="12.95" customHeight="1">
      <c r="B10" s="10"/>
      <c r="C10" s="11"/>
      <c r="D10" s="11"/>
      <c r="E10" s="306">
        <v>611200</v>
      </c>
      <c r="F10" s="332"/>
      <c r="G10" s="11" t="s">
        <v>199</v>
      </c>
      <c r="H10" s="212">
        <f>44500+800+2*900+1*11*340+1*9*21*10+2*400</f>
        <v>53530</v>
      </c>
      <c r="I10" s="212">
        <v>0</v>
      </c>
      <c r="J10" s="385">
        <f t="shared" ref="J10:J11" si="2">SUM(H10:I10)</f>
        <v>53530</v>
      </c>
      <c r="K10" s="212">
        <v>11033</v>
      </c>
      <c r="L10" s="212"/>
      <c r="M10" s="385">
        <f t="shared" ref="M10:M11" si="3">SUM(K10:L10)</f>
        <v>11033</v>
      </c>
      <c r="N10" s="347">
        <f t="shared" si="1"/>
        <v>20.610872407995519</v>
      </c>
    </row>
    <row r="11" spans="1:16" ht="12.95" customHeight="1">
      <c r="B11" s="10"/>
      <c r="C11" s="11"/>
      <c r="D11" s="11"/>
      <c r="E11" s="306">
        <v>611200</v>
      </c>
      <c r="F11" s="332"/>
      <c r="G11" s="189" t="s">
        <v>534</v>
      </c>
      <c r="H11" s="209">
        <v>0</v>
      </c>
      <c r="I11" s="209">
        <v>0</v>
      </c>
      <c r="J11" s="385">
        <f t="shared" si="2"/>
        <v>0</v>
      </c>
      <c r="K11" s="209">
        <v>0</v>
      </c>
      <c r="L11" s="209"/>
      <c r="M11" s="385">
        <f t="shared" si="3"/>
        <v>0</v>
      </c>
      <c r="N11" s="347" t="str">
        <f t="shared" si="1"/>
        <v/>
      </c>
      <c r="P11" s="56"/>
    </row>
    <row r="12" spans="1:16" ht="12.95" customHeight="1">
      <c r="B12" s="10"/>
      <c r="C12" s="11"/>
      <c r="D12" s="11"/>
      <c r="E12" s="306"/>
      <c r="F12" s="332"/>
      <c r="G12" s="11"/>
      <c r="H12" s="210"/>
      <c r="I12" s="210"/>
      <c r="J12" s="384"/>
      <c r="K12" s="210"/>
      <c r="L12" s="210"/>
      <c r="M12" s="384"/>
      <c r="N12" s="347" t="str">
        <f t="shared" si="1"/>
        <v/>
      </c>
    </row>
    <row r="13" spans="1:16" s="1" customFormat="1" ht="12.95" customHeight="1">
      <c r="A13" s="281"/>
      <c r="B13" s="12"/>
      <c r="C13" s="8"/>
      <c r="D13" s="8"/>
      <c r="E13" s="305">
        <v>612000</v>
      </c>
      <c r="F13" s="331"/>
      <c r="G13" s="8" t="s">
        <v>162</v>
      </c>
      <c r="H13" s="210">
        <f t="shared" ref="H13:M13" si="4">H14</f>
        <v>22580</v>
      </c>
      <c r="I13" s="210">
        <f t="shared" si="4"/>
        <v>0</v>
      </c>
      <c r="J13" s="384">
        <f t="shared" si="4"/>
        <v>22580</v>
      </c>
      <c r="K13" s="210">
        <f t="shared" si="4"/>
        <v>5108</v>
      </c>
      <c r="L13" s="210">
        <f t="shared" si="4"/>
        <v>0</v>
      </c>
      <c r="M13" s="384">
        <f t="shared" si="4"/>
        <v>5108</v>
      </c>
      <c r="N13" s="346">
        <f t="shared" si="1"/>
        <v>22.621789193976973</v>
      </c>
    </row>
    <row r="14" spans="1:16" ht="12.95" customHeight="1">
      <c r="B14" s="10"/>
      <c r="C14" s="11"/>
      <c r="D14" s="11"/>
      <c r="E14" s="306">
        <v>612100</v>
      </c>
      <c r="F14" s="332"/>
      <c r="G14" s="13" t="s">
        <v>83</v>
      </c>
      <c r="H14" s="212">
        <f>18610+200+2*70+1*12*220+1*9*110</f>
        <v>22580</v>
      </c>
      <c r="I14" s="212">
        <v>0</v>
      </c>
      <c r="J14" s="385">
        <f>SUM(H14:I14)</f>
        <v>22580</v>
      </c>
      <c r="K14" s="212">
        <v>5108</v>
      </c>
      <c r="L14" s="212"/>
      <c r="M14" s="385">
        <f>SUM(K14:L14)</f>
        <v>5108</v>
      </c>
      <c r="N14" s="347">
        <f t="shared" si="1"/>
        <v>22.621789193976973</v>
      </c>
    </row>
    <row r="15" spans="1:16" ht="12.95" customHeight="1">
      <c r="B15" s="10"/>
      <c r="C15" s="11"/>
      <c r="D15" s="11"/>
      <c r="E15" s="306"/>
      <c r="F15" s="332"/>
      <c r="G15" s="11"/>
      <c r="H15" s="295"/>
      <c r="I15" s="295"/>
      <c r="J15" s="387"/>
      <c r="K15" s="295"/>
      <c r="L15" s="295"/>
      <c r="M15" s="387"/>
      <c r="N15" s="347" t="str">
        <f t="shared" si="1"/>
        <v/>
      </c>
    </row>
    <row r="16" spans="1:16" s="1" customFormat="1" ht="12.95" customHeight="1">
      <c r="A16" s="281"/>
      <c r="B16" s="12"/>
      <c r="C16" s="8"/>
      <c r="D16" s="8"/>
      <c r="E16" s="305">
        <v>613000</v>
      </c>
      <c r="F16" s="331"/>
      <c r="G16" s="8" t="s">
        <v>164</v>
      </c>
      <c r="H16" s="295">
        <f t="shared" ref="H16:M16" si="5">SUM(H17:H26)</f>
        <v>39800</v>
      </c>
      <c r="I16" s="295">
        <f t="shared" si="5"/>
        <v>0</v>
      </c>
      <c r="J16" s="387">
        <f t="shared" si="5"/>
        <v>39800</v>
      </c>
      <c r="K16" s="295">
        <f t="shared" si="5"/>
        <v>9463</v>
      </c>
      <c r="L16" s="295">
        <f t="shared" si="5"/>
        <v>0</v>
      </c>
      <c r="M16" s="387">
        <f t="shared" si="5"/>
        <v>9463</v>
      </c>
      <c r="N16" s="346">
        <f t="shared" si="1"/>
        <v>23.776381909547737</v>
      </c>
    </row>
    <row r="17" spans="1:15" ht="12.95" customHeight="1">
      <c r="B17" s="10"/>
      <c r="C17" s="11"/>
      <c r="D17" s="11"/>
      <c r="E17" s="306">
        <v>613100</v>
      </c>
      <c r="F17" s="332"/>
      <c r="G17" s="11" t="s">
        <v>84</v>
      </c>
      <c r="H17" s="365">
        <v>3500</v>
      </c>
      <c r="I17" s="365">
        <v>0</v>
      </c>
      <c r="J17" s="385">
        <f t="shared" ref="J17:J26" si="6">SUM(H17:I17)</f>
        <v>3500</v>
      </c>
      <c r="K17" s="365">
        <v>80</v>
      </c>
      <c r="L17" s="365"/>
      <c r="M17" s="385">
        <f t="shared" ref="M17:M26" si="7">SUM(K17:L17)</f>
        <v>80</v>
      </c>
      <c r="N17" s="347">
        <f t="shared" si="1"/>
        <v>2.2857142857142856</v>
      </c>
    </row>
    <row r="18" spans="1:15" ht="12.95" customHeight="1">
      <c r="B18" s="10"/>
      <c r="C18" s="11"/>
      <c r="D18" s="11"/>
      <c r="E18" s="306">
        <v>613200</v>
      </c>
      <c r="F18" s="332"/>
      <c r="G18" s="11" t="s">
        <v>85</v>
      </c>
      <c r="H18" s="365">
        <v>0</v>
      </c>
      <c r="I18" s="365">
        <v>0</v>
      </c>
      <c r="J18" s="385">
        <f t="shared" si="6"/>
        <v>0</v>
      </c>
      <c r="K18" s="365">
        <v>0</v>
      </c>
      <c r="L18" s="365"/>
      <c r="M18" s="385">
        <f t="shared" si="7"/>
        <v>0</v>
      </c>
      <c r="N18" s="347" t="str">
        <f t="shared" si="1"/>
        <v/>
      </c>
    </row>
    <row r="19" spans="1:15" ht="12.95" customHeight="1">
      <c r="B19" s="10"/>
      <c r="C19" s="11"/>
      <c r="D19" s="11"/>
      <c r="E19" s="306">
        <v>613300</v>
      </c>
      <c r="F19" s="332"/>
      <c r="G19" s="18" t="s">
        <v>200</v>
      </c>
      <c r="H19" s="365">
        <v>3300</v>
      </c>
      <c r="I19" s="365">
        <v>0</v>
      </c>
      <c r="J19" s="385">
        <f t="shared" si="6"/>
        <v>3300</v>
      </c>
      <c r="K19" s="365">
        <v>844</v>
      </c>
      <c r="L19" s="365"/>
      <c r="M19" s="385">
        <f t="shared" si="7"/>
        <v>844</v>
      </c>
      <c r="N19" s="347">
        <f t="shared" si="1"/>
        <v>25.575757575757574</v>
      </c>
    </row>
    <row r="20" spans="1:15" ht="12.95" customHeight="1">
      <c r="B20" s="10"/>
      <c r="C20" s="11"/>
      <c r="D20" s="11"/>
      <c r="E20" s="306">
        <v>613400</v>
      </c>
      <c r="F20" s="332"/>
      <c r="G20" s="11" t="s">
        <v>165</v>
      </c>
      <c r="H20" s="365">
        <v>1500</v>
      </c>
      <c r="I20" s="365">
        <v>0</v>
      </c>
      <c r="J20" s="385">
        <f t="shared" si="6"/>
        <v>1500</v>
      </c>
      <c r="K20" s="365">
        <v>157</v>
      </c>
      <c r="L20" s="365"/>
      <c r="M20" s="385">
        <f t="shared" si="7"/>
        <v>157</v>
      </c>
      <c r="N20" s="347">
        <f t="shared" si="1"/>
        <v>10.466666666666667</v>
      </c>
    </row>
    <row r="21" spans="1:15" ht="12.95" customHeight="1">
      <c r="B21" s="10"/>
      <c r="C21" s="11"/>
      <c r="D21" s="11"/>
      <c r="E21" s="306">
        <v>613500</v>
      </c>
      <c r="F21" s="332"/>
      <c r="G21" s="11" t="s">
        <v>86</v>
      </c>
      <c r="H21" s="365">
        <v>0</v>
      </c>
      <c r="I21" s="365">
        <v>0</v>
      </c>
      <c r="J21" s="385">
        <f t="shared" si="6"/>
        <v>0</v>
      </c>
      <c r="K21" s="365">
        <v>0</v>
      </c>
      <c r="L21" s="365"/>
      <c r="M21" s="385">
        <f t="shared" si="7"/>
        <v>0</v>
      </c>
      <c r="N21" s="347" t="str">
        <f t="shared" si="1"/>
        <v/>
      </c>
    </row>
    <row r="22" spans="1:15" ht="12.95" customHeight="1">
      <c r="B22" s="10"/>
      <c r="C22" s="11"/>
      <c r="D22" s="11"/>
      <c r="E22" s="306">
        <v>613600</v>
      </c>
      <c r="F22" s="332"/>
      <c r="G22" s="18" t="s">
        <v>201</v>
      </c>
      <c r="H22" s="365">
        <v>0</v>
      </c>
      <c r="I22" s="365">
        <v>0</v>
      </c>
      <c r="J22" s="385">
        <f t="shared" si="6"/>
        <v>0</v>
      </c>
      <c r="K22" s="365">
        <v>0</v>
      </c>
      <c r="L22" s="365"/>
      <c r="M22" s="385">
        <f t="shared" si="7"/>
        <v>0</v>
      </c>
      <c r="N22" s="347" t="str">
        <f t="shared" si="1"/>
        <v/>
      </c>
    </row>
    <row r="23" spans="1:15" ht="12.95" customHeight="1">
      <c r="B23" s="10"/>
      <c r="C23" s="11"/>
      <c r="D23" s="11"/>
      <c r="E23" s="306">
        <v>613700</v>
      </c>
      <c r="F23" s="332"/>
      <c r="G23" s="11" t="s">
        <v>87</v>
      </c>
      <c r="H23" s="365">
        <v>2500</v>
      </c>
      <c r="I23" s="365">
        <v>0</v>
      </c>
      <c r="J23" s="385">
        <f t="shared" si="6"/>
        <v>2500</v>
      </c>
      <c r="K23" s="365">
        <v>175</v>
      </c>
      <c r="L23" s="365"/>
      <c r="M23" s="385">
        <f t="shared" si="7"/>
        <v>175</v>
      </c>
      <c r="N23" s="347">
        <f t="shared" si="1"/>
        <v>7.0000000000000009</v>
      </c>
    </row>
    <row r="24" spans="1:15" ht="12.95" customHeight="1">
      <c r="B24" s="10"/>
      <c r="C24" s="11"/>
      <c r="D24" s="11"/>
      <c r="E24" s="306">
        <v>613800</v>
      </c>
      <c r="F24" s="332"/>
      <c r="G24" s="11" t="s">
        <v>166</v>
      </c>
      <c r="H24" s="365">
        <v>0</v>
      </c>
      <c r="I24" s="365">
        <v>0</v>
      </c>
      <c r="J24" s="385">
        <f t="shared" si="6"/>
        <v>0</v>
      </c>
      <c r="K24" s="365">
        <v>0</v>
      </c>
      <c r="L24" s="365"/>
      <c r="M24" s="385">
        <f t="shared" si="7"/>
        <v>0</v>
      </c>
      <c r="N24" s="347" t="str">
        <f t="shared" si="1"/>
        <v/>
      </c>
    </row>
    <row r="25" spans="1:15" ht="12.95" customHeight="1">
      <c r="B25" s="10"/>
      <c r="C25" s="11"/>
      <c r="D25" s="11"/>
      <c r="E25" s="306">
        <v>613900</v>
      </c>
      <c r="F25" s="332"/>
      <c r="G25" s="11" t="s">
        <v>167</v>
      </c>
      <c r="H25" s="365">
        <v>29000</v>
      </c>
      <c r="I25" s="365">
        <v>0</v>
      </c>
      <c r="J25" s="385">
        <f t="shared" si="6"/>
        <v>29000</v>
      </c>
      <c r="K25" s="365">
        <v>8207</v>
      </c>
      <c r="L25" s="365"/>
      <c r="M25" s="385">
        <f t="shared" si="7"/>
        <v>8207</v>
      </c>
      <c r="N25" s="347">
        <f t="shared" si="1"/>
        <v>28.299999999999997</v>
      </c>
      <c r="O25" s="68"/>
    </row>
    <row r="26" spans="1:15" ht="12.95" customHeight="1">
      <c r="B26" s="10"/>
      <c r="C26" s="11"/>
      <c r="D26" s="11"/>
      <c r="E26" s="306">
        <v>613900</v>
      </c>
      <c r="F26" s="332"/>
      <c r="G26" s="189" t="s">
        <v>535</v>
      </c>
      <c r="H26" s="365">
        <v>0</v>
      </c>
      <c r="I26" s="365">
        <v>0</v>
      </c>
      <c r="J26" s="385">
        <f t="shared" si="6"/>
        <v>0</v>
      </c>
      <c r="K26" s="365">
        <v>0</v>
      </c>
      <c r="L26" s="365"/>
      <c r="M26" s="385">
        <f t="shared" si="7"/>
        <v>0</v>
      </c>
      <c r="N26" s="347" t="str">
        <f t="shared" si="1"/>
        <v/>
      </c>
    </row>
    <row r="27" spans="1:15" ht="12.95" customHeight="1">
      <c r="B27" s="10"/>
      <c r="C27" s="11"/>
      <c r="D27" s="11"/>
      <c r="E27" s="306"/>
      <c r="F27" s="332"/>
      <c r="G27" s="11"/>
      <c r="H27" s="295"/>
      <c r="I27" s="295"/>
      <c r="J27" s="387"/>
      <c r="K27" s="295"/>
      <c r="L27" s="295"/>
      <c r="M27" s="387"/>
      <c r="N27" s="347" t="str">
        <f t="shared" si="1"/>
        <v/>
      </c>
    </row>
    <row r="28" spans="1:15" s="1" customFormat="1" ht="12.95" customHeight="1">
      <c r="A28" s="281"/>
      <c r="B28" s="12"/>
      <c r="C28" s="8"/>
      <c r="D28" s="8"/>
      <c r="E28" s="305">
        <v>614000</v>
      </c>
      <c r="F28" s="331"/>
      <c r="G28" s="8" t="s">
        <v>202</v>
      </c>
      <c r="H28" s="295">
        <f t="shared" ref="H28:M28" si="8">H29</f>
        <v>1100000</v>
      </c>
      <c r="I28" s="295">
        <f t="shared" si="8"/>
        <v>0</v>
      </c>
      <c r="J28" s="387">
        <f t="shared" si="8"/>
        <v>1100000</v>
      </c>
      <c r="K28" s="295">
        <f t="shared" si="8"/>
        <v>196372</v>
      </c>
      <c r="L28" s="295">
        <f t="shared" si="8"/>
        <v>0</v>
      </c>
      <c r="M28" s="387">
        <f t="shared" si="8"/>
        <v>196372</v>
      </c>
      <c r="N28" s="346">
        <f t="shared" si="1"/>
        <v>17.852</v>
      </c>
    </row>
    <row r="29" spans="1:15" ht="12.95" customHeight="1">
      <c r="B29" s="10"/>
      <c r="C29" s="11"/>
      <c r="D29" s="11"/>
      <c r="E29" s="306">
        <v>614200</v>
      </c>
      <c r="F29" s="332" t="s">
        <v>694</v>
      </c>
      <c r="G29" s="21" t="s">
        <v>114</v>
      </c>
      <c r="H29" s="296">
        <v>1100000</v>
      </c>
      <c r="I29" s="296">
        <v>0</v>
      </c>
      <c r="J29" s="385">
        <f>SUM(H29:I29)</f>
        <v>1100000</v>
      </c>
      <c r="K29" s="296">
        <v>196372</v>
      </c>
      <c r="L29" s="296"/>
      <c r="M29" s="385">
        <f>SUM(K29:L29)</f>
        <v>196372</v>
      </c>
      <c r="N29" s="347">
        <f t="shared" si="1"/>
        <v>17.852</v>
      </c>
    </row>
    <row r="30" spans="1:15" ht="12.95" customHeight="1">
      <c r="B30" s="10"/>
      <c r="C30" s="11"/>
      <c r="D30" s="11"/>
      <c r="E30" s="306"/>
      <c r="F30" s="332"/>
      <c r="G30" s="11"/>
      <c r="H30" s="296"/>
      <c r="I30" s="296"/>
      <c r="J30" s="386"/>
      <c r="K30" s="296"/>
      <c r="L30" s="296"/>
      <c r="M30" s="386"/>
      <c r="N30" s="347" t="str">
        <f t="shared" si="1"/>
        <v/>
      </c>
    </row>
    <row r="31" spans="1:15" s="1" customFormat="1" ht="12.95" customHeight="1">
      <c r="A31" s="281"/>
      <c r="B31" s="12"/>
      <c r="C31" s="8"/>
      <c r="D31" s="8"/>
      <c r="E31" s="305">
        <v>821000</v>
      </c>
      <c r="F31" s="331"/>
      <c r="G31" s="8" t="s">
        <v>90</v>
      </c>
      <c r="H31" s="295">
        <f t="shared" ref="H31:M31" si="9">SUM(H32:H33)</f>
        <v>3000</v>
      </c>
      <c r="I31" s="295">
        <f t="shared" si="9"/>
        <v>0</v>
      </c>
      <c r="J31" s="387">
        <f t="shared" si="9"/>
        <v>3000</v>
      </c>
      <c r="K31" s="295">
        <f t="shared" si="9"/>
        <v>0</v>
      </c>
      <c r="L31" s="295">
        <f t="shared" si="9"/>
        <v>0</v>
      </c>
      <c r="M31" s="387">
        <f t="shared" si="9"/>
        <v>0</v>
      </c>
      <c r="N31" s="347">
        <f t="shared" si="1"/>
        <v>0</v>
      </c>
    </row>
    <row r="32" spans="1:15" ht="12.95" customHeight="1">
      <c r="B32" s="10"/>
      <c r="C32" s="11"/>
      <c r="D32" s="11"/>
      <c r="E32" s="306">
        <v>821200</v>
      </c>
      <c r="F32" s="332"/>
      <c r="G32" s="11" t="s">
        <v>91</v>
      </c>
      <c r="H32" s="296">
        <v>0</v>
      </c>
      <c r="I32" s="296">
        <v>0</v>
      </c>
      <c r="J32" s="385">
        <f t="shared" ref="J32:J33" si="10">SUM(H32:I32)</f>
        <v>0</v>
      </c>
      <c r="K32" s="296">
        <v>0</v>
      </c>
      <c r="L32" s="296"/>
      <c r="M32" s="385">
        <f t="shared" ref="M32:M33" si="11">SUM(K32:L32)</f>
        <v>0</v>
      </c>
      <c r="N32" s="347" t="str">
        <f t="shared" si="1"/>
        <v/>
      </c>
    </row>
    <row r="33" spans="1:14" ht="12.95" customHeight="1">
      <c r="B33" s="10"/>
      <c r="C33" s="11"/>
      <c r="D33" s="11"/>
      <c r="E33" s="306">
        <v>821300</v>
      </c>
      <c r="F33" s="332"/>
      <c r="G33" s="11" t="s">
        <v>92</v>
      </c>
      <c r="H33" s="296">
        <v>3000</v>
      </c>
      <c r="I33" s="296">
        <v>0</v>
      </c>
      <c r="J33" s="385">
        <f t="shared" si="10"/>
        <v>3000</v>
      </c>
      <c r="K33" s="296">
        <v>0</v>
      </c>
      <c r="L33" s="296"/>
      <c r="M33" s="385">
        <f t="shared" si="11"/>
        <v>0</v>
      </c>
      <c r="N33" s="347">
        <f t="shared" si="1"/>
        <v>0</v>
      </c>
    </row>
    <row r="34" spans="1:14" ht="12.95" customHeight="1">
      <c r="B34" s="10"/>
      <c r="C34" s="11"/>
      <c r="D34" s="11"/>
      <c r="E34" s="306"/>
      <c r="F34" s="332"/>
      <c r="G34" s="11"/>
      <c r="H34" s="296"/>
      <c r="I34" s="296"/>
      <c r="J34" s="386"/>
      <c r="K34" s="296"/>
      <c r="L34" s="296"/>
      <c r="M34" s="386"/>
      <c r="N34" s="347" t="str">
        <f t="shared" si="1"/>
        <v/>
      </c>
    </row>
    <row r="35" spans="1:14" s="1" customFormat="1" ht="12.95" customHeight="1">
      <c r="A35" s="281"/>
      <c r="B35" s="12"/>
      <c r="C35" s="8"/>
      <c r="D35" s="8"/>
      <c r="E35" s="305"/>
      <c r="F35" s="331"/>
      <c r="G35" s="8" t="s">
        <v>93</v>
      </c>
      <c r="H35" s="288">
        <v>12</v>
      </c>
      <c r="I35" s="288"/>
      <c r="J35" s="387">
        <v>12</v>
      </c>
      <c r="K35" s="288">
        <v>11</v>
      </c>
      <c r="L35" s="288"/>
      <c r="M35" s="387">
        <v>11</v>
      </c>
      <c r="N35" s="347"/>
    </row>
    <row r="36" spans="1:14" s="1" customFormat="1" ht="12.95" customHeight="1">
      <c r="A36" s="281"/>
      <c r="B36" s="12"/>
      <c r="C36" s="8"/>
      <c r="D36" s="8"/>
      <c r="E36" s="305"/>
      <c r="F36" s="331"/>
      <c r="G36" s="8" t="s">
        <v>113</v>
      </c>
      <c r="H36" s="288">
        <f t="shared" ref="H36:M36" si="12">H8+H13+H16+H28+H31</f>
        <v>1428460</v>
      </c>
      <c r="I36" s="288">
        <f t="shared" si="12"/>
        <v>0</v>
      </c>
      <c r="J36" s="387">
        <f t="shared" si="12"/>
        <v>1428460</v>
      </c>
      <c r="K36" s="288">
        <f t="shared" si="12"/>
        <v>270090</v>
      </c>
      <c r="L36" s="288">
        <f t="shared" si="12"/>
        <v>0</v>
      </c>
      <c r="M36" s="387">
        <f t="shared" si="12"/>
        <v>270090</v>
      </c>
      <c r="N36" s="346">
        <f t="shared" si="1"/>
        <v>18.907774806434901</v>
      </c>
    </row>
    <row r="37" spans="1:14" s="1" customFormat="1" ht="12.95" customHeight="1">
      <c r="A37" s="281"/>
      <c r="B37" s="12"/>
      <c r="C37" s="8"/>
      <c r="D37" s="8"/>
      <c r="E37" s="305"/>
      <c r="F37" s="331"/>
      <c r="G37" s="8" t="s">
        <v>94</v>
      </c>
      <c r="H37" s="288">
        <f t="shared" ref="H37:J38" si="13">H36</f>
        <v>1428460</v>
      </c>
      <c r="I37" s="288">
        <f t="shared" si="13"/>
        <v>0</v>
      </c>
      <c r="J37" s="387">
        <f t="shared" si="13"/>
        <v>1428460</v>
      </c>
      <c r="K37" s="288">
        <f t="shared" ref="K37:M37" si="14">K36</f>
        <v>270090</v>
      </c>
      <c r="L37" s="288">
        <f t="shared" si="14"/>
        <v>0</v>
      </c>
      <c r="M37" s="387">
        <f t="shared" si="14"/>
        <v>270090</v>
      </c>
      <c r="N37" s="346">
        <f t="shared" si="1"/>
        <v>18.907774806434901</v>
      </c>
    </row>
    <row r="38" spans="1:14" s="1" customFormat="1" ht="12.95" customHeight="1">
      <c r="A38" s="281"/>
      <c r="B38" s="12"/>
      <c r="C38" s="8"/>
      <c r="D38" s="8"/>
      <c r="E38" s="305"/>
      <c r="F38" s="331"/>
      <c r="G38" s="8" t="s">
        <v>95</v>
      </c>
      <c r="H38" s="288">
        <f t="shared" si="13"/>
        <v>1428460</v>
      </c>
      <c r="I38" s="288">
        <f t="shared" si="13"/>
        <v>0</v>
      </c>
      <c r="J38" s="387">
        <f t="shared" si="13"/>
        <v>1428460</v>
      </c>
      <c r="K38" s="288">
        <f t="shared" ref="K38:M38" si="15">K37</f>
        <v>270090</v>
      </c>
      <c r="L38" s="288">
        <f t="shared" si="15"/>
        <v>0</v>
      </c>
      <c r="M38" s="387">
        <f t="shared" si="15"/>
        <v>270090</v>
      </c>
      <c r="N38" s="346">
        <f t="shared" si="1"/>
        <v>18.907774806434901</v>
      </c>
    </row>
    <row r="39" spans="1:14" ht="12.95" customHeight="1" thickBot="1">
      <c r="B39" s="15"/>
      <c r="C39" s="16"/>
      <c r="D39" s="16"/>
      <c r="E39" s="307"/>
      <c r="F39" s="333"/>
      <c r="G39" s="16"/>
      <c r="H39" s="27"/>
      <c r="I39" s="27"/>
      <c r="J39" s="390"/>
      <c r="K39" s="27"/>
      <c r="L39" s="27"/>
      <c r="M39" s="390"/>
      <c r="N39" s="349" t="str">
        <f t="shared" si="1"/>
        <v/>
      </c>
    </row>
    <row r="40" spans="1:14" ht="12.95" customHeight="1">
      <c r="E40" s="308"/>
      <c r="F40" s="334"/>
      <c r="H40" s="59"/>
      <c r="I40" s="59"/>
      <c r="J40" s="393"/>
      <c r="K40" s="59"/>
      <c r="L40" s="59"/>
      <c r="M40" s="393"/>
      <c r="N40" s="350" t="str">
        <f t="shared" si="1"/>
        <v/>
      </c>
    </row>
    <row r="41" spans="1:14" ht="12.95" customHeight="1">
      <c r="E41" s="308"/>
      <c r="F41" s="334"/>
      <c r="J41" s="393"/>
      <c r="M41" s="393"/>
      <c r="N41" s="350" t="str">
        <f t="shared" si="1"/>
        <v/>
      </c>
    </row>
    <row r="42" spans="1:14" ht="12.95" customHeight="1">
      <c r="E42" s="308"/>
      <c r="F42" s="334"/>
      <c r="J42" s="393"/>
      <c r="M42" s="393"/>
      <c r="N42" s="350" t="str">
        <f t="shared" si="1"/>
        <v/>
      </c>
    </row>
    <row r="43" spans="1:14" ht="12.95" customHeight="1">
      <c r="E43" s="308"/>
      <c r="F43" s="334"/>
      <c r="J43" s="393"/>
      <c r="M43" s="393"/>
      <c r="N43" s="350" t="str">
        <f t="shared" si="1"/>
        <v/>
      </c>
    </row>
    <row r="44" spans="1:14" ht="12.95" customHeight="1">
      <c r="E44" s="308"/>
      <c r="F44" s="334"/>
      <c r="J44" s="393"/>
      <c r="M44" s="393"/>
      <c r="N44" s="350" t="str">
        <f t="shared" si="1"/>
        <v/>
      </c>
    </row>
    <row r="45" spans="1:14" ht="12.95" customHeight="1">
      <c r="E45" s="308"/>
      <c r="F45" s="334"/>
      <c r="J45" s="393"/>
      <c r="M45" s="393"/>
      <c r="N45" s="350" t="str">
        <f t="shared" si="1"/>
        <v/>
      </c>
    </row>
    <row r="46" spans="1:14" ht="12.95" customHeight="1">
      <c r="E46" s="308"/>
      <c r="F46" s="334"/>
      <c r="J46" s="393"/>
      <c r="M46" s="393"/>
      <c r="N46" s="350" t="str">
        <f t="shared" si="1"/>
        <v/>
      </c>
    </row>
    <row r="47" spans="1:14" ht="12.95" customHeight="1">
      <c r="E47" s="308"/>
      <c r="F47" s="334"/>
      <c r="J47" s="393"/>
      <c r="M47" s="393"/>
      <c r="N47" s="350" t="str">
        <f t="shared" si="1"/>
        <v/>
      </c>
    </row>
    <row r="48" spans="1:14" ht="12.95" customHeight="1">
      <c r="E48" s="308"/>
      <c r="F48" s="334"/>
      <c r="J48" s="393"/>
      <c r="M48" s="393"/>
      <c r="N48" s="350" t="str">
        <f t="shared" si="1"/>
        <v/>
      </c>
    </row>
    <row r="49" spans="5:14" ht="12.95" customHeight="1">
      <c r="E49" s="308"/>
      <c r="F49" s="334"/>
      <c r="J49" s="393"/>
      <c r="M49" s="393"/>
      <c r="N49" s="350" t="str">
        <f t="shared" si="1"/>
        <v/>
      </c>
    </row>
    <row r="50" spans="5:14" ht="12.95" customHeight="1">
      <c r="E50" s="308"/>
      <c r="F50" s="334"/>
      <c r="J50" s="393"/>
      <c r="M50" s="393"/>
      <c r="N50" s="350" t="str">
        <f t="shared" si="1"/>
        <v/>
      </c>
    </row>
    <row r="51" spans="5:14" ht="12.95" customHeight="1">
      <c r="E51" s="308"/>
      <c r="F51" s="334"/>
      <c r="J51" s="393"/>
      <c r="M51" s="393"/>
      <c r="N51" s="350" t="str">
        <f t="shared" si="1"/>
        <v/>
      </c>
    </row>
    <row r="52" spans="5:14" ht="12.95" customHeight="1">
      <c r="E52" s="308"/>
      <c r="F52" s="334"/>
      <c r="J52" s="393"/>
      <c r="M52" s="393"/>
      <c r="N52" s="350" t="str">
        <f t="shared" si="1"/>
        <v/>
      </c>
    </row>
    <row r="53" spans="5:14" ht="12.95" customHeight="1">
      <c r="E53" s="308"/>
      <c r="F53" s="334"/>
      <c r="J53" s="393"/>
      <c r="M53" s="393"/>
      <c r="N53" s="350" t="str">
        <f t="shared" si="1"/>
        <v/>
      </c>
    </row>
    <row r="54" spans="5:14" ht="12.95" customHeight="1">
      <c r="E54" s="308"/>
      <c r="F54" s="334"/>
      <c r="J54" s="393"/>
      <c r="M54" s="393"/>
      <c r="N54" s="350" t="str">
        <f t="shared" si="1"/>
        <v/>
      </c>
    </row>
    <row r="55" spans="5:14" ht="12.95" customHeight="1">
      <c r="E55" s="308"/>
      <c r="F55" s="334"/>
      <c r="J55" s="393"/>
      <c r="M55" s="393"/>
      <c r="N55" s="350" t="str">
        <f t="shared" si="1"/>
        <v/>
      </c>
    </row>
    <row r="56" spans="5:14" ht="12.95" customHeight="1">
      <c r="E56" s="308"/>
      <c r="F56" s="334"/>
      <c r="J56" s="393"/>
      <c r="M56" s="393"/>
      <c r="N56" s="350" t="str">
        <f t="shared" si="1"/>
        <v/>
      </c>
    </row>
    <row r="57" spans="5:14" ht="12.95" customHeight="1">
      <c r="E57" s="308"/>
      <c r="F57" s="334"/>
      <c r="J57" s="393"/>
      <c r="M57" s="393"/>
      <c r="N57" s="350" t="str">
        <f t="shared" si="1"/>
        <v/>
      </c>
    </row>
    <row r="58" spans="5:14" ht="12.95" customHeight="1">
      <c r="E58" s="308"/>
      <c r="F58" s="334"/>
      <c r="J58" s="393"/>
      <c r="M58" s="393"/>
      <c r="N58" s="350" t="str">
        <f t="shared" si="1"/>
        <v/>
      </c>
    </row>
    <row r="59" spans="5:14" ht="12.95" customHeight="1">
      <c r="E59" s="308"/>
      <c r="F59" s="334"/>
      <c r="J59" s="393"/>
      <c r="M59" s="393"/>
      <c r="N59" s="350" t="str">
        <f t="shared" si="1"/>
        <v/>
      </c>
    </row>
    <row r="60" spans="5:14" ht="17.100000000000001" customHeight="1">
      <c r="E60" s="308"/>
      <c r="F60" s="334"/>
      <c r="J60" s="393"/>
      <c r="M60" s="393"/>
      <c r="N60" s="350" t="str">
        <f t="shared" si="1"/>
        <v/>
      </c>
    </row>
    <row r="61" spans="5:14" ht="14.25">
      <c r="E61" s="308"/>
      <c r="F61" s="334"/>
      <c r="J61" s="393"/>
      <c r="M61" s="393"/>
      <c r="N61" s="350" t="str">
        <f t="shared" si="1"/>
        <v/>
      </c>
    </row>
    <row r="62" spans="5:14" ht="14.25">
      <c r="E62" s="308"/>
      <c r="F62" s="334"/>
      <c r="J62" s="393"/>
      <c r="M62" s="393"/>
      <c r="N62" s="350" t="str">
        <f t="shared" si="1"/>
        <v/>
      </c>
    </row>
    <row r="63" spans="5:14" ht="14.25">
      <c r="E63" s="308"/>
      <c r="F63" s="334"/>
      <c r="J63" s="393"/>
      <c r="M63" s="393"/>
      <c r="N63" s="350" t="str">
        <f t="shared" si="1"/>
        <v/>
      </c>
    </row>
    <row r="64" spans="5:14" ht="14.25">
      <c r="E64" s="308"/>
      <c r="F64" s="334"/>
      <c r="J64" s="393"/>
      <c r="M64" s="393"/>
      <c r="N64" s="350" t="str">
        <f t="shared" si="1"/>
        <v/>
      </c>
    </row>
    <row r="65" spans="5:14" ht="14.25">
      <c r="E65" s="308"/>
      <c r="F65" s="334"/>
      <c r="J65" s="393"/>
      <c r="M65" s="393"/>
      <c r="N65" s="350" t="str">
        <f t="shared" si="1"/>
        <v/>
      </c>
    </row>
    <row r="66" spans="5:14" ht="14.25">
      <c r="E66" s="308"/>
      <c r="F66" s="334"/>
      <c r="J66" s="393"/>
      <c r="M66" s="393"/>
      <c r="N66" s="350" t="str">
        <f t="shared" si="1"/>
        <v/>
      </c>
    </row>
    <row r="67" spans="5:14" ht="14.25">
      <c r="E67" s="308"/>
      <c r="F67" s="334"/>
      <c r="J67" s="393"/>
      <c r="M67" s="393"/>
    </row>
    <row r="68" spans="5:14" ht="14.25">
      <c r="E68" s="308"/>
      <c r="F68" s="334"/>
      <c r="J68" s="393"/>
      <c r="M68" s="393"/>
    </row>
    <row r="69" spans="5:14" ht="14.25">
      <c r="E69" s="308"/>
      <c r="F69" s="334"/>
      <c r="J69" s="393"/>
      <c r="M69" s="393"/>
    </row>
    <row r="70" spans="5:14" ht="14.25">
      <c r="E70" s="308"/>
      <c r="F70" s="334"/>
      <c r="J70" s="393"/>
      <c r="M70" s="393"/>
    </row>
    <row r="71" spans="5:14" ht="14.25">
      <c r="E71" s="308"/>
      <c r="F71" s="334"/>
      <c r="J71" s="393"/>
      <c r="M71" s="393"/>
    </row>
    <row r="72" spans="5:14" ht="14.25">
      <c r="E72" s="308"/>
      <c r="F72" s="334"/>
      <c r="J72" s="393"/>
      <c r="M72" s="393"/>
    </row>
    <row r="73" spans="5:14" ht="14.25">
      <c r="E73" s="308"/>
      <c r="F73" s="334"/>
      <c r="J73" s="393"/>
      <c r="M73" s="393"/>
    </row>
    <row r="74" spans="5:14" ht="14.25">
      <c r="E74" s="308"/>
      <c r="F74" s="308"/>
      <c r="J74" s="393"/>
      <c r="M74" s="393"/>
    </row>
    <row r="75" spans="5:14" ht="14.25">
      <c r="E75" s="308"/>
      <c r="F75" s="308"/>
      <c r="J75" s="393"/>
      <c r="M75" s="393"/>
    </row>
    <row r="76" spans="5:14" ht="14.25">
      <c r="E76" s="308"/>
      <c r="F76" s="308"/>
      <c r="J76" s="393"/>
      <c r="M76" s="393"/>
    </row>
    <row r="77" spans="5:14" ht="14.25">
      <c r="E77" s="308"/>
      <c r="F77" s="308"/>
      <c r="J77" s="393"/>
      <c r="M77" s="393"/>
    </row>
    <row r="78" spans="5:14" ht="14.25">
      <c r="E78" s="308"/>
      <c r="F78" s="308"/>
      <c r="J78" s="393"/>
      <c r="M78" s="393"/>
    </row>
    <row r="79" spans="5:14" ht="14.25">
      <c r="E79" s="308"/>
      <c r="F79" s="308"/>
      <c r="J79" s="393"/>
      <c r="M79" s="393"/>
    </row>
    <row r="80" spans="5:14" ht="14.25">
      <c r="E80" s="308"/>
      <c r="F80" s="308"/>
      <c r="J80" s="393"/>
      <c r="M80" s="393"/>
    </row>
    <row r="81" spans="5:13" ht="14.25">
      <c r="E81" s="308"/>
      <c r="F81" s="308"/>
      <c r="J81" s="393"/>
      <c r="M81" s="393"/>
    </row>
    <row r="82" spans="5:13" ht="14.25">
      <c r="E82" s="308"/>
      <c r="F82" s="308"/>
      <c r="J82" s="393"/>
      <c r="M82" s="393"/>
    </row>
    <row r="83" spans="5:13" ht="14.25">
      <c r="E83" s="308"/>
      <c r="F83" s="308"/>
      <c r="J83" s="393"/>
      <c r="M83" s="393"/>
    </row>
    <row r="84" spans="5:13" ht="14.25">
      <c r="E84" s="308"/>
      <c r="F84" s="308"/>
      <c r="J84" s="393"/>
      <c r="M84" s="393"/>
    </row>
    <row r="85" spans="5:13" ht="14.25">
      <c r="E85" s="308"/>
      <c r="F85" s="308"/>
      <c r="J85" s="393"/>
      <c r="M85" s="393"/>
    </row>
    <row r="86" spans="5:13" ht="14.25">
      <c r="E86" s="308"/>
      <c r="F86" s="308"/>
      <c r="J86" s="393"/>
      <c r="M86" s="393"/>
    </row>
    <row r="87" spans="5:13" ht="14.25">
      <c r="E87" s="308"/>
      <c r="F87" s="308"/>
      <c r="J87" s="393"/>
      <c r="M87" s="393"/>
    </row>
    <row r="88" spans="5:13" ht="14.25">
      <c r="E88" s="308"/>
      <c r="F88" s="308"/>
      <c r="J88" s="393"/>
      <c r="M88" s="393"/>
    </row>
    <row r="89" spans="5:13" ht="14.25">
      <c r="E89" s="308"/>
      <c r="F89" s="308"/>
      <c r="J89" s="393"/>
      <c r="M89" s="393"/>
    </row>
    <row r="90" spans="5:13" ht="14.25">
      <c r="E90" s="308"/>
      <c r="F90" s="308"/>
      <c r="J90" s="393"/>
      <c r="M90" s="393"/>
    </row>
    <row r="91" spans="5:13">
      <c r="F91" s="308"/>
    </row>
    <row r="92" spans="5:13">
      <c r="F92" s="308"/>
    </row>
    <row r="93" spans="5:13">
      <c r="F93" s="308"/>
    </row>
    <row r="94" spans="5:13">
      <c r="F94" s="308"/>
    </row>
    <row r="95" spans="5:13">
      <c r="F95" s="308"/>
    </row>
    <row r="96" spans="5:13">
      <c r="F96" s="308"/>
    </row>
  </sheetData>
  <mergeCells count="10">
    <mergeCell ref="N4:N5"/>
    <mergeCell ref="G4:G5"/>
    <mergeCell ref="B2:G2"/>
    <mergeCell ref="H4:J4"/>
    <mergeCell ref="B4:B5"/>
    <mergeCell ref="C4:C5"/>
    <mergeCell ref="D4:D5"/>
    <mergeCell ref="F4:F5"/>
    <mergeCell ref="E4:E5"/>
    <mergeCell ref="K4:M4"/>
  </mergeCells>
  <phoneticPr fontId="2" type="noConversion"/>
  <pageMargins left="0.78740157480314965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 codeName="Sheet37"/>
  <dimension ref="A1:P96"/>
  <sheetViews>
    <sheetView zoomScaleNormal="100" workbookViewId="0">
      <selection activeCell="K45" sqref="K45"/>
    </sheetView>
  </sheetViews>
  <sheetFormatPr defaultRowHeight="12.75"/>
  <cols>
    <col min="1" max="1" width="9.140625" style="284"/>
    <col min="2" max="2" width="4.7109375" style="9" customWidth="1"/>
    <col min="3" max="3" width="5.140625" style="9" customWidth="1"/>
    <col min="4" max="4" width="5" style="9" customWidth="1"/>
    <col min="5" max="5" width="8.7109375" style="17" customWidth="1"/>
    <col min="6" max="6" width="8.7109375" style="289" customWidth="1"/>
    <col min="7" max="7" width="50.7109375" style="9" customWidth="1"/>
    <col min="8" max="9" width="14.7109375" style="284" customWidth="1"/>
    <col min="10" max="10" width="15.7109375" style="9" customWidth="1"/>
    <col min="11" max="12" width="14.7109375" style="284" customWidth="1"/>
    <col min="13" max="13" width="15.7109375" style="284" customWidth="1"/>
    <col min="14" max="14" width="7.7109375" style="350" customWidth="1"/>
    <col min="15" max="16384" width="9.140625" style="9"/>
  </cols>
  <sheetData>
    <row r="1" spans="1:16" ht="13.5" thickBot="1"/>
    <row r="2" spans="1:16" s="376" customFormat="1" ht="20.100000000000001" customHeight="1" thickTop="1" thickBot="1">
      <c r="B2" s="590" t="s">
        <v>151</v>
      </c>
      <c r="C2" s="591"/>
      <c r="D2" s="591"/>
      <c r="E2" s="591"/>
      <c r="F2" s="591"/>
      <c r="G2" s="591"/>
      <c r="H2" s="591"/>
      <c r="I2" s="591"/>
      <c r="J2" s="591"/>
      <c r="K2" s="530"/>
      <c r="L2" s="530"/>
      <c r="M2" s="530"/>
      <c r="N2" s="379"/>
    </row>
    <row r="3" spans="1:16" s="1" customFormat="1" ht="8.1" customHeight="1" thickTop="1" thickBot="1">
      <c r="A3" s="281"/>
      <c r="E3" s="2"/>
      <c r="F3" s="282"/>
      <c r="G3" s="531"/>
      <c r="H3" s="92"/>
      <c r="I3" s="92"/>
      <c r="J3" s="92"/>
      <c r="K3" s="92"/>
      <c r="L3" s="92"/>
      <c r="M3" s="92"/>
      <c r="N3" s="344"/>
    </row>
    <row r="4" spans="1:16" s="1" customFormat="1" ht="39" customHeight="1">
      <c r="A4" s="281"/>
      <c r="B4" s="596" t="s">
        <v>78</v>
      </c>
      <c r="C4" s="606" t="s">
        <v>79</v>
      </c>
      <c r="D4" s="607" t="s">
        <v>110</v>
      </c>
      <c r="E4" s="608" t="s">
        <v>594</v>
      </c>
      <c r="F4" s="601" t="s">
        <v>653</v>
      </c>
      <c r="G4" s="602" t="s">
        <v>80</v>
      </c>
      <c r="H4" s="593" t="s">
        <v>647</v>
      </c>
      <c r="I4" s="594"/>
      <c r="J4" s="595"/>
      <c r="K4" s="593" t="s">
        <v>801</v>
      </c>
      <c r="L4" s="594"/>
      <c r="M4" s="595"/>
      <c r="N4" s="604" t="s">
        <v>805</v>
      </c>
    </row>
    <row r="5" spans="1:16" s="281" customFormat="1" ht="27" customHeight="1">
      <c r="B5" s="597"/>
      <c r="C5" s="599"/>
      <c r="D5" s="599"/>
      <c r="E5" s="603"/>
      <c r="F5" s="599"/>
      <c r="G5" s="603"/>
      <c r="H5" s="372" t="s">
        <v>705</v>
      </c>
      <c r="I5" s="372" t="s">
        <v>706</v>
      </c>
      <c r="J5" s="382" t="s">
        <v>413</v>
      </c>
      <c r="K5" s="372" t="s">
        <v>705</v>
      </c>
      <c r="L5" s="372" t="s">
        <v>706</v>
      </c>
      <c r="M5" s="382" t="s">
        <v>413</v>
      </c>
      <c r="N5" s="605"/>
    </row>
    <row r="6" spans="1:16" s="2" customFormat="1" ht="12.95" customHeight="1">
      <c r="A6" s="282"/>
      <c r="B6" s="504">
        <v>1</v>
      </c>
      <c r="C6" s="331">
        <v>2</v>
      </c>
      <c r="D6" s="331">
        <v>3</v>
      </c>
      <c r="E6" s="331">
        <v>4</v>
      </c>
      <c r="F6" s="331">
        <v>5</v>
      </c>
      <c r="G6" s="331">
        <v>6</v>
      </c>
      <c r="H6" s="331">
        <v>7</v>
      </c>
      <c r="I6" s="331">
        <v>8</v>
      </c>
      <c r="J6" s="523" t="s">
        <v>804</v>
      </c>
      <c r="K6" s="331">
        <v>10</v>
      </c>
      <c r="L6" s="331">
        <v>11</v>
      </c>
      <c r="M6" s="523" t="s">
        <v>707</v>
      </c>
      <c r="N6" s="505">
        <v>13</v>
      </c>
    </row>
    <row r="7" spans="1:16" s="2" customFormat="1" ht="12.95" customHeight="1">
      <c r="A7" s="282"/>
      <c r="B7" s="6" t="s">
        <v>150</v>
      </c>
      <c r="C7" s="7" t="s">
        <v>81</v>
      </c>
      <c r="D7" s="7" t="s">
        <v>82</v>
      </c>
      <c r="E7" s="5"/>
      <c r="F7" s="283"/>
      <c r="G7" s="5"/>
      <c r="H7" s="283"/>
      <c r="I7" s="283"/>
      <c r="J7" s="383"/>
      <c r="K7" s="283"/>
      <c r="L7" s="283"/>
      <c r="M7" s="383"/>
      <c r="N7" s="345"/>
    </row>
    <row r="8" spans="1:16" s="1" customFormat="1" ht="12.95" customHeight="1">
      <c r="A8" s="281"/>
      <c r="B8" s="12"/>
      <c r="C8" s="8"/>
      <c r="D8" s="8"/>
      <c r="E8" s="305">
        <v>611000</v>
      </c>
      <c r="F8" s="331"/>
      <c r="G8" s="8" t="s">
        <v>163</v>
      </c>
      <c r="H8" s="210">
        <f t="shared" ref="H8:M8" si="0">SUM(H9:H11)</f>
        <v>131350</v>
      </c>
      <c r="I8" s="210">
        <f t="shared" si="0"/>
        <v>0</v>
      </c>
      <c r="J8" s="384">
        <f t="shared" si="0"/>
        <v>131350</v>
      </c>
      <c r="K8" s="210">
        <f t="shared" si="0"/>
        <v>25048</v>
      </c>
      <c r="L8" s="210">
        <f t="shared" si="0"/>
        <v>0</v>
      </c>
      <c r="M8" s="384">
        <f t="shared" si="0"/>
        <v>25048</v>
      </c>
      <c r="N8" s="346">
        <f>IF(J8=0,"",M8/J8*100)</f>
        <v>19.069661210506279</v>
      </c>
    </row>
    <row r="9" spans="1:16" ht="12.95" customHeight="1">
      <c r="B9" s="10"/>
      <c r="C9" s="11"/>
      <c r="D9" s="11"/>
      <c r="E9" s="306">
        <v>611100</v>
      </c>
      <c r="F9" s="332"/>
      <c r="G9" s="18" t="s">
        <v>198</v>
      </c>
      <c r="H9" s="209">
        <f>83400+830+2*500+1*12*1980</f>
        <v>108990</v>
      </c>
      <c r="I9" s="209">
        <v>0</v>
      </c>
      <c r="J9" s="385">
        <f>SUM(H9:I9)</f>
        <v>108990</v>
      </c>
      <c r="K9" s="209">
        <v>20864</v>
      </c>
      <c r="L9" s="209">
        <v>0</v>
      </c>
      <c r="M9" s="385">
        <f>SUM(K9:L9)</f>
        <v>20864</v>
      </c>
      <c r="N9" s="347">
        <f t="shared" ref="N9:N66" si="1">IF(J9=0,"",M9/J9*100)</f>
        <v>19.143040645930821</v>
      </c>
    </row>
    <row r="10" spans="1:16" ht="12.95" customHeight="1">
      <c r="B10" s="10"/>
      <c r="C10" s="11"/>
      <c r="D10" s="11"/>
      <c r="E10" s="306">
        <v>611200</v>
      </c>
      <c r="F10" s="332"/>
      <c r="G10" s="11" t="s">
        <v>199</v>
      </c>
      <c r="H10" s="209">
        <f>17650+200+2*900+11*21*10+400</f>
        <v>22360</v>
      </c>
      <c r="I10" s="209">
        <v>0</v>
      </c>
      <c r="J10" s="385">
        <f t="shared" ref="J10:J11" si="2">SUM(H10:I10)</f>
        <v>22360</v>
      </c>
      <c r="K10" s="209">
        <v>4184</v>
      </c>
      <c r="L10" s="209">
        <v>0</v>
      </c>
      <c r="M10" s="385">
        <f t="shared" ref="M10:M11" si="3">SUM(K10:L10)</f>
        <v>4184</v>
      </c>
      <c r="N10" s="347">
        <f t="shared" si="1"/>
        <v>18.711985688729875</v>
      </c>
    </row>
    <row r="11" spans="1:16" ht="12.95" customHeight="1">
      <c r="B11" s="10"/>
      <c r="C11" s="11"/>
      <c r="D11" s="11"/>
      <c r="E11" s="306">
        <v>611200</v>
      </c>
      <c r="F11" s="332"/>
      <c r="G11" s="189" t="s">
        <v>534</v>
      </c>
      <c r="H11" s="209">
        <v>0</v>
      </c>
      <c r="I11" s="209">
        <v>0</v>
      </c>
      <c r="J11" s="385">
        <f t="shared" si="2"/>
        <v>0</v>
      </c>
      <c r="K11" s="209">
        <v>0</v>
      </c>
      <c r="L11" s="209">
        <v>0</v>
      </c>
      <c r="M11" s="385">
        <f t="shared" si="3"/>
        <v>0</v>
      </c>
      <c r="N11" s="347" t="str">
        <f t="shared" si="1"/>
        <v/>
      </c>
      <c r="P11" s="56"/>
    </row>
    <row r="12" spans="1:16" ht="12.95" customHeight="1">
      <c r="B12" s="10"/>
      <c r="C12" s="11"/>
      <c r="D12" s="11"/>
      <c r="E12" s="306"/>
      <c r="F12" s="332"/>
      <c r="G12" s="11"/>
      <c r="H12" s="209"/>
      <c r="I12" s="209"/>
      <c r="J12" s="385"/>
      <c r="K12" s="209"/>
      <c r="L12" s="209"/>
      <c r="M12" s="385"/>
      <c r="N12" s="347" t="str">
        <f t="shared" si="1"/>
        <v/>
      </c>
    </row>
    <row r="13" spans="1:16" ht="12.95" customHeight="1">
      <c r="B13" s="12"/>
      <c r="C13" s="8"/>
      <c r="D13" s="8"/>
      <c r="E13" s="305">
        <v>612000</v>
      </c>
      <c r="F13" s="331"/>
      <c r="G13" s="8" t="s">
        <v>162</v>
      </c>
      <c r="H13" s="210">
        <f t="shared" ref="H13:M13" si="4">H14</f>
        <v>11780</v>
      </c>
      <c r="I13" s="210">
        <f t="shared" si="4"/>
        <v>0</v>
      </c>
      <c r="J13" s="384">
        <f t="shared" si="4"/>
        <v>11780</v>
      </c>
      <c r="K13" s="210">
        <f t="shared" si="4"/>
        <v>2212</v>
      </c>
      <c r="L13" s="210">
        <f t="shared" si="4"/>
        <v>0</v>
      </c>
      <c r="M13" s="384">
        <f t="shared" si="4"/>
        <v>2212</v>
      </c>
      <c r="N13" s="346">
        <f t="shared" si="1"/>
        <v>18.777589134125634</v>
      </c>
    </row>
    <row r="14" spans="1:16" s="1" customFormat="1" ht="12.95" customHeight="1">
      <c r="A14" s="281"/>
      <c r="B14" s="10"/>
      <c r="C14" s="11"/>
      <c r="D14" s="11"/>
      <c r="E14" s="306">
        <v>612100</v>
      </c>
      <c r="F14" s="332"/>
      <c r="G14" s="13" t="s">
        <v>83</v>
      </c>
      <c r="H14" s="209">
        <f>8900+100+2*70+1*12*220</f>
        <v>11780</v>
      </c>
      <c r="I14" s="209">
        <v>0</v>
      </c>
      <c r="J14" s="385">
        <f>SUM(H14:I14)</f>
        <v>11780</v>
      </c>
      <c r="K14" s="209">
        <v>2212</v>
      </c>
      <c r="L14" s="209">
        <v>0</v>
      </c>
      <c r="M14" s="385">
        <f>SUM(K14:L14)</f>
        <v>2212</v>
      </c>
      <c r="N14" s="347">
        <f t="shared" si="1"/>
        <v>18.777589134125634</v>
      </c>
    </row>
    <row r="15" spans="1:16" ht="12.95" customHeight="1">
      <c r="B15" s="10"/>
      <c r="C15" s="11"/>
      <c r="D15" s="11"/>
      <c r="E15" s="306"/>
      <c r="F15" s="332"/>
      <c r="G15" s="11"/>
      <c r="H15" s="279"/>
      <c r="I15" s="279"/>
      <c r="J15" s="386"/>
      <c r="K15" s="279"/>
      <c r="L15" s="279"/>
      <c r="M15" s="386"/>
      <c r="N15" s="347" t="str">
        <f t="shared" si="1"/>
        <v/>
      </c>
    </row>
    <row r="16" spans="1:16" ht="12.95" customHeight="1">
      <c r="B16" s="12"/>
      <c r="C16" s="8"/>
      <c r="D16" s="8"/>
      <c r="E16" s="305">
        <v>613000</v>
      </c>
      <c r="F16" s="331"/>
      <c r="G16" s="8" t="s">
        <v>164</v>
      </c>
      <c r="H16" s="293">
        <f t="shared" ref="H16:M16" si="5">SUM(H17:H26)</f>
        <v>15700</v>
      </c>
      <c r="I16" s="293">
        <f t="shared" si="5"/>
        <v>0</v>
      </c>
      <c r="J16" s="387">
        <f t="shared" si="5"/>
        <v>15700</v>
      </c>
      <c r="K16" s="293">
        <f t="shared" si="5"/>
        <v>1852</v>
      </c>
      <c r="L16" s="293">
        <f t="shared" si="5"/>
        <v>0</v>
      </c>
      <c r="M16" s="387">
        <f t="shared" si="5"/>
        <v>1852</v>
      </c>
      <c r="N16" s="346">
        <f t="shared" si="1"/>
        <v>11.796178343949045</v>
      </c>
    </row>
    <row r="17" spans="1:14" s="1" customFormat="1" ht="12.95" customHeight="1">
      <c r="A17" s="281"/>
      <c r="B17" s="10"/>
      <c r="C17" s="11"/>
      <c r="D17" s="11"/>
      <c r="E17" s="306">
        <v>613100</v>
      </c>
      <c r="F17" s="332"/>
      <c r="G17" s="11" t="s">
        <v>84</v>
      </c>
      <c r="H17" s="364">
        <v>400</v>
      </c>
      <c r="I17" s="364">
        <v>0</v>
      </c>
      <c r="J17" s="385">
        <f t="shared" ref="J17:J26" si="6">SUM(H17:I17)</f>
        <v>400</v>
      </c>
      <c r="K17" s="364">
        <v>0</v>
      </c>
      <c r="L17" s="364">
        <v>0</v>
      </c>
      <c r="M17" s="385">
        <f t="shared" ref="M17:M26" si="7">SUM(K17:L17)</f>
        <v>0</v>
      </c>
      <c r="N17" s="347">
        <f t="shared" si="1"/>
        <v>0</v>
      </c>
    </row>
    <row r="18" spans="1:14" ht="12.95" customHeight="1">
      <c r="B18" s="10"/>
      <c r="C18" s="11"/>
      <c r="D18" s="11"/>
      <c r="E18" s="306">
        <v>613200</v>
      </c>
      <c r="F18" s="332"/>
      <c r="G18" s="11" t="s">
        <v>85</v>
      </c>
      <c r="H18" s="364">
        <v>5500</v>
      </c>
      <c r="I18" s="364">
        <v>0</v>
      </c>
      <c r="J18" s="385">
        <f t="shared" si="6"/>
        <v>5500</v>
      </c>
      <c r="K18" s="364">
        <v>315</v>
      </c>
      <c r="L18" s="364">
        <v>0</v>
      </c>
      <c r="M18" s="385">
        <f t="shared" si="7"/>
        <v>315</v>
      </c>
      <c r="N18" s="347">
        <f t="shared" si="1"/>
        <v>5.7272727272727275</v>
      </c>
    </row>
    <row r="19" spans="1:14" ht="12.95" customHeight="1">
      <c r="B19" s="10"/>
      <c r="C19" s="11"/>
      <c r="D19" s="11"/>
      <c r="E19" s="306">
        <v>613300</v>
      </c>
      <c r="F19" s="332"/>
      <c r="G19" s="18" t="s">
        <v>200</v>
      </c>
      <c r="H19" s="364">
        <v>3000</v>
      </c>
      <c r="I19" s="364">
        <v>0</v>
      </c>
      <c r="J19" s="385">
        <f t="shared" si="6"/>
        <v>3000</v>
      </c>
      <c r="K19" s="364">
        <v>556</v>
      </c>
      <c r="L19" s="364">
        <v>0</v>
      </c>
      <c r="M19" s="385">
        <f t="shared" si="7"/>
        <v>556</v>
      </c>
      <c r="N19" s="347">
        <f t="shared" si="1"/>
        <v>18.533333333333331</v>
      </c>
    </row>
    <row r="20" spans="1:14" ht="12.95" customHeight="1">
      <c r="B20" s="10"/>
      <c r="C20" s="11"/>
      <c r="D20" s="11"/>
      <c r="E20" s="306">
        <v>613400</v>
      </c>
      <c r="F20" s="332"/>
      <c r="G20" s="11" t="s">
        <v>165</v>
      </c>
      <c r="H20" s="364">
        <v>1000</v>
      </c>
      <c r="I20" s="364">
        <v>0</v>
      </c>
      <c r="J20" s="385">
        <f t="shared" si="6"/>
        <v>1000</v>
      </c>
      <c r="K20" s="364">
        <v>0</v>
      </c>
      <c r="L20" s="364">
        <v>0</v>
      </c>
      <c r="M20" s="385">
        <f t="shared" si="7"/>
        <v>0</v>
      </c>
      <c r="N20" s="347">
        <f t="shared" si="1"/>
        <v>0</v>
      </c>
    </row>
    <row r="21" spans="1:14" ht="12.95" customHeight="1">
      <c r="B21" s="10"/>
      <c r="C21" s="11"/>
      <c r="D21" s="11"/>
      <c r="E21" s="306">
        <v>613500</v>
      </c>
      <c r="F21" s="332"/>
      <c r="G21" s="11" t="s">
        <v>86</v>
      </c>
      <c r="H21" s="364">
        <v>0</v>
      </c>
      <c r="I21" s="364">
        <v>0</v>
      </c>
      <c r="J21" s="385">
        <f t="shared" si="6"/>
        <v>0</v>
      </c>
      <c r="K21" s="364">
        <v>0</v>
      </c>
      <c r="L21" s="364">
        <v>0</v>
      </c>
      <c r="M21" s="385">
        <f t="shared" si="7"/>
        <v>0</v>
      </c>
      <c r="N21" s="347" t="str">
        <f t="shared" si="1"/>
        <v/>
      </c>
    </row>
    <row r="22" spans="1:14" ht="12.95" customHeight="1">
      <c r="B22" s="10"/>
      <c r="C22" s="11"/>
      <c r="D22" s="11"/>
      <c r="E22" s="306">
        <v>613600</v>
      </c>
      <c r="F22" s="332"/>
      <c r="G22" s="18" t="s">
        <v>201</v>
      </c>
      <c r="H22" s="364">
        <v>0</v>
      </c>
      <c r="I22" s="364">
        <v>0</v>
      </c>
      <c r="J22" s="385">
        <f t="shared" si="6"/>
        <v>0</v>
      </c>
      <c r="K22" s="364">
        <v>0</v>
      </c>
      <c r="L22" s="364">
        <v>0</v>
      </c>
      <c r="M22" s="385">
        <f t="shared" si="7"/>
        <v>0</v>
      </c>
      <c r="N22" s="347" t="str">
        <f t="shared" si="1"/>
        <v/>
      </c>
    </row>
    <row r="23" spans="1:14" ht="12.95" customHeight="1">
      <c r="B23" s="10"/>
      <c r="C23" s="11"/>
      <c r="D23" s="11"/>
      <c r="E23" s="306">
        <v>613700</v>
      </c>
      <c r="F23" s="332"/>
      <c r="G23" s="11" t="s">
        <v>87</v>
      </c>
      <c r="H23" s="364">
        <v>500</v>
      </c>
      <c r="I23" s="364">
        <v>0</v>
      </c>
      <c r="J23" s="385">
        <f t="shared" si="6"/>
        <v>500</v>
      </c>
      <c r="K23" s="364">
        <v>31</v>
      </c>
      <c r="L23" s="364">
        <v>0</v>
      </c>
      <c r="M23" s="385">
        <f t="shared" si="7"/>
        <v>31</v>
      </c>
      <c r="N23" s="347">
        <f t="shared" si="1"/>
        <v>6.2</v>
      </c>
    </row>
    <row r="24" spans="1:14" ht="12.95" customHeight="1">
      <c r="B24" s="10"/>
      <c r="C24" s="11"/>
      <c r="D24" s="11"/>
      <c r="E24" s="306">
        <v>613800</v>
      </c>
      <c r="F24" s="332"/>
      <c r="G24" s="11" t="s">
        <v>166</v>
      </c>
      <c r="H24" s="364">
        <v>0</v>
      </c>
      <c r="I24" s="364">
        <v>0</v>
      </c>
      <c r="J24" s="385">
        <f t="shared" si="6"/>
        <v>0</v>
      </c>
      <c r="K24" s="364">
        <v>0</v>
      </c>
      <c r="L24" s="364">
        <v>0</v>
      </c>
      <c r="M24" s="385">
        <f t="shared" si="7"/>
        <v>0</v>
      </c>
      <c r="N24" s="347" t="str">
        <f t="shared" si="1"/>
        <v/>
      </c>
    </row>
    <row r="25" spans="1:14" ht="12.95" customHeight="1">
      <c r="B25" s="10"/>
      <c r="C25" s="11"/>
      <c r="D25" s="11"/>
      <c r="E25" s="306">
        <v>613900</v>
      </c>
      <c r="F25" s="332"/>
      <c r="G25" s="11" t="s">
        <v>167</v>
      </c>
      <c r="H25" s="364">
        <v>5300</v>
      </c>
      <c r="I25" s="364">
        <v>0</v>
      </c>
      <c r="J25" s="385">
        <f t="shared" si="6"/>
        <v>5300</v>
      </c>
      <c r="K25" s="364">
        <v>950</v>
      </c>
      <c r="L25" s="364">
        <v>0</v>
      </c>
      <c r="M25" s="385">
        <f t="shared" si="7"/>
        <v>950</v>
      </c>
      <c r="N25" s="347">
        <f t="shared" si="1"/>
        <v>17.924528301886792</v>
      </c>
    </row>
    <row r="26" spans="1:14" ht="12.95" customHeight="1">
      <c r="B26" s="10"/>
      <c r="C26" s="11"/>
      <c r="D26" s="11"/>
      <c r="E26" s="306">
        <v>613900</v>
      </c>
      <c r="F26" s="332"/>
      <c r="G26" s="189" t="s">
        <v>535</v>
      </c>
      <c r="H26" s="364">
        <v>0</v>
      </c>
      <c r="I26" s="364">
        <v>0</v>
      </c>
      <c r="J26" s="385">
        <f t="shared" si="6"/>
        <v>0</v>
      </c>
      <c r="K26" s="364">
        <v>0</v>
      </c>
      <c r="L26" s="364">
        <v>0</v>
      </c>
      <c r="M26" s="385">
        <f t="shared" si="7"/>
        <v>0</v>
      </c>
      <c r="N26" s="347" t="str">
        <f t="shared" si="1"/>
        <v/>
      </c>
    </row>
    <row r="27" spans="1:14" ht="12.95" customHeight="1">
      <c r="B27" s="12"/>
      <c r="C27" s="8"/>
      <c r="D27" s="8"/>
      <c r="E27" s="305"/>
      <c r="F27" s="331"/>
      <c r="G27" s="8"/>
      <c r="H27" s="295"/>
      <c r="I27" s="295"/>
      <c r="J27" s="387"/>
      <c r="K27" s="295"/>
      <c r="L27" s="295"/>
      <c r="M27" s="387"/>
      <c r="N27" s="347" t="str">
        <f t="shared" si="1"/>
        <v/>
      </c>
    </row>
    <row r="28" spans="1:14" ht="12.95" customHeight="1">
      <c r="B28" s="12"/>
      <c r="C28" s="8"/>
      <c r="D28" s="8"/>
      <c r="E28" s="305">
        <v>821000</v>
      </c>
      <c r="F28" s="331"/>
      <c r="G28" s="8" t="s">
        <v>90</v>
      </c>
      <c r="H28" s="295">
        <f t="shared" ref="H28:M28" si="8">SUM(H29:H30)</f>
        <v>0</v>
      </c>
      <c r="I28" s="295">
        <f t="shared" si="8"/>
        <v>0</v>
      </c>
      <c r="J28" s="387">
        <f t="shared" si="8"/>
        <v>0</v>
      </c>
      <c r="K28" s="295">
        <f t="shared" si="8"/>
        <v>0</v>
      </c>
      <c r="L28" s="295">
        <f t="shared" si="8"/>
        <v>0</v>
      </c>
      <c r="M28" s="387">
        <f t="shared" si="8"/>
        <v>0</v>
      </c>
      <c r="N28" s="346" t="str">
        <f t="shared" si="1"/>
        <v/>
      </c>
    </row>
    <row r="29" spans="1:14" s="1" customFormat="1" ht="12.95" customHeight="1">
      <c r="A29" s="281"/>
      <c r="B29" s="10"/>
      <c r="C29" s="11"/>
      <c r="D29" s="11"/>
      <c r="E29" s="306">
        <v>821200</v>
      </c>
      <c r="F29" s="332"/>
      <c r="G29" s="11" t="s">
        <v>91</v>
      </c>
      <c r="H29" s="280">
        <v>0</v>
      </c>
      <c r="I29" s="280">
        <v>0</v>
      </c>
      <c r="J29" s="385">
        <f t="shared" ref="J29:J30" si="9">SUM(H29:I29)</f>
        <v>0</v>
      </c>
      <c r="K29" s="280">
        <v>0</v>
      </c>
      <c r="L29" s="280">
        <v>0</v>
      </c>
      <c r="M29" s="385">
        <f t="shared" ref="M29:M30" si="10">SUM(K29:L29)</f>
        <v>0</v>
      </c>
      <c r="N29" s="347" t="str">
        <f t="shared" si="1"/>
        <v/>
      </c>
    </row>
    <row r="30" spans="1:14" ht="12.95" customHeight="1">
      <c r="B30" s="10"/>
      <c r="C30" s="11"/>
      <c r="D30" s="11"/>
      <c r="E30" s="306">
        <v>821300</v>
      </c>
      <c r="F30" s="332"/>
      <c r="G30" s="11" t="s">
        <v>92</v>
      </c>
      <c r="H30" s="280">
        <v>0</v>
      </c>
      <c r="I30" s="280">
        <v>0</v>
      </c>
      <c r="J30" s="385">
        <f t="shared" si="9"/>
        <v>0</v>
      </c>
      <c r="K30" s="280">
        <v>0</v>
      </c>
      <c r="L30" s="280">
        <v>0</v>
      </c>
      <c r="M30" s="385">
        <f t="shared" si="10"/>
        <v>0</v>
      </c>
      <c r="N30" s="347" t="str">
        <f t="shared" si="1"/>
        <v/>
      </c>
    </row>
    <row r="31" spans="1:14" ht="12.95" customHeight="1">
      <c r="B31" s="10"/>
      <c r="C31" s="11"/>
      <c r="D31" s="11"/>
      <c r="E31" s="306"/>
      <c r="F31" s="332"/>
      <c r="G31" s="11"/>
      <c r="H31" s="280"/>
      <c r="I31" s="280"/>
      <c r="J31" s="386"/>
      <c r="K31" s="280"/>
      <c r="L31" s="280"/>
      <c r="M31" s="386"/>
      <c r="N31" s="347" t="str">
        <f t="shared" si="1"/>
        <v/>
      </c>
    </row>
    <row r="32" spans="1:14" ht="12.95" customHeight="1">
      <c r="B32" s="12"/>
      <c r="C32" s="8"/>
      <c r="D32" s="8"/>
      <c r="E32" s="305"/>
      <c r="F32" s="331"/>
      <c r="G32" s="8" t="s">
        <v>93</v>
      </c>
      <c r="H32" s="295">
        <v>5</v>
      </c>
      <c r="I32" s="295"/>
      <c r="J32" s="387">
        <v>5</v>
      </c>
      <c r="K32" s="295">
        <v>4</v>
      </c>
      <c r="L32" s="295"/>
      <c r="M32" s="387">
        <v>4</v>
      </c>
      <c r="N32" s="347"/>
    </row>
    <row r="33" spans="1:14" s="1" customFormat="1" ht="12.95" customHeight="1">
      <c r="A33" s="281"/>
      <c r="B33" s="12"/>
      <c r="C33" s="8"/>
      <c r="D33" s="8"/>
      <c r="E33" s="305"/>
      <c r="F33" s="331"/>
      <c r="G33" s="8" t="s">
        <v>113</v>
      </c>
      <c r="H33" s="288">
        <f t="shared" ref="H33:M33" si="11">H8+H13+H16+H28</f>
        <v>158830</v>
      </c>
      <c r="I33" s="288">
        <f t="shared" si="11"/>
        <v>0</v>
      </c>
      <c r="J33" s="387">
        <f t="shared" si="11"/>
        <v>158830</v>
      </c>
      <c r="K33" s="288">
        <f t="shared" si="11"/>
        <v>29112</v>
      </c>
      <c r="L33" s="288">
        <f t="shared" si="11"/>
        <v>0</v>
      </c>
      <c r="M33" s="387">
        <f t="shared" si="11"/>
        <v>29112</v>
      </c>
      <c r="N33" s="346">
        <f t="shared" si="1"/>
        <v>18.32903103947617</v>
      </c>
    </row>
    <row r="34" spans="1:14" s="1" customFormat="1" ht="12.95" customHeight="1">
      <c r="A34" s="281"/>
      <c r="B34" s="12"/>
      <c r="C34" s="8"/>
      <c r="D34" s="8"/>
      <c r="E34" s="305"/>
      <c r="F34" s="331"/>
      <c r="G34" s="8" t="s">
        <v>94</v>
      </c>
      <c r="H34" s="288">
        <f t="shared" ref="H34:J35" si="12">H33</f>
        <v>158830</v>
      </c>
      <c r="I34" s="288">
        <f t="shared" si="12"/>
        <v>0</v>
      </c>
      <c r="J34" s="387">
        <f t="shared" si="12"/>
        <v>158830</v>
      </c>
      <c r="K34" s="288">
        <f t="shared" ref="K34:M34" si="13">K33</f>
        <v>29112</v>
      </c>
      <c r="L34" s="288">
        <f t="shared" si="13"/>
        <v>0</v>
      </c>
      <c r="M34" s="387">
        <f t="shared" si="13"/>
        <v>29112</v>
      </c>
      <c r="N34" s="346">
        <f t="shared" si="1"/>
        <v>18.32903103947617</v>
      </c>
    </row>
    <row r="35" spans="1:14" s="1" customFormat="1" ht="12.95" customHeight="1">
      <c r="A35" s="281"/>
      <c r="B35" s="12"/>
      <c r="C35" s="8"/>
      <c r="D35" s="8"/>
      <c r="E35" s="305"/>
      <c r="F35" s="331"/>
      <c r="G35" s="8" t="s">
        <v>95</v>
      </c>
      <c r="H35" s="288">
        <f t="shared" si="12"/>
        <v>158830</v>
      </c>
      <c r="I35" s="288">
        <f t="shared" si="12"/>
        <v>0</v>
      </c>
      <c r="J35" s="387">
        <f t="shared" si="12"/>
        <v>158830</v>
      </c>
      <c r="K35" s="288">
        <f t="shared" ref="K35:M35" si="14">K34</f>
        <v>29112</v>
      </c>
      <c r="L35" s="288">
        <f t="shared" si="14"/>
        <v>0</v>
      </c>
      <c r="M35" s="387">
        <f t="shared" si="14"/>
        <v>29112</v>
      </c>
      <c r="N35" s="346">
        <f t="shared" si="1"/>
        <v>18.32903103947617</v>
      </c>
    </row>
    <row r="36" spans="1:14" s="1" customFormat="1" ht="12.95" customHeight="1" thickBot="1">
      <c r="A36" s="281"/>
      <c r="B36" s="15"/>
      <c r="C36" s="16"/>
      <c r="D36" s="16"/>
      <c r="E36" s="307"/>
      <c r="F36" s="333"/>
      <c r="G36" s="16"/>
      <c r="H36" s="27"/>
      <c r="I36" s="27"/>
      <c r="J36" s="390"/>
      <c r="K36" s="27"/>
      <c r="L36" s="27"/>
      <c r="M36" s="390"/>
      <c r="N36" s="349" t="str">
        <f t="shared" si="1"/>
        <v/>
      </c>
    </row>
    <row r="37" spans="1:14" ht="12.95" customHeight="1">
      <c r="E37" s="308"/>
      <c r="F37" s="334"/>
      <c r="J37" s="391"/>
      <c r="M37" s="391"/>
      <c r="N37" s="350" t="str">
        <f t="shared" si="1"/>
        <v/>
      </c>
    </row>
    <row r="38" spans="1:14" ht="12.95" customHeight="1">
      <c r="B38" s="50"/>
      <c r="E38" s="308"/>
      <c r="F38" s="334"/>
      <c r="J38" s="391"/>
      <c r="M38" s="391"/>
      <c r="N38" s="350" t="str">
        <f t="shared" si="1"/>
        <v/>
      </c>
    </row>
    <row r="39" spans="1:14" ht="12.95" customHeight="1">
      <c r="B39" s="50"/>
      <c r="E39" s="308"/>
      <c r="F39" s="334"/>
      <c r="J39" s="391"/>
      <c r="M39" s="391"/>
      <c r="N39" s="350" t="str">
        <f t="shared" si="1"/>
        <v/>
      </c>
    </row>
    <row r="40" spans="1:14" ht="12.95" customHeight="1">
      <c r="B40" s="50"/>
      <c r="E40" s="308"/>
      <c r="F40" s="334"/>
      <c r="J40" s="391"/>
      <c r="M40" s="391"/>
      <c r="N40" s="350" t="str">
        <f t="shared" si="1"/>
        <v/>
      </c>
    </row>
    <row r="41" spans="1:14" ht="12.95" customHeight="1">
      <c r="B41" s="50"/>
      <c r="E41" s="308"/>
      <c r="F41" s="334"/>
      <c r="J41" s="391"/>
      <c r="M41" s="391"/>
      <c r="N41" s="350" t="str">
        <f t="shared" si="1"/>
        <v/>
      </c>
    </row>
    <row r="42" spans="1:14" ht="12.95" customHeight="1">
      <c r="E42" s="308"/>
      <c r="F42" s="334"/>
      <c r="J42" s="391"/>
      <c r="M42" s="391"/>
      <c r="N42" s="350" t="str">
        <f t="shared" si="1"/>
        <v/>
      </c>
    </row>
    <row r="43" spans="1:14" ht="12.95" customHeight="1">
      <c r="E43" s="308"/>
      <c r="F43" s="334"/>
      <c r="J43" s="391"/>
      <c r="M43" s="391"/>
      <c r="N43" s="350" t="str">
        <f t="shared" si="1"/>
        <v/>
      </c>
    </row>
    <row r="44" spans="1:14" ht="12.95" customHeight="1">
      <c r="E44" s="308"/>
      <c r="F44" s="334"/>
      <c r="J44" s="391"/>
      <c r="M44" s="391"/>
      <c r="N44" s="350" t="str">
        <f t="shared" si="1"/>
        <v/>
      </c>
    </row>
    <row r="45" spans="1:14" ht="12.95" customHeight="1">
      <c r="E45" s="308"/>
      <c r="F45" s="334"/>
      <c r="J45" s="391"/>
      <c r="M45" s="391"/>
      <c r="N45" s="350" t="str">
        <f t="shared" si="1"/>
        <v/>
      </c>
    </row>
    <row r="46" spans="1:14" ht="12.95" customHeight="1">
      <c r="E46" s="308"/>
      <c r="F46" s="334"/>
      <c r="J46" s="391"/>
      <c r="M46" s="391"/>
      <c r="N46" s="350" t="str">
        <f t="shared" si="1"/>
        <v/>
      </c>
    </row>
    <row r="47" spans="1:14" ht="12.95" customHeight="1">
      <c r="E47" s="308"/>
      <c r="F47" s="334"/>
      <c r="J47" s="391"/>
      <c r="M47" s="391"/>
      <c r="N47" s="350" t="str">
        <f t="shared" si="1"/>
        <v/>
      </c>
    </row>
    <row r="48" spans="1:14" ht="12.95" customHeight="1">
      <c r="E48" s="308"/>
      <c r="F48" s="334"/>
      <c r="J48" s="391"/>
      <c r="M48" s="391"/>
      <c r="N48" s="350" t="str">
        <f t="shared" si="1"/>
        <v/>
      </c>
    </row>
    <row r="49" spans="5:14" ht="12.95" customHeight="1">
      <c r="E49" s="308"/>
      <c r="F49" s="334"/>
      <c r="J49" s="391"/>
      <c r="M49" s="391"/>
      <c r="N49" s="350" t="str">
        <f t="shared" si="1"/>
        <v/>
      </c>
    </row>
    <row r="50" spans="5:14" ht="12.95" customHeight="1">
      <c r="E50" s="308"/>
      <c r="F50" s="334"/>
      <c r="J50" s="391"/>
      <c r="M50" s="391"/>
      <c r="N50" s="350" t="str">
        <f t="shared" si="1"/>
        <v/>
      </c>
    </row>
    <row r="51" spans="5:14" ht="12.95" customHeight="1">
      <c r="E51" s="308"/>
      <c r="F51" s="334"/>
      <c r="J51" s="391"/>
      <c r="M51" s="391"/>
      <c r="N51" s="350" t="str">
        <f t="shared" si="1"/>
        <v/>
      </c>
    </row>
    <row r="52" spans="5:14" ht="12.95" customHeight="1">
      <c r="E52" s="308"/>
      <c r="F52" s="334"/>
      <c r="J52" s="391"/>
      <c r="M52" s="391"/>
      <c r="N52" s="350" t="str">
        <f t="shared" si="1"/>
        <v/>
      </c>
    </row>
    <row r="53" spans="5:14" ht="12.95" customHeight="1">
      <c r="E53" s="308"/>
      <c r="F53" s="334"/>
      <c r="J53" s="391"/>
      <c r="M53" s="391"/>
      <c r="N53" s="350" t="str">
        <f t="shared" si="1"/>
        <v/>
      </c>
    </row>
    <row r="54" spans="5:14" ht="12.95" customHeight="1">
      <c r="E54" s="308"/>
      <c r="F54" s="334"/>
      <c r="J54" s="391"/>
      <c r="M54" s="391"/>
      <c r="N54" s="350" t="str">
        <f t="shared" si="1"/>
        <v/>
      </c>
    </row>
    <row r="55" spans="5:14" ht="12.95" customHeight="1">
      <c r="E55" s="308"/>
      <c r="F55" s="334"/>
      <c r="J55" s="391"/>
      <c r="M55" s="391"/>
      <c r="N55" s="350" t="str">
        <f t="shared" si="1"/>
        <v/>
      </c>
    </row>
    <row r="56" spans="5:14" ht="12.95" customHeight="1">
      <c r="E56" s="308"/>
      <c r="F56" s="334"/>
      <c r="J56" s="391"/>
      <c r="M56" s="391"/>
      <c r="N56" s="350" t="str">
        <f t="shared" si="1"/>
        <v/>
      </c>
    </row>
    <row r="57" spans="5:14" ht="12.95" customHeight="1">
      <c r="E57" s="308"/>
      <c r="F57" s="334"/>
      <c r="J57" s="391"/>
      <c r="M57" s="391"/>
      <c r="N57" s="350" t="str">
        <f t="shared" si="1"/>
        <v/>
      </c>
    </row>
    <row r="58" spans="5:14" ht="12.95" customHeight="1">
      <c r="E58" s="308"/>
      <c r="F58" s="334"/>
      <c r="J58" s="391"/>
      <c r="M58" s="391"/>
      <c r="N58" s="350" t="str">
        <f t="shared" si="1"/>
        <v/>
      </c>
    </row>
    <row r="59" spans="5:14" ht="12.95" customHeight="1">
      <c r="E59" s="308"/>
      <c r="F59" s="334"/>
      <c r="J59" s="391"/>
      <c r="M59" s="391"/>
      <c r="N59" s="350" t="str">
        <f t="shared" si="1"/>
        <v/>
      </c>
    </row>
    <row r="60" spans="5:14" ht="17.100000000000001" customHeight="1">
      <c r="E60" s="308"/>
      <c r="F60" s="334"/>
      <c r="J60" s="391"/>
      <c r="M60" s="391"/>
      <c r="N60" s="350" t="str">
        <f t="shared" si="1"/>
        <v/>
      </c>
    </row>
    <row r="61" spans="5:14" ht="14.25">
      <c r="E61" s="308"/>
      <c r="F61" s="334"/>
      <c r="J61" s="391"/>
      <c r="M61" s="391"/>
      <c r="N61" s="350" t="str">
        <f t="shared" si="1"/>
        <v/>
      </c>
    </row>
    <row r="62" spans="5:14" ht="14.25">
      <c r="E62" s="308"/>
      <c r="F62" s="334"/>
      <c r="J62" s="391"/>
      <c r="M62" s="391"/>
      <c r="N62" s="350" t="str">
        <f t="shared" si="1"/>
        <v/>
      </c>
    </row>
    <row r="63" spans="5:14" ht="14.25">
      <c r="E63" s="308"/>
      <c r="F63" s="334"/>
      <c r="J63" s="391"/>
      <c r="M63" s="391"/>
      <c r="N63" s="350" t="str">
        <f t="shared" si="1"/>
        <v/>
      </c>
    </row>
    <row r="64" spans="5:14" ht="14.25">
      <c r="E64" s="308"/>
      <c r="F64" s="334"/>
      <c r="J64" s="391"/>
      <c r="M64" s="391"/>
      <c r="N64" s="350" t="str">
        <f t="shared" si="1"/>
        <v/>
      </c>
    </row>
    <row r="65" spans="5:14" ht="14.25">
      <c r="E65" s="308"/>
      <c r="F65" s="334"/>
      <c r="J65" s="391"/>
      <c r="M65" s="391"/>
      <c r="N65" s="350" t="str">
        <f t="shared" si="1"/>
        <v/>
      </c>
    </row>
    <row r="66" spans="5:14" ht="14.25">
      <c r="E66" s="308"/>
      <c r="F66" s="334"/>
      <c r="J66" s="391"/>
      <c r="M66" s="391"/>
      <c r="N66" s="350" t="str">
        <f t="shared" si="1"/>
        <v/>
      </c>
    </row>
    <row r="67" spans="5:14" ht="14.25">
      <c r="E67" s="308"/>
      <c r="F67" s="334"/>
      <c r="J67" s="391"/>
      <c r="M67" s="391"/>
    </row>
    <row r="68" spans="5:14" ht="14.25">
      <c r="E68" s="308"/>
      <c r="F68" s="334"/>
      <c r="J68" s="391"/>
      <c r="M68" s="391"/>
    </row>
    <row r="69" spans="5:14" ht="14.25">
      <c r="E69" s="308"/>
      <c r="F69" s="334"/>
      <c r="J69" s="391"/>
      <c r="M69" s="391"/>
    </row>
    <row r="70" spans="5:14" ht="14.25">
      <c r="E70" s="308"/>
      <c r="F70" s="334"/>
      <c r="J70" s="391"/>
      <c r="M70" s="391"/>
    </row>
    <row r="71" spans="5:14" ht="14.25">
      <c r="E71" s="308"/>
      <c r="F71" s="334"/>
      <c r="J71" s="391"/>
      <c r="M71" s="391"/>
    </row>
    <row r="72" spans="5:14" ht="14.25">
      <c r="E72" s="308"/>
      <c r="F72" s="334"/>
      <c r="J72" s="391"/>
      <c r="M72" s="391"/>
    </row>
    <row r="73" spans="5:14" ht="14.25">
      <c r="E73" s="308"/>
      <c r="F73" s="334"/>
      <c r="J73" s="391"/>
      <c r="M73" s="391"/>
    </row>
    <row r="74" spans="5:14" ht="14.25">
      <c r="E74" s="308"/>
      <c r="F74" s="308"/>
      <c r="J74" s="391"/>
      <c r="M74" s="391"/>
    </row>
    <row r="75" spans="5:14" ht="14.25">
      <c r="E75" s="308"/>
      <c r="F75" s="308"/>
      <c r="J75" s="391"/>
      <c r="M75" s="391"/>
    </row>
    <row r="76" spans="5:14" ht="14.25">
      <c r="E76" s="308"/>
      <c r="F76" s="308"/>
      <c r="J76" s="391"/>
      <c r="M76" s="391"/>
    </row>
    <row r="77" spans="5:14" ht="14.25">
      <c r="E77" s="308"/>
      <c r="F77" s="308"/>
      <c r="J77" s="391"/>
      <c r="M77" s="391"/>
    </row>
    <row r="78" spans="5:14" ht="14.25">
      <c r="E78" s="308"/>
      <c r="F78" s="308"/>
      <c r="J78" s="391"/>
      <c r="M78" s="391"/>
    </row>
    <row r="79" spans="5:14" ht="14.25">
      <c r="E79" s="308"/>
      <c r="F79" s="308"/>
      <c r="J79" s="391"/>
      <c r="M79" s="391"/>
    </row>
    <row r="80" spans="5:14" ht="14.25">
      <c r="E80" s="308"/>
      <c r="F80" s="308"/>
      <c r="J80" s="391"/>
      <c r="M80" s="391"/>
    </row>
    <row r="81" spans="5:13" ht="14.25">
      <c r="E81" s="308"/>
      <c r="F81" s="308"/>
      <c r="J81" s="391"/>
      <c r="M81" s="391"/>
    </row>
    <row r="82" spans="5:13" ht="14.25">
      <c r="E82" s="308"/>
      <c r="F82" s="308"/>
      <c r="J82" s="391"/>
      <c r="M82" s="391"/>
    </row>
    <row r="83" spans="5:13" ht="14.25">
      <c r="E83" s="308"/>
      <c r="F83" s="308"/>
      <c r="J83" s="391"/>
      <c r="M83" s="391"/>
    </row>
    <row r="84" spans="5:13" ht="14.25">
      <c r="E84" s="308"/>
      <c r="F84" s="308"/>
      <c r="J84" s="391"/>
      <c r="M84" s="391"/>
    </row>
    <row r="85" spans="5:13" ht="14.25">
      <c r="E85" s="308"/>
      <c r="F85" s="308"/>
      <c r="J85" s="391"/>
      <c r="M85" s="391"/>
    </row>
    <row r="86" spans="5:13" ht="14.25">
      <c r="E86" s="308"/>
      <c r="F86" s="308"/>
      <c r="J86" s="391"/>
      <c r="M86" s="391"/>
    </row>
    <row r="87" spans="5:13" ht="14.25">
      <c r="E87" s="308"/>
      <c r="F87" s="308"/>
      <c r="J87" s="391"/>
      <c r="M87" s="391"/>
    </row>
    <row r="88" spans="5:13" ht="14.25">
      <c r="E88" s="308"/>
      <c r="F88" s="308"/>
      <c r="J88" s="391"/>
      <c r="M88" s="391"/>
    </row>
    <row r="89" spans="5:13" ht="14.25">
      <c r="E89" s="308"/>
      <c r="F89" s="308"/>
      <c r="J89" s="391"/>
      <c r="M89" s="391"/>
    </row>
    <row r="90" spans="5:13" ht="14.25">
      <c r="E90" s="308"/>
      <c r="F90" s="308"/>
      <c r="J90" s="391"/>
      <c r="M90" s="391"/>
    </row>
    <row r="91" spans="5:13">
      <c r="F91" s="308"/>
    </row>
    <row r="92" spans="5:13">
      <c r="F92" s="308"/>
    </row>
    <row r="93" spans="5:13">
      <c r="F93" s="308"/>
    </row>
    <row r="94" spans="5:13">
      <c r="F94" s="308"/>
    </row>
    <row r="95" spans="5:13">
      <c r="F95" s="308"/>
    </row>
    <row r="96" spans="5:13">
      <c r="F96" s="308"/>
    </row>
  </sheetData>
  <mergeCells count="10">
    <mergeCell ref="N4:N5"/>
    <mergeCell ref="G4:G5"/>
    <mergeCell ref="B2:J2"/>
    <mergeCell ref="H4:J4"/>
    <mergeCell ref="B4:B5"/>
    <mergeCell ref="C4:C5"/>
    <mergeCell ref="D4:D5"/>
    <mergeCell ref="F4:F5"/>
    <mergeCell ref="E4:E5"/>
    <mergeCell ref="K4:M4"/>
  </mergeCells>
  <phoneticPr fontId="2" type="noConversion"/>
  <pageMargins left="0.78740157480314965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 codeName="Sheet38"/>
  <dimension ref="A1:P96"/>
  <sheetViews>
    <sheetView zoomScaleNormal="100" workbookViewId="0">
      <selection activeCell="K45" sqref="K45"/>
    </sheetView>
  </sheetViews>
  <sheetFormatPr defaultRowHeight="12.75"/>
  <cols>
    <col min="1" max="1" width="9.140625" style="284"/>
    <col min="2" max="2" width="4.7109375" style="9" customWidth="1"/>
    <col min="3" max="3" width="5.140625" style="9" customWidth="1"/>
    <col min="4" max="4" width="5" style="9" customWidth="1"/>
    <col min="5" max="5" width="8.7109375" style="17" customWidth="1"/>
    <col min="6" max="6" width="8.7109375" style="289" customWidth="1"/>
    <col min="7" max="7" width="50.7109375" style="9" customWidth="1"/>
    <col min="8" max="9" width="14.7109375" style="284" customWidth="1"/>
    <col min="10" max="10" width="15.7109375" style="9" customWidth="1"/>
    <col min="11" max="12" width="14.7109375" style="284" customWidth="1"/>
    <col min="13" max="13" width="15.7109375" style="284" customWidth="1"/>
    <col min="14" max="14" width="7.7109375" style="350" customWidth="1"/>
    <col min="15" max="16384" width="9.140625" style="9"/>
  </cols>
  <sheetData>
    <row r="1" spans="1:16" ht="13.5" thickBot="1"/>
    <row r="2" spans="1:16" s="376" customFormat="1" ht="20.100000000000001" customHeight="1" thickTop="1" thickBot="1">
      <c r="B2" s="590" t="s">
        <v>152</v>
      </c>
      <c r="C2" s="591"/>
      <c r="D2" s="591"/>
      <c r="E2" s="591"/>
      <c r="F2" s="591"/>
      <c r="G2" s="591"/>
      <c r="H2" s="591"/>
      <c r="I2" s="591"/>
      <c r="J2" s="591"/>
      <c r="K2" s="530"/>
      <c r="L2" s="530"/>
      <c r="M2" s="530"/>
      <c r="N2" s="379"/>
    </row>
    <row r="3" spans="1:16" s="1" customFormat="1" ht="8.1" customHeight="1" thickTop="1" thickBot="1">
      <c r="A3" s="281"/>
      <c r="E3" s="2"/>
      <c r="F3" s="282"/>
      <c r="G3" s="531"/>
      <c r="H3" s="92"/>
      <c r="I3" s="92"/>
      <c r="J3" s="92"/>
      <c r="K3" s="92"/>
      <c r="L3" s="92"/>
      <c r="M3" s="92"/>
      <c r="N3" s="344"/>
    </row>
    <row r="4" spans="1:16" s="1" customFormat="1" ht="39" customHeight="1">
      <c r="A4" s="281"/>
      <c r="B4" s="596" t="s">
        <v>78</v>
      </c>
      <c r="C4" s="606" t="s">
        <v>79</v>
      </c>
      <c r="D4" s="607" t="s">
        <v>110</v>
      </c>
      <c r="E4" s="608" t="s">
        <v>594</v>
      </c>
      <c r="F4" s="601" t="s">
        <v>653</v>
      </c>
      <c r="G4" s="602" t="s">
        <v>80</v>
      </c>
      <c r="H4" s="593" t="s">
        <v>647</v>
      </c>
      <c r="I4" s="594"/>
      <c r="J4" s="595"/>
      <c r="K4" s="593" t="s">
        <v>801</v>
      </c>
      <c r="L4" s="594"/>
      <c r="M4" s="595"/>
      <c r="N4" s="604" t="s">
        <v>805</v>
      </c>
    </row>
    <row r="5" spans="1:16" s="281" customFormat="1" ht="27" customHeight="1">
      <c r="B5" s="597"/>
      <c r="C5" s="599"/>
      <c r="D5" s="599"/>
      <c r="E5" s="603"/>
      <c r="F5" s="599"/>
      <c r="G5" s="603"/>
      <c r="H5" s="372" t="s">
        <v>705</v>
      </c>
      <c r="I5" s="372" t="s">
        <v>706</v>
      </c>
      <c r="J5" s="382" t="s">
        <v>413</v>
      </c>
      <c r="K5" s="372" t="s">
        <v>705</v>
      </c>
      <c r="L5" s="372" t="s">
        <v>706</v>
      </c>
      <c r="M5" s="382" t="s">
        <v>413</v>
      </c>
      <c r="N5" s="605"/>
    </row>
    <row r="6" spans="1:16" s="2" customFormat="1" ht="12.95" customHeight="1">
      <c r="A6" s="282"/>
      <c r="B6" s="504">
        <v>1</v>
      </c>
      <c r="C6" s="331">
        <v>2</v>
      </c>
      <c r="D6" s="331">
        <v>3</v>
      </c>
      <c r="E6" s="331">
        <v>4</v>
      </c>
      <c r="F6" s="331">
        <v>5</v>
      </c>
      <c r="G6" s="331">
        <v>6</v>
      </c>
      <c r="H6" s="331">
        <v>7</v>
      </c>
      <c r="I6" s="331">
        <v>8</v>
      </c>
      <c r="J6" s="523" t="s">
        <v>804</v>
      </c>
      <c r="K6" s="331">
        <v>10</v>
      </c>
      <c r="L6" s="331">
        <v>11</v>
      </c>
      <c r="M6" s="523" t="s">
        <v>707</v>
      </c>
      <c r="N6" s="505">
        <v>13</v>
      </c>
    </row>
    <row r="7" spans="1:16" s="2" customFormat="1" ht="12.95" customHeight="1">
      <c r="A7" s="282"/>
      <c r="B7" s="6" t="s">
        <v>153</v>
      </c>
      <c r="C7" s="7" t="s">
        <v>81</v>
      </c>
      <c r="D7" s="7" t="s">
        <v>82</v>
      </c>
      <c r="E7" s="5"/>
      <c r="F7" s="283"/>
      <c r="G7" s="5"/>
      <c r="H7" s="283"/>
      <c r="I7" s="283"/>
      <c r="J7" s="383"/>
      <c r="K7" s="283"/>
      <c r="L7" s="283"/>
      <c r="M7" s="383"/>
      <c r="N7" s="345"/>
    </row>
    <row r="8" spans="1:16" s="1" customFormat="1" ht="12.95" customHeight="1">
      <c r="A8" s="281"/>
      <c r="B8" s="12"/>
      <c r="C8" s="8"/>
      <c r="D8" s="8"/>
      <c r="E8" s="305">
        <v>611000</v>
      </c>
      <c r="F8" s="331"/>
      <c r="G8" s="8" t="s">
        <v>163</v>
      </c>
      <c r="H8" s="210">
        <f t="shared" ref="H8:M8" si="0">SUM(H9:H12)</f>
        <v>235800</v>
      </c>
      <c r="I8" s="210">
        <f t="shared" si="0"/>
        <v>0</v>
      </c>
      <c r="J8" s="384">
        <f t="shared" si="0"/>
        <v>235800</v>
      </c>
      <c r="K8" s="210">
        <f t="shared" si="0"/>
        <v>52613</v>
      </c>
      <c r="L8" s="210">
        <f t="shared" si="0"/>
        <v>0</v>
      </c>
      <c r="M8" s="384">
        <f t="shared" si="0"/>
        <v>52613</v>
      </c>
      <c r="N8" s="346">
        <f>IF(J8=0,"",M8/J8*100)</f>
        <v>22.312553011026292</v>
      </c>
    </row>
    <row r="9" spans="1:16" ht="12.95" customHeight="1">
      <c r="B9" s="10"/>
      <c r="C9" s="11"/>
      <c r="D9" s="11"/>
      <c r="E9" s="306">
        <v>611100</v>
      </c>
      <c r="F9" s="332"/>
      <c r="G9" s="18" t="s">
        <v>198</v>
      </c>
      <c r="H9" s="209">
        <f>186300+1400+4*500</f>
        <v>189700</v>
      </c>
      <c r="I9" s="209">
        <v>0</v>
      </c>
      <c r="J9" s="385">
        <f>SUM(H9:I9)</f>
        <v>189700</v>
      </c>
      <c r="K9" s="209">
        <v>44016</v>
      </c>
      <c r="L9" s="209">
        <v>0</v>
      </c>
      <c r="M9" s="385">
        <f>SUM(K9:L9)</f>
        <v>44016</v>
      </c>
      <c r="N9" s="347">
        <f t="shared" ref="N9:N66" si="1">IF(J9=0,"",M9/J9*100)</f>
        <v>23.202952029520297</v>
      </c>
    </row>
    <row r="10" spans="1:16" ht="12.95" customHeight="1">
      <c r="B10" s="10"/>
      <c r="C10" s="11"/>
      <c r="D10" s="11"/>
      <c r="E10" s="306">
        <v>611200</v>
      </c>
      <c r="F10" s="332"/>
      <c r="G10" s="11" t="s">
        <v>199</v>
      </c>
      <c r="H10" s="209">
        <f>41800+700+4*900</f>
        <v>46100</v>
      </c>
      <c r="I10" s="209">
        <v>0</v>
      </c>
      <c r="J10" s="385">
        <f t="shared" ref="J10:J11" si="2">SUM(H10:I10)</f>
        <v>46100</v>
      </c>
      <c r="K10" s="209">
        <v>8597</v>
      </c>
      <c r="L10" s="209">
        <v>0</v>
      </c>
      <c r="M10" s="385">
        <f t="shared" ref="M10:M11" si="3">SUM(K10:L10)</f>
        <v>8597</v>
      </c>
      <c r="N10" s="347">
        <f t="shared" si="1"/>
        <v>18.648590021691973</v>
      </c>
    </row>
    <row r="11" spans="1:16" ht="12.95" customHeight="1">
      <c r="B11" s="10"/>
      <c r="C11" s="11"/>
      <c r="D11" s="11"/>
      <c r="E11" s="306">
        <v>611200</v>
      </c>
      <c r="F11" s="332"/>
      <c r="G11" s="189" t="s">
        <v>534</v>
      </c>
      <c r="H11" s="209">
        <v>0</v>
      </c>
      <c r="I11" s="209">
        <v>0</v>
      </c>
      <c r="J11" s="385">
        <f t="shared" si="2"/>
        <v>0</v>
      </c>
      <c r="K11" s="209">
        <v>0</v>
      </c>
      <c r="L11" s="209">
        <v>0</v>
      </c>
      <c r="M11" s="385">
        <f t="shared" si="3"/>
        <v>0</v>
      </c>
      <c r="N11" s="347" t="str">
        <f t="shared" si="1"/>
        <v/>
      </c>
      <c r="P11" s="56"/>
    </row>
    <row r="12" spans="1:16" ht="12.95" customHeight="1">
      <c r="B12" s="10"/>
      <c r="C12" s="11"/>
      <c r="D12" s="11"/>
      <c r="E12" s="306"/>
      <c r="F12" s="332"/>
      <c r="G12" s="18"/>
      <c r="H12" s="209"/>
      <c r="I12" s="209"/>
      <c r="J12" s="385"/>
      <c r="K12" s="209"/>
      <c r="L12" s="209"/>
      <c r="M12" s="385"/>
      <c r="N12" s="347" t="str">
        <f t="shared" si="1"/>
        <v/>
      </c>
    </row>
    <row r="13" spans="1:16" s="1" customFormat="1" ht="12.95" customHeight="1">
      <c r="A13" s="281"/>
      <c r="B13" s="12"/>
      <c r="C13" s="8"/>
      <c r="D13" s="8"/>
      <c r="E13" s="305">
        <v>612000</v>
      </c>
      <c r="F13" s="331"/>
      <c r="G13" s="8" t="s">
        <v>162</v>
      </c>
      <c r="H13" s="210">
        <f t="shared" ref="H13:M13" si="4">H14</f>
        <v>20390</v>
      </c>
      <c r="I13" s="210">
        <f t="shared" si="4"/>
        <v>0</v>
      </c>
      <c r="J13" s="384">
        <f t="shared" si="4"/>
        <v>20390</v>
      </c>
      <c r="K13" s="210">
        <f t="shared" si="4"/>
        <v>4973</v>
      </c>
      <c r="L13" s="210">
        <f t="shared" si="4"/>
        <v>0</v>
      </c>
      <c r="M13" s="384">
        <f t="shared" si="4"/>
        <v>4973</v>
      </c>
      <c r="N13" s="346">
        <f t="shared" si="1"/>
        <v>24.389406571848944</v>
      </c>
    </row>
    <row r="14" spans="1:16" ht="12.95" customHeight="1">
      <c r="B14" s="10"/>
      <c r="C14" s="11"/>
      <c r="D14" s="11"/>
      <c r="E14" s="306">
        <v>612100</v>
      </c>
      <c r="F14" s="332"/>
      <c r="G14" s="13" t="s">
        <v>83</v>
      </c>
      <c r="H14" s="209">
        <f>19930+180+4*70</f>
        <v>20390</v>
      </c>
      <c r="I14" s="209">
        <v>0</v>
      </c>
      <c r="J14" s="385">
        <f>SUM(H14:I14)</f>
        <v>20390</v>
      </c>
      <c r="K14" s="209">
        <v>4973</v>
      </c>
      <c r="L14" s="209">
        <v>0</v>
      </c>
      <c r="M14" s="385">
        <f>SUM(K14:L14)</f>
        <v>4973</v>
      </c>
      <c r="N14" s="347">
        <f t="shared" si="1"/>
        <v>24.389406571848944</v>
      </c>
    </row>
    <row r="15" spans="1:16" ht="12.95" customHeight="1">
      <c r="B15" s="10"/>
      <c r="C15" s="11"/>
      <c r="D15" s="11"/>
      <c r="E15" s="306"/>
      <c r="F15" s="332"/>
      <c r="G15" s="11"/>
      <c r="H15" s="293"/>
      <c r="I15" s="293"/>
      <c r="J15" s="387"/>
      <c r="K15" s="293"/>
      <c r="L15" s="293"/>
      <c r="M15" s="387"/>
      <c r="N15" s="347" t="str">
        <f t="shared" si="1"/>
        <v/>
      </c>
    </row>
    <row r="16" spans="1:16" s="1" customFormat="1" ht="12.95" customHeight="1">
      <c r="A16" s="281"/>
      <c r="B16" s="12"/>
      <c r="C16" s="8"/>
      <c r="D16" s="8"/>
      <c r="E16" s="305">
        <v>613000</v>
      </c>
      <c r="F16" s="331"/>
      <c r="G16" s="8" t="s">
        <v>164</v>
      </c>
      <c r="H16" s="293">
        <f t="shared" ref="H16:M16" si="5">SUM(H17:H26)</f>
        <v>49900</v>
      </c>
      <c r="I16" s="293">
        <f t="shared" si="5"/>
        <v>0</v>
      </c>
      <c r="J16" s="387">
        <f t="shared" si="5"/>
        <v>49900</v>
      </c>
      <c r="K16" s="293">
        <f t="shared" si="5"/>
        <v>12572</v>
      </c>
      <c r="L16" s="293">
        <f t="shared" si="5"/>
        <v>0</v>
      </c>
      <c r="M16" s="387">
        <f t="shared" si="5"/>
        <v>12572</v>
      </c>
      <c r="N16" s="346">
        <f t="shared" si="1"/>
        <v>25.194388777555112</v>
      </c>
    </row>
    <row r="17" spans="1:16" ht="12.95" customHeight="1">
      <c r="B17" s="10"/>
      <c r="C17" s="11"/>
      <c r="D17" s="11"/>
      <c r="E17" s="306">
        <v>613100</v>
      </c>
      <c r="F17" s="332"/>
      <c r="G17" s="11" t="s">
        <v>84</v>
      </c>
      <c r="H17" s="362">
        <v>1500</v>
      </c>
      <c r="I17" s="362">
        <v>0</v>
      </c>
      <c r="J17" s="385">
        <f t="shared" ref="J17:J26" si="6">SUM(H17:I17)</f>
        <v>1500</v>
      </c>
      <c r="K17" s="362">
        <v>624</v>
      </c>
      <c r="L17" s="362">
        <v>0</v>
      </c>
      <c r="M17" s="385">
        <f t="shared" ref="M17:M26" si="7">SUM(K17:L17)</f>
        <v>624</v>
      </c>
      <c r="N17" s="347">
        <f t="shared" si="1"/>
        <v>41.6</v>
      </c>
    </row>
    <row r="18" spans="1:16" ht="12.95" customHeight="1">
      <c r="B18" s="10"/>
      <c r="C18" s="11"/>
      <c r="D18" s="11"/>
      <c r="E18" s="306">
        <v>613200</v>
      </c>
      <c r="F18" s="332"/>
      <c r="G18" s="11" t="s">
        <v>85</v>
      </c>
      <c r="H18" s="362">
        <v>8500</v>
      </c>
      <c r="I18" s="362">
        <v>0</v>
      </c>
      <c r="J18" s="385">
        <f t="shared" si="6"/>
        <v>8500</v>
      </c>
      <c r="K18" s="362">
        <v>2506</v>
      </c>
      <c r="L18" s="362">
        <v>0</v>
      </c>
      <c r="M18" s="385">
        <f t="shared" si="7"/>
        <v>2506</v>
      </c>
      <c r="N18" s="347">
        <f t="shared" si="1"/>
        <v>29.482352941176472</v>
      </c>
    </row>
    <row r="19" spans="1:16" ht="12.95" customHeight="1">
      <c r="B19" s="10"/>
      <c r="C19" s="11"/>
      <c r="D19" s="11"/>
      <c r="E19" s="306">
        <v>613300</v>
      </c>
      <c r="F19" s="332"/>
      <c r="G19" s="18" t="s">
        <v>200</v>
      </c>
      <c r="H19" s="364">
        <v>4500</v>
      </c>
      <c r="I19" s="364">
        <v>0</v>
      </c>
      <c r="J19" s="385">
        <f t="shared" si="6"/>
        <v>4500</v>
      </c>
      <c r="K19" s="364">
        <v>1327</v>
      </c>
      <c r="L19" s="364">
        <v>0</v>
      </c>
      <c r="M19" s="385">
        <f t="shared" si="7"/>
        <v>1327</v>
      </c>
      <c r="N19" s="347">
        <f t="shared" si="1"/>
        <v>29.488888888888887</v>
      </c>
    </row>
    <row r="20" spans="1:16" ht="12.95" customHeight="1">
      <c r="B20" s="10"/>
      <c r="C20" s="11"/>
      <c r="D20" s="11"/>
      <c r="E20" s="306">
        <v>613400</v>
      </c>
      <c r="F20" s="332"/>
      <c r="G20" s="11" t="s">
        <v>165</v>
      </c>
      <c r="H20" s="364">
        <v>1000</v>
      </c>
      <c r="I20" s="364">
        <v>0</v>
      </c>
      <c r="J20" s="385">
        <f t="shared" si="6"/>
        <v>1000</v>
      </c>
      <c r="K20" s="364">
        <v>285</v>
      </c>
      <c r="L20" s="364">
        <v>0</v>
      </c>
      <c r="M20" s="385">
        <f t="shared" si="7"/>
        <v>285</v>
      </c>
      <c r="N20" s="347">
        <f t="shared" si="1"/>
        <v>28.499999999999996</v>
      </c>
    </row>
    <row r="21" spans="1:16" ht="12.95" customHeight="1">
      <c r="B21" s="10"/>
      <c r="C21" s="11"/>
      <c r="D21" s="11"/>
      <c r="E21" s="306">
        <v>613500</v>
      </c>
      <c r="F21" s="332"/>
      <c r="G21" s="11" t="s">
        <v>86</v>
      </c>
      <c r="H21" s="364">
        <v>1000</v>
      </c>
      <c r="I21" s="364">
        <v>0</v>
      </c>
      <c r="J21" s="385">
        <f t="shared" si="6"/>
        <v>1000</v>
      </c>
      <c r="K21" s="364">
        <v>267</v>
      </c>
      <c r="L21" s="364">
        <v>0</v>
      </c>
      <c r="M21" s="385">
        <f t="shared" si="7"/>
        <v>267</v>
      </c>
      <c r="N21" s="347">
        <f t="shared" si="1"/>
        <v>26.700000000000003</v>
      </c>
    </row>
    <row r="22" spans="1:16" ht="12.95" customHeight="1">
      <c r="B22" s="10"/>
      <c r="C22" s="11"/>
      <c r="D22" s="11"/>
      <c r="E22" s="306">
        <v>613600</v>
      </c>
      <c r="F22" s="332"/>
      <c r="G22" s="18" t="s">
        <v>201</v>
      </c>
      <c r="H22" s="364">
        <v>0</v>
      </c>
      <c r="I22" s="364">
        <v>0</v>
      </c>
      <c r="J22" s="385">
        <f t="shared" si="6"/>
        <v>0</v>
      </c>
      <c r="K22" s="364">
        <v>0</v>
      </c>
      <c r="L22" s="364">
        <v>0</v>
      </c>
      <c r="M22" s="385">
        <f t="shared" si="7"/>
        <v>0</v>
      </c>
      <c r="N22" s="347" t="str">
        <f t="shared" si="1"/>
        <v/>
      </c>
    </row>
    <row r="23" spans="1:16" ht="12.95" customHeight="1">
      <c r="B23" s="10"/>
      <c r="C23" s="11"/>
      <c r="D23" s="11"/>
      <c r="E23" s="306">
        <v>613700</v>
      </c>
      <c r="F23" s="332"/>
      <c r="G23" s="11" t="s">
        <v>87</v>
      </c>
      <c r="H23" s="364">
        <v>4000</v>
      </c>
      <c r="I23" s="364">
        <v>0</v>
      </c>
      <c r="J23" s="385">
        <f t="shared" si="6"/>
        <v>4000</v>
      </c>
      <c r="K23" s="364">
        <v>105</v>
      </c>
      <c r="L23" s="364">
        <v>0</v>
      </c>
      <c r="M23" s="385">
        <f t="shared" si="7"/>
        <v>105</v>
      </c>
      <c r="N23" s="347">
        <f t="shared" si="1"/>
        <v>2.625</v>
      </c>
    </row>
    <row r="24" spans="1:16" ht="12.95" customHeight="1">
      <c r="B24" s="10"/>
      <c r="C24" s="11"/>
      <c r="D24" s="11"/>
      <c r="E24" s="306">
        <v>613800</v>
      </c>
      <c r="F24" s="332"/>
      <c r="G24" s="11" t="s">
        <v>166</v>
      </c>
      <c r="H24" s="364">
        <v>400</v>
      </c>
      <c r="I24" s="364">
        <v>0</v>
      </c>
      <c r="J24" s="385">
        <f t="shared" si="6"/>
        <v>400</v>
      </c>
      <c r="K24" s="364">
        <v>0</v>
      </c>
      <c r="L24" s="364">
        <v>0</v>
      </c>
      <c r="M24" s="385">
        <f t="shared" si="7"/>
        <v>0</v>
      </c>
      <c r="N24" s="347">
        <f t="shared" si="1"/>
        <v>0</v>
      </c>
    </row>
    <row r="25" spans="1:16" ht="12.95" customHeight="1">
      <c r="B25" s="10"/>
      <c r="C25" s="11"/>
      <c r="D25" s="11"/>
      <c r="E25" s="306">
        <v>613900</v>
      </c>
      <c r="F25" s="332"/>
      <c r="G25" s="11" t="s">
        <v>167</v>
      </c>
      <c r="H25" s="364">
        <v>29000</v>
      </c>
      <c r="I25" s="364">
        <v>0</v>
      </c>
      <c r="J25" s="385">
        <f t="shared" si="6"/>
        <v>29000</v>
      </c>
      <c r="K25" s="364">
        <v>7458</v>
      </c>
      <c r="L25" s="364">
        <v>0</v>
      </c>
      <c r="M25" s="385">
        <f t="shared" si="7"/>
        <v>7458</v>
      </c>
      <c r="N25" s="347">
        <f t="shared" si="1"/>
        <v>25.717241379310344</v>
      </c>
      <c r="O25" s="50"/>
    </row>
    <row r="26" spans="1:16" ht="12.95" customHeight="1">
      <c r="B26" s="10"/>
      <c r="C26" s="11"/>
      <c r="D26" s="11"/>
      <c r="E26" s="306">
        <v>613900</v>
      </c>
      <c r="F26" s="332"/>
      <c r="G26" s="189" t="s">
        <v>535</v>
      </c>
      <c r="H26" s="364">
        <v>0</v>
      </c>
      <c r="I26" s="364">
        <v>0</v>
      </c>
      <c r="J26" s="385">
        <f t="shared" si="6"/>
        <v>0</v>
      </c>
      <c r="K26" s="364">
        <v>0</v>
      </c>
      <c r="L26" s="364">
        <v>0</v>
      </c>
      <c r="M26" s="385">
        <f t="shared" si="7"/>
        <v>0</v>
      </c>
      <c r="N26" s="347" t="str">
        <f t="shared" si="1"/>
        <v/>
      </c>
    </row>
    <row r="27" spans="1:16" ht="12.95" customHeight="1">
      <c r="B27" s="10"/>
      <c r="C27" s="11"/>
      <c r="D27" s="11"/>
      <c r="E27" s="306"/>
      <c r="F27" s="332"/>
      <c r="G27" s="11"/>
      <c r="H27" s="295"/>
      <c r="I27" s="295"/>
      <c r="J27" s="387"/>
      <c r="K27" s="295"/>
      <c r="L27" s="295"/>
      <c r="M27" s="387"/>
      <c r="N27" s="347" t="str">
        <f t="shared" si="1"/>
        <v/>
      </c>
    </row>
    <row r="28" spans="1:16" s="1" customFormat="1" ht="12.95" customHeight="1">
      <c r="A28" s="281"/>
      <c r="B28" s="12"/>
      <c r="C28" s="8"/>
      <c r="D28" s="8"/>
      <c r="E28" s="305">
        <v>614000</v>
      </c>
      <c r="F28" s="331"/>
      <c r="G28" s="8" t="s">
        <v>202</v>
      </c>
      <c r="H28" s="295">
        <f t="shared" ref="H28" si="8">H29+H30</f>
        <v>0</v>
      </c>
      <c r="I28" s="295">
        <f t="shared" ref="I28:K28" si="9">I29+I30</f>
        <v>40000</v>
      </c>
      <c r="J28" s="387">
        <f t="shared" si="9"/>
        <v>40000</v>
      </c>
      <c r="K28" s="295">
        <f t="shared" si="9"/>
        <v>0</v>
      </c>
      <c r="L28" s="295">
        <f t="shared" ref="L28:M28" si="10">L29+L30</f>
        <v>0</v>
      </c>
      <c r="M28" s="387">
        <f t="shared" si="10"/>
        <v>0</v>
      </c>
      <c r="N28" s="346">
        <f t="shared" si="1"/>
        <v>0</v>
      </c>
    </row>
    <row r="29" spans="1:16" ht="12.95" customHeight="1">
      <c r="B29" s="10"/>
      <c r="C29" s="11"/>
      <c r="D29" s="11"/>
      <c r="E29" s="306">
        <v>614200</v>
      </c>
      <c r="F29" s="332" t="s">
        <v>695</v>
      </c>
      <c r="G29" s="18" t="s">
        <v>115</v>
      </c>
      <c r="H29" s="280">
        <v>0</v>
      </c>
      <c r="I29" s="280">
        <v>40000</v>
      </c>
      <c r="J29" s="385">
        <f t="shared" ref="J29:J30" si="11">SUM(H29:I29)</f>
        <v>40000</v>
      </c>
      <c r="K29" s="280">
        <v>0</v>
      </c>
      <c r="L29" s="280">
        <v>0</v>
      </c>
      <c r="M29" s="385">
        <f t="shared" ref="M29:M30" si="12">SUM(K29:L29)</f>
        <v>0</v>
      </c>
      <c r="N29" s="347">
        <f t="shared" si="1"/>
        <v>0</v>
      </c>
    </row>
    <row r="30" spans="1:16" ht="12.75" customHeight="1">
      <c r="B30" s="10"/>
      <c r="C30" s="11"/>
      <c r="D30" s="11"/>
      <c r="E30" s="306">
        <v>614300</v>
      </c>
      <c r="F30" s="332" t="s">
        <v>696</v>
      </c>
      <c r="G30" s="526" t="s">
        <v>781</v>
      </c>
      <c r="H30" s="280">
        <v>0</v>
      </c>
      <c r="I30" s="280">
        <v>0</v>
      </c>
      <c r="J30" s="385">
        <f t="shared" si="11"/>
        <v>0</v>
      </c>
      <c r="K30" s="280">
        <v>0</v>
      </c>
      <c r="L30" s="280">
        <v>0</v>
      </c>
      <c r="M30" s="385">
        <f t="shared" si="12"/>
        <v>0</v>
      </c>
      <c r="N30" s="347" t="str">
        <f t="shared" si="1"/>
        <v/>
      </c>
      <c r="P30" s="57"/>
    </row>
    <row r="31" spans="1:16" ht="12.95" customHeight="1">
      <c r="B31" s="10"/>
      <c r="C31" s="11"/>
      <c r="D31" s="11"/>
      <c r="E31" s="305"/>
      <c r="F31" s="331"/>
      <c r="G31" s="8"/>
      <c r="H31" s="280"/>
      <c r="I31" s="280"/>
      <c r="J31" s="386"/>
      <c r="K31" s="280"/>
      <c r="L31" s="280"/>
      <c r="M31" s="386"/>
      <c r="N31" s="347" t="str">
        <f t="shared" si="1"/>
        <v/>
      </c>
    </row>
    <row r="32" spans="1:16" ht="12.95" customHeight="1">
      <c r="B32" s="12"/>
      <c r="C32" s="8"/>
      <c r="D32" s="8"/>
      <c r="E32" s="305">
        <v>821000</v>
      </c>
      <c r="F32" s="331"/>
      <c r="G32" s="8" t="s">
        <v>90</v>
      </c>
      <c r="H32" s="295">
        <f t="shared" ref="H32:M32" si="13">SUM(H33:H35)</f>
        <v>7840</v>
      </c>
      <c r="I32" s="295">
        <f t="shared" si="13"/>
        <v>30660</v>
      </c>
      <c r="J32" s="387">
        <f t="shared" si="13"/>
        <v>38500</v>
      </c>
      <c r="K32" s="295">
        <f t="shared" si="13"/>
        <v>0</v>
      </c>
      <c r="L32" s="295">
        <f t="shared" si="13"/>
        <v>0</v>
      </c>
      <c r="M32" s="387">
        <f t="shared" si="13"/>
        <v>0</v>
      </c>
      <c r="N32" s="346">
        <f t="shared" si="1"/>
        <v>0</v>
      </c>
    </row>
    <row r="33" spans="1:14" ht="12.95" customHeight="1">
      <c r="B33" s="10"/>
      <c r="C33" s="11"/>
      <c r="D33" s="11"/>
      <c r="E33" s="306">
        <v>821200</v>
      </c>
      <c r="F33" s="332"/>
      <c r="G33" s="11" t="s">
        <v>91</v>
      </c>
      <c r="H33" s="296">
        <v>0</v>
      </c>
      <c r="I33" s="296">
        <v>0</v>
      </c>
      <c r="J33" s="385">
        <f t="shared" ref="J33:J34" si="14">SUM(H33:I33)</f>
        <v>0</v>
      </c>
      <c r="K33" s="296">
        <v>0</v>
      </c>
      <c r="L33" s="296">
        <v>0</v>
      </c>
      <c r="M33" s="385">
        <f t="shared" ref="M33:M34" si="15">SUM(K33:L33)</f>
        <v>0</v>
      </c>
      <c r="N33" s="347" t="str">
        <f t="shared" si="1"/>
        <v/>
      </c>
    </row>
    <row r="34" spans="1:14" s="1" customFormat="1" ht="12.95" customHeight="1">
      <c r="A34" s="281"/>
      <c r="B34" s="10"/>
      <c r="C34" s="11"/>
      <c r="D34" s="11"/>
      <c r="E34" s="306">
        <v>821300</v>
      </c>
      <c r="F34" s="332"/>
      <c r="G34" s="11" t="s">
        <v>92</v>
      </c>
      <c r="H34" s="280">
        <f>38500-30660</f>
        <v>7840</v>
      </c>
      <c r="I34" s="280">
        <v>30660</v>
      </c>
      <c r="J34" s="385">
        <f t="shared" si="14"/>
        <v>38500</v>
      </c>
      <c r="K34" s="280">
        <v>0</v>
      </c>
      <c r="L34" s="280">
        <v>0</v>
      </c>
      <c r="M34" s="385">
        <f t="shared" si="15"/>
        <v>0</v>
      </c>
      <c r="N34" s="347">
        <f t="shared" si="1"/>
        <v>0</v>
      </c>
    </row>
    <row r="35" spans="1:14" ht="12.95" customHeight="1">
      <c r="B35" s="10"/>
      <c r="C35" s="11"/>
      <c r="D35" s="11"/>
      <c r="E35" s="306"/>
      <c r="F35" s="332"/>
      <c r="G35" s="18"/>
      <c r="H35" s="280"/>
      <c r="I35" s="280"/>
      <c r="J35" s="386"/>
      <c r="K35" s="280"/>
      <c r="L35" s="280"/>
      <c r="M35" s="386"/>
      <c r="N35" s="347" t="str">
        <f t="shared" si="1"/>
        <v/>
      </c>
    </row>
    <row r="36" spans="1:14" ht="12.95" customHeight="1">
      <c r="B36" s="12"/>
      <c r="C36" s="8"/>
      <c r="D36" s="8"/>
      <c r="E36" s="305"/>
      <c r="F36" s="331"/>
      <c r="G36" s="8" t="s">
        <v>93</v>
      </c>
      <c r="H36" s="288">
        <v>12</v>
      </c>
      <c r="I36" s="288"/>
      <c r="J36" s="387">
        <v>12</v>
      </c>
      <c r="K36" s="288">
        <v>12</v>
      </c>
      <c r="L36" s="288"/>
      <c r="M36" s="387">
        <v>12</v>
      </c>
      <c r="N36" s="347"/>
    </row>
    <row r="37" spans="1:14" ht="12.95" customHeight="1">
      <c r="B37" s="12"/>
      <c r="C37" s="8"/>
      <c r="D37" s="8"/>
      <c r="E37" s="305"/>
      <c r="F37" s="331"/>
      <c r="G37" s="8" t="s">
        <v>113</v>
      </c>
      <c r="H37" s="288">
        <f t="shared" ref="H37:M37" si="16">H8+H13+H16+H28+H32</f>
        <v>313930</v>
      </c>
      <c r="I37" s="288">
        <f t="shared" si="16"/>
        <v>70660</v>
      </c>
      <c r="J37" s="387">
        <f t="shared" si="16"/>
        <v>384590</v>
      </c>
      <c r="K37" s="288">
        <f t="shared" si="16"/>
        <v>70158</v>
      </c>
      <c r="L37" s="288">
        <f t="shared" si="16"/>
        <v>0</v>
      </c>
      <c r="M37" s="387">
        <f t="shared" si="16"/>
        <v>70158</v>
      </c>
      <c r="N37" s="346">
        <f t="shared" si="1"/>
        <v>18.242283990743388</v>
      </c>
    </row>
    <row r="38" spans="1:14" s="1" customFormat="1" ht="12.95" customHeight="1">
      <c r="A38" s="281"/>
      <c r="B38" s="12"/>
      <c r="C38" s="8"/>
      <c r="D38" s="8"/>
      <c r="E38" s="305"/>
      <c r="F38" s="331"/>
      <c r="G38" s="8" t="s">
        <v>94</v>
      </c>
      <c r="H38" s="288">
        <f t="shared" ref="H38:J39" si="17">H37</f>
        <v>313930</v>
      </c>
      <c r="I38" s="288">
        <f t="shared" si="17"/>
        <v>70660</v>
      </c>
      <c r="J38" s="387">
        <f t="shared" si="17"/>
        <v>384590</v>
      </c>
      <c r="K38" s="288">
        <f t="shared" ref="K38:M38" si="18">K37</f>
        <v>70158</v>
      </c>
      <c r="L38" s="288">
        <f t="shared" si="18"/>
        <v>0</v>
      </c>
      <c r="M38" s="387">
        <f t="shared" si="18"/>
        <v>70158</v>
      </c>
      <c r="N38" s="346">
        <f t="shared" si="1"/>
        <v>18.242283990743388</v>
      </c>
    </row>
    <row r="39" spans="1:14" s="1" customFormat="1" ht="12.95" customHeight="1">
      <c r="A39" s="281"/>
      <c r="B39" s="12"/>
      <c r="C39" s="8"/>
      <c r="D39" s="8"/>
      <c r="E39" s="305"/>
      <c r="F39" s="331"/>
      <c r="G39" s="8" t="s">
        <v>95</v>
      </c>
      <c r="H39" s="288">
        <f t="shared" si="17"/>
        <v>313930</v>
      </c>
      <c r="I39" s="288">
        <f t="shared" si="17"/>
        <v>70660</v>
      </c>
      <c r="J39" s="387">
        <f t="shared" si="17"/>
        <v>384590</v>
      </c>
      <c r="K39" s="288">
        <f t="shared" ref="K39:M39" si="19">K38</f>
        <v>70158</v>
      </c>
      <c r="L39" s="288">
        <f t="shared" si="19"/>
        <v>0</v>
      </c>
      <c r="M39" s="387">
        <f t="shared" si="19"/>
        <v>70158</v>
      </c>
      <c r="N39" s="346">
        <f t="shared" si="1"/>
        <v>18.242283990743388</v>
      </c>
    </row>
    <row r="40" spans="1:14" s="1" customFormat="1" ht="12.95" customHeight="1" thickBot="1">
      <c r="A40" s="281"/>
      <c r="B40" s="15"/>
      <c r="C40" s="16"/>
      <c r="D40" s="16"/>
      <c r="E40" s="307"/>
      <c r="F40" s="333"/>
      <c r="G40" s="16"/>
      <c r="H40" s="88"/>
      <c r="I40" s="88"/>
      <c r="J40" s="395"/>
      <c r="K40" s="88"/>
      <c r="L40" s="88"/>
      <c r="M40" s="395"/>
      <c r="N40" s="351" t="str">
        <f t="shared" si="1"/>
        <v/>
      </c>
    </row>
    <row r="41" spans="1:14" s="1" customFormat="1" ht="12.95" customHeight="1">
      <c r="A41" s="281"/>
      <c r="B41" s="9"/>
      <c r="C41" s="9"/>
      <c r="D41" s="9"/>
      <c r="E41" s="308"/>
      <c r="F41" s="334"/>
      <c r="G41" s="9"/>
      <c r="H41" s="55"/>
      <c r="I41" s="55"/>
      <c r="J41" s="396"/>
      <c r="K41" s="55"/>
      <c r="L41" s="55"/>
      <c r="M41" s="396"/>
      <c r="N41" s="352" t="str">
        <f t="shared" si="1"/>
        <v/>
      </c>
    </row>
    <row r="42" spans="1:14" ht="12.95" customHeight="1">
      <c r="B42" s="50"/>
      <c r="E42" s="308"/>
      <c r="F42" s="334"/>
      <c r="J42" s="391"/>
      <c r="M42" s="391"/>
      <c r="N42" s="350" t="str">
        <f t="shared" si="1"/>
        <v/>
      </c>
    </row>
    <row r="43" spans="1:14" ht="12.95" customHeight="1">
      <c r="B43" s="50"/>
      <c r="E43" s="308"/>
      <c r="F43" s="334"/>
      <c r="J43" s="391"/>
      <c r="M43" s="391"/>
      <c r="N43" s="350" t="str">
        <f t="shared" si="1"/>
        <v/>
      </c>
    </row>
    <row r="44" spans="1:14" ht="12.95" customHeight="1">
      <c r="B44" s="50"/>
      <c r="E44" s="308"/>
      <c r="F44" s="334"/>
      <c r="J44" s="391"/>
      <c r="M44" s="391"/>
      <c r="N44" s="350" t="str">
        <f t="shared" si="1"/>
        <v/>
      </c>
    </row>
    <row r="45" spans="1:14" ht="12.95" customHeight="1">
      <c r="B45" s="50"/>
      <c r="E45" s="308"/>
      <c r="F45" s="334"/>
      <c r="J45" s="391"/>
      <c r="M45" s="391"/>
      <c r="N45" s="350" t="str">
        <f t="shared" si="1"/>
        <v/>
      </c>
    </row>
    <row r="46" spans="1:14" ht="12.95" customHeight="1">
      <c r="B46" s="50"/>
      <c r="E46" s="308"/>
      <c r="F46" s="334"/>
      <c r="J46" s="391"/>
      <c r="M46" s="391"/>
      <c r="N46" s="350" t="str">
        <f t="shared" si="1"/>
        <v/>
      </c>
    </row>
    <row r="47" spans="1:14" ht="12.95" customHeight="1">
      <c r="B47" s="50"/>
      <c r="E47" s="308"/>
      <c r="F47" s="334"/>
      <c r="J47" s="391"/>
      <c r="M47" s="391"/>
      <c r="N47" s="350" t="str">
        <f t="shared" si="1"/>
        <v/>
      </c>
    </row>
    <row r="48" spans="1:14" ht="12.95" customHeight="1">
      <c r="B48" s="50"/>
      <c r="E48" s="308"/>
      <c r="F48" s="334"/>
      <c r="J48" s="391"/>
      <c r="M48" s="391"/>
      <c r="N48" s="350" t="str">
        <f t="shared" si="1"/>
        <v/>
      </c>
    </row>
    <row r="49" spans="2:14" ht="12.95" customHeight="1">
      <c r="B49" s="50"/>
      <c r="E49" s="308"/>
      <c r="F49" s="334"/>
      <c r="J49" s="391"/>
      <c r="M49" s="391"/>
      <c r="N49" s="350" t="str">
        <f t="shared" si="1"/>
        <v/>
      </c>
    </row>
    <row r="50" spans="2:14" ht="12.95" customHeight="1">
      <c r="B50" s="50"/>
      <c r="E50" s="308"/>
      <c r="F50" s="334"/>
      <c r="J50" s="391"/>
      <c r="M50" s="391"/>
      <c r="N50" s="350" t="str">
        <f t="shared" si="1"/>
        <v/>
      </c>
    </row>
    <row r="51" spans="2:14" ht="12.95" customHeight="1">
      <c r="B51" s="50"/>
      <c r="E51" s="308"/>
      <c r="F51" s="334"/>
      <c r="J51" s="391"/>
      <c r="M51" s="391"/>
      <c r="N51" s="350" t="str">
        <f t="shared" si="1"/>
        <v/>
      </c>
    </row>
    <row r="52" spans="2:14" ht="12.95" customHeight="1">
      <c r="E52" s="308"/>
      <c r="F52" s="334"/>
      <c r="J52" s="391"/>
      <c r="M52" s="391"/>
      <c r="N52" s="350" t="str">
        <f t="shared" si="1"/>
        <v/>
      </c>
    </row>
    <row r="53" spans="2:14" ht="12.95" customHeight="1">
      <c r="E53" s="308"/>
      <c r="F53" s="334"/>
      <c r="J53" s="391"/>
      <c r="M53" s="391"/>
      <c r="N53" s="350" t="str">
        <f t="shared" si="1"/>
        <v/>
      </c>
    </row>
    <row r="54" spans="2:14" ht="12.95" customHeight="1">
      <c r="E54" s="308"/>
      <c r="F54" s="334"/>
      <c r="J54" s="391"/>
      <c r="M54" s="391"/>
      <c r="N54" s="350" t="str">
        <f t="shared" si="1"/>
        <v/>
      </c>
    </row>
    <row r="55" spans="2:14" ht="12.95" customHeight="1">
      <c r="E55" s="308"/>
      <c r="F55" s="334"/>
      <c r="J55" s="391"/>
      <c r="M55" s="391"/>
      <c r="N55" s="350" t="str">
        <f t="shared" si="1"/>
        <v/>
      </c>
    </row>
    <row r="56" spans="2:14" ht="12.95" customHeight="1">
      <c r="E56" s="308"/>
      <c r="F56" s="334"/>
      <c r="J56" s="391"/>
      <c r="M56" s="391"/>
      <c r="N56" s="350" t="str">
        <f t="shared" si="1"/>
        <v/>
      </c>
    </row>
    <row r="57" spans="2:14" ht="12.95" customHeight="1">
      <c r="E57" s="308"/>
      <c r="F57" s="334"/>
      <c r="J57" s="391"/>
      <c r="M57" s="391"/>
      <c r="N57" s="350" t="str">
        <f t="shared" si="1"/>
        <v/>
      </c>
    </row>
    <row r="58" spans="2:14" ht="12.95" customHeight="1">
      <c r="E58" s="308"/>
      <c r="F58" s="334"/>
      <c r="J58" s="391"/>
      <c r="M58" s="391"/>
      <c r="N58" s="350" t="str">
        <f t="shared" si="1"/>
        <v/>
      </c>
    </row>
    <row r="59" spans="2:14" ht="12.95" customHeight="1">
      <c r="E59" s="308"/>
      <c r="F59" s="334"/>
      <c r="J59" s="391"/>
      <c r="M59" s="391"/>
      <c r="N59" s="350" t="str">
        <f t="shared" si="1"/>
        <v/>
      </c>
    </row>
    <row r="60" spans="2:14" ht="17.100000000000001" customHeight="1">
      <c r="E60" s="308"/>
      <c r="F60" s="334"/>
      <c r="J60" s="391"/>
      <c r="M60" s="391"/>
      <c r="N60" s="350" t="str">
        <f t="shared" si="1"/>
        <v/>
      </c>
    </row>
    <row r="61" spans="2:14" ht="17.100000000000001" customHeight="1">
      <c r="E61" s="308"/>
      <c r="F61" s="334"/>
      <c r="J61" s="391"/>
      <c r="M61" s="391"/>
      <c r="N61" s="350" t="str">
        <f t="shared" si="1"/>
        <v/>
      </c>
    </row>
    <row r="62" spans="2:14" ht="14.25">
      <c r="E62" s="308"/>
      <c r="F62" s="334"/>
      <c r="J62" s="391"/>
      <c r="M62" s="391"/>
      <c r="N62" s="350" t="str">
        <f t="shared" si="1"/>
        <v/>
      </c>
    </row>
    <row r="63" spans="2:14" ht="14.25">
      <c r="E63" s="308"/>
      <c r="F63" s="334"/>
      <c r="J63" s="391"/>
      <c r="M63" s="391"/>
      <c r="N63" s="350" t="str">
        <f t="shared" si="1"/>
        <v/>
      </c>
    </row>
    <row r="64" spans="2:14" ht="14.25">
      <c r="E64" s="308"/>
      <c r="F64" s="334"/>
      <c r="J64" s="391"/>
      <c r="M64" s="391"/>
      <c r="N64" s="350" t="str">
        <f t="shared" si="1"/>
        <v/>
      </c>
    </row>
    <row r="65" spans="5:14" ht="14.25">
      <c r="E65" s="308"/>
      <c r="F65" s="334"/>
      <c r="J65" s="391"/>
      <c r="M65" s="391"/>
      <c r="N65" s="350" t="str">
        <f t="shared" si="1"/>
        <v/>
      </c>
    </row>
    <row r="66" spans="5:14" ht="14.25">
      <c r="E66" s="308"/>
      <c r="F66" s="334"/>
      <c r="J66" s="391"/>
      <c r="M66" s="391"/>
      <c r="N66" s="350" t="str">
        <f t="shared" si="1"/>
        <v/>
      </c>
    </row>
    <row r="67" spans="5:14" ht="14.25">
      <c r="E67" s="308"/>
      <c r="F67" s="334"/>
      <c r="J67" s="391"/>
      <c r="M67" s="391"/>
    </row>
    <row r="68" spans="5:14" ht="14.25">
      <c r="E68" s="308"/>
      <c r="F68" s="334"/>
      <c r="J68" s="391"/>
      <c r="M68" s="391"/>
    </row>
    <row r="69" spans="5:14" ht="14.25">
      <c r="E69" s="308"/>
      <c r="F69" s="334"/>
      <c r="J69" s="391"/>
      <c r="M69" s="391"/>
    </row>
    <row r="70" spans="5:14" ht="14.25">
      <c r="E70" s="308"/>
      <c r="F70" s="334"/>
      <c r="J70" s="391"/>
      <c r="M70" s="391"/>
    </row>
    <row r="71" spans="5:14" ht="14.25">
      <c r="E71" s="308"/>
      <c r="F71" s="334"/>
      <c r="J71" s="391"/>
      <c r="M71" s="391"/>
    </row>
    <row r="72" spans="5:14" ht="14.25">
      <c r="E72" s="308"/>
      <c r="F72" s="334"/>
      <c r="J72" s="391"/>
      <c r="M72" s="391"/>
    </row>
    <row r="73" spans="5:14" ht="14.25">
      <c r="E73" s="308"/>
      <c r="F73" s="334"/>
      <c r="J73" s="391"/>
      <c r="M73" s="391"/>
    </row>
    <row r="74" spans="5:14" ht="14.25">
      <c r="E74" s="308"/>
      <c r="F74" s="308"/>
      <c r="J74" s="391"/>
      <c r="M74" s="391"/>
    </row>
    <row r="75" spans="5:14" ht="14.25">
      <c r="E75" s="308"/>
      <c r="F75" s="308"/>
      <c r="J75" s="391"/>
      <c r="M75" s="391"/>
    </row>
    <row r="76" spans="5:14" ht="14.25">
      <c r="E76" s="308"/>
      <c r="F76" s="308"/>
      <c r="J76" s="391"/>
      <c r="M76" s="391"/>
    </row>
    <row r="77" spans="5:14" ht="14.25">
      <c r="E77" s="308"/>
      <c r="F77" s="308"/>
      <c r="J77" s="391"/>
      <c r="M77" s="391"/>
    </row>
    <row r="78" spans="5:14" ht="14.25">
      <c r="E78" s="308"/>
      <c r="F78" s="308"/>
      <c r="J78" s="391"/>
      <c r="M78" s="391"/>
    </row>
    <row r="79" spans="5:14" ht="14.25">
      <c r="E79" s="308"/>
      <c r="F79" s="308"/>
      <c r="J79" s="391"/>
      <c r="M79" s="391"/>
    </row>
    <row r="80" spans="5:14" ht="14.25">
      <c r="E80" s="308"/>
      <c r="F80" s="308"/>
      <c r="J80" s="391"/>
      <c r="M80" s="391"/>
    </row>
    <row r="81" spans="5:13" ht="14.25">
      <c r="E81" s="308"/>
      <c r="F81" s="308"/>
      <c r="J81" s="391"/>
      <c r="M81" s="391"/>
    </row>
    <row r="82" spans="5:13" ht="14.25">
      <c r="E82" s="308"/>
      <c r="F82" s="308"/>
      <c r="J82" s="391"/>
      <c r="M82" s="391"/>
    </row>
    <row r="83" spans="5:13" ht="14.25">
      <c r="E83" s="308"/>
      <c r="F83" s="308"/>
      <c r="J83" s="391"/>
      <c r="M83" s="391"/>
    </row>
    <row r="84" spans="5:13" ht="14.25">
      <c r="E84" s="308"/>
      <c r="F84" s="308"/>
      <c r="J84" s="391"/>
      <c r="M84" s="391"/>
    </row>
    <row r="85" spans="5:13" ht="14.25">
      <c r="E85" s="308"/>
      <c r="F85" s="308"/>
      <c r="J85" s="391"/>
      <c r="M85" s="391"/>
    </row>
    <row r="86" spans="5:13" ht="14.25">
      <c r="E86" s="308"/>
      <c r="F86" s="308"/>
      <c r="J86" s="391"/>
      <c r="M86" s="391"/>
    </row>
    <row r="87" spans="5:13" ht="14.25">
      <c r="E87" s="308"/>
      <c r="F87" s="308"/>
      <c r="J87" s="391"/>
      <c r="M87" s="391"/>
    </row>
    <row r="88" spans="5:13" ht="14.25">
      <c r="E88" s="308"/>
      <c r="F88" s="308"/>
      <c r="J88" s="391"/>
      <c r="M88" s="391"/>
    </row>
    <row r="89" spans="5:13" ht="14.25">
      <c r="E89" s="308"/>
      <c r="F89" s="308"/>
      <c r="J89" s="391"/>
      <c r="M89" s="391"/>
    </row>
    <row r="90" spans="5:13" ht="14.25">
      <c r="E90" s="308"/>
      <c r="F90" s="308"/>
      <c r="J90" s="391"/>
      <c r="M90" s="391"/>
    </row>
    <row r="91" spans="5:13">
      <c r="F91" s="308"/>
    </row>
    <row r="92" spans="5:13">
      <c r="F92" s="308"/>
    </row>
    <row r="93" spans="5:13">
      <c r="F93" s="308"/>
    </row>
    <row r="94" spans="5:13">
      <c r="F94" s="308"/>
    </row>
    <row r="95" spans="5:13">
      <c r="F95" s="308"/>
    </row>
    <row r="96" spans="5:13">
      <c r="F96" s="308"/>
    </row>
  </sheetData>
  <mergeCells count="10">
    <mergeCell ref="N4:N5"/>
    <mergeCell ref="G4:G5"/>
    <mergeCell ref="B2:J2"/>
    <mergeCell ref="H4:J4"/>
    <mergeCell ref="B4:B5"/>
    <mergeCell ref="C4:C5"/>
    <mergeCell ref="D4:D5"/>
    <mergeCell ref="F4:F5"/>
    <mergeCell ref="E4:E5"/>
    <mergeCell ref="K4:M4"/>
  </mergeCells>
  <phoneticPr fontId="2" type="noConversion"/>
  <pageMargins left="0.78740157480314965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sheetPr codeName="Sheet39"/>
  <dimension ref="A1:P96"/>
  <sheetViews>
    <sheetView zoomScaleNormal="100" workbookViewId="0">
      <selection activeCell="K45" sqref="K45"/>
    </sheetView>
  </sheetViews>
  <sheetFormatPr defaultRowHeight="12.75"/>
  <cols>
    <col min="1" max="1" width="9.140625" style="284"/>
    <col min="2" max="2" width="4.7109375" style="9" customWidth="1"/>
    <col min="3" max="3" width="5.140625" style="9" customWidth="1"/>
    <col min="4" max="4" width="5" style="9" customWidth="1"/>
    <col min="5" max="5" width="8.7109375" style="17" customWidth="1"/>
    <col min="6" max="6" width="8.7109375" style="289" customWidth="1"/>
    <col min="7" max="7" width="50.7109375" style="9" customWidth="1"/>
    <col min="8" max="9" width="14.7109375" style="57" customWidth="1"/>
    <col min="10" max="10" width="15.7109375" style="57" customWidth="1"/>
    <col min="11" max="12" width="14.7109375" style="57" customWidth="1"/>
    <col min="13" max="13" width="15.7109375" style="57" customWidth="1"/>
    <col min="14" max="14" width="7.7109375" style="350" customWidth="1"/>
    <col min="15" max="16384" width="9.140625" style="9"/>
  </cols>
  <sheetData>
    <row r="1" spans="1:16" ht="13.5" thickBot="1"/>
    <row r="2" spans="1:16" s="376" customFormat="1" ht="20.100000000000001" customHeight="1" thickTop="1" thickBot="1">
      <c r="B2" s="590" t="s">
        <v>154</v>
      </c>
      <c r="C2" s="591"/>
      <c r="D2" s="591"/>
      <c r="E2" s="591"/>
      <c r="F2" s="591"/>
      <c r="G2" s="591"/>
      <c r="H2" s="377"/>
      <c r="I2" s="377"/>
      <c r="J2" s="377"/>
      <c r="K2" s="377"/>
      <c r="L2" s="377"/>
      <c r="M2" s="377"/>
      <c r="N2" s="380"/>
    </row>
    <row r="3" spans="1:16" s="1" customFormat="1" ht="8.1" customHeight="1" thickTop="1" thickBot="1">
      <c r="A3" s="281"/>
      <c r="E3" s="2"/>
      <c r="F3" s="282"/>
      <c r="G3" s="531"/>
      <c r="H3" s="92"/>
      <c r="I3" s="92"/>
      <c r="J3" s="92"/>
      <c r="K3" s="92"/>
      <c r="L3" s="92"/>
      <c r="M3" s="92"/>
      <c r="N3" s="344"/>
    </row>
    <row r="4" spans="1:16" s="1" customFormat="1" ht="39" customHeight="1">
      <c r="A4" s="281"/>
      <c r="B4" s="596" t="s">
        <v>78</v>
      </c>
      <c r="C4" s="606" t="s">
        <v>79</v>
      </c>
      <c r="D4" s="607" t="s">
        <v>110</v>
      </c>
      <c r="E4" s="608" t="s">
        <v>594</v>
      </c>
      <c r="F4" s="601" t="s">
        <v>653</v>
      </c>
      <c r="G4" s="602" t="s">
        <v>80</v>
      </c>
      <c r="H4" s="593" t="s">
        <v>647</v>
      </c>
      <c r="I4" s="594"/>
      <c r="J4" s="595"/>
      <c r="K4" s="593" t="s">
        <v>801</v>
      </c>
      <c r="L4" s="594"/>
      <c r="M4" s="595"/>
      <c r="N4" s="604" t="s">
        <v>805</v>
      </c>
    </row>
    <row r="5" spans="1:16" s="281" customFormat="1" ht="27" customHeight="1">
      <c r="B5" s="597"/>
      <c r="C5" s="599"/>
      <c r="D5" s="599"/>
      <c r="E5" s="603"/>
      <c r="F5" s="599"/>
      <c r="G5" s="603"/>
      <c r="H5" s="372" t="s">
        <v>705</v>
      </c>
      <c r="I5" s="372" t="s">
        <v>706</v>
      </c>
      <c r="J5" s="382" t="s">
        <v>413</v>
      </c>
      <c r="K5" s="372" t="s">
        <v>705</v>
      </c>
      <c r="L5" s="372" t="s">
        <v>706</v>
      </c>
      <c r="M5" s="382" t="s">
        <v>413</v>
      </c>
      <c r="N5" s="605"/>
    </row>
    <row r="6" spans="1:16" s="2" customFormat="1" ht="12.95" customHeight="1">
      <c r="A6" s="282"/>
      <c r="B6" s="504">
        <v>1</v>
      </c>
      <c r="C6" s="331">
        <v>2</v>
      </c>
      <c r="D6" s="331">
        <v>3</v>
      </c>
      <c r="E6" s="331">
        <v>4</v>
      </c>
      <c r="F6" s="331">
        <v>5</v>
      </c>
      <c r="G6" s="331">
        <v>6</v>
      </c>
      <c r="H6" s="331">
        <v>7</v>
      </c>
      <c r="I6" s="331">
        <v>8</v>
      </c>
      <c r="J6" s="523" t="s">
        <v>804</v>
      </c>
      <c r="K6" s="331">
        <v>10</v>
      </c>
      <c r="L6" s="331">
        <v>11</v>
      </c>
      <c r="M6" s="523" t="s">
        <v>707</v>
      </c>
      <c r="N6" s="505">
        <v>13</v>
      </c>
    </row>
    <row r="7" spans="1:16" s="2" customFormat="1" ht="12.95" customHeight="1">
      <c r="A7" s="282"/>
      <c r="B7" s="6" t="s">
        <v>155</v>
      </c>
      <c r="C7" s="7" t="s">
        <v>81</v>
      </c>
      <c r="D7" s="7" t="s">
        <v>82</v>
      </c>
      <c r="E7" s="5"/>
      <c r="F7" s="283"/>
      <c r="G7" s="5"/>
      <c r="H7" s="86"/>
      <c r="I7" s="86"/>
      <c r="J7" s="392"/>
      <c r="K7" s="86"/>
      <c r="L7" s="86"/>
      <c r="M7" s="392"/>
      <c r="N7" s="345"/>
    </row>
    <row r="8" spans="1:16" s="1" customFormat="1" ht="12.95" customHeight="1">
      <c r="A8" s="281"/>
      <c r="B8" s="12"/>
      <c r="C8" s="8"/>
      <c r="D8" s="8"/>
      <c r="E8" s="305">
        <v>611000</v>
      </c>
      <c r="F8" s="331"/>
      <c r="G8" s="8" t="s">
        <v>163</v>
      </c>
      <c r="H8" s="210">
        <f t="shared" ref="H8:M8" si="0">SUM(H9:H11)</f>
        <v>514860</v>
      </c>
      <c r="I8" s="210">
        <f t="shared" si="0"/>
        <v>0</v>
      </c>
      <c r="J8" s="384">
        <f t="shared" si="0"/>
        <v>514860</v>
      </c>
      <c r="K8" s="210">
        <f t="shared" si="0"/>
        <v>124802</v>
      </c>
      <c r="L8" s="210">
        <f t="shared" si="0"/>
        <v>0</v>
      </c>
      <c r="M8" s="384">
        <f t="shared" si="0"/>
        <v>124802</v>
      </c>
      <c r="N8" s="346">
        <f>IF(J8=0,"",M8/J8*100)</f>
        <v>24.239987569436352</v>
      </c>
    </row>
    <row r="9" spans="1:16" ht="12.95" customHeight="1">
      <c r="B9" s="10"/>
      <c r="C9" s="11"/>
      <c r="D9" s="11"/>
      <c r="E9" s="306">
        <v>611100</v>
      </c>
      <c r="F9" s="332"/>
      <c r="G9" s="18" t="s">
        <v>198</v>
      </c>
      <c r="H9" s="212">
        <f>432300+4320+7740</f>
        <v>444360</v>
      </c>
      <c r="I9" s="212">
        <v>0</v>
      </c>
      <c r="J9" s="385">
        <f>SUM(H9:I9)</f>
        <v>444360</v>
      </c>
      <c r="K9" s="212">
        <v>109912</v>
      </c>
      <c r="L9" s="212">
        <v>0</v>
      </c>
      <c r="M9" s="385">
        <f>SUM(K9:L9)</f>
        <v>109912</v>
      </c>
      <c r="N9" s="347">
        <f t="shared" ref="N9:N66" si="1">IF(J9=0,"",M9/J9*100)</f>
        <v>24.734899630929878</v>
      </c>
    </row>
    <row r="10" spans="1:16" ht="12.95" customHeight="1">
      <c r="B10" s="10"/>
      <c r="C10" s="11"/>
      <c r="D10" s="11"/>
      <c r="E10" s="306">
        <v>611200</v>
      </c>
      <c r="F10" s="332"/>
      <c r="G10" s="11" t="s">
        <v>199</v>
      </c>
      <c r="H10" s="212">
        <f>69400+1100</f>
        <v>70500</v>
      </c>
      <c r="I10" s="212">
        <v>0</v>
      </c>
      <c r="J10" s="385">
        <f t="shared" ref="J10:J11" si="2">SUM(H10:I10)</f>
        <v>70500</v>
      </c>
      <c r="K10" s="212">
        <v>14890</v>
      </c>
      <c r="L10" s="212">
        <v>0</v>
      </c>
      <c r="M10" s="385">
        <f t="shared" ref="M10:M11" si="3">SUM(K10:L10)</f>
        <v>14890</v>
      </c>
      <c r="N10" s="347">
        <f t="shared" si="1"/>
        <v>21.120567375886527</v>
      </c>
    </row>
    <row r="11" spans="1:16" ht="12.95" customHeight="1">
      <c r="B11" s="10"/>
      <c r="C11" s="11"/>
      <c r="D11" s="11"/>
      <c r="E11" s="306">
        <v>611200</v>
      </c>
      <c r="F11" s="332"/>
      <c r="G11" s="189" t="s">
        <v>534</v>
      </c>
      <c r="H11" s="209">
        <v>0</v>
      </c>
      <c r="I11" s="209">
        <v>0</v>
      </c>
      <c r="J11" s="385">
        <f t="shared" si="2"/>
        <v>0</v>
      </c>
      <c r="K11" s="209">
        <v>0</v>
      </c>
      <c r="L11" s="209">
        <v>0</v>
      </c>
      <c r="M11" s="385">
        <f t="shared" si="3"/>
        <v>0</v>
      </c>
      <c r="N11" s="347" t="str">
        <f t="shared" si="1"/>
        <v/>
      </c>
      <c r="P11" s="56"/>
    </row>
    <row r="12" spans="1:16" ht="12.95" customHeight="1">
      <c r="B12" s="10"/>
      <c r="C12" s="11"/>
      <c r="D12" s="11"/>
      <c r="E12" s="306"/>
      <c r="F12" s="332"/>
      <c r="G12" s="11"/>
      <c r="H12" s="210"/>
      <c r="I12" s="210"/>
      <c r="J12" s="384"/>
      <c r="K12" s="210"/>
      <c r="L12" s="210"/>
      <c r="M12" s="384"/>
      <c r="N12" s="347" t="str">
        <f t="shared" si="1"/>
        <v/>
      </c>
    </row>
    <row r="13" spans="1:16" s="1" customFormat="1" ht="12.95" customHeight="1">
      <c r="A13" s="281"/>
      <c r="B13" s="12"/>
      <c r="C13" s="8"/>
      <c r="D13" s="8"/>
      <c r="E13" s="305">
        <v>612000</v>
      </c>
      <c r="F13" s="331"/>
      <c r="G13" s="8" t="s">
        <v>162</v>
      </c>
      <c r="H13" s="210">
        <f t="shared" ref="H13:M13" si="4">H14</f>
        <v>47180</v>
      </c>
      <c r="I13" s="210">
        <f t="shared" si="4"/>
        <v>0</v>
      </c>
      <c r="J13" s="384">
        <f t="shared" si="4"/>
        <v>47180</v>
      </c>
      <c r="K13" s="210">
        <f t="shared" si="4"/>
        <v>11618</v>
      </c>
      <c r="L13" s="210">
        <f t="shared" si="4"/>
        <v>0</v>
      </c>
      <c r="M13" s="384">
        <f t="shared" si="4"/>
        <v>11618</v>
      </c>
      <c r="N13" s="346">
        <f t="shared" si="1"/>
        <v>24.624841034336583</v>
      </c>
    </row>
    <row r="14" spans="1:16" ht="12.95" customHeight="1">
      <c r="B14" s="10"/>
      <c r="C14" s="11"/>
      <c r="D14" s="11"/>
      <c r="E14" s="306">
        <v>612100</v>
      </c>
      <c r="F14" s="332"/>
      <c r="G14" s="13" t="s">
        <v>83</v>
      </c>
      <c r="H14" s="212">
        <f>45830+500+850</f>
        <v>47180</v>
      </c>
      <c r="I14" s="212">
        <v>0</v>
      </c>
      <c r="J14" s="385">
        <f>SUM(H14:I14)</f>
        <v>47180</v>
      </c>
      <c r="K14" s="212">
        <v>11618</v>
      </c>
      <c r="L14" s="212">
        <v>0</v>
      </c>
      <c r="M14" s="385">
        <f>SUM(K14:L14)</f>
        <v>11618</v>
      </c>
      <c r="N14" s="347">
        <f t="shared" si="1"/>
        <v>24.624841034336583</v>
      </c>
    </row>
    <row r="15" spans="1:16" ht="12.95" customHeight="1">
      <c r="B15" s="10"/>
      <c r="C15" s="11"/>
      <c r="D15" s="11"/>
      <c r="E15" s="306"/>
      <c r="F15" s="332"/>
      <c r="G15" s="11"/>
      <c r="H15" s="288"/>
      <c r="I15" s="288"/>
      <c r="J15" s="387"/>
      <c r="K15" s="288"/>
      <c r="L15" s="288"/>
      <c r="M15" s="387"/>
      <c r="N15" s="347" t="str">
        <f t="shared" si="1"/>
        <v/>
      </c>
    </row>
    <row r="16" spans="1:16" s="1" customFormat="1" ht="12.95" customHeight="1">
      <c r="A16" s="281"/>
      <c r="B16" s="12"/>
      <c r="C16" s="8"/>
      <c r="D16" s="8"/>
      <c r="E16" s="305">
        <v>613000</v>
      </c>
      <c r="F16" s="331"/>
      <c r="G16" s="8" t="s">
        <v>164</v>
      </c>
      <c r="H16" s="293">
        <f t="shared" ref="H16:M16" si="5">SUM(H17:H26)</f>
        <v>117100</v>
      </c>
      <c r="I16" s="293">
        <f t="shared" si="5"/>
        <v>0</v>
      </c>
      <c r="J16" s="387">
        <f t="shared" si="5"/>
        <v>117100</v>
      </c>
      <c r="K16" s="293">
        <f t="shared" si="5"/>
        <v>24855</v>
      </c>
      <c r="L16" s="293">
        <f t="shared" si="5"/>
        <v>0</v>
      </c>
      <c r="M16" s="387">
        <f t="shared" si="5"/>
        <v>24855</v>
      </c>
      <c r="N16" s="346">
        <f t="shared" si="1"/>
        <v>21.225448334756621</v>
      </c>
    </row>
    <row r="17" spans="1:15" ht="12.95" customHeight="1">
      <c r="B17" s="10"/>
      <c r="C17" s="11"/>
      <c r="D17" s="11"/>
      <c r="E17" s="306">
        <v>613100</v>
      </c>
      <c r="F17" s="332"/>
      <c r="G17" s="11" t="s">
        <v>84</v>
      </c>
      <c r="H17" s="363">
        <v>4000</v>
      </c>
      <c r="I17" s="363">
        <v>0</v>
      </c>
      <c r="J17" s="385">
        <f t="shared" ref="J17:J26" si="6">SUM(H17:I17)</f>
        <v>4000</v>
      </c>
      <c r="K17" s="363">
        <v>930</v>
      </c>
      <c r="L17" s="363">
        <v>0</v>
      </c>
      <c r="M17" s="385">
        <f t="shared" ref="M17:M26" si="7">SUM(K17:L17)</f>
        <v>930</v>
      </c>
      <c r="N17" s="347">
        <f t="shared" si="1"/>
        <v>23.25</v>
      </c>
    </row>
    <row r="18" spans="1:15" ht="12.95" customHeight="1">
      <c r="B18" s="10"/>
      <c r="C18" s="11"/>
      <c r="D18" s="11"/>
      <c r="E18" s="306">
        <v>613200</v>
      </c>
      <c r="F18" s="332"/>
      <c r="G18" s="11" t="s">
        <v>85</v>
      </c>
      <c r="H18" s="363">
        <v>28000</v>
      </c>
      <c r="I18" s="363">
        <v>0</v>
      </c>
      <c r="J18" s="385">
        <f t="shared" si="6"/>
        <v>28000</v>
      </c>
      <c r="K18" s="363">
        <v>8236</v>
      </c>
      <c r="L18" s="363">
        <v>0</v>
      </c>
      <c r="M18" s="385">
        <f t="shared" si="7"/>
        <v>8236</v>
      </c>
      <c r="N18" s="347">
        <f t="shared" si="1"/>
        <v>29.414285714285715</v>
      </c>
    </row>
    <row r="19" spans="1:15" ht="12.95" customHeight="1">
      <c r="B19" s="10"/>
      <c r="C19" s="11"/>
      <c r="D19" s="11"/>
      <c r="E19" s="306">
        <v>613300</v>
      </c>
      <c r="F19" s="332"/>
      <c r="G19" s="18" t="s">
        <v>200</v>
      </c>
      <c r="H19" s="363">
        <v>15000</v>
      </c>
      <c r="I19" s="363">
        <v>0</v>
      </c>
      <c r="J19" s="385">
        <f t="shared" si="6"/>
        <v>15000</v>
      </c>
      <c r="K19" s="363">
        <v>3061</v>
      </c>
      <c r="L19" s="363">
        <v>0</v>
      </c>
      <c r="M19" s="385">
        <f t="shared" si="7"/>
        <v>3061</v>
      </c>
      <c r="N19" s="347">
        <f t="shared" si="1"/>
        <v>20.406666666666666</v>
      </c>
    </row>
    <row r="20" spans="1:15" ht="12.95" customHeight="1">
      <c r="B20" s="10"/>
      <c r="C20" s="11"/>
      <c r="D20" s="11"/>
      <c r="E20" s="306">
        <v>613400</v>
      </c>
      <c r="F20" s="332"/>
      <c r="G20" s="11" t="s">
        <v>165</v>
      </c>
      <c r="H20" s="363">
        <v>6000</v>
      </c>
      <c r="I20" s="363">
        <v>0</v>
      </c>
      <c r="J20" s="385">
        <f t="shared" si="6"/>
        <v>6000</v>
      </c>
      <c r="K20" s="363">
        <v>1544</v>
      </c>
      <c r="L20" s="363">
        <v>0</v>
      </c>
      <c r="M20" s="385">
        <f t="shared" si="7"/>
        <v>1544</v>
      </c>
      <c r="N20" s="347">
        <f t="shared" si="1"/>
        <v>25.733333333333334</v>
      </c>
    </row>
    <row r="21" spans="1:15" ht="12.95" customHeight="1">
      <c r="B21" s="10"/>
      <c r="C21" s="11"/>
      <c r="D21" s="11"/>
      <c r="E21" s="306">
        <v>613500</v>
      </c>
      <c r="F21" s="332"/>
      <c r="G21" s="11" t="s">
        <v>86</v>
      </c>
      <c r="H21" s="365">
        <v>4500</v>
      </c>
      <c r="I21" s="365">
        <v>0</v>
      </c>
      <c r="J21" s="385">
        <f t="shared" si="6"/>
        <v>4500</v>
      </c>
      <c r="K21" s="365">
        <v>676</v>
      </c>
      <c r="L21" s="365">
        <v>0</v>
      </c>
      <c r="M21" s="385">
        <f t="shared" si="7"/>
        <v>676</v>
      </c>
      <c r="N21" s="347">
        <f t="shared" si="1"/>
        <v>15.022222222222222</v>
      </c>
      <c r="O21" s="50"/>
    </row>
    <row r="22" spans="1:15" ht="12.95" customHeight="1">
      <c r="B22" s="10"/>
      <c r="C22" s="11"/>
      <c r="D22" s="11"/>
      <c r="E22" s="306">
        <v>613600</v>
      </c>
      <c r="F22" s="332"/>
      <c r="G22" s="18" t="s">
        <v>201</v>
      </c>
      <c r="H22" s="363">
        <v>0</v>
      </c>
      <c r="I22" s="363">
        <v>0</v>
      </c>
      <c r="J22" s="385">
        <f t="shared" si="6"/>
        <v>0</v>
      </c>
      <c r="K22" s="363">
        <v>0</v>
      </c>
      <c r="L22" s="363">
        <v>0</v>
      </c>
      <c r="M22" s="385">
        <f t="shared" si="7"/>
        <v>0</v>
      </c>
      <c r="N22" s="347" t="str">
        <f t="shared" si="1"/>
        <v/>
      </c>
    </row>
    <row r="23" spans="1:15" ht="12.95" customHeight="1">
      <c r="B23" s="10"/>
      <c r="C23" s="11"/>
      <c r="D23" s="11"/>
      <c r="E23" s="306">
        <v>613700</v>
      </c>
      <c r="F23" s="332"/>
      <c r="G23" s="11" t="s">
        <v>87</v>
      </c>
      <c r="H23" s="365">
        <v>8000</v>
      </c>
      <c r="I23" s="365">
        <v>0</v>
      </c>
      <c r="J23" s="385">
        <f t="shared" si="6"/>
        <v>8000</v>
      </c>
      <c r="K23" s="365">
        <v>2272</v>
      </c>
      <c r="L23" s="365">
        <v>0</v>
      </c>
      <c r="M23" s="385">
        <f t="shared" si="7"/>
        <v>2272</v>
      </c>
      <c r="N23" s="347">
        <f t="shared" si="1"/>
        <v>28.4</v>
      </c>
    </row>
    <row r="24" spans="1:15" ht="12.95" customHeight="1">
      <c r="B24" s="10"/>
      <c r="C24" s="11"/>
      <c r="D24" s="11"/>
      <c r="E24" s="306">
        <v>613800</v>
      </c>
      <c r="F24" s="332"/>
      <c r="G24" s="11" t="s">
        <v>166</v>
      </c>
      <c r="H24" s="365">
        <v>1600</v>
      </c>
      <c r="I24" s="365">
        <v>0</v>
      </c>
      <c r="J24" s="385">
        <f t="shared" si="6"/>
        <v>1600</v>
      </c>
      <c r="K24" s="365">
        <v>0</v>
      </c>
      <c r="L24" s="365">
        <v>0</v>
      </c>
      <c r="M24" s="385">
        <f t="shared" si="7"/>
        <v>0</v>
      </c>
      <c r="N24" s="347">
        <f t="shared" si="1"/>
        <v>0</v>
      </c>
    </row>
    <row r="25" spans="1:15" ht="12.95" customHeight="1">
      <c r="B25" s="10"/>
      <c r="C25" s="11"/>
      <c r="D25" s="11"/>
      <c r="E25" s="306">
        <v>613900</v>
      </c>
      <c r="F25" s="332"/>
      <c r="G25" s="11" t="s">
        <v>167</v>
      </c>
      <c r="H25" s="365">
        <v>50000</v>
      </c>
      <c r="I25" s="365">
        <v>0</v>
      </c>
      <c r="J25" s="385">
        <f t="shared" si="6"/>
        <v>50000</v>
      </c>
      <c r="K25" s="365">
        <v>8136</v>
      </c>
      <c r="L25" s="365">
        <v>0</v>
      </c>
      <c r="M25" s="385">
        <f t="shared" si="7"/>
        <v>8136</v>
      </c>
      <c r="N25" s="347">
        <f t="shared" si="1"/>
        <v>16.272000000000002</v>
      </c>
    </row>
    <row r="26" spans="1:15" ht="12.95" customHeight="1">
      <c r="B26" s="10"/>
      <c r="C26" s="11"/>
      <c r="D26" s="11"/>
      <c r="E26" s="306">
        <v>613900</v>
      </c>
      <c r="F26" s="332"/>
      <c r="G26" s="189" t="s">
        <v>535</v>
      </c>
      <c r="H26" s="365">
        <v>0</v>
      </c>
      <c r="I26" s="365">
        <v>0</v>
      </c>
      <c r="J26" s="385">
        <f t="shared" si="6"/>
        <v>0</v>
      </c>
      <c r="K26" s="365">
        <v>0</v>
      </c>
      <c r="L26" s="365">
        <v>0</v>
      </c>
      <c r="M26" s="385">
        <f t="shared" si="7"/>
        <v>0</v>
      </c>
      <c r="N26" s="347" t="str">
        <f t="shared" si="1"/>
        <v/>
      </c>
    </row>
    <row r="27" spans="1:15" s="1" customFormat="1" ht="12.95" customHeight="1">
      <c r="A27" s="281"/>
      <c r="B27" s="12"/>
      <c r="C27" s="8"/>
      <c r="D27" s="8"/>
      <c r="E27" s="305"/>
      <c r="F27" s="331"/>
      <c r="G27" s="8"/>
      <c r="H27" s="296"/>
      <c r="I27" s="296"/>
      <c r="J27" s="386"/>
      <c r="K27" s="296"/>
      <c r="L27" s="296"/>
      <c r="M27" s="386"/>
      <c r="N27" s="347" t="str">
        <f t="shared" si="1"/>
        <v/>
      </c>
    </row>
    <row r="28" spans="1:15" s="1" customFormat="1" ht="12.95" customHeight="1">
      <c r="A28" s="281"/>
      <c r="B28" s="12"/>
      <c r="C28" s="8"/>
      <c r="D28" s="8"/>
      <c r="E28" s="305">
        <v>821000</v>
      </c>
      <c r="F28" s="331"/>
      <c r="G28" s="8" t="s">
        <v>90</v>
      </c>
      <c r="H28" s="295">
        <f t="shared" ref="H28:M28" si="8">SUM(H29:H30)</f>
        <v>10000</v>
      </c>
      <c r="I28" s="295">
        <f t="shared" si="8"/>
        <v>0</v>
      </c>
      <c r="J28" s="387">
        <f t="shared" si="8"/>
        <v>10000</v>
      </c>
      <c r="K28" s="295">
        <f t="shared" si="8"/>
        <v>0</v>
      </c>
      <c r="L28" s="295">
        <f t="shared" si="8"/>
        <v>0</v>
      </c>
      <c r="M28" s="387">
        <f t="shared" si="8"/>
        <v>0</v>
      </c>
      <c r="N28" s="346">
        <f t="shared" si="1"/>
        <v>0</v>
      </c>
    </row>
    <row r="29" spans="1:15" ht="12.95" customHeight="1">
      <c r="B29" s="10"/>
      <c r="C29" s="11"/>
      <c r="D29" s="11"/>
      <c r="E29" s="306">
        <v>821200</v>
      </c>
      <c r="F29" s="332"/>
      <c r="G29" s="11" t="s">
        <v>91</v>
      </c>
      <c r="H29" s="296">
        <v>5000</v>
      </c>
      <c r="I29" s="296">
        <v>0</v>
      </c>
      <c r="J29" s="385">
        <f t="shared" ref="J29:J30" si="9">SUM(H29:I29)</f>
        <v>5000</v>
      </c>
      <c r="K29" s="296">
        <v>0</v>
      </c>
      <c r="L29" s="296">
        <v>0</v>
      </c>
      <c r="M29" s="385">
        <f t="shared" ref="M29:M30" si="10">SUM(K29:L29)</f>
        <v>0</v>
      </c>
      <c r="N29" s="347">
        <f t="shared" si="1"/>
        <v>0</v>
      </c>
    </row>
    <row r="30" spans="1:15" ht="12.95" customHeight="1">
      <c r="B30" s="10"/>
      <c r="C30" s="11"/>
      <c r="D30" s="11"/>
      <c r="E30" s="306">
        <v>821300</v>
      </c>
      <c r="F30" s="332"/>
      <c r="G30" s="11" t="s">
        <v>92</v>
      </c>
      <c r="H30" s="296">
        <v>5000</v>
      </c>
      <c r="I30" s="296">
        <v>0</v>
      </c>
      <c r="J30" s="385">
        <f t="shared" si="9"/>
        <v>5000</v>
      </c>
      <c r="K30" s="296">
        <v>0</v>
      </c>
      <c r="L30" s="296">
        <v>0</v>
      </c>
      <c r="M30" s="385">
        <f t="shared" si="10"/>
        <v>0</v>
      </c>
      <c r="N30" s="347">
        <f t="shared" si="1"/>
        <v>0</v>
      </c>
    </row>
    <row r="31" spans="1:15" ht="12.95" customHeight="1">
      <c r="B31" s="10"/>
      <c r="C31" s="11"/>
      <c r="D31" s="11"/>
      <c r="E31" s="306"/>
      <c r="F31" s="332"/>
      <c r="G31" s="11"/>
      <c r="H31" s="291"/>
      <c r="I31" s="291"/>
      <c r="J31" s="386"/>
      <c r="K31" s="291"/>
      <c r="L31" s="291"/>
      <c r="M31" s="386"/>
      <c r="N31" s="347" t="str">
        <f t="shared" si="1"/>
        <v/>
      </c>
    </row>
    <row r="32" spans="1:15" s="1" customFormat="1" ht="12.95" customHeight="1">
      <c r="A32" s="281"/>
      <c r="B32" s="12"/>
      <c r="C32" s="8"/>
      <c r="D32" s="8"/>
      <c r="E32" s="305"/>
      <c r="F32" s="331"/>
      <c r="G32" s="8" t="s">
        <v>93</v>
      </c>
      <c r="H32" s="288">
        <v>16</v>
      </c>
      <c r="I32" s="288"/>
      <c r="J32" s="387">
        <v>16</v>
      </c>
      <c r="K32" s="288">
        <v>16</v>
      </c>
      <c r="L32" s="288"/>
      <c r="M32" s="387">
        <v>16</v>
      </c>
      <c r="N32" s="347"/>
    </row>
    <row r="33" spans="1:14" s="1" customFormat="1" ht="12.95" customHeight="1">
      <c r="A33" s="281"/>
      <c r="B33" s="12"/>
      <c r="C33" s="8"/>
      <c r="D33" s="8"/>
      <c r="E33" s="305"/>
      <c r="F33" s="331"/>
      <c r="G33" s="8" t="s">
        <v>113</v>
      </c>
      <c r="H33" s="288">
        <f t="shared" ref="H33:M33" si="11">H8+H13+H16+H28</f>
        <v>689140</v>
      </c>
      <c r="I33" s="288">
        <f t="shared" si="11"/>
        <v>0</v>
      </c>
      <c r="J33" s="387">
        <f t="shared" si="11"/>
        <v>689140</v>
      </c>
      <c r="K33" s="288">
        <f t="shared" si="11"/>
        <v>161275</v>
      </c>
      <c r="L33" s="288">
        <f t="shared" si="11"/>
        <v>0</v>
      </c>
      <c r="M33" s="387">
        <f t="shared" si="11"/>
        <v>161275</v>
      </c>
      <c r="N33" s="346">
        <f t="shared" si="1"/>
        <v>23.402356560350583</v>
      </c>
    </row>
    <row r="34" spans="1:14" s="1" customFormat="1" ht="12.95" customHeight="1">
      <c r="A34" s="281"/>
      <c r="B34" s="12"/>
      <c r="C34" s="8"/>
      <c r="D34" s="8"/>
      <c r="E34" s="305"/>
      <c r="F34" s="331"/>
      <c r="G34" s="8" t="s">
        <v>94</v>
      </c>
      <c r="H34" s="288">
        <f t="shared" ref="H34:J35" si="12">H33</f>
        <v>689140</v>
      </c>
      <c r="I34" s="288">
        <f t="shared" si="12"/>
        <v>0</v>
      </c>
      <c r="J34" s="387">
        <f t="shared" si="12"/>
        <v>689140</v>
      </c>
      <c r="K34" s="288">
        <f t="shared" ref="K34:M34" si="13">K33</f>
        <v>161275</v>
      </c>
      <c r="L34" s="288">
        <f t="shared" si="13"/>
        <v>0</v>
      </c>
      <c r="M34" s="387">
        <f t="shared" si="13"/>
        <v>161275</v>
      </c>
      <c r="N34" s="346">
        <f t="shared" si="1"/>
        <v>23.402356560350583</v>
      </c>
    </row>
    <row r="35" spans="1:14" s="1" customFormat="1" ht="12.95" customHeight="1">
      <c r="A35" s="281"/>
      <c r="B35" s="12"/>
      <c r="C35" s="8"/>
      <c r="D35" s="8"/>
      <c r="E35" s="305"/>
      <c r="F35" s="331"/>
      <c r="G35" s="8" t="s">
        <v>95</v>
      </c>
      <c r="H35" s="288">
        <f t="shared" si="12"/>
        <v>689140</v>
      </c>
      <c r="I35" s="288">
        <f t="shared" si="12"/>
        <v>0</v>
      </c>
      <c r="J35" s="387">
        <f t="shared" si="12"/>
        <v>689140</v>
      </c>
      <c r="K35" s="288">
        <f t="shared" ref="K35:M35" si="14">K34</f>
        <v>161275</v>
      </c>
      <c r="L35" s="288">
        <f t="shared" si="14"/>
        <v>0</v>
      </c>
      <c r="M35" s="387">
        <f t="shared" si="14"/>
        <v>161275</v>
      </c>
      <c r="N35" s="346">
        <f t="shared" si="1"/>
        <v>23.402356560350583</v>
      </c>
    </row>
    <row r="36" spans="1:14" ht="12.95" customHeight="1" thickBot="1">
      <c r="B36" s="15"/>
      <c r="C36" s="16"/>
      <c r="D36" s="16"/>
      <c r="E36" s="307"/>
      <c r="F36" s="333"/>
      <c r="G36" s="16"/>
      <c r="H36" s="27"/>
      <c r="I36" s="27"/>
      <c r="J36" s="390"/>
      <c r="K36" s="27"/>
      <c r="L36" s="27"/>
      <c r="M36" s="390"/>
      <c r="N36" s="349" t="str">
        <f t="shared" si="1"/>
        <v/>
      </c>
    </row>
    <row r="37" spans="1:14" ht="12.95" customHeight="1">
      <c r="E37" s="308"/>
      <c r="F37" s="334"/>
      <c r="J37" s="393"/>
      <c r="M37" s="393"/>
      <c r="N37" s="350" t="str">
        <f t="shared" si="1"/>
        <v/>
      </c>
    </row>
    <row r="38" spans="1:14" ht="12.95" customHeight="1">
      <c r="E38" s="308"/>
      <c r="F38" s="334"/>
      <c r="J38" s="393"/>
      <c r="M38" s="393"/>
      <c r="N38" s="350" t="str">
        <f t="shared" si="1"/>
        <v/>
      </c>
    </row>
    <row r="39" spans="1:14" ht="12.95" customHeight="1">
      <c r="B39" s="50"/>
      <c r="E39" s="308"/>
      <c r="F39" s="334"/>
      <c r="J39" s="393"/>
      <c r="M39" s="393"/>
      <c r="N39" s="350" t="str">
        <f t="shared" si="1"/>
        <v/>
      </c>
    </row>
    <row r="40" spans="1:14" ht="12.95" customHeight="1">
      <c r="B40" s="50"/>
      <c r="E40" s="308"/>
      <c r="F40" s="334"/>
      <c r="J40" s="393"/>
      <c r="M40" s="393"/>
      <c r="N40" s="350" t="str">
        <f t="shared" si="1"/>
        <v/>
      </c>
    </row>
    <row r="41" spans="1:14" ht="12.95" customHeight="1">
      <c r="B41" s="50"/>
      <c r="E41" s="308"/>
      <c r="F41" s="334"/>
      <c r="J41" s="393"/>
      <c r="M41" s="393"/>
      <c r="N41" s="350" t="str">
        <f t="shared" si="1"/>
        <v/>
      </c>
    </row>
    <row r="42" spans="1:14" ht="12.95" customHeight="1">
      <c r="B42" s="50"/>
      <c r="E42" s="308"/>
      <c r="F42" s="334"/>
      <c r="J42" s="393"/>
      <c r="M42" s="393"/>
      <c r="N42" s="350" t="str">
        <f t="shared" si="1"/>
        <v/>
      </c>
    </row>
    <row r="43" spans="1:14" ht="12.95" customHeight="1">
      <c r="B43" s="50"/>
      <c r="E43" s="308"/>
      <c r="F43" s="334"/>
      <c r="J43" s="393"/>
      <c r="M43" s="393"/>
      <c r="N43" s="350" t="str">
        <f t="shared" si="1"/>
        <v/>
      </c>
    </row>
    <row r="44" spans="1:14" ht="12.95" customHeight="1">
      <c r="E44" s="308"/>
      <c r="F44" s="334"/>
      <c r="J44" s="393"/>
      <c r="M44" s="393"/>
      <c r="N44" s="350" t="str">
        <f t="shared" si="1"/>
        <v/>
      </c>
    </row>
    <row r="45" spans="1:14" ht="12.95" customHeight="1">
      <c r="E45" s="308"/>
      <c r="F45" s="334"/>
      <c r="J45" s="393"/>
      <c r="M45" s="393"/>
      <c r="N45" s="350" t="str">
        <f t="shared" si="1"/>
        <v/>
      </c>
    </row>
    <row r="46" spans="1:14" ht="12.95" customHeight="1">
      <c r="E46" s="308"/>
      <c r="F46" s="334"/>
      <c r="J46" s="393"/>
      <c r="M46" s="393"/>
      <c r="N46" s="350" t="str">
        <f t="shared" si="1"/>
        <v/>
      </c>
    </row>
    <row r="47" spans="1:14" ht="12.95" customHeight="1">
      <c r="E47" s="308"/>
      <c r="F47" s="334"/>
      <c r="J47" s="393"/>
      <c r="M47" s="393"/>
      <c r="N47" s="350" t="str">
        <f t="shared" si="1"/>
        <v/>
      </c>
    </row>
    <row r="48" spans="1:14" ht="12.95" customHeight="1">
      <c r="E48" s="308"/>
      <c r="F48" s="334"/>
      <c r="J48" s="393"/>
      <c r="M48" s="393"/>
      <c r="N48" s="350" t="str">
        <f t="shared" si="1"/>
        <v/>
      </c>
    </row>
    <row r="49" spans="5:14" ht="12.95" customHeight="1">
      <c r="E49" s="308"/>
      <c r="F49" s="334"/>
      <c r="J49" s="393"/>
      <c r="M49" s="393"/>
      <c r="N49" s="350" t="str">
        <f t="shared" si="1"/>
        <v/>
      </c>
    </row>
    <row r="50" spans="5:14" ht="12.95" customHeight="1">
      <c r="E50" s="308"/>
      <c r="F50" s="334"/>
      <c r="J50" s="393"/>
      <c r="M50" s="393"/>
      <c r="N50" s="350" t="str">
        <f t="shared" si="1"/>
        <v/>
      </c>
    </row>
    <row r="51" spans="5:14" ht="12.95" customHeight="1">
      <c r="E51" s="308"/>
      <c r="F51" s="334"/>
      <c r="J51" s="393"/>
      <c r="M51" s="393"/>
      <c r="N51" s="350" t="str">
        <f t="shared" si="1"/>
        <v/>
      </c>
    </row>
    <row r="52" spans="5:14" ht="12.95" customHeight="1">
      <c r="E52" s="308"/>
      <c r="F52" s="334"/>
      <c r="J52" s="393"/>
      <c r="M52" s="393"/>
      <c r="N52" s="350" t="str">
        <f t="shared" si="1"/>
        <v/>
      </c>
    </row>
    <row r="53" spans="5:14" ht="12.95" customHeight="1">
      <c r="E53" s="308"/>
      <c r="F53" s="334"/>
      <c r="J53" s="393"/>
      <c r="M53" s="393"/>
      <c r="N53" s="350" t="str">
        <f t="shared" si="1"/>
        <v/>
      </c>
    </row>
    <row r="54" spans="5:14" ht="12.95" customHeight="1">
      <c r="E54" s="308"/>
      <c r="F54" s="334"/>
      <c r="J54" s="393"/>
      <c r="M54" s="393"/>
      <c r="N54" s="350" t="str">
        <f t="shared" si="1"/>
        <v/>
      </c>
    </row>
    <row r="55" spans="5:14" ht="12.95" customHeight="1">
      <c r="E55" s="308"/>
      <c r="F55" s="334"/>
      <c r="J55" s="393"/>
      <c r="M55" s="393"/>
      <c r="N55" s="350" t="str">
        <f t="shared" si="1"/>
        <v/>
      </c>
    </row>
    <row r="56" spans="5:14" ht="12.95" customHeight="1">
      <c r="E56" s="308"/>
      <c r="F56" s="334"/>
      <c r="J56" s="393"/>
      <c r="M56" s="393"/>
      <c r="N56" s="350" t="str">
        <f t="shared" si="1"/>
        <v/>
      </c>
    </row>
    <row r="57" spans="5:14" ht="12.95" customHeight="1">
      <c r="E57" s="308"/>
      <c r="F57" s="334"/>
      <c r="J57" s="393"/>
      <c r="M57" s="393"/>
      <c r="N57" s="350" t="str">
        <f t="shared" si="1"/>
        <v/>
      </c>
    </row>
    <row r="58" spans="5:14" ht="12.95" customHeight="1">
      <c r="E58" s="308"/>
      <c r="F58" s="334"/>
      <c r="J58" s="393"/>
      <c r="M58" s="393"/>
      <c r="N58" s="350" t="str">
        <f t="shared" si="1"/>
        <v/>
      </c>
    </row>
    <row r="59" spans="5:14" ht="12.95" customHeight="1">
      <c r="E59" s="308"/>
      <c r="F59" s="334"/>
      <c r="J59" s="393"/>
      <c r="M59" s="393"/>
      <c r="N59" s="350" t="str">
        <f t="shared" si="1"/>
        <v/>
      </c>
    </row>
    <row r="60" spans="5:14" ht="17.100000000000001" customHeight="1">
      <c r="E60" s="308"/>
      <c r="F60" s="334"/>
      <c r="J60" s="393"/>
      <c r="M60" s="393"/>
      <c r="N60" s="350" t="str">
        <f t="shared" si="1"/>
        <v/>
      </c>
    </row>
    <row r="61" spans="5:14" ht="14.25">
      <c r="E61" s="308"/>
      <c r="F61" s="334"/>
      <c r="J61" s="393"/>
      <c r="M61" s="393"/>
      <c r="N61" s="350" t="str">
        <f t="shared" si="1"/>
        <v/>
      </c>
    </row>
    <row r="62" spans="5:14" ht="14.25">
      <c r="E62" s="308"/>
      <c r="F62" s="334"/>
      <c r="J62" s="393"/>
      <c r="M62" s="393"/>
      <c r="N62" s="350" t="str">
        <f t="shared" si="1"/>
        <v/>
      </c>
    </row>
    <row r="63" spans="5:14" ht="14.25">
      <c r="E63" s="308"/>
      <c r="F63" s="334"/>
      <c r="J63" s="393"/>
      <c r="M63" s="393"/>
      <c r="N63" s="350" t="str">
        <f t="shared" si="1"/>
        <v/>
      </c>
    </row>
    <row r="64" spans="5:14" ht="14.25">
      <c r="E64" s="308"/>
      <c r="F64" s="334"/>
      <c r="J64" s="393"/>
      <c r="M64" s="393"/>
      <c r="N64" s="350" t="str">
        <f t="shared" si="1"/>
        <v/>
      </c>
    </row>
    <row r="65" spans="5:14" ht="14.25">
      <c r="E65" s="308"/>
      <c r="F65" s="334"/>
      <c r="J65" s="393"/>
      <c r="M65" s="393"/>
      <c r="N65" s="350" t="str">
        <f t="shared" si="1"/>
        <v/>
      </c>
    </row>
    <row r="66" spans="5:14" ht="14.25">
      <c r="E66" s="308"/>
      <c r="F66" s="334"/>
      <c r="J66" s="393"/>
      <c r="M66" s="393"/>
      <c r="N66" s="350" t="str">
        <f t="shared" si="1"/>
        <v/>
      </c>
    </row>
    <row r="67" spans="5:14" ht="14.25">
      <c r="E67" s="308"/>
      <c r="F67" s="334"/>
      <c r="J67" s="393"/>
      <c r="M67" s="393"/>
    </row>
    <row r="68" spans="5:14" ht="14.25">
      <c r="E68" s="308"/>
      <c r="F68" s="334"/>
      <c r="J68" s="393"/>
      <c r="M68" s="393"/>
    </row>
    <row r="69" spans="5:14" ht="14.25">
      <c r="E69" s="308"/>
      <c r="F69" s="334"/>
      <c r="J69" s="393"/>
      <c r="M69" s="393"/>
    </row>
    <row r="70" spans="5:14" ht="14.25">
      <c r="E70" s="308"/>
      <c r="F70" s="334"/>
      <c r="J70" s="393"/>
      <c r="M70" s="393"/>
    </row>
    <row r="71" spans="5:14" ht="14.25">
      <c r="E71" s="308"/>
      <c r="F71" s="334"/>
      <c r="J71" s="393"/>
      <c r="M71" s="393"/>
    </row>
    <row r="72" spans="5:14" ht="14.25">
      <c r="E72" s="308"/>
      <c r="F72" s="334"/>
      <c r="J72" s="393"/>
      <c r="M72" s="393"/>
    </row>
    <row r="73" spans="5:14" ht="14.25">
      <c r="E73" s="308"/>
      <c r="F73" s="334"/>
      <c r="J73" s="393"/>
      <c r="M73" s="393"/>
    </row>
    <row r="74" spans="5:14" ht="14.25">
      <c r="E74" s="308"/>
      <c r="F74" s="308"/>
      <c r="J74" s="393"/>
      <c r="M74" s="393"/>
    </row>
    <row r="75" spans="5:14" ht="14.25">
      <c r="E75" s="308"/>
      <c r="F75" s="308"/>
      <c r="J75" s="393"/>
      <c r="M75" s="393"/>
    </row>
    <row r="76" spans="5:14" ht="14.25">
      <c r="E76" s="308"/>
      <c r="F76" s="308"/>
      <c r="J76" s="393"/>
      <c r="M76" s="393"/>
    </row>
    <row r="77" spans="5:14" ht="14.25">
      <c r="E77" s="308"/>
      <c r="F77" s="308"/>
      <c r="J77" s="393"/>
      <c r="M77" s="393"/>
    </row>
    <row r="78" spans="5:14" ht="14.25">
      <c r="E78" s="308"/>
      <c r="F78" s="308"/>
      <c r="J78" s="393"/>
      <c r="M78" s="393"/>
    </row>
    <row r="79" spans="5:14" ht="14.25">
      <c r="E79" s="308"/>
      <c r="F79" s="308"/>
      <c r="J79" s="393"/>
      <c r="M79" s="393"/>
    </row>
    <row r="80" spans="5:14" ht="14.25">
      <c r="E80" s="308"/>
      <c r="F80" s="308"/>
      <c r="J80" s="393"/>
      <c r="M80" s="393"/>
    </row>
    <row r="81" spans="5:13" ht="14.25">
      <c r="E81" s="308"/>
      <c r="F81" s="308"/>
      <c r="J81" s="393"/>
      <c r="M81" s="393"/>
    </row>
    <row r="82" spans="5:13" ht="14.25">
      <c r="E82" s="308"/>
      <c r="F82" s="308"/>
      <c r="J82" s="393"/>
      <c r="M82" s="393"/>
    </row>
    <row r="83" spans="5:13" ht="14.25">
      <c r="E83" s="308"/>
      <c r="F83" s="308"/>
      <c r="J83" s="393"/>
      <c r="M83" s="393"/>
    </row>
    <row r="84" spans="5:13" ht="14.25">
      <c r="E84" s="308"/>
      <c r="F84" s="308"/>
      <c r="J84" s="393"/>
      <c r="M84" s="393"/>
    </row>
    <row r="85" spans="5:13" ht="14.25">
      <c r="E85" s="308"/>
      <c r="F85" s="308"/>
      <c r="J85" s="393"/>
      <c r="M85" s="393"/>
    </row>
    <row r="86" spans="5:13" ht="14.25">
      <c r="E86" s="308"/>
      <c r="F86" s="308"/>
      <c r="J86" s="393"/>
      <c r="M86" s="393"/>
    </row>
    <row r="87" spans="5:13" ht="14.25">
      <c r="E87" s="308"/>
      <c r="F87" s="308"/>
      <c r="J87" s="393"/>
      <c r="M87" s="393"/>
    </row>
    <row r="88" spans="5:13" ht="14.25">
      <c r="E88" s="308"/>
      <c r="F88" s="308"/>
      <c r="J88" s="393"/>
      <c r="M88" s="393"/>
    </row>
    <row r="89" spans="5:13" ht="14.25">
      <c r="E89" s="308"/>
      <c r="F89" s="308"/>
      <c r="J89" s="393"/>
      <c r="M89" s="393"/>
    </row>
    <row r="90" spans="5:13" ht="14.25">
      <c r="E90" s="308"/>
      <c r="F90" s="308"/>
      <c r="J90" s="393"/>
      <c r="M90" s="393"/>
    </row>
    <row r="91" spans="5:13">
      <c r="F91" s="308"/>
    </row>
    <row r="92" spans="5:13">
      <c r="F92" s="308"/>
    </row>
    <row r="93" spans="5:13">
      <c r="F93" s="308"/>
    </row>
    <row r="94" spans="5:13">
      <c r="F94" s="308"/>
    </row>
    <row r="95" spans="5:13">
      <c r="F95" s="308"/>
    </row>
    <row r="96" spans="5:13">
      <c r="F96" s="308"/>
    </row>
  </sheetData>
  <mergeCells count="10">
    <mergeCell ref="N4:N5"/>
    <mergeCell ref="G4:G5"/>
    <mergeCell ref="B2:G2"/>
    <mergeCell ref="H4:J4"/>
    <mergeCell ref="B4:B5"/>
    <mergeCell ref="C4:C5"/>
    <mergeCell ref="D4:D5"/>
    <mergeCell ref="F4:F5"/>
    <mergeCell ref="E4:E5"/>
    <mergeCell ref="K4:M4"/>
  </mergeCells>
  <phoneticPr fontId="2" type="noConversion"/>
  <pageMargins left="0.78740157480314965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>
  <sheetPr codeName="Sheet40"/>
  <dimension ref="A1:P96"/>
  <sheetViews>
    <sheetView zoomScaleNormal="100" workbookViewId="0">
      <selection activeCell="K45" sqref="K45"/>
    </sheetView>
  </sheetViews>
  <sheetFormatPr defaultRowHeight="12.75"/>
  <cols>
    <col min="1" max="1" width="9.140625" style="284"/>
    <col min="2" max="2" width="4.7109375" style="9" customWidth="1"/>
    <col min="3" max="3" width="5.140625" style="9" customWidth="1"/>
    <col min="4" max="4" width="5" style="9" customWidth="1"/>
    <col min="5" max="5" width="8.7109375" style="17" customWidth="1"/>
    <col min="6" max="6" width="8.7109375" style="289" customWidth="1"/>
    <col min="7" max="7" width="50.7109375" style="9" customWidth="1"/>
    <col min="8" max="9" width="14.7109375" style="284" customWidth="1"/>
    <col min="10" max="10" width="15.7109375" style="9" customWidth="1"/>
    <col min="11" max="12" width="14.7109375" style="284" customWidth="1"/>
    <col min="13" max="13" width="15.7109375" style="284" customWidth="1"/>
    <col min="14" max="14" width="7.7109375" style="350" customWidth="1"/>
    <col min="15" max="16384" width="9.140625" style="9"/>
  </cols>
  <sheetData>
    <row r="1" spans="1:16" ht="13.5" thickBot="1"/>
    <row r="2" spans="1:16" s="376" customFormat="1" ht="20.100000000000001" customHeight="1" thickTop="1" thickBot="1">
      <c r="B2" s="590" t="s">
        <v>220</v>
      </c>
      <c r="C2" s="591"/>
      <c r="D2" s="591"/>
      <c r="E2" s="591"/>
      <c r="F2" s="591"/>
      <c r="G2" s="591"/>
      <c r="H2" s="591"/>
      <c r="I2" s="591"/>
      <c r="J2" s="591"/>
      <c r="K2" s="530"/>
      <c r="L2" s="530"/>
      <c r="M2" s="530"/>
      <c r="N2" s="379"/>
    </row>
    <row r="3" spans="1:16" s="1" customFormat="1" ht="8.1" customHeight="1" thickTop="1" thickBot="1">
      <c r="A3" s="281"/>
      <c r="E3" s="2"/>
      <c r="F3" s="282"/>
      <c r="G3" s="531"/>
      <c r="H3" s="92"/>
      <c r="I3" s="92"/>
      <c r="J3" s="92"/>
      <c r="K3" s="92"/>
      <c r="L3" s="92"/>
      <c r="M3" s="92"/>
      <c r="N3" s="344"/>
    </row>
    <row r="4" spans="1:16" s="1" customFormat="1" ht="39" customHeight="1">
      <c r="A4" s="281"/>
      <c r="B4" s="596" t="s">
        <v>78</v>
      </c>
      <c r="C4" s="606" t="s">
        <v>79</v>
      </c>
      <c r="D4" s="607" t="s">
        <v>110</v>
      </c>
      <c r="E4" s="608" t="s">
        <v>594</v>
      </c>
      <c r="F4" s="601" t="s">
        <v>653</v>
      </c>
      <c r="G4" s="602" t="s">
        <v>80</v>
      </c>
      <c r="H4" s="593" t="s">
        <v>647</v>
      </c>
      <c r="I4" s="594"/>
      <c r="J4" s="595"/>
      <c r="K4" s="593" t="s">
        <v>801</v>
      </c>
      <c r="L4" s="594"/>
      <c r="M4" s="595"/>
      <c r="N4" s="604" t="s">
        <v>805</v>
      </c>
    </row>
    <row r="5" spans="1:16" s="281" customFormat="1" ht="27" customHeight="1">
      <c r="B5" s="597"/>
      <c r="C5" s="599"/>
      <c r="D5" s="599"/>
      <c r="E5" s="603"/>
      <c r="F5" s="599"/>
      <c r="G5" s="603"/>
      <c r="H5" s="372" t="s">
        <v>705</v>
      </c>
      <c r="I5" s="372" t="s">
        <v>706</v>
      </c>
      <c r="J5" s="382" t="s">
        <v>413</v>
      </c>
      <c r="K5" s="372" t="s">
        <v>705</v>
      </c>
      <c r="L5" s="372" t="s">
        <v>706</v>
      </c>
      <c r="M5" s="382" t="s">
        <v>413</v>
      </c>
      <c r="N5" s="605"/>
    </row>
    <row r="6" spans="1:16" s="2" customFormat="1" ht="12.95" customHeight="1">
      <c r="A6" s="282"/>
      <c r="B6" s="504">
        <v>1</v>
      </c>
      <c r="C6" s="331">
        <v>2</v>
      </c>
      <c r="D6" s="331">
        <v>3</v>
      </c>
      <c r="E6" s="331">
        <v>4</v>
      </c>
      <c r="F6" s="331">
        <v>5</v>
      </c>
      <c r="G6" s="331">
        <v>6</v>
      </c>
      <c r="H6" s="331">
        <v>7</v>
      </c>
      <c r="I6" s="331">
        <v>8</v>
      </c>
      <c r="J6" s="523" t="s">
        <v>804</v>
      </c>
      <c r="K6" s="331">
        <v>10</v>
      </c>
      <c r="L6" s="331">
        <v>11</v>
      </c>
      <c r="M6" s="523" t="s">
        <v>707</v>
      </c>
      <c r="N6" s="505">
        <v>13</v>
      </c>
    </row>
    <row r="7" spans="1:16" s="2" customFormat="1" ht="12.95" customHeight="1">
      <c r="A7" s="282"/>
      <c r="B7" s="6" t="s">
        <v>156</v>
      </c>
      <c r="C7" s="7" t="s">
        <v>81</v>
      </c>
      <c r="D7" s="7" t="s">
        <v>82</v>
      </c>
      <c r="E7" s="5"/>
      <c r="F7" s="283"/>
      <c r="G7" s="5"/>
      <c r="H7" s="283"/>
      <c r="I7" s="283"/>
      <c r="J7" s="383"/>
      <c r="K7" s="283"/>
      <c r="L7" s="283"/>
      <c r="M7" s="383"/>
      <c r="N7" s="345"/>
    </row>
    <row r="8" spans="1:16" s="1" customFormat="1" ht="12.95" customHeight="1">
      <c r="A8" s="281"/>
      <c r="B8" s="12"/>
      <c r="C8" s="8"/>
      <c r="D8" s="8"/>
      <c r="E8" s="305">
        <v>611000</v>
      </c>
      <c r="F8" s="331"/>
      <c r="G8" s="8" t="s">
        <v>163</v>
      </c>
      <c r="H8" s="210">
        <f t="shared" ref="H8:M8" si="0">SUM(H9:H11)</f>
        <v>70000</v>
      </c>
      <c r="I8" s="210">
        <f t="shared" si="0"/>
        <v>0</v>
      </c>
      <c r="J8" s="384">
        <f t="shared" si="0"/>
        <v>70000</v>
      </c>
      <c r="K8" s="210">
        <f t="shared" si="0"/>
        <v>16329</v>
      </c>
      <c r="L8" s="210">
        <f t="shared" si="0"/>
        <v>0</v>
      </c>
      <c r="M8" s="384">
        <f t="shared" si="0"/>
        <v>16329</v>
      </c>
      <c r="N8" s="346">
        <f>IF(J8=0,"",M8/J8*100)</f>
        <v>23.327142857142857</v>
      </c>
    </row>
    <row r="9" spans="1:16" ht="12.95" customHeight="1">
      <c r="B9" s="10"/>
      <c r="C9" s="11"/>
      <c r="D9" s="11"/>
      <c r="E9" s="306">
        <v>611100</v>
      </c>
      <c r="F9" s="332"/>
      <c r="G9" s="18" t="s">
        <v>198</v>
      </c>
      <c r="H9" s="209">
        <f>58800+500+500</f>
        <v>59800</v>
      </c>
      <c r="I9" s="209">
        <v>0</v>
      </c>
      <c r="J9" s="385">
        <f>SUM(H9:I9)</f>
        <v>59800</v>
      </c>
      <c r="K9" s="209">
        <v>14725</v>
      </c>
      <c r="L9" s="209">
        <v>0</v>
      </c>
      <c r="M9" s="385">
        <f>SUM(K9:L9)</f>
        <v>14725</v>
      </c>
      <c r="N9" s="347">
        <f t="shared" ref="N9:N66" si="1">IF(J9=0,"",M9/J9*100)</f>
        <v>24.623745819397993</v>
      </c>
    </row>
    <row r="10" spans="1:16" ht="12.95" customHeight="1">
      <c r="B10" s="10"/>
      <c r="C10" s="11"/>
      <c r="D10" s="11"/>
      <c r="E10" s="306">
        <v>611200</v>
      </c>
      <c r="F10" s="332"/>
      <c r="G10" s="11" t="s">
        <v>199</v>
      </c>
      <c r="H10" s="209">
        <f>9100+200+900</f>
        <v>10200</v>
      </c>
      <c r="I10" s="209">
        <v>0</v>
      </c>
      <c r="J10" s="385">
        <f t="shared" ref="J10:J11" si="2">SUM(H10:I10)</f>
        <v>10200</v>
      </c>
      <c r="K10" s="209">
        <v>1604</v>
      </c>
      <c r="L10" s="209">
        <v>0</v>
      </c>
      <c r="M10" s="385">
        <f t="shared" ref="M10:M11" si="3">SUM(K10:L10)</f>
        <v>1604</v>
      </c>
      <c r="N10" s="347">
        <f t="shared" si="1"/>
        <v>15.725490196078432</v>
      </c>
    </row>
    <row r="11" spans="1:16" ht="12.95" customHeight="1">
      <c r="B11" s="10"/>
      <c r="C11" s="11"/>
      <c r="D11" s="11"/>
      <c r="E11" s="306">
        <v>611200</v>
      </c>
      <c r="F11" s="332"/>
      <c r="G11" s="356" t="s">
        <v>534</v>
      </c>
      <c r="H11" s="209">
        <v>0</v>
      </c>
      <c r="I11" s="209">
        <v>0</v>
      </c>
      <c r="J11" s="385">
        <f t="shared" si="2"/>
        <v>0</v>
      </c>
      <c r="K11" s="209">
        <v>0</v>
      </c>
      <c r="L11" s="209">
        <v>0</v>
      </c>
      <c r="M11" s="385">
        <f t="shared" si="3"/>
        <v>0</v>
      </c>
      <c r="N11" s="347" t="str">
        <f t="shared" si="1"/>
        <v/>
      </c>
      <c r="P11" s="56"/>
    </row>
    <row r="12" spans="1:16" ht="12.95" customHeight="1">
      <c r="B12" s="10"/>
      <c r="C12" s="11"/>
      <c r="D12" s="11"/>
      <c r="E12" s="306"/>
      <c r="F12" s="332"/>
      <c r="G12" s="11"/>
      <c r="H12" s="210"/>
      <c r="I12" s="210"/>
      <c r="J12" s="384"/>
      <c r="K12" s="210"/>
      <c r="L12" s="210"/>
      <c r="M12" s="384"/>
      <c r="N12" s="347" t="str">
        <f t="shared" si="1"/>
        <v/>
      </c>
    </row>
    <row r="13" spans="1:16" s="1" customFormat="1" ht="12.95" customHeight="1">
      <c r="A13" s="281"/>
      <c r="B13" s="12"/>
      <c r="C13" s="8"/>
      <c r="D13" s="8"/>
      <c r="E13" s="305">
        <v>612000</v>
      </c>
      <c r="F13" s="331"/>
      <c r="G13" s="8" t="s">
        <v>162</v>
      </c>
      <c r="H13" s="210">
        <f t="shared" ref="H13:M13" si="4">H14</f>
        <v>6420</v>
      </c>
      <c r="I13" s="210">
        <f t="shared" si="4"/>
        <v>0</v>
      </c>
      <c r="J13" s="384">
        <f t="shared" si="4"/>
        <v>6420</v>
      </c>
      <c r="K13" s="210">
        <f t="shared" si="4"/>
        <v>1558</v>
      </c>
      <c r="L13" s="210">
        <f t="shared" si="4"/>
        <v>0</v>
      </c>
      <c r="M13" s="384">
        <f t="shared" si="4"/>
        <v>1558</v>
      </c>
      <c r="N13" s="346">
        <f t="shared" si="1"/>
        <v>24.267912772585671</v>
      </c>
    </row>
    <row r="14" spans="1:16" ht="12.95" customHeight="1">
      <c r="B14" s="10"/>
      <c r="C14" s="11"/>
      <c r="D14" s="11"/>
      <c r="E14" s="306">
        <v>612100</v>
      </c>
      <c r="F14" s="332"/>
      <c r="G14" s="13" t="s">
        <v>83</v>
      </c>
      <c r="H14" s="209">
        <f>6290+60+70</f>
        <v>6420</v>
      </c>
      <c r="I14" s="209">
        <v>0</v>
      </c>
      <c r="J14" s="385">
        <f>SUM(H14:I14)</f>
        <v>6420</v>
      </c>
      <c r="K14" s="209">
        <v>1558</v>
      </c>
      <c r="L14" s="209">
        <v>0</v>
      </c>
      <c r="M14" s="385">
        <f>SUM(K14:L14)</f>
        <v>1558</v>
      </c>
      <c r="N14" s="347">
        <f t="shared" si="1"/>
        <v>24.267912772585671</v>
      </c>
    </row>
    <row r="15" spans="1:16" ht="12.95" customHeight="1">
      <c r="B15" s="10"/>
      <c r="C15" s="11"/>
      <c r="D15" s="11"/>
      <c r="E15" s="306"/>
      <c r="F15" s="332"/>
      <c r="G15" s="11"/>
      <c r="H15" s="293"/>
      <c r="I15" s="293"/>
      <c r="J15" s="387"/>
      <c r="K15" s="293"/>
      <c r="L15" s="293"/>
      <c r="M15" s="387"/>
      <c r="N15" s="347" t="str">
        <f t="shared" si="1"/>
        <v/>
      </c>
    </row>
    <row r="16" spans="1:16" s="1" customFormat="1" ht="12.95" customHeight="1">
      <c r="A16" s="281"/>
      <c r="B16" s="12"/>
      <c r="C16" s="8"/>
      <c r="D16" s="8"/>
      <c r="E16" s="305">
        <v>613000</v>
      </c>
      <c r="F16" s="331"/>
      <c r="G16" s="8" t="s">
        <v>164</v>
      </c>
      <c r="H16" s="293">
        <f t="shared" ref="H16:M16" si="5">SUM(H17:H26)</f>
        <v>17700</v>
      </c>
      <c r="I16" s="293">
        <f t="shared" si="5"/>
        <v>0</v>
      </c>
      <c r="J16" s="387">
        <f t="shared" si="5"/>
        <v>17700</v>
      </c>
      <c r="K16" s="293">
        <f t="shared" si="5"/>
        <v>1329</v>
      </c>
      <c r="L16" s="293">
        <f t="shared" si="5"/>
        <v>0</v>
      </c>
      <c r="M16" s="387">
        <f t="shared" si="5"/>
        <v>1329</v>
      </c>
      <c r="N16" s="346">
        <f t="shared" si="1"/>
        <v>7.508474576271186</v>
      </c>
    </row>
    <row r="17" spans="1:15" ht="12.95" customHeight="1">
      <c r="B17" s="10"/>
      <c r="C17" s="11"/>
      <c r="D17" s="11"/>
      <c r="E17" s="306">
        <v>613100</v>
      </c>
      <c r="F17" s="332"/>
      <c r="G17" s="11" t="s">
        <v>84</v>
      </c>
      <c r="H17" s="362">
        <v>1000</v>
      </c>
      <c r="I17" s="362">
        <v>0</v>
      </c>
      <c r="J17" s="385">
        <f t="shared" ref="J17:J26" si="6">SUM(H17:I17)</f>
        <v>1000</v>
      </c>
      <c r="K17" s="362">
        <v>0</v>
      </c>
      <c r="L17" s="362">
        <v>0</v>
      </c>
      <c r="M17" s="385">
        <f t="shared" ref="M17:M26" si="7">SUM(K17:L17)</f>
        <v>0</v>
      </c>
      <c r="N17" s="347">
        <f t="shared" si="1"/>
        <v>0</v>
      </c>
    </row>
    <row r="18" spans="1:15" ht="12.95" customHeight="1">
      <c r="B18" s="10"/>
      <c r="C18" s="11"/>
      <c r="D18" s="11"/>
      <c r="E18" s="306">
        <v>613200</v>
      </c>
      <c r="F18" s="332"/>
      <c r="G18" s="11" t="s">
        <v>85</v>
      </c>
      <c r="H18" s="362">
        <v>0</v>
      </c>
      <c r="I18" s="362">
        <v>0</v>
      </c>
      <c r="J18" s="385">
        <f t="shared" si="6"/>
        <v>0</v>
      </c>
      <c r="K18" s="362">
        <v>0</v>
      </c>
      <c r="L18" s="362">
        <v>0</v>
      </c>
      <c r="M18" s="385">
        <f t="shared" si="7"/>
        <v>0</v>
      </c>
      <c r="N18" s="347" t="str">
        <f t="shared" si="1"/>
        <v/>
      </c>
    </row>
    <row r="19" spans="1:15" ht="12.95" customHeight="1">
      <c r="B19" s="10"/>
      <c r="C19" s="11"/>
      <c r="D19" s="11"/>
      <c r="E19" s="306">
        <v>613300</v>
      </c>
      <c r="F19" s="332"/>
      <c r="G19" s="18" t="s">
        <v>200</v>
      </c>
      <c r="H19" s="364">
        <v>3500</v>
      </c>
      <c r="I19" s="364">
        <v>0</v>
      </c>
      <c r="J19" s="385">
        <f t="shared" si="6"/>
        <v>3500</v>
      </c>
      <c r="K19" s="364">
        <v>686</v>
      </c>
      <c r="L19" s="364">
        <v>0</v>
      </c>
      <c r="M19" s="385">
        <f t="shared" si="7"/>
        <v>686</v>
      </c>
      <c r="N19" s="347">
        <f t="shared" si="1"/>
        <v>19.600000000000001</v>
      </c>
      <c r="O19" s="50"/>
    </row>
    <row r="20" spans="1:15" ht="12.95" customHeight="1">
      <c r="B20" s="10"/>
      <c r="C20" s="11"/>
      <c r="D20" s="11"/>
      <c r="E20" s="306">
        <v>613400</v>
      </c>
      <c r="F20" s="332"/>
      <c r="G20" s="11" t="s">
        <v>165</v>
      </c>
      <c r="H20" s="362">
        <v>1200</v>
      </c>
      <c r="I20" s="362">
        <v>0</v>
      </c>
      <c r="J20" s="385">
        <f t="shared" si="6"/>
        <v>1200</v>
      </c>
      <c r="K20" s="362">
        <v>63</v>
      </c>
      <c r="L20" s="362">
        <v>0</v>
      </c>
      <c r="M20" s="385">
        <f t="shared" si="7"/>
        <v>63</v>
      </c>
      <c r="N20" s="347">
        <f t="shared" si="1"/>
        <v>5.25</v>
      </c>
    </row>
    <row r="21" spans="1:15" ht="12.95" customHeight="1">
      <c r="B21" s="10"/>
      <c r="C21" s="11"/>
      <c r="D21" s="11"/>
      <c r="E21" s="306">
        <v>613500</v>
      </c>
      <c r="F21" s="332"/>
      <c r="G21" s="11" t="s">
        <v>86</v>
      </c>
      <c r="H21" s="362">
        <v>0</v>
      </c>
      <c r="I21" s="362">
        <v>0</v>
      </c>
      <c r="J21" s="385">
        <f t="shared" si="6"/>
        <v>0</v>
      </c>
      <c r="K21" s="362">
        <v>0</v>
      </c>
      <c r="L21" s="362">
        <v>0</v>
      </c>
      <c r="M21" s="385">
        <f t="shared" si="7"/>
        <v>0</v>
      </c>
      <c r="N21" s="347" t="str">
        <f t="shared" si="1"/>
        <v/>
      </c>
    </row>
    <row r="22" spans="1:15" ht="12.95" customHeight="1">
      <c r="B22" s="10"/>
      <c r="C22" s="11"/>
      <c r="D22" s="11"/>
      <c r="E22" s="306">
        <v>613600</v>
      </c>
      <c r="F22" s="332"/>
      <c r="G22" s="18" t="s">
        <v>201</v>
      </c>
      <c r="H22" s="362">
        <v>0</v>
      </c>
      <c r="I22" s="362">
        <v>0</v>
      </c>
      <c r="J22" s="385">
        <f t="shared" si="6"/>
        <v>0</v>
      </c>
      <c r="K22" s="362">
        <v>0</v>
      </c>
      <c r="L22" s="362">
        <v>0</v>
      </c>
      <c r="M22" s="385">
        <f t="shared" si="7"/>
        <v>0</v>
      </c>
      <c r="N22" s="347" t="str">
        <f t="shared" si="1"/>
        <v/>
      </c>
    </row>
    <row r="23" spans="1:15" ht="12.95" customHeight="1">
      <c r="B23" s="10"/>
      <c r="C23" s="11"/>
      <c r="D23" s="11"/>
      <c r="E23" s="306">
        <v>613700</v>
      </c>
      <c r="F23" s="332"/>
      <c r="G23" s="11" t="s">
        <v>87</v>
      </c>
      <c r="H23" s="364">
        <v>500</v>
      </c>
      <c r="I23" s="364">
        <v>0</v>
      </c>
      <c r="J23" s="385">
        <f t="shared" si="6"/>
        <v>500</v>
      </c>
      <c r="K23" s="364">
        <v>0</v>
      </c>
      <c r="L23" s="364">
        <v>0</v>
      </c>
      <c r="M23" s="385">
        <f t="shared" si="7"/>
        <v>0</v>
      </c>
      <c r="N23" s="347">
        <f t="shared" si="1"/>
        <v>0</v>
      </c>
    </row>
    <row r="24" spans="1:15" ht="12.95" customHeight="1">
      <c r="B24" s="10"/>
      <c r="C24" s="11"/>
      <c r="D24" s="11"/>
      <c r="E24" s="306">
        <v>613800</v>
      </c>
      <c r="F24" s="332"/>
      <c r="G24" s="11" t="s">
        <v>166</v>
      </c>
      <c r="H24" s="364">
        <v>0</v>
      </c>
      <c r="I24" s="364">
        <v>0</v>
      </c>
      <c r="J24" s="385">
        <f t="shared" si="6"/>
        <v>0</v>
      </c>
      <c r="K24" s="364">
        <v>0</v>
      </c>
      <c r="L24" s="364">
        <v>0</v>
      </c>
      <c r="M24" s="385">
        <f t="shared" si="7"/>
        <v>0</v>
      </c>
      <c r="N24" s="347" t="str">
        <f t="shared" si="1"/>
        <v/>
      </c>
    </row>
    <row r="25" spans="1:15" ht="12.95" customHeight="1">
      <c r="B25" s="10"/>
      <c r="C25" s="11"/>
      <c r="D25" s="11"/>
      <c r="E25" s="306">
        <v>613900</v>
      </c>
      <c r="F25" s="332"/>
      <c r="G25" s="11" t="s">
        <v>167</v>
      </c>
      <c r="H25" s="364">
        <v>11500</v>
      </c>
      <c r="I25" s="364">
        <v>0</v>
      </c>
      <c r="J25" s="385">
        <f t="shared" si="6"/>
        <v>11500</v>
      </c>
      <c r="K25" s="364">
        <v>580</v>
      </c>
      <c r="L25" s="364">
        <v>0</v>
      </c>
      <c r="M25" s="385">
        <f t="shared" si="7"/>
        <v>580</v>
      </c>
      <c r="N25" s="347">
        <f t="shared" si="1"/>
        <v>5.0434782608695654</v>
      </c>
    </row>
    <row r="26" spans="1:15" ht="12.95" customHeight="1">
      <c r="B26" s="10"/>
      <c r="C26" s="11"/>
      <c r="D26" s="11"/>
      <c r="E26" s="306">
        <v>613900</v>
      </c>
      <c r="F26" s="332"/>
      <c r="G26" s="18" t="s">
        <v>607</v>
      </c>
      <c r="H26" s="365">
        <v>0</v>
      </c>
      <c r="I26" s="365">
        <v>0</v>
      </c>
      <c r="J26" s="385">
        <f t="shared" si="6"/>
        <v>0</v>
      </c>
      <c r="K26" s="365">
        <v>0</v>
      </c>
      <c r="L26" s="365">
        <v>0</v>
      </c>
      <c r="M26" s="385">
        <f t="shared" si="7"/>
        <v>0</v>
      </c>
      <c r="N26" s="347" t="str">
        <f t="shared" si="1"/>
        <v/>
      </c>
    </row>
    <row r="27" spans="1:15" ht="12.95" customHeight="1">
      <c r="B27" s="10"/>
      <c r="C27" s="11"/>
      <c r="D27" s="11"/>
      <c r="E27" s="306"/>
      <c r="F27" s="332"/>
      <c r="G27" s="11"/>
      <c r="H27" s="295"/>
      <c r="I27" s="295"/>
      <c r="J27" s="387"/>
      <c r="K27" s="295"/>
      <c r="L27" s="295"/>
      <c r="M27" s="387"/>
      <c r="N27" s="347" t="str">
        <f t="shared" si="1"/>
        <v/>
      </c>
    </row>
    <row r="28" spans="1:15" s="1" customFormat="1" ht="12.95" customHeight="1">
      <c r="A28" s="281"/>
      <c r="B28" s="12"/>
      <c r="C28" s="8"/>
      <c r="D28" s="8"/>
      <c r="E28" s="305">
        <v>821000</v>
      </c>
      <c r="F28" s="331"/>
      <c r="G28" s="8" t="s">
        <v>90</v>
      </c>
      <c r="H28" s="295">
        <f t="shared" ref="H28:M28" si="8">H29+H30</f>
        <v>1000</v>
      </c>
      <c r="I28" s="295">
        <f t="shared" si="8"/>
        <v>0</v>
      </c>
      <c r="J28" s="387">
        <f t="shared" si="8"/>
        <v>1000</v>
      </c>
      <c r="K28" s="295">
        <f t="shared" si="8"/>
        <v>0</v>
      </c>
      <c r="L28" s="295">
        <f t="shared" si="8"/>
        <v>0</v>
      </c>
      <c r="M28" s="387">
        <f t="shared" si="8"/>
        <v>0</v>
      </c>
      <c r="N28" s="346">
        <f t="shared" si="1"/>
        <v>0</v>
      </c>
    </row>
    <row r="29" spans="1:15" ht="12.95" customHeight="1">
      <c r="B29" s="10"/>
      <c r="C29" s="11"/>
      <c r="D29" s="11"/>
      <c r="E29" s="306">
        <v>821200</v>
      </c>
      <c r="F29" s="332"/>
      <c r="G29" s="11" t="s">
        <v>91</v>
      </c>
      <c r="H29" s="280">
        <v>0</v>
      </c>
      <c r="I29" s="280">
        <v>0</v>
      </c>
      <c r="J29" s="385">
        <f t="shared" ref="J29:J30" si="9">SUM(H29:I29)</f>
        <v>0</v>
      </c>
      <c r="K29" s="280">
        <v>0</v>
      </c>
      <c r="L29" s="280">
        <v>0</v>
      </c>
      <c r="M29" s="385">
        <f t="shared" ref="M29:M30" si="10">SUM(K29:L29)</f>
        <v>0</v>
      </c>
      <c r="N29" s="347" t="str">
        <f t="shared" si="1"/>
        <v/>
      </c>
    </row>
    <row r="30" spans="1:15" ht="12.95" customHeight="1">
      <c r="B30" s="10"/>
      <c r="C30" s="11"/>
      <c r="D30" s="11"/>
      <c r="E30" s="306">
        <v>821300</v>
      </c>
      <c r="F30" s="332"/>
      <c r="G30" s="11" t="s">
        <v>92</v>
      </c>
      <c r="H30" s="280">
        <v>1000</v>
      </c>
      <c r="I30" s="280">
        <v>0</v>
      </c>
      <c r="J30" s="385">
        <f t="shared" si="9"/>
        <v>1000</v>
      </c>
      <c r="K30" s="280">
        <v>0</v>
      </c>
      <c r="L30" s="280">
        <v>0</v>
      </c>
      <c r="M30" s="385">
        <f t="shared" si="10"/>
        <v>0</v>
      </c>
      <c r="N30" s="347">
        <f t="shared" si="1"/>
        <v>0</v>
      </c>
    </row>
    <row r="31" spans="1:15" ht="12.95" customHeight="1">
      <c r="B31" s="10"/>
      <c r="C31" s="11"/>
      <c r="D31" s="11"/>
      <c r="E31" s="306"/>
      <c r="F31" s="332"/>
      <c r="G31" s="11"/>
      <c r="H31" s="288"/>
      <c r="I31" s="288"/>
      <c r="J31" s="387"/>
      <c r="K31" s="288"/>
      <c r="L31" s="288"/>
      <c r="M31" s="387"/>
      <c r="N31" s="347" t="str">
        <f t="shared" si="1"/>
        <v/>
      </c>
    </row>
    <row r="32" spans="1:15" s="1" customFormat="1" ht="12.95" customHeight="1">
      <c r="A32" s="281"/>
      <c r="B32" s="12"/>
      <c r="C32" s="8"/>
      <c r="D32" s="8"/>
      <c r="E32" s="305"/>
      <c r="F32" s="331"/>
      <c r="G32" s="8" t="s">
        <v>93</v>
      </c>
      <c r="H32" s="288">
        <v>3</v>
      </c>
      <c r="I32" s="288"/>
      <c r="J32" s="387">
        <v>3</v>
      </c>
      <c r="K32" s="288">
        <v>3</v>
      </c>
      <c r="L32" s="288"/>
      <c r="M32" s="387">
        <v>3</v>
      </c>
      <c r="N32" s="347"/>
    </row>
    <row r="33" spans="1:14" s="1" customFormat="1" ht="12.95" customHeight="1">
      <c r="A33" s="281"/>
      <c r="B33" s="12"/>
      <c r="C33" s="8"/>
      <c r="D33" s="8"/>
      <c r="E33" s="305"/>
      <c r="F33" s="331"/>
      <c r="G33" s="8" t="s">
        <v>113</v>
      </c>
      <c r="H33" s="288">
        <f t="shared" ref="H33:M33" si="11">H8+H13+H16+H28</f>
        <v>95120</v>
      </c>
      <c r="I33" s="288">
        <f t="shared" si="11"/>
        <v>0</v>
      </c>
      <c r="J33" s="387">
        <f t="shared" si="11"/>
        <v>95120</v>
      </c>
      <c r="K33" s="288">
        <f t="shared" si="11"/>
        <v>19216</v>
      </c>
      <c r="L33" s="288">
        <f t="shared" si="11"/>
        <v>0</v>
      </c>
      <c r="M33" s="387">
        <f t="shared" si="11"/>
        <v>19216</v>
      </c>
      <c r="N33" s="346">
        <f t="shared" si="1"/>
        <v>20.201850294365013</v>
      </c>
    </row>
    <row r="34" spans="1:14" s="1" customFormat="1" ht="12.95" customHeight="1">
      <c r="A34" s="281"/>
      <c r="B34" s="12"/>
      <c r="C34" s="8"/>
      <c r="D34" s="8"/>
      <c r="E34" s="305"/>
      <c r="F34" s="331"/>
      <c r="G34" s="8" t="s">
        <v>94</v>
      </c>
      <c r="H34" s="288">
        <f t="shared" ref="H34:J35" si="12">H33</f>
        <v>95120</v>
      </c>
      <c r="I34" s="288">
        <f t="shared" si="12"/>
        <v>0</v>
      </c>
      <c r="J34" s="387">
        <f t="shared" si="12"/>
        <v>95120</v>
      </c>
      <c r="K34" s="288">
        <f t="shared" ref="K34:M34" si="13">K33</f>
        <v>19216</v>
      </c>
      <c r="L34" s="288">
        <f t="shared" si="13"/>
        <v>0</v>
      </c>
      <c r="M34" s="387">
        <f t="shared" si="13"/>
        <v>19216</v>
      </c>
      <c r="N34" s="346">
        <f t="shared" si="1"/>
        <v>20.201850294365013</v>
      </c>
    </row>
    <row r="35" spans="1:14" s="1" customFormat="1" ht="12.95" customHeight="1">
      <c r="A35" s="281"/>
      <c r="B35" s="12"/>
      <c r="C35" s="8"/>
      <c r="D35" s="8"/>
      <c r="E35" s="305"/>
      <c r="F35" s="331"/>
      <c r="G35" s="8" t="s">
        <v>95</v>
      </c>
      <c r="H35" s="288">
        <f t="shared" si="12"/>
        <v>95120</v>
      </c>
      <c r="I35" s="288">
        <f t="shared" si="12"/>
        <v>0</v>
      </c>
      <c r="J35" s="387">
        <f t="shared" si="12"/>
        <v>95120</v>
      </c>
      <c r="K35" s="288">
        <f t="shared" ref="K35:M35" si="14">K34</f>
        <v>19216</v>
      </c>
      <c r="L35" s="288">
        <f t="shared" si="14"/>
        <v>0</v>
      </c>
      <c r="M35" s="387">
        <f t="shared" si="14"/>
        <v>19216</v>
      </c>
      <c r="N35" s="346">
        <f t="shared" si="1"/>
        <v>20.201850294365013</v>
      </c>
    </row>
    <row r="36" spans="1:14" ht="12.95" customHeight="1" thickBot="1">
      <c r="B36" s="15"/>
      <c r="C36" s="16"/>
      <c r="D36" s="16"/>
      <c r="E36" s="307"/>
      <c r="F36" s="333"/>
      <c r="G36" s="16"/>
      <c r="H36" s="16"/>
      <c r="I36" s="16"/>
      <c r="J36" s="394"/>
      <c r="K36" s="16"/>
      <c r="L36" s="16"/>
      <c r="M36" s="394"/>
      <c r="N36" s="349" t="str">
        <f t="shared" si="1"/>
        <v/>
      </c>
    </row>
    <row r="37" spans="1:14" ht="12.95" customHeight="1">
      <c r="E37" s="308"/>
      <c r="F37" s="334"/>
      <c r="J37" s="391"/>
      <c r="M37" s="391"/>
      <c r="N37" s="350" t="str">
        <f t="shared" si="1"/>
        <v/>
      </c>
    </row>
    <row r="38" spans="1:14" ht="12.95" customHeight="1">
      <c r="B38" s="50"/>
      <c r="E38" s="308"/>
      <c r="F38" s="334"/>
      <c r="J38" s="391"/>
      <c r="M38" s="391"/>
      <c r="N38" s="350" t="str">
        <f t="shared" si="1"/>
        <v/>
      </c>
    </row>
    <row r="39" spans="1:14" ht="12.95" customHeight="1">
      <c r="B39" s="50"/>
      <c r="E39" s="308"/>
      <c r="F39" s="334"/>
      <c r="J39" s="391"/>
      <c r="M39" s="391"/>
      <c r="N39" s="350" t="str">
        <f t="shared" si="1"/>
        <v/>
      </c>
    </row>
    <row r="40" spans="1:14" ht="12.95" customHeight="1">
      <c r="E40" s="308"/>
      <c r="F40" s="334"/>
      <c r="J40" s="391"/>
      <c r="M40" s="391"/>
      <c r="N40" s="350" t="str">
        <f t="shared" si="1"/>
        <v/>
      </c>
    </row>
    <row r="41" spans="1:14" ht="12.95" customHeight="1">
      <c r="E41" s="308"/>
      <c r="F41" s="334"/>
      <c r="J41" s="391"/>
      <c r="M41" s="391"/>
      <c r="N41" s="350" t="str">
        <f t="shared" si="1"/>
        <v/>
      </c>
    </row>
    <row r="42" spans="1:14" ht="12.95" customHeight="1">
      <c r="E42" s="308"/>
      <c r="F42" s="334"/>
      <c r="J42" s="391"/>
      <c r="M42" s="391"/>
      <c r="N42" s="350" t="str">
        <f t="shared" si="1"/>
        <v/>
      </c>
    </row>
    <row r="43" spans="1:14" ht="12.95" customHeight="1">
      <c r="E43" s="308"/>
      <c r="F43" s="334"/>
      <c r="J43" s="391"/>
      <c r="M43" s="391"/>
      <c r="N43" s="350" t="str">
        <f t="shared" si="1"/>
        <v/>
      </c>
    </row>
    <row r="44" spans="1:14" ht="12.95" customHeight="1">
      <c r="E44" s="308"/>
      <c r="F44" s="334"/>
      <c r="J44" s="391"/>
      <c r="M44" s="391"/>
      <c r="N44" s="350" t="str">
        <f t="shared" si="1"/>
        <v/>
      </c>
    </row>
    <row r="45" spans="1:14" ht="12.95" customHeight="1">
      <c r="E45" s="308"/>
      <c r="F45" s="334"/>
      <c r="J45" s="391"/>
      <c r="M45" s="391"/>
      <c r="N45" s="350" t="str">
        <f t="shared" si="1"/>
        <v/>
      </c>
    </row>
    <row r="46" spans="1:14" ht="12.95" customHeight="1">
      <c r="E46" s="308"/>
      <c r="F46" s="334"/>
      <c r="J46" s="391"/>
      <c r="M46" s="391"/>
      <c r="N46" s="350" t="str">
        <f t="shared" si="1"/>
        <v/>
      </c>
    </row>
    <row r="47" spans="1:14" ht="12.95" customHeight="1">
      <c r="E47" s="308"/>
      <c r="F47" s="334"/>
      <c r="J47" s="391"/>
      <c r="M47" s="391"/>
      <c r="N47" s="350" t="str">
        <f t="shared" si="1"/>
        <v/>
      </c>
    </row>
    <row r="48" spans="1:14" ht="12.95" customHeight="1">
      <c r="E48" s="308"/>
      <c r="F48" s="334"/>
      <c r="J48" s="391"/>
      <c r="M48" s="391"/>
      <c r="N48" s="350" t="str">
        <f t="shared" si="1"/>
        <v/>
      </c>
    </row>
    <row r="49" spans="5:14" ht="12.95" customHeight="1">
      <c r="E49" s="308"/>
      <c r="F49" s="334"/>
      <c r="J49" s="391"/>
      <c r="M49" s="391"/>
      <c r="N49" s="350" t="str">
        <f t="shared" si="1"/>
        <v/>
      </c>
    </row>
    <row r="50" spans="5:14" ht="12.95" customHeight="1">
      <c r="E50" s="308"/>
      <c r="F50" s="334"/>
      <c r="J50" s="391"/>
      <c r="M50" s="391"/>
      <c r="N50" s="350" t="str">
        <f t="shared" si="1"/>
        <v/>
      </c>
    </row>
    <row r="51" spans="5:14" ht="12.95" customHeight="1">
      <c r="E51" s="308"/>
      <c r="F51" s="334"/>
      <c r="J51" s="391"/>
      <c r="M51" s="391"/>
      <c r="N51" s="350" t="str">
        <f t="shared" si="1"/>
        <v/>
      </c>
    </row>
    <row r="52" spans="5:14" ht="12.95" customHeight="1">
      <c r="E52" s="308"/>
      <c r="F52" s="334"/>
      <c r="J52" s="391"/>
      <c r="M52" s="391"/>
      <c r="N52" s="350" t="str">
        <f t="shared" si="1"/>
        <v/>
      </c>
    </row>
    <row r="53" spans="5:14" ht="12.95" customHeight="1">
      <c r="E53" s="308"/>
      <c r="F53" s="334"/>
      <c r="J53" s="391"/>
      <c r="M53" s="391"/>
      <c r="N53" s="350" t="str">
        <f t="shared" si="1"/>
        <v/>
      </c>
    </row>
    <row r="54" spans="5:14" ht="12.95" customHeight="1">
      <c r="E54" s="308"/>
      <c r="F54" s="334"/>
      <c r="J54" s="391"/>
      <c r="M54" s="391"/>
      <c r="N54" s="350" t="str">
        <f t="shared" si="1"/>
        <v/>
      </c>
    </row>
    <row r="55" spans="5:14" ht="12.95" customHeight="1">
      <c r="E55" s="308"/>
      <c r="F55" s="334"/>
      <c r="J55" s="391"/>
      <c r="M55" s="391"/>
      <c r="N55" s="350" t="str">
        <f t="shared" si="1"/>
        <v/>
      </c>
    </row>
    <row r="56" spans="5:14" ht="12.95" customHeight="1">
      <c r="E56" s="308"/>
      <c r="F56" s="334"/>
      <c r="J56" s="391"/>
      <c r="M56" s="391"/>
      <c r="N56" s="350" t="str">
        <f t="shared" si="1"/>
        <v/>
      </c>
    </row>
    <row r="57" spans="5:14" ht="12.95" customHeight="1">
      <c r="E57" s="308"/>
      <c r="F57" s="334"/>
      <c r="J57" s="391"/>
      <c r="M57" s="391"/>
      <c r="N57" s="350" t="str">
        <f t="shared" si="1"/>
        <v/>
      </c>
    </row>
    <row r="58" spans="5:14" ht="12.95" customHeight="1">
      <c r="E58" s="308"/>
      <c r="F58" s="334"/>
      <c r="J58" s="391"/>
      <c r="M58" s="391"/>
      <c r="N58" s="350" t="str">
        <f t="shared" si="1"/>
        <v/>
      </c>
    </row>
    <row r="59" spans="5:14" ht="12.95" customHeight="1">
      <c r="E59" s="308"/>
      <c r="F59" s="334"/>
      <c r="J59" s="391"/>
      <c r="M59" s="391"/>
      <c r="N59" s="350" t="str">
        <f t="shared" si="1"/>
        <v/>
      </c>
    </row>
    <row r="60" spans="5:14" ht="17.100000000000001" customHeight="1">
      <c r="E60" s="308"/>
      <c r="F60" s="334"/>
      <c r="J60" s="391"/>
      <c r="M60" s="391"/>
      <c r="N60" s="350" t="str">
        <f t="shared" si="1"/>
        <v/>
      </c>
    </row>
    <row r="61" spans="5:14" ht="14.25">
      <c r="E61" s="308"/>
      <c r="F61" s="334"/>
      <c r="J61" s="391"/>
      <c r="M61" s="391"/>
      <c r="N61" s="350" t="str">
        <f t="shared" si="1"/>
        <v/>
      </c>
    </row>
    <row r="62" spans="5:14" ht="14.25">
      <c r="E62" s="308"/>
      <c r="F62" s="334"/>
      <c r="J62" s="391"/>
      <c r="M62" s="391"/>
      <c r="N62" s="350" t="str">
        <f t="shared" si="1"/>
        <v/>
      </c>
    </row>
    <row r="63" spans="5:14" ht="14.25">
      <c r="E63" s="308"/>
      <c r="F63" s="334"/>
      <c r="J63" s="391"/>
      <c r="M63" s="391"/>
      <c r="N63" s="350" t="str">
        <f t="shared" si="1"/>
        <v/>
      </c>
    </row>
    <row r="64" spans="5:14" ht="14.25">
      <c r="E64" s="308"/>
      <c r="F64" s="334"/>
      <c r="J64" s="391"/>
      <c r="M64" s="391"/>
      <c r="N64" s="350" t="str">
        <f t="shared" si="1"/>
        <v/>
      </c>
    </row>
    <row r="65" spans="5:14" ht="14.25">
      <c r="E65" s="308"/>
      <c r="F65" s="334"/>
      <c r="J65" s="391"/>
      <c r="M65" s="391"/>
      <c r="N65" s="350" t="str">
        <f t="shared" si="1"/>
        <v/>
      </c>
    </row>
    <row r="66" spans="5:14" ht="14.25">
      <c r="E66" s="308"/>
      <c r="F66" s="334"/>
      <c r="J66" s="391"/>
      <c r="M66" s="391"/>
      <c r="N66" s="350" t="str">
        <f t="shared" si="1"/>
        <v/>
      </c>
    </row>
    <row r="67" spans="5:14" ht="14.25">
      <c r="E67" s="308"/>
      <c r="F67" s="334"/>
      <c r="J67" s="391"/>
      <c r="M67" s="391"/>
    </row>
    <row r="68" spans="5:14" ht="14.25">
      <c r="E68" s="308"/>
      <c r="F68" s="334"/>
      <c r="J68" s="391"/>
      <c r="M68" s="391"/>
    </row>
    <row r="69" spans="5:14" ht="14.25">
      <c r="E69" s="308"/>
      <c r="F69" s="334"/>
      <c r="J69" s="391"/>
      <c r="M69" s="391"/>
    </row>
    <row r="70" spans="5:14" ht="14.25">
      <c r="E70" s="308"/>
      <c r="F70" s="334"/>
      <c r="J70" s="391"/>
      <c r="M70" s="391"/>
    </row>
    <row r="71" spans="5:14" ht="14.25">
      <c r="E71" s="308"/>
      <c r="F71" s="334"/>
      <c r="J71" s="391"/>
      <c r="M71" s="391"/>
    </row>
    <row r="72" spans="5:14" ht="14.25">
      <c r="E72" s="308"/>
      <c r="F72" s="334"/>
      <c r="J72" s="391"/>
      <c r="M72" s="391"/>
    </row>
    <row r="73" spans="5:14" ht="14.25">
      <c r="E73" s="308"/>
      <c r="F73" s="334"/>
      <c r="J73" s="391"/>
      <c r="M73" s="391"/>
    </row>
    <row r="74" spans="5:14" ht="14.25">
      <c r="E74" s="308"/>
      <c r="F74" s="308"/>
      <c r="J74" s="391"/>
      <c r="M74" s="391"/>
    </row>
    <row r="75" spans="5:14" ht="14.25">
      <c r="E75" s="308"/>
      <c r="F75" s="308"/>
      <c r="J75" s="391"/>
      <c r="M75" s="391"/>
    </row>
    <row r="76" spans="5:14" ht="14.25">
      <c r="E76" s="308"/>
      <c r="F76" s="308"/>
      <c r="J76" s="391"/>
      <c r="M76" s="391"/>
    </row>
    <row r="77" spans="5:14" ht="14.25">
      <c r="E77" s="308"/>
      <c r="F77" s="308"/>
      <c r="J77" s="391"/>
      <c r="M77" s="391"/>
    </row>
    <row r="78" spans="5:14" ht="14.25">
      <c r="E78" s="308"/>
      <c r="F78" s="308"/>
      <c r="J78" s="391"/>
      <c r="M78" s="391"/>
    </row>
    <row r="79" spans="5:14" ht="14.25">
      <c r="E79" s="308"/>
      <c r="F79" s="308"/>
      <c r="J79" s="391"/>
      <c r="M79" s="391"/>
    </row>
    <row r="80" spans="5:14" ht="14.25">
      <c r="E80" s="308"/>
      <c r="F80" s="308"/>
      <c r="J80" s="391"/>
      <c r="M80" s="391"/>
    </row>
    <row r="81" spans="5:13" ht="14.25">
      <c r="E81" s="308"/>
      <c r="F81" s="308"/>
      <c r="J81" s="391"/>
      <c r="M81" s="391"/>
    </row>
    <row r="82" spans="5:13" ht="14.25">
      <c r="E82" s="308"/>
      <c r="F82" s="308"/>
      <c r="J82" s="391"/>
      <c r="M82" s="391"/>
    </row>
    <row r="83" spans="5:13" ht="14.25">
      <c r="E83" s="308"/>
      <c r="F83" s="308"/>
      <c r="J83" s="391"/>
      <c r="M83" s="391"/>
    </row>
    <row r="84" spans="5:13" ht="14.25">
      <c r="E84" s="308"/>
      <c r="F84" s="308"/>
      <c r="J84" s="391"/>
      <c r="M84" s="391"/>
    </row>
    <row r="85" spans="5:13" ht="14.25">
      <c r="E85" s="308"/>
      <c r="F85" s="308"/>
      <c r="J85" s="391"/>
      <c r="M85" s="391"/>
    </row>
    <row r="86" spans="5:13" ht="14.25">
      <c r="E86" s="308"/>
      <c r="F86" s="308"/>
      <c r="J86" s="391"/>
      <c r="M86" s="391"/>
    </row>
    <row r="87" spans="5:13" ht="14.25">
      <c r="E87" s="308"/>
      <c r="F87" s="308"/>
      <c r="J87" s="391"/>
      <c r="M87" s="391"/>
    </row>
    <row r="88" spans="5:13" ht="14.25">
      <c r="E88" s="308"/>
      <c r="F88" s="308"/>
      <c r="J88" s="391"/>
      <c r="M88" s="391"/>
    </row>
    <row r="89" spans="5:13" ht="14.25">
      <c r="E89" s="308"/>
      <c r="F89" s="308"/>
      <c r="J89" s="391"/>
      <c r="M89" s="391"/>
    </row>
    <row r="90" spans="5:13" ht="14.25">
      <c r="E90" s="308"/>
      <c r="F90" s="308"/>
      <c r="J90" s="391"/>
      <c r="M90" s="391"/>
    </row>
    <row r="91" spans="5:13">
      <c r="F91" s="308"/>
    </row>
    <row r="92" spans="5:13">
      <c r="F92" s="308"/>
    </row>
    <row r="93" spans="5:13">
      <c r="F93" s="308"/>
    </row>
    <row r="94" spans="5:13">
      <c r="F94" s="308"/>
    </row>
    <row r="95" spans="5:13">
      <c r="F95" s="308"/>
    </row>
    <row r="96" spans="5:13">
      <c r="F96" s="308"/>
    </row>
  </sheetData>
  <mergeCells count="10">
    <mergeCell ref="N4:N5"/>
    <mergeCell ref="G4:G5"/>
    <mergeCell ref="B2:J2"/>
    <mergeCell ref="H4:J4"/>
    <mergeCell ref="B4:B5"/>
    <mergeCell ref="C4:C5"/>
    <mergeCell ref="D4:D5"/>
    <mergeCell ref="F4:F5"/>
    <mergeCell ref="E4:E5"/>
    <mergeCell ref="K4:M4"/>
  </mergeCells>
  <phoneticPr fontId="2" type="noConversion"/>
  <pageMargins left="0.78740157480314965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sheetPr codeName="Sheet41"/>
  <dimension ref="A1:P96"/>
  <sheetViews>
    <sheetView zoomScaleNormal="100" workbookViewId="0">
      <selection activeCell="K45" sqref="K45"/>
    </sheetView>
  </sheetViews>
  <sheetFormatPr defaultRowHeight="12.75"/>
  <cols>
    <col min="1" max="1" width="9.140625" style="284"/>
    <col min="2" max="2" width="4.7109375" style="9" customWidth="1"/>
    <col min="3" max="3" width="5.140625" style="9" customWidth="1"/>
    <col min="4" max="4" width="5" style="9" customWidth="1"/>
    <col min="5" max="5" width="8.7109375" style="17" customWidth="1"/>
    <col min="6" max="6" width="8.7109375" style="289" customWidth="1"/>
    <col min="7" max="7" width="50.7109375" style="9" customWidth="1"/>
    <col min="8" max="9" width="14.7109375" style="57" customWidth="1"/>
    <col min="10" max="10" width="15.7109375" style="57" customWidth="1"/>
    <col min="11" max="12" width="14.7109375" style="57" customWidth="1"/>
    <col min="13" max="13" width="15.7109375" style="57" customWidth="1"/>
    <col min="14" max="14" width="7.7109375" style="350" customWidth="1"/>
    <col min="15" max="16384" width="9.140625" style="9"/>
  </cols>
  <sheetData>
    <row r="1" spans="1:16" ht="13.5" thickBot="1"/>
    <row r="2" spans="1:16" s="98" customFormat="1" ht="20.100000000000001" customHeight="1" thickTop="1" thickBot="1">
      <c r="A2" s="376"/>
      <c r="B2" s="590" t="s">
        <v>158</v>
      </c>
      <c r="C2" s="591"/>
      <c r="D2" s="591"/>
      <c r="E2" s="591"/>
      <c r="F2" s="591"/>
      <c r="G2" s="591"/>
      <c r="H2" s="377"/>
      <c r="I2" s="377"/>
      <c r="J2" s="377"/>
      <c r="K2" s="377"/>
      <c r="L2" s="377"/>
      <c r="M2" s="377"/>
      <c r="N2" s="380"/>
    </row>
    <row r="3" spans="1:16" s="1" customFormat="1" ht="8.1" customHeight="1" thickTop="1" thickBot="1">
      <c r="A3" s="281"/>
      <c r="E3" s="2"/>
      <c r="F3" s="282"/>
      <c r="G3" s="531"/>
      <c r="H3" s="92"/>
      <c r="I3" s="92"/>
      <c r="J3" s="92"/>
      <c r="K3" s="92"/>
      <c r="L3" s="92"/>
      <c r="M3" s="92"/>
      <c r="N3" s="344"/>
    </row>
    <row r="4" spans="1:16" s="1" customFormat="1" ht="39" customHeight="1">
      <c r="A4" s="281"/>
      <c r="B4" s="596" t="s">
        <v>78</v>
      </c>
      <c r="C4" s="606" t="s">
        <v>79</v>
      </c>
      <c r="D4" s="607" t="s">
        <v>110</v>
      </c>
      <c r="E4" s="608" t="s">
        <v>594</v>
      </c>
      <c r="F4" s="601" t="s">
        <v>653</v>
      </c>
      <c r="G4" s="602" t="s">
        <v>80</v>
      </c>
      <c r="H4" s="593" t="s">
        <v>647</v>
      </c>
      <c r="I4" s="594"/>
      <c r="J4" s="595"/>
      <c r="K4" s="593" t="s">
        <v>801</v>
      </c>
      <c r="L4" s="594"/>
      <c r="M4" s="595"/>
      <c r="N4" s="604" t="s">
        <v>805</v>
      </c>
    </row>
    <row r="5" spans="1:16" s="281" customFormat="1" ht="27" customHeight="1">
      <c r="B5" s="597"/>
      <c r="C5" s="599"/>
      <c r="D5" s="599"/>
      <c r="E5" s="603"/>
      <c r="F5" s="599"/>
      <c r="G5" s="603"/>
      <c r="H5" s="372" t="s">
        <v>705</v>
      </c>
      <c r="I5" s="372" t="s">
        <v>706</v>
      </c>
      <c r="J5" s="382" t="s">
        <v>413</v>
      </c>
      <c r="K5" s="372" t="s">
        <v>705</v>
      </c>
      <c r="L5" s="372" t="s">
        <v>706</v>
      </c>
      <c r="M5" s="382" t="s">
        <v>413</v>
      </c>
      <c r="N5" s="605"/>
    </row>
    <row r="6" spans="1:16" s="2" customFormat="1" ht="12.95" customHeight="1">
      <c r="A6" s="282"/>
      <c r="B6" s="504">
        <v>1</v>
      </c>
      <c r="C6" s="331">
        <v>2</v>
      </c>
      <c r="D6" s="331">
        <v>3</v>
      </c>
      <c r="E6" s="331">
        <v>4</v>
      </c>
      <c r="F6" s="331">
        <v>5</v>
      </c>
      <c r="G6" s="331">
        <v>6</v>
      </c>
      <c r="H6" s="331">
        <v>7</v>
      </c>
      <c r="I6" s="331">
        <v>8</v>
      </c>
      <c r="J6" s="523" t="s">
        <v>804</v>
      </c>
      <c r="K6" s="331">
        <v>10</v>
      </c>
      <c r="L6" s="331">
        <v>11</v>
      </c>
      <c r="M6" s="523" t="s">
        <v>707</v>
      </c>
      <c r="N6" s="505">
        <v>13</v>
      </c>
    </row>
    <row r="7" spans="1:16" s="2" customFormat="1" ht="12.95" customHeight="1">
      <c r="A7" s="282"/>
      <c r="B7" s="6" t="s">
        <v>157</v>
      </c>
      <c r="C7" s="7" t="s">
        <v>81</v>
      </c>
      <c r="D7" s="7" t="s">
        <v>82</v>
      </c>
      <c r="E7" s="5"/>
      <c r="F7" s="283"/>
      <c r="G7" s="5"/>
      <c r="H7" s="86"/>
      <c r="I7" s="86"/>
      <c r="J7" s="392"/>
      <c r="K7" s="86"/>
      <c r="L7" s="86"/>
      <c r="M7" s="392"/>
      <c r="N7" s="345"/>
    </row>
    <row r="8" spans="1:16" s="1" customFormat="1" ht="12.95" customHeight="1">
      <c r="A8" s="281"/>
      <c r="B8" s="12"/>
      <c r="C8" s="8"/>
      <c r="D8" s="8"/>
      <c r="E8" s="305">
        <v>611000</v>
      </c>
      <c r="F8" s="331"/>
      <c r="G8" s="8" t="s">
        <v>163</v>
      </c>
      <c r="H8" s="210">
        <f t="shared" ref="H8:M8" si="0">SUM(H9:H11)</f>
        <v>466320</v>
      </c>
      <c r="I8" s="210">
        <f t="shared" si="0"/>
        <v>0</v>
      </c>
      <c r="J8" s="384">
        <f t="shared" si="0"/>
        <v>466320</v>
      </c>
      <c r="K8" s="210">
        <f t="shared" si="0"/>
        <v>112404</v>
      </c>
      <c r="L8" s="210">
        <f t="shared" si="0"/>
        <v>0</v>
      </c>
      <c r="M8" s="384">
        <f t="shared" si="0"/>
        <v>112404</v>
      </c>
      <c r="N8" s="346">
        <f>IF(J8=0,"",M8/J8*100)</f>
        <v>24.104477611940297</v>
      </c>
    </row>
    <row r="9" spans="1:16" ht="12.95" customHeight="1">
      <c r="B9" s="10"/>
      <c r="C9" s="11"/>
      <c r="D9" s="11"/>
      <c r="E9" s="306">
        <v>611100</v>
      </c>
      <c r="F9" s="332"/>
      <c r="G9" s="18" t="s">
        <v>198</v>
      </c>
      <c r="H9" s="212">
        <f>398220+3300+2*500+12*150</f>
        <v>404320</v>
      </c>
      <c r="I9" s="212">
        <v>0</v>
      </c>
      <c r="J9" s="385">
        <f>SUM(H9:I9)</f>
        <v>404320</v>
      </c>
      <c r="K9" s="212">
        <v>99621</v>
      </c>
      <c r="L9" s="212">
        <v>0</v>
      </c>
      <c r="M9" s="385">
        <f>SUM(K9:L9)</f>
        <v>99621</v>
      </c>
      <c r="N9" s="347">
        <f t="shared" ref="N9:N66" si="1">IF(J9=0,"",M9/J9*100)</f>
        <v>24.639147210130592</v>
      </c>
    </row>
    <row r="10" spans="1:16" ht="12.95" customHeight="1">
      <c r="B10" s="10"/>
      <c r="C10" s="11"/>
      <c r="D10" s="11"/>
      <c r="E10" s="306">
        <v>611200</v>
      </c>
      <c r="F10" s="332"/>
      <c r="G10" s="11" t="s">
        <v>199</v>
      </c>
      <c r="H10" s="212">
        <f>59000+1200+2*900</f>
        <v>62000</v>
      </c>
      <c r="I10" s="212">
        <v>0</v>
      </c>
      <c r="J10" s="385">
        <f t="shared" ref="J10:J11" si="2">SUM(H10:I10)</f>
        <v>62000</v>
      </c>
      <c r="K10" s="212">
        <v>12783</v>
      </c>
      <c r="L10" s="212">
        <v>0</v>
      </c>
      <c r="M10" s="385">
        <f t="shared" ref="M10:M11" si="3">SUM(K10:L10)</f>
        <v>12783</v>
      </c>
      <c r="N10" s="347">
        <f t="shared" si="1"/>
        <v>20.61774193548387</v>
      </c>
    </row>
    <row r="11" spans="1:16" ht="12.95" customHeight="1">
      <c r="B11" s="10"/>
      <c r="C11" s="11"/>
      <c r="D11" s="11"/>
      <c r="E11" s="306">
        <v>611200</v>
      </c>
      <c r="F11" s="332"/>
      <c r="G11" s="356" t="s">
        <v>534</v>
      </c>
      <c r="H11" s="209">
        <v>0</v>
      </c>
      <c r="I11" s="209">
        <v>0</v>
      </c>
      <c r="J11" s="385">
        <f t="shared" si="2"/>
        <v>0</v>
      </c>
      <c r="K11" s="209">
        <v>0</v>
      </c>
      <c r="L11" s="209">
        <v>0</v>
      </c>
      <c r="M11" s="385">
        <f t="shared" si="3"/>
        <v>0</v>
      </c>
      <c r="N11" s="347" t="str">
        <f t="shared" si="1"/>
        <v/>
      </c>
      <c r="P11" s="56"/>
    </row>
    <row r="12" spans="1:16" ht="12.95" customHeight="1">
      <c r="B12" s="10"/>
      <c r="C12" s="11"/>
      <c r="D12" s="11"/>
      <c r="E12" s="306"/>
      <c r="F12" s="332"/>
      <c r="G12" s="11"/>
      <c r="H12" s="210"/>
      <c r="I12" s="210"/>
      <c r="J12" s="384"/>
      <c r="K12" s="210"/>
      <c r="L12" s="210"/>
      <c r="M12" s="384"/>
      <c r="N12" s="347" t="str">
        <f t="shared" si="1"/>
        <v/>
      </c>
      <c r="P12" s="50"/>
    </row>
    <row r="13" spans="1:16" s="1" customFormat="1" ht="12.95" customHeight="1">
      <c r="A13" s="281"/>
      <c r="B13" s="12"/>
      <c r="C13" s="8"/>
      <c r="D13" s="8"/>
      <c r="E13" s="305">
        <v>612000</v>
      </c>
      <c r="F13" s="331"/>
      <c r="G13" s="8" t="s">
        <v>162</v>
      </c>
      <c r="H13" s="210">
        <f t="shared" ref="H13:M13" si="4">H14</f>
        <v>42860</v>
      </c>
      <c r="I13" s="210">
        <f t="shared" si="4"/>
        <v>0</v>
      </c>
      <c r="J13" s="384">
        <f t="shared" si="4"/>
        <v>42860</v>
      </c>
      <c r="K13" s="210">
        <f t="shared" si="4"/>
        <v>10954</v>
      </c>
      <c r="L13" s="210">
        <f t="shared" si="4"/>
        <v>0</v>
      </c>
      <c r="M13" s="384">
        <f t="shared" si="4"/>
        <v>10954</v>
      </c>
      <c r="N13" s="346">
        <f t="shared" si="1"/>
        <v>25.557629491367241</v>
      </c>
    </row>
    <row r="14" spans="1:16" ht="12.95" customHeight="1">
      <c r="B14" s="10"/>
      <c r="C14" s="11"/>
      <c r="D14" s="11"/>
      <c r="E14" s="306">
        <v>612100</v>
      </c>
      <c r="F14" s="332"/>
      <c r="G14" s="13" t="s">
        <v>83</v>
      </c>
      <c r="H14" s="212">
        <f>42100+380+2*70+12*20</f>
        <v>42860</v>
      </c>
      <c r="I14" s="212">
        <v>0</v>
      </c>
      <c r="J14" s="385">
        <f>SUM(H14:I14)</f>
        <v>42860</v>
      </c>
      <c r="K14" s="212">
        <v>10954</v>
      </c>
      <c r="L14" s="212">
        <v>0</v>
      </c>
      <c r="M14" s="385">
        <f>SUM(K14:L14)</f>
        <v>10954</v>
      </c>
      <c r="N14" s="347">
        <f t="shared" si="1"/>
        <v>25.557629491367241</v>
      </c>
    </row>
    <row r="15" spans="1:16" ht="12.95" customHeight="1">
      <c r="B15" s="10"/>
      <c r="C15" s="11"/>
      <c r="D15" s="11"/>
      <c r="E15" s="306"/>
      <c r="F15" s="332"/>
      <c r="G15" s="11"/>
      <c r="H15" s="288"/>
      <c r="I15" s="288"/>
      <c r="J15" s="387"/>
      <c r="K15" s="288"/>
      <c r="L15" s="288"/>
      <c r="M15" s="387"/>
      <c r="N15" s="347" t="str">
        <f t="shared" si="1"/>
        <v/>
      </c>
    </row>
    <row r="16" spans="1:16" s="1" customFormat="1" ht="12.95" customHeight="1">
      <c r="A16" s="281"/>
      <c r="B16" s="12"/>
      <c r="C16" s="8"/>
      <c r="D16" s="8"/>
      <c r="E16" s="305">
        <v>613000</v>
      </c>
      <c r="F16" s="331"/>
      <c r="G16" s="8" t="s">
        <v>164</v>
      </c>
      <c r="H16" s="293">
        <f t="shared" ref="H16:M16" si="5">SUM(H17:H26)</f>
        <v>91300</v>
      </c>
      <c r="I16" s="293">
        <f t="shared" si="5"/>
        <v>0</v>
      </c>
      <c r="J16" s="387">
        <f t="shared" si="5"/>
        <v>91300</v>
      </c>
      <c r="K16" s="293">
        <f t="shared" si="5"/>
        <v>18029</v>
      </c>
      <c r="L16" s="293">
        <f t="shared" si="5"/>
        <v>0</v>
      </c>
      <c r="M16" s="387">
        <f t="shared" si="5"/>
        <v>18029</v>
      </c>
      <c r="N16" s="346">
        <f t="shared" si="1"/>
        <v>19.746987951807231</v>
      </c>
    </row>
    <row r="17" spans="1:15" ht="12.95" customHeight="1">
      <c r="B17" s="10"/>
      <c r="C17" s="11"/>
      <c r="D17" s="11"/>
      <c r="E17" s="306">
        <v>613100</v>
      </c>
      <c r="F17" s="332"/>
      <c r="G17" s="11" t="s">
        <v>84</v>
      </c>
      <c r="H17" s="363">
        <v>3000</v>
      </c>
      <c r="I17" s="363">
        <v>0</v>
      </c>
      <c r="J17" s="385">
        <f t="shared" ref="J17:J26" si="6">SUM(H17:I17)</f>
        <v>3000</v>
      </c>
      <c r="K17" s="363">
        <v>48</v>
      </c>
      <c r="L17" s="363">
        <v>0</v>
      </c>
      <c r="M17" s="385">
        <f t="shared" ref="M17:M26" si="7">SUM(K17:L17)</f>
        <v>48</v>
      </c>
      <c r="N17" s="347">
        <f t="shared" si="1"/>
        <v>1.6</v>
      </c>
    </row>
    <row r="18" spans="1:15" ht="12.95" customHeight="1">
      <c r="B18" s="10"/>
      <c r="C18" s="11"/>
      <c r="D18" s="11"/>
      <c r="E18" s="306">
        <v>613200</v>
      </c>
      <c r="F18" s="332"/>
      <c r="G18" s="11" t="s">
        <v>85</v>
      </c>
      <c r="H18" s="363">
        <v>4500</v>
      </c>
      <c r="I18" s="363">
        <v>0</v>
      </c>
      <c r="J18" s="385">
        <f t="shared" si="6"/>
        <v>4500</v>
      </c>
      <c r="K18" s="363">
        <v>1030</v>
      </c>
      <c r="L18" s="363">
        <v>0</v>
      </c>
      <c r="M18" s="385">
        <f t="shared" si="7"/>
        <v>1030</v>
      </c>
      <c r="N18" s="347">
        <f t="shared" si="1"/>
        <v>22.888888888888889</v>
      </c>
    </row>
    <row r="19" spans="1:15" ht="12.95" customHeight="1">
      <c r="B19" s="10"/>
      <c r="C19" s="11"/>
      <c r="D19" s="11"/>
      <c r="E19" s="306">
        <v>613300</v>
      </c>
      <c r="F19" s="332"/>
      <c r="G19" s="18" t="s">
        <v>200</v>
      </c>
      <c r="H19" s="365">
        <v>12500</v>
      </c>
      <c r="I19" s="365">
        <v>0</v>
      </c>
      <c r="J19" s="385">
        <f t="shared" si="6"/>
        <v>12500</v>
      </c>
      <c r="K19" s="365">
        <v>2145</v>
      </c>
      <c r="L19" s="365">
        <v>0</v>
      </c>
      <c r="M19" s="385">
        <f t="shared" si="7"/>
        <v>2145</v>
      </c>
      <c r="N19" s="347">
        <f t="shared" si="1"/>
        <v>17.16</v>
      </c>
      <c r="O19" s="50"/>
    </row>
    <row r="20" spans="1:15" ht="12.95" customHeight="1">
      <c r="B20" s="10"/>
      <c r="C20" s="11"/>
      <c r="D20" s="11"/>
      <c r="E20" s="306">
        <v>613400</v>
      </c>
      <c r="F20" s="332"/>
      <c r="G20" s="11" t="s">
        <v>165</v>
      </c>
      <c r="H20" s="363">
        <v>10000</v>
      </c>
      <c r="I20" s="363">
        <v>0</v>
      </c>
      <c r="J20" s="385">
        <f t="shared" si="6"/>
        <v>10000</v>
      </c>
      <c r="K20" s="363">
        <v>2888</v>
      </c>
      <c r="L20" s="363">
        <v>0</v>
      </c>
      <c r="M20" s="385">
        <f t="shared" si="7"/>
        <v>2888</v>
      </c>
      <c r="N20" s="347">
        <f t="shared" si="1"/>
        <v>28.88</v>
      </c>
    </row>
    <row r="21" spans="1:15" ht="12.95" customHeight="1">
      <c r="B21" s="10"/>
      <c r="C21" s="11"/>
      <c r="D21" s="11"/>
      <c r="E21" s="306">
        <v>613500</v>
      </c>
      <c r="F21" s="332"/>
      <c r="G21" s="11" t="s">
        <v>86</v>
      </c>
      <c r="H21" s="365">
        <v>2500</v>
      </c>
      <c r="I21" s="365">
        <v>0</v>
      </c>
      <c r="J21" s="385">
        <f t="shared" si="6"/>
        <v>2500</v>
      </c>
      <c r="K21" s="365">
        <v>413</v>
      </c>
      <c r="L21" s="365">
        <v>0</v>
      </c>
      <c r="M21" s="385">
        <f t="shared" si="7"/>
        <v>413</v>
      </c>
      <c r="N21" s="347">
        <f t="shared" si="1"/>
        <v>16.520000000000003</v>
      </c>
      <c r="O21" s="50"/>
    </row>
    <row r="22" spans="1:15" ht="12.95" customHeight="1">
      <c r="B22" s="10"/>
      <c r="C22" s="11"/>
      <c r="D22" s="11"/>
      <c r="E22" s="306">
        <v>613600</v>
      </c>
      <c r="F22" s="332"/>
      <c r="G22" s="18" t="s">
        <v>201</v>
      </c>
      <c r="H22" s="363">
        <v>0</v>
      </c>
      <c r="I22" s="363">
        <v>0</v>
      </c>
      <c r="J22" s="385">
        <f t="shared" si="6"/>
        <v>0</v>
      </c>
      <c r="K22" s="363">
        <v>0</v>
      </c>
      <c r="L22" s="363">
        <v>0</v>
      </c>
      <c r="M22" s="385">
        <f t="shared" si="7"/>
        <v>0</v>
      </c>
      <c r="N22" s="347" t="str">
        <f t="shared" si="1"/>
        <v/>
      </c>
    </row>
    <row r="23" spans="1:15" ht="12.95" customHeight="1">
      <c r="B23" s="10"/>
      <c r="C23" s="11"/>
      <c r="D23" s="11"/>
      <c r="E23" s="306">
        <v>613700</v>
      </c>
      <c r="F23" s="332"/>
      <c r="G23" s="11" t="s">
        <v>87</v>
      </c>
      <c r="H23" s="365">
        <v>3000</v>
      </c>
      <c r="I23" s="365">
        <v>0</v>
      </c>
      <c r="J23" s="385">
        <f t="shared" si="6"/>
        <v>3000</v>
      </c>
      <c r="K23" s="365">
        <v>214</v>
      </c>
      <c r="L23" s="365">
        <v>0</v>
      </c>
      <c r="M23" s="385">
        <f t="shared" si="7"/>
        <v>214</v>
      </c>
      <c r="N23" s="347">
        <f t="shared" si="1"/>
        <v>7.1333333333333329</v>
      </c>
      <c r="O23" s="50"/>
    </row>
    <row r="24" spans="1:15" ht="12.95" customHeight="1">
      <c r="B24" s="10"/>
      <c r="C24" s="11"/>
      <c r="D24" s="11"/>
      <c r="E24" s="306">
        <v>613800</v>
      </c>
      <c r="F24" s="332"/>
      <c r="G24" s="11" t="s">
        <v>166</v>
      </c>
      <c r="H24" s="365">
        <v>800</v>
      </c>
      <c r="I24" s="365">
        <v>0</v>
      </c>
      <c r="J24" s="385">
        <f t="shared" si="6"/>
        <v>800</v>
      </c>
      <c r="K24" s="365">
        <v>0</v>
      </c>
      <c r="L24" s="365">
        <v>0</v>
      </c>
      <c r="M24" s="385">
        <f t="shared" si="7"/>
        <v>0</v>
      </c>
      <c r="N24" s="347">
        <f t="shared" si="1"/>
        <v>0</v>
      </c>
    </row>
    <row r="25" spans="1:15" ht="12.95" customHeight="1">
      <c r="B25" s="10"/>
      <c r="C25" s="11"/>
      <c r="D25" s="11"/>
      <c r="E25" s="306">
        <v>613900</v>
      </c>
      <c r="F25" s="332"/>
      <c r="G25" s="11" t="s">
        <v>167</v>
      </c>
      <c r="H25" s="365">
        <v>55000</v>
      </c>
      <c r="I25" s="365">
        <v>0</v>
      </c>
      <c r="J25" s="385">
        <f t="shared" si="6"/>
        <v>55000</v>
      </c>
      <c r="K25" s="365">
        <v>11291</v>
      </c>
      <c r="L25" s="365">
        <v>0</v>
      </c>
      <c r="M25" s="385">
        <f t="shared" si="7"/>
        <v>11291</v>
      </c>
      <c r="N25" s="347">
        <f t="shared" si="1"/>
        <v>20.529090909090908</v>
      </c>
    </row>
    <row r="26" spans="1:15" ht="12.95" customHeight="1">
      <c r="B26" s="10"/>
      <c r="C26" s="11"/>
      <c r="D26" s="11"/>
      <c r="E26" s="306">
        <v>613900</v>
      </c>
      <c r="F26" s="332"/>
      <c r="G26" s="18" t="s">
        <v>608</v>
      </c>
      <c r="H26" s="365">
        <v>0</v>
      </c>
      <c r="I26" s="365">
        <v>0</v>
      </c>
      <c r="J26" s="385">
        <f t="shared" si="6"/>
        <v>0</v>
      </c>
      <c r="K26" s="365">
        <v>0</v>
      </c>
      <c r="L26" s="365">
        <v>0</v>
      </c>
      <c r="M26" s="385">
        <f t="shared" si="7"/>
        <v>0</v>
      </c>
      <c r="N26" s="347" t="str">
        <f t="shared" si="1"/>
        <v/>
      </c>
    </row>
    <row r="27" spans="1:15" s="1" customFormat="1" ht="12.95" customHeight="1">
      <c r="A27" s="281"/>
      <c r="B27" s="12"/>
      <c r="C27" s="8"/>
      <c r="D27" s="8"/>
      <c r="E27" s="305"/>
      <c r="F27" s="331"/>
      <c r="G27" s="8"/>
      <c r="H27" s="296"/>
      <c r="I27" s="296"/>
      <c r="J27" s="386"/>
      <c r="K27" s="296"/>
      <c r="L27" s="296"/>
      <c r="M27" s="386"/>
      <c r="N27" s="347" t="str">
        <f t="shared" si="1"/>
        <v/>
      </c>
    </row>
    <row r="28" spans="1:15" s="1" customFormat="1" ht="12.95" customHeight="1">
      <c r="A28" s="281"/>
      <c r="B28" s="12"/>
      <c r="C28" s="8"/>
      <c r="D28" s="8"/>
      <c r="E28" s="305">
        <v>821000</v>
      </c>
      <c r="F28" s="331"/>
      <c r="G28" s="8" t="s">
        <v>90</v>
      </c>
      <c r="H28" s="295">
        <f t="shared" ref="H28:M28" si="8">H29+H30</f>
        <v>3000</v>
      </c>
      <c r="I28" s="295">
        <f t="shared" si="8"/>
        <v>0</v>
      </c>
      <c r="J28" s="387">
        <f t="shared" si="8"/>
        <v>3000</v>
      </c>
      <c r="K28" s="295">
        <f t="shared" si="8"/>
        <v>0</v>
      </c>
      <c r="L28" s="295">
        <f t="shared" si="8"/>
        <v>0</v>
      </c>
      <c r="M28" s="387">
        <f t="shared" si="8"/>
        <v>0</v>
      </c>
      <c r="N28" s="346">
        <f t="shared" si="1"/>
        <v>0</v>
      </c>
    </row>
    <row r="29" spans="1:15" ht="12.95" customHeight="1">
      <c r="B29" s="10"/>
      <c r="C29" s="11"/>
      <c r="D29" s="11"/>
      <c r="E29" s="306">
        <v>821200</v>
      </c>
      <c r="F29" s="332"/>
      <c r="G29" s="11" t="s">
        <v>91</v>
      </c>
      <c r="H29" s="296">
        <v>0</v>
      </c>
      <c r="I29" s="296">
        <v>0</v>
      </c>
      <c r="J29" s="385">
        <f t="shared" ref="J29:J30" si="9">SUM(H29:I29)</f>
        <v>0</v>
      </c>
      <c r="K29" s="296">
        <v>0</v>
      </c>
      <c r="L29" s="296">
        <v>0</v>
      </c>
      <c r="M29" s="385">
        <f t="shared" ref="M29:M30" si="10">SUM(K29:L29)</f>
        <v>0</v>
      </c>
      <c r="N29" s="347" t="str">
        <f t="shared" si="1"/>
        <v/>
      </c>
    </row>
    <row r="30" spans="1:15" ht="12.95" customHeight="1">
      <c r="B30" s="10"/>
      <c r="C30" s="11"/>
      <c r="D30" s="11"/>
      <c r="E30" s="306">
        <v>821300</v>
      </c>
      <c r="F30" s="332"/>
      <c r="G30" s="11" t="s">
        <v>92</v>
      </c>
      <c r="H30" s="296">
        <v>3000</v>
      </c>
      <c r="I30" s="296">
        <v>0</v>
      </c>
      <c r="J30" s="385">
        <f t="shared" si="9"/>
        <v>3000</v>
      </c>
      <c r="K30" s="296">
        <v>0</v>
      </c>
      <c r="L30" s="296">
        <v>0</v>
      </c>
      <c r="M30" s="385">
        <f t="shared" si="10"/>
        <v>0</v>
      </c>
      <c r="N30" s="347">
        <f t="shared" si="1"/>
        <v>0</v>
      </c>
    </row>
    <row r="31" spans="1:15" ht="12.95" customHeight="1">
      <c r="B31" s="10"/>
      <c r="C31" s="11"/>
      <c r="D31" s="11"/>
      <c r="E31" s="306"/>
      <c r="F31" s="332"/>
      <c r="G31" s="11"/>
      <c r="H31" s="291"/>
      <c r="I31" s="291"/>
      <c r="J31" s="386"/>
      <c r="K31" s="291"/>
      <c r="L31" s="291"/>
      <c r="M31" s="386"/>
      <c r="N31" s="347" t="str">
        <f t="shared" si="1"/>
        <v/>
      </c>
    </row>
    <row r="32" spans="1:15" s="1" customFormat="1" ht="12.95" customHeight="1">
      <c r="A32" s="281"/>
      <c r="B32" s="12"/>
      <c r="C32" s="8"/>
      <c r="D32" s="8"/>
      <c r="E32" s="305"/>
      <c r="F32" s="331"/>
      <c r="G32" s="8" t="s">
        <v>93</v>
      </c>
      <c r="H32" s="295">
        <v>13</v>
      </c>
      <c r="I32" s="295"/>
      <c r="J32" s="387">
        <v>13</v>
      </c>
      <c r="K32" s="295">
        <v>13</v>
      </c>
      <c r="L32" s="295"/>
      <c r="M32" s="387">
        <v>13</v>
      </c>
      <c r="N32" s="347"/>
    </row>
    <row r="33" spans="1:14" s="1" customFormat="1" ht="12.95" customHeight="1">
      <c r="A33" s="281"/>
      <c r="B33" s="12"/>
      <c r="C33" s="8"/>
      <c r="D33" s="8"/>
      <c r="E33" s="305"/>
      <c r="F33" s="331"/>
      <c r="G33" s="8" t="s">
        <v>113</v>
      </c>
      <c r="H33" s="288">
        <f t="shared" ref="H33:M33" si="11">H8+H13+H16+H28</f>
        <v>603480</v>
      </c>
      <c r="I33" s="288">
        <f t="shared" si="11"/>
        <v>0</v>
      </c>
      <c r="J33" s="387">
        <f t="shared" si="11"/>
        <v>603480</v>
      </c>
      <c r="K33" s="288">
        <f t="shared" si="11"/>
        <v>141387</v>
      </c>
      <c r="L33" s="288">
        <f t="shared" si="11"/>
        <v>0</v>
      </c>
      <c r="M33" s="387">
        <f t="shared" si="11"/>
        <v>141387</v>
      </c>
      <c r="N33" s="346">
        <f t="shared" si="1"/>
        <v>23.428614038576256</v>
      </c>
    </row>
    <row r="34" spans="1:14" s="1" customFormat="1" ht="12.95" customHeight="1">
      <c r="A34" s="281"/>
      <c r="B34" s="12"/>
      <c r="C34" s="8"/>
      <c r="D34" s="8"/>
      <c r="E34" s="305"/>
      <c r="F34" s="331"/>
      <c r="G34" s="8" t="s">
        <v>94</v>
      </c>
      <c r="H34" s="288">
        <f t="shared" ref="H34:J35" si="12">H33</f>
        <v>603480</v>
      </c>
      <c r="I34" s="288">
        <f t="shared" si="12"/>
        <v>0</v>
      </c>
      <c r="J34" s="387">
        <f t="shared" si="12"/>
        <v>603480</v>
      </c>
      <c r="K34" s="288">
        <f t="shared" ref="K34:M34" si="13">K33</f>
        <v>141387</v>
      </c>
      <c r="L34" s="288">
        <f t="shared" si="13"/>
        <v>0</v>
      </c>
      <c r="M34" s="387">
        <f t="shared" si="13"/>
        <v>141387</v>
      </c>
      <c r="N34" s="346">
        <f t="shared" si="1"/>
        <v>23.428614038576256</v>
      </c>
    </row>
    <row r="35" spans="1:14" s="1" customFormat="1" ht="12.95" customHeight="1">
      <c r="A35" s="281"/>
      <c r="B35" s="12"/>
      <c r="C35" s="8"/>
      <c r="D35" s="8"/>
      <c r="E35" s="305"/>
      <c r="F35" s="331"/>
      <c r="G35" s="8" t="s">
        <v>95</v>
      </c>
      <c r="H35" s="288">
        <f t="shared" si="12"/>
        <v>603480</v>
      </c>
      <c r="I35" s="288">
        <f t="shared" si="12"/>
        <v>0</v>
      </c>
      <c r="J35" s="387">
        <f t="shared" si="12"/>
        <v>603480</v>
      </c>
      <c r="K35" s="288">
        <f t="shared" ref="K35:M35" si="14">K34</f>
        <v>141387</v>
      </c>
      <c r="L35" s="288">
        <f t="shared" si="14"/>
        <v>0</v>
      </c>
      <c r="M35" s="387">
        <f t="shared" si="14"/>
        <v>141387</v>
      </c>
      <c r="N35" s="346">
        <f t="shared" si="1"/>
        <v>23.428614038576256</v>
      </c>
    </row>
    <row r="36" spans="1:14" ht="12.95" customHeight="1" thickBot="1">
      <c r="B36" s="15"/>
      <c r="C36" s="16"/>
      <c r="D36" s="16"/>
      <c r="E36" s="307"/>
      <c r="F36" s="333"/>
      <c r="G36" s="16"/>
      <c r="H36" s="27"/>
      <c r="I36" s="27"/>
      <c r="J36" s="390"/>
      <c r="K36" s="27"/>
      <c r="L36" s="27"/>
      <c r="M36" s="390"/>
      <c r="N36" s="349" t="str">
        <f t="shared" si="1"/>
        <v/>
      </c>
    </row>
    <row r="37" spans="1:14" ht="12.95" customHeight="1">
      <c r="E37" s="308"/>
      <c r="F37" s="334"/>
      <c r="J37" s="393"/>
      <c r="M37" s="393"/>
      <c r="N37" s="350" t="str">
        <f t="shared" si="1"/>
        <v/>
      </c>
    </row>
    <row r="38" spans="1:14" ht="12.95" customHeight="1">
      <c r="B38" s="50"/>
      <c r="E38" s="308"/>
      <c r="F38" s="334"/>
      <c r="J38" s="393"/>
      <c r="M38" s="393"/>
      <c r="N38" s="350" t="str">
        <f t="shared" si="1"/>
        <v/>
      </c>
    </row>
    <row r="39" spans="1:14" ht="12.95" customHeight="1">
      <c r="B39" s="50"/>
      <c r="E39" s="308"/>
      <c r="F39" s="334"/>
      <c r="J39" s="393"/>
      <c r="M39" s="393"/>
      <c r="N39" s="350" t="str">
        <f t="shared" si="1"/>
        <v/>
      </c>
    </row>
    <row r="40" spans="1:14" ht="12.95" customHeight="1">
      <c r="B40" s="50"/>
      <c r="E40" s="308"/>
      <c r="F40" s="334"/>
      <c r="J40" s="393"/>
      <c r="M40" s="393"/>
      <c r="N40" s="350" t="str">
        <f t="shared" si="1"/>
        <v/>
      </c>
    </row>
    <row r="41" spans="1:14" ht="12.95" customHeight="1">
      <c r="E41" s="308"/>
      <c r="F41" s="334"/>
      <c r="J41" s="393"/>
      <c r="M41" s="393"/>
      <c r="N41" s="350" t="str">
        <f t="shared" si="1"/>
        <v/>
      </c>
    </row>
    <row r="42" spans="1:14" ht="12.95" customHeight="1">
      <c r="E42" s="308"/>
      <c r="F42" s="334"/>
      <c r="J42" s="393"/>
      <c r="M42" s="393"/>
      <c r="N42" s="350" t="str">
        <f t="shared" si="1"/>
        <v/>
      </c>
    </row>
    <row r="43" spans="1:14" ht="12.95" customHeight="1">
      <c r="E43" s="308"/>
      <c r="F43" s="334"/>
      <c r="J43" s="393"/>
      <c r="M43" s="393"/>
      <c r="N43" s="350" t="str">
        <f t="shared" si="1"/>
        <v/>
      </c>
    </row>
    <row r="44" spans="1:14" ht="12.95" customHeight="1">
      <c r="E44" s="308"/>
      <c r="F44" s="334"/>
      <c r="J44" s="393"/>
      <c r="M44" s="393"/>
      <c r="N44" s="350" t="str">
        <f t="shared" si="1"/>
        <v/>
      </c>
    </row>
    <row r="45" spans="1:14" ht="12.95" customHeight="1">
      <c r="E45" s="308"/>
      <c r="F45" s="334"/>
      <c r="J45" s="393"/>
      <c r="M45" s="393"/>
      <c r="N45" s="350" t="str">
        <f t="shared" si="1"/>
        <v/>
      </c>
    </row>
    <row r="46" spans="1:14" ht="12.95" customHeight="1">
      <c r="E46" s="308"/>
      <c r="F46" s="334"/>
      <c r="J46" s="393"/>
      <c r="M46" s="393"/>
      <c r="N46" s="350" t="str">
        <f t="shared" si="1"/>
        <v/>
      </c>
    </row>
    <row r="47" spans="1:14" ht="12.95" customHeight="1">
      <c r="E47" s="308"/>
      <c r="F47" s="334"/>
      <c r="J47" s="393"/>
      <c r="M47" s="393"/>
      <c r="N47" s="350" t="str">
        <f t="shared" si="1"/>
        <v/>
      </c>
    </row>
    <row r="48" spans="1:14" ht="12.95" customHeight="1">
      <c r="E48" s="308"/>
      <c r="F48" s="334"/>
      <c r="J48" s="393"/>
      <c r="M48" s="393"/>
      <c r="N48" s="350" t="str">
        <f t="shared" si="1"/>
        <v/>
      </c>
    </row>
    <row r="49" spans="5:14" ht="12.95" customHeight="1">
      <c r="E49" s="308"/>
      <c r="F49" s="334"/>
      <c r="J49" s="393"/>
      <c r="M49" s="393"/>
      <c r="N49" s="350" t="str">
        <f t="shared" si="1"/>
        <v/>
      </c>
    </row>
    <row r="50" spans="5:14" ht="12.95" customHeight="1">
      <c r="E50" s="308"/>
      <c r="F50" s="334"/>
      <c r="J50" s="393"/>
      <c r="M50" s="393"/>
      <c r="N50" s="350" t="str">
        <f t="shared" si="1"/>
        <v/>
      </c>
    </row>
    <row r="51" spans="5:14" ht="12.95" customHeight="1">
      <c r="E51" s="308"/>
      <c r="F51" s="334"/>
      <c r="J51" s="393"/>
      <c r="M51" s="393"/>
      <c r="N51" s="350" t="str">
        <f t="shared" si="1"/>
        <v/>
      </c>
    </row>
    <row r="52" spans="5:14" ht="12.95" customHeight="1">
      <c r="E52" s="308"/>
      <c r="F52" s="334"/>
      <c r="J52" s="393"/>
      <c r="M52" s="393"/>
      <c r="N52" s="350" t="str">
        <f t="shared" si="1"/>
        <v/>
      </c>
    </row>
    <row r="53" spans="5:14" ht="12.95" customHeight="1">
      <c r="E53" s="308"/>
      <c r="F53" s="334"/>
      <c r="J53" s="393"/>
      <c r="M53" s="393"/>
      <c r="N53" s="350" t="str">
        <f t="shared" si="1"/>
        <v/>
      </c>
    </row>
    <row r="54" spans="5:14" ht="12.95" customHeight="1">
      <c r="E54" s="308"/>
      <c r="F54" s="334"/>
      <c r="J54" s="393"/>
      <c r="M54" s="393"/>
      <c r="N54" s="350" t="str">
        <f t="shared" si="1"/>
        <v/>
      </c>
    </row>
    <row r="55" spans="5:14" ht="12.95" customHeight="1">
      <c r="E55" s="308"/>
      <c r="F55" s="334"/>
      <c r="J55" s="393"/>
      <c r="M55" s="393"/>
      <c r="N55" s="350" t="str">
        <f t="shared" si="1"/>
        <v/>
      </c>
    </row>
    <row r="56" spans="5:14" ht="12.95" customHeight="1">
      <c r="E56" s="308"/>
      <c r="F56" s="334"/>
      <c r="J56" s="393"/>
      <c r="M56" s="393"/>
      <c r="N56" s="350" t="str">
        <f t="shared" si="1"/>
        <v/>
      </c>
    </row>
    <row r="57" spans="5:14" ht="12.95" customHeight="1">
      <c r="E57" s="308"/>
      <c r="F57" s="334"/>
      <c r="J57" s="393"/>
      <c r="M57" s="393"/>
      <c r="N57" s="350" t="str">
        <f t="shared" si="1"/>
        <v/>
      </c>
    </row>
    <row r="58" spans="5:14" ht="12.95" customHeight="1">
      <c r="E58" s="308"/>
      <c r="F58" s="334"/>
      <c r="J58" s="393"/>
      <c r="M58" s="393"/>
      <c r="N58" s="350" t="str">
        <f t="shared" si="1"/>
        <v/>
      </c>
    </row>
    <row r="59" spans="5:14" ht="12.95" customHeight="1">
      <c r="E59" s="308"/>
      <c r="F59" s="334"/>
      <c r="J59" s="393"/>
      <c r="M59" s="393"/>
      <c r="N59" s="350" t="str">
        <f t="shared" si="1"/>
        <v/>
      </c>
    </row>
    <row r="60" spans="5:14" ht="17.100000000000001" customHeight="1">
      <c r="E60" s="308"/>
      <c r="F60" s="334"/>
      <c r="J60" s="393"/>
      <c r="M60" s="393"/>
      <c r="N60" s="350" t="str">
        <f t="shared" si="1"/>
        <v/>
      </c>
    </row>
    <row r="61" spans="5:14" ht="14.25">
      <c r="E61" s="308"/>
      <c r="F61" s="334"/>
      <c r="J61" s="393"/>
      <c r="M61" s="393"/>
      <c r="N61" s="350" t="str">
        <f t="shared" si="1"/>
        <v/>
      </c>
    </row>
    <row r="62" spans="5:14" ht="14.25">
      <c r="E62" s="308"/>
      <c r="F62" s="334"/>
      <c r="J62" s="393"/>
      <c r="M62" s="393"/>
      <c r="N62" s="350" t="str">
        <f t="shared" si="1"/>
        <v/>
      </c>
    </row>
    <row r="63" spans="5:14" ht="14.25">
      <c r="E63" s="308"/>
      <c r="F63" s="334"/>
      <c r="J63" s="393"/>
      <c r="M63" s="393"/>
      <c r="N63" s="350" t="str">
        <f t="shared" si="1"/>
        <v/>
      </c>
    </row>
    <row r="64" spans="5:14" ht="14.25">
      <c r="E64" s="308"/>
      <c r="F64" s="334"/>
      <c r="J64" s="393"/>
      <c r="M64" s="393"/>
      <c r="N64" s="350" t="str">
        <f t="shared" si="1"/>
        <v/>
      </c>
    </row>
    <row r="65" spans="5:14" ht="14.25">
      <c r="E65" s="308"/>
      <c r="F65" s="334"/>
      <c r="J65" s="393"/>
      <c r="M65" s="393"/>
      <c r="N65" s="350" t="str">
        <f t="shared" si="1"/>
        <v/>
      </c>
    </row>
    <row r="66" spans="5:14" ht="14.25">
      <c r="E66" s="308"/>
      <c r="F66" s="334"/>
      <c r="J66" s="393"/>
      <c r="M66" s="393"/>
      <c r="N66" s="350" t="str">
        <f t="shared" si="1"/>
        <v/>
      </c>
    </row>
    <row r="67" spans="5:14" ht="14.25">
      <c r="E67" s="308"/>
      <c r="F67" s="334"/>
      <c r="J67" s="393"/>
      <c r="M67" s="393"/>
    </row>
    <row r="68" spans="5:14" ht="14.25">
      <c r="E68" s="308"/>
      <c r="F68" s="334"/>
      <c r="J68" s="393"/>
      <c r="M68" s="393"/>
    </row>
    <row r="69" spans="5:14" ht="14.25">
      <c r="E69" s="308"/>
      <c r="F69" s="334"/>
      <c r="J69" s="393"/>
      <c r="M69" s="393"/>
    </row>
    <row r="70" spans="5:14" ht="14.25">
      <c r="E70" s="308"/>
      <c r="F70" s="334"/>
      <c r="J70" s="393"/>
      <c r="M70" s="393"/>
    </row>
    <row r="71" spans="5:14" ht="14.25">
      <c r="E71" s="308"/>
      <c r="F71" s="334"/>
      <c r="J71" s="393"/>
      <c r="M71" s="393"/>
    </row>
    <row r="72" spans="5:14" ht="14.25">
      <c r="E72" s="308"/>
      <c r="F72" s="334"/>
      <c r="J72" s="393"/>
      <c r="M72" s="393"/>
    </row>
    <row r="73" spans="5:14" ht="14.25">
      <c r="E73" s="308"/>
      <c r="F73" s="334"/>
      <c r="J73" s="393"/>
      <c r="M73" s="393"/>
    </row>
    <row r="74" spans="5:14" ht="14.25">
      <c r="E74" s="308"/>
      <c r="F74" s="308"/>
      <c r="J74" s="393"/>
      <c r="M74" s="393"/>
    </row>
    <row r="75" spans="5:14" ht="14.25">
      <c r="E75" s="308"/>
      <c r="F75" s="308"/>
      <c r="J75" s="393"/>
      <c r="M75" s="393"/>
    </row>
    <row r="76" spans="5:14" ht="14.25">
      <c r="E76" s="308"/>
      <c r="F76" s="308"/>
      <c r="J76" s="393"/>
      <c r="M76" s="393"/>
    </row>
    <row r="77" spans="5:14" ht="14.25">
      <c r="E77" s="308"/>
      <c r="F77" s="308"/>
      <c r="J77" s="393"/>
      <c r="M77" s="393"/>
    </row>
    <row r="78" spans="5:14" ht="14.25">
      <c r="E78" s="308"/>
      <c r="F78" s="308"/>
      <c r="J78" s="393"/>
      <c r="M78" s="393"/>
    </row>
    <row r="79" spans="5:14" ht="14.25">
      <c r="E79" s="308"/>
      <c r="F79" s="308"/>
      <c r="J79" s="393"/>
      <c r="M79" s="393"/>
    </row>
    <row r="80" spans="5:14" ht="14.25">
      <c r="E80" s="308"/>
      <c r="F80" s="308"/>
      <c r="J80" s="393"/>
      <c r="M80" s="393"/>
    </row>
    <row r="81" spans="5:13" ht="14.25">
      <c r="E81" s="308"/>
      <c r="F81" s="308"/>
      <c r="J81" s="393"/>
      <c r="M81" s="393"/>
    </row>
    <row r="82" spans="5:13" ht="14.25">
      <c r="E82" s="308"/>
      <c r="F82" s="308"/>
      <c r="J82" s="393"/>
      <c r="M82" s="393"/>
    </row>
    <row r="83" spans="5:13" ht="14.25">
      <c r="E83" s="308"/>
      <c r="F83" s="308"/>
      <c r="J83" s="393"/>
      <c r="M83" s="393"/>
    </row>
    <row r="84" spans="5:13" ht="14.25">
      <c r="E84" s="308"/>
      <c r="F84" s="308"/>
      <c r="J84" s="393"/>
      <c r="M84" s="393"/>
    </row>
    <row r="85" spans="5:13" ht="14.25">
      <c r="E85" s="308"/>
      <c r="F85" s="308"/>
      <c r="J85" s="393"/>
      <c r="M85" s="393"/>
    </row>
    <row r="86" spans="5:13" ht="14.25">
      <c r="E86" s="308"/>
      <c r="F86" s="308"/>
      <c r="J86" s="393"/>
      <c r="M86" s="393"/>
    </row>
    <row r="87" spans="5:13" ht="14.25">
      <c r="E87" s="308"/>
      <c r="F87" s="308"/>
      <c r="J87" s="393"/>
      <c r="M87" s="393"/>
    </row>
    <row r="88" spans="5:13" ht="14.25">
      <c r="E88" s="308"/>
      <c r="F88" s="308"/>
      <c r="J88" s="393"/>
      <c r="M88" s="393"/>
    </row>
    <row r="89" spans="5:13" ht="14.25">
      <c r="E89" s="308"/>
      <c r="F89" s="308"/>
      <c r="J89" s="393"/>
      <c r="M89" s="393"/>
    </row>
    <row r="90" spans="5:13" ht="14.25">
      <c r="E90" s="308"/>
      <c r="F90" s="308"/>
      <c r="J90" s="393"/>
      <c r="M90" s="393"/>
    </row>
    <row r="91" spans="5:13">
      <c r="F91" s="308"/>
    </row>
    <row r="92" spans="5:13">
      <c r="F92" s="308"/>
    </row>
    <row r="93" spans="5:13">
      <c r="F93" s="308"/>
    </row>
    <row r="94" spans="5:13">
      <c r="F94" s="308"/>
    </row>
    <row r="95" spans="5:13">
      <c r="F95" s="308"/>
    </row>
    <row r="96" spans="5:13">
      <c r="F96" s="308"/>
    </row>
  </sheetData>
  <mergeCells count="10">
    <mergeCell ref="N4:N5"/>
    <mergeCell ref="G4:G5"/>
    <mergeCell ref="B2:G2"/>
    <mergeCell ref="H4:J4"/>
    <mergeCell ref="B4:B5"/>
    <mergeCell ref="C4:C5"/>
    <mergeCell ref="D4:D5"/>
    <mergeCell ref="F4:F5"/>
    <mergeCell ref="E4:E5"/>
    <mergeCell ref="K4:M4"/>
  </mergeCells>
  <phoneticPr fontId="2" type="noConversion"/>
  <pageMargins left="0.78740157480314965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sheetPr codeName="Sheet44"/>
  <dimension ref="A1:P96"/>
  <sheetViews>
    <sheetView zoomScaleNormal="100" workbookViewId="0">
      <selection activeCell="K45" sqref="K45"/>
    </sheetView>
  </sheetViews>
  <sheetFormatPr defaultRowHeight="12.75"/>
  <cols>
    <col min="1" max="1" width="9.140625" style="284"/>
    <col min="2" max="2" width="4.7109375" style="9" customWidth="1"/>
    <col min="3" max="3" width="5.140625" style="9" customWidth="1"/>
    <col min="4" max="4" width="5" style="9" customWidth="1"/>
    <col min="5" max="5" width="8.7109375" style="17" customWidth="1"/>
    <col min="6" max="6" width="8.7109375" style="289" customWidth="1"/>
    <col min="7" max="7" width="50.7109375" style="9" customWidth="1"/>
    <col min="8" max="9" width="14.7109375" style="57" customWidth="1"/>
    <col min="10" max="10" width="15.7109375" style="57" customWidth="1"/>
    <col min="11" max="12" width="14.7109375" style="57" customWidth="1"/>
    <col min="13" max="13" width="15.7109375" style="57" customWidth="1"/>
    <col min="14" max="14" width="7.7109375" style="350" customWidth="1"/>
    <col min="15" max="16384" width="9.140625" style="9"/>
  </cols>
  <sheetData>
    <row r="1" spans="1:16" ht="13.5" thickBot="1"/>
    <row r="2" spans="1:16" s="98" customFormat="1" ht="20.100000000000001" customHeight="1" thickTop="1" thickBot="1">
      <c r="A2" s="376"/>
      <c r="B2" s="590" t="s">
        <v>182</v>
      </c>
      <c r="C2" s="591"/>
      <c r="D2" s="591"/>
      <c r="E2" s="591"/>
      <c r="F2" s="591"/>
      <c r="G2" s="591"/>
      <c r="H2" s="377"/>
      <c r="I2" s="377"/>
      <c r="J2" s="377"/>
      <c r="K2" s="377"/>
      <c r="L2" s="377"/>
      <c r="M2" s="377"/>
      <c r="N2" s="380"/>
    </row>
    <row r="3" spans="1:16" s="1" customFormat="1" ht="8.1" customHeight="1" thickTop="1" thickBot="1">
      <c r="A3" s="281"/>
      <c r="E3" s="2"/>
      <c r="F3" s="282"/>
      <c r="G3" s="531"/>
      <c r="H3" s="92"/>
      <c r="I3" s="92"/>
      <c r="J3" s="92"/>
      <c r="K3" s="92"/>
      <c r="L3" s="92"/>
      <c r="M3" s="92"/>
      <c r="N3" s="344"/>
    </row>
    <row r="4" spans="1:16" s="1" customFormat="1" ht="39" customHeight="1">
      <c r="A4" s="281"/>
      <c r="B4" s="596" t="s">
        <v>78</v>
      </c>
      <c r="C4" s="606" t="s">
        <v>79</v>
      </c>
      <c r="D4" s="607" t="s">
        <v>110</v>
      </c>
      <c r="E4" s="608" t="s">
        <v>594</v>
      </c>
      <c r="F4" s="601" t="s">
        <v>653</v>
      </c>
      <c r="G4" s="602" t="s">
        <v>80</v>
      </c>
      <c r="H4" s="593" t="s">
        <v>647</v>
      </c>
      <c r="I4" s="594"/>
      <c r="J4" s="595"/>
      <c r="K4" s="593" t="s">
        <v>801</v>
      </c>
      <c r="L4" s="594"/>
      <c r="M4" s="595"/>
      <c r="N4" s="604" t="s">
        <v>805</v>
      </c>
    </row>
    <row r="5" spans="1:16" s="281" customFormat="1" ht="27" customHeight="1">
      <c r="B5" s="597"/>
      <c r="C5" s="599"/>
      <c r="D5" s="599"/>
      <c r="E5" s="603"/>
      <c r="F5" s="599"/>
      <c r="G5" s="603"/>
      <c r="H5" s="372" t="s">
        <v>705</v>
      </c>
      <c r="I5" s="372" t="s">
        <v>706</v>
      </c>
      <c r="J5" s="382" t="s">
        <v>413</v>
      </c>
      <c r="K5" s="372" t="s">
        <v>705</v>
      </c>
      <c r="L5" s="372" t="s">
        <v>706</v>
      </c>
      <c r="M5" s="382" t="s">
        <v>413</v>
      </c>
      <c r="N5" s="605"/>
    </row>
    <row r="6" spans="1:16" s="2" customFormat="1" ht="12.95" customHeight="1">
      <c r="A6" s="282"/>
      <c r="B6" s="504">
        <v>1</v>
      </c>
      <c r="C6" s="331">
        <v>2</v>
      </c>
      <c r="D6" s="331">
        <v>3</v>
      </c>
      <c r="E6" s="331">
        <v>4</v>
      </c>
      <c r="F6" s="331">
        <v>5</v>
      </c>
      <c r="G6" s="331">
        <v>6</v>
      </c>
      <c r="H6" s="331">
        <v>7</v>
      </c>
      <c r="I6" s="331">
        <v>8</v>
      </c>
      <c r="J6" s="523" t="s">
        <v>804</v>
      </c>
      <c r="K6" s="331">
        <v>10</v>
      </c>
      <c r="L6" s="331">
        <v>11</v>
      </c>
      <c r="M6" s="523" t="s">
        <v>707</v>
      </c>
      <c r="N6" s="505">
        <v>13</v>
      </c>
    </row>
    <row r="7" spans="1:16" s="2" customFormat="1" ht="12.95" customHeight="1">
      <c r="A7" s="282"/>
      <c r="B7" s="6" t="s">
        <v>181</v>
      </c>
      <c r="C7" s="7" t="s">
        <v>81</v>
      </c>
      <c r="D7" s="7" t="s">
        <v>82</v>
      </c>
      <c r="E7" s="5"/>
      <c r="F7" s="283"/>
      <c r="G7" s="5"/>
      <c r="H7" s="86"/>
      <c r="I7" s="86"/>
      <c r="J7" s="392"/>
      <c r="K7" s="86"/>
      <c r="L7" s="86"/>
      <c r="M7" s="392"/>
      <c r="N7" s="345"/>
    </row>
    <row r="8" spans="1:16" s="1" customFormat="1" ht="12.95" customHeight="1">
      <c r="A8" s="281"/>
      <c r="B8" s="12"/>
      <c r="C8" s="8"/>
      <c r="D8" s="8"/>
      <c r="E8" s="305">
        <v>611000</v>
      </c>
      <c r="F8" s="331"/>
      <c r="G8" s="8" t="s">
        <v>163</v>
      </c>
      <c r="H8" s="210">
        <f t="shared" ref="H8:M8" si="0">SUM(H9:H11)</f>
        <v>415400</v>
      </c>
      <c r="I8" s="210">
        <f t="shared" si="0"/>
        <v>0</v>
      </c>
      <c r="J8" s="384">
        <f t="shared" si="0"/>
        <v>415400</v>
      </c>
      <c r="K8" s="210">
        <f t="shared" si="0"/>
        <v>100001</v>
      </c>
      <c r="L8" s="210">
        <f t="shared" si="0"/>
        <v>0</v>
      </c>
      <c r="M8" s="384">
        <f t="shared" si="0"/>
        <v>100001</v>
      </c>
      <c r="N8" s="346">
        <f>IF(J8=0,"",M8/J8*100)</f>
        <v>24.073423206547908</v>
      </c>
    </row>
    <row r="9" spans="1:16" ht="12.95" customHeight="1">
      <c r="B9" s="10"/>
      <c r="C9" s="11"/>
      <c r="D9" s="11"/>
      <c r="E9" s="306">
        <v>611100</v>
      </c>
      <c r="F9" s="332"/>
      <c r="G9" s="18" t="s">
        <v>198</v>
      </c>
      <c r="H9" s="212">
        <f>351500+3300+2*500</f>
        <v>355800</v>
      </c>
      <c r="I9" s="212">
        <v>0</v>
      </c>
      <c r="J9" s="385">
        <f>SUM(H9:I9)</f>
        <v>355800</v>
      </c>
      <c r="K9" s="212">
        <v>87372</v>
      </c>
      <c r="L9" s="212"/>
      <c r="M9" s="385">
        <f>SUM(K9:L9)</f>
        <v>87372</v>
      </c>
      <c r="N9" s="347">
        <f t="shared" ref="N9:N66" si="1">IF(J9=0,"",M9/J9*100)</f>
        <v>24.556492411467115</v>
      </c>
    </row>
    <row r="10" spans="1:16" ht="12.95" customHeight="1">
      <c r="B10" s="10"/>
      <c r="C10" s="11"/>
      <c r="D10" s="11"/>
      <c r="E10" s="306">
        <v>611200</v>
      </c>
      <c r="F10" s="332"/>
      <c r="G10" s="11" t="s">
        <v>199</v>
      </c>
      <c r="H10" s="212">
        <f>56700+1100+2*900</f>
        <v>59600</v>
      </c>
      <c r="I10" s="212">
        <v>0</v>
      </c>
      <c r="J10" s="385">
        <f t="shared" ref="J10:J11" si="2">SUM(H10:I10)</f>
        <v>59600</v>
      </c>
      <c r="K10" s="212">
        <v>12629</v>
      </c>
      <c r="L10" s="212"/>
      <c r="M10" s="385">
        <f t="shared" ref="M10:M11" si="3">SUM(K10:L10)</f>
        <v>12629</v>
      </c>
      <c r="N10" s="347">
        <f t="shared" si="1"/>
        <v>21.189597315436242</v>
      </c>
    </row>
    <row r="11" spans="1:16" ht="12.95" customHeight="1">
      <c r="B11" s="10"/>
      <c r="C11" s="11"/>
      <c r="D11" s="11"/>
      <c r="E11" s="306">
        <v>611200</v>
      </c>
      <c r="F11" s="332"/>
      <c r="G11" s="189" t="s">
        <v>534</v>
      </c>
      <c r="H11" s="209">
        <v>0</v>
      </c>
      <c r="I11" s="209">
        <v>0</v>
      </c>
      <c r="J11" s="385">
        <f t="shared" si="2"/>
        <v>0</v>
      </c>
      <c r="K11" s="209">
        <v>0</v>
      </c>
      <c r="L11" s="209"/>
      <c r="M11" s="385">
        <f t="shared" si="3"/>
        <v>0</v>
      </c>
      <c r="N11" s="347" t="str">
        <f t="shared" si="1"/>
        <v/>
      </c>
      <c r="P11" s="56"/>
    </row>
    <row r="12" spans="1:16" ht="12.95" customHeight="1">
      <c r="B12" s="10"/>
      <c r="C12" s="11"/>
      <c r="D12" s="11"/>
      <c r="E12" s="306"/>
      <c r="F12" s="332"/>
      <c r="G12" s="11"/>
      <c r="H12" s="210"/>
      <c r="I12" s="210"/>
      <c r="J12" s="384"/>
      <c r="K12" s="210"/>
      <c r="L12" s="210"/>
      <c r="M12" s="384"/>
      <c r="N12" s="347" t="str">
        <f t="shared" si="1"/>
        <v/>
      </c>
    </row>
    <row r="13" spans="1:16" s="1" customFormat="1" ht="12.95" customHeight="1">
      <c r="A13" s="281"/>
      <c r="B13" s="12"/>
      <c r="C13" s="8"/>
      <c r="D13" s="8"/>
      <c r="E13" s="305">
        <v>612000</v>
      </c>
      <c r="F13" s="331"/>
      <c r="G13" s="8" t="s">
        <v>162</v>
      </c>
      <c r="H13" s="210">
        <f t="shared" ref="H13:M13" si="4">H14</f>
        <v>37820</v>
      </c>
      <c r="I13" s="210">
        <f t="shared" si="4"/>
        <v>0</v>
      </c>
      <c r="J13" s="384">
        <f t="shared" si="4"/>
        <v>37820</v>
      </c>
      <c r="K13" s="210">
        <f t="shared" si="4"/>
        <v>9245</v>
      </c>
      <c r="L13" s="210">
        <f t="shared" si="4"/>
        <v>0</v>
      </c>
      <c r="M13" s="384">
        <f t="shared" si="4"/>
        <v>9245</v>
      </c>
      <c r="N13" s="346">
        <f t="shared" si="1"/>
        <v>24.444738233738764</v>
      </c>
    </row>
    <row r="14" spans="1:16" ht="12.95" customHeight="1">
      <c r="B14" s="10"/>
      <c r="C14" s="11"/>
      <c r="D14" s="11"/>
      <c r="E14" s="306">
        <v>612100</v>
      </c>
      <c r="F14" s="332"/>
      <c r="G14" s="13" t="s">
        <v>83</v>
      </c>
      <c r="H14" s="212">
        <f>37300+380+2*70</f>
        <v>37820</v>
      </c>
      <c r="I14" s="212">
        <v>0</v>
      </c>
      <c r="J14" s="385">
        <f>SUM(H14:I14)</f>
        <v>37820</v>
      </c>
      <c r="K14" s="212">
        <v>9245</v>
      </c>
      <c r="L14" s="212"/>
      <c r="M14" s="385">
        <f>SUM(K14:L14)</f>
        <v>9245</v>
      </c>
      <c r="N14" s="347">
        <f t="shared" si="1"/>
        <v>24.444738233738764</v>
      </c>
    </row>
    <row r="15" spans="1:16" ht="12.95" customHeight="1">
      <c r="B15" s="10"/>
      <c r="C15" s="11"/>
      <c r="D15" s="11"/>
      <c r="E15" s="306"/>
      <c r="F15" s="332"/>
      <c r="G15" s="11"/>
      <c r="H15" s="291"/>
      <c r="I15" s="291"/>
      <c r="J15" s="386"/>
      <c r="K15" s="291"/>
      <c r="L15" s="291"/>
      <c r="M15" s="386"/>
      <c r="N15" s="347" t="str">
        <f t="shared" si="1"/>
        <v/>
      </c>
    </row>
    <row r="16" spans="1:16" s="1" customFormat="1" ht="12.95" customHeight="1">
      <c r="A16" s="281"/>
      <c r="B16" s="12"/>
      <c r="C16" s="8"/>
      <c r="D16" s="8"/>
      <c r="E16" s="305">
        <v>613000</v>
      </c>
      <c r="F16" s="331"/>
      <c r="G16" s="8" t="s">
        <v>164</v>
      </c>
      <c r="H16" s="293">
        <f t="shared" ref="H16:M16" si="5">SUM(H17:H26)</f>
        <v>30700</v>
      </c>
      <c r="I16" s="293">
        <f t="shared" si="5"/>
        <v>0</v>
      </c>
      <c r="J16" s="387">
        <f t="shared" si="5"/>
        <v>30700</v>
      </c>
      <c r="K16" s="293">
        <f t="shared" si="5"/>
        <v>7293</v>
      </c>
      <c r="L16" s="293">
        <f t="shared" si="5"/>
        <v>0</v>
      </c>
      <c r="M16" s="387">
        <f t="shared" si="5"/>
        <v>7293</v>
      </c>
      <c r="N16" s="346">
        <f t="shared" si="1"/>
        <v>23.755700325732899</v>
      </c>
    </row>
    <row r="17" spans="1:15" ht="12.95" customHeight="1">
      <c r="B17" s="10"/>
      <c r="C17" s="11"/>
      <c r="D17" s="11"/>
      <c r="E17" s="306">
        <v>613100</v>
      </c>
      <c r="F17" s="332"/>
      <c r="G17" s="11" t="s">
        <v>84</v>
      </c>
      <c r="H17" s="363">
        <v>2000</v>
      </c>
      <c r="I17" s="363">
        <v>0</v>
      </c>
      <c r="J17" s="385">
        <f t="shared" ref="J17:J26" si="6">SUM(H17:I17)</f>
        <v>2000</v>
      </c>
      <c r="K17" s="363">
        <v>585</v>
      </c>
      <c r="L17" s="363"/>
      <c r="M17" s="385">
        <f t="shared" ref="M17:M26" si="7">SUM(K17:L17)</f>
        <v>585</v>
      </c>
      <c r="N17" s="347">
        <f t="shared" si="1"/>
        <v>29.25</v>
      </c>
    </row>
    <row r="18" spans="1:15" ht="12.95" customHeight="1">
      <c r="B18" s="10"/>
      <c r="C18" s="11"/>
      <c r="D18" s="11"/>
      <c r="E18" s="306">
        <v>613200</v>
      </c>
      <c r="F18" s="332"/>
      <c r="G18" s="11" t="s">
        <v>85</v>
      </c>
      <c r="H18" s="363">
        <v>6000</v>
      </c>
      <c r="I18" s="363">
        <v>0</v>
      </c>
      <c r="J18" s="385">
        <f t="shared" si="6"/>
        <v>6000</v>
      </c>
      <c r="K18" s="363">
        <v>2427</v>
      </c>
      <c r="L18" s="363"/>
      <c r="M18" s="385">
        <f t="shared" si="7"/>
        <v>2427</v>
      </c>
      <c r="N18" s="347">
        <f t="shared" si="1"/>
        <v>40.450000000000003</v>
      </c>
    </row>
    <row r="19" spans="1:15" ht="12.95" customHeight="1">
      <c r="B19" s="10"/>
      <c r="C19" s="11"/>
      <c r="D19" s="11"/>
      <c r="E19" s="306">
        <v>613300</v>
      </c>
      <c r="F19" s="332"/>
      <c r="G19" s="18" t="s">
        <v>200</v>
      </c>
      <c r="H19" s="363">
        <v>8500</v>
      </c>
      <c r="I19" s="363">
        <v>0</v>
      </c>
      <c r="J19" s="385">
        <f t="shared" si="6"/>
        <v>8500</v>
      </c>
      <c r="K19" s="363">
        <v>1900</v>
      </c>
      <c r="L19" s="363"/>
      <c r="M19" s="385">
        <f t="shared" si="7"/>
        <v>1900</v>
      </c>
      <c r="N19" s="347">
        <f t="shared" si="1"/>
        <v>22.352941176470591</v>
      </c>
    </row>
    <row r="20" spans="1:15" ht="12.95" customHeight="1">
      <c r="B20" s="10"/>
      <c r="C20" s="11"/>
      <c r="D20" s="11"/>
      <c r="E20" s="306">
        <v>613400</v>
      </c>
      <c r="F20" s="332"/>
      <c r="G20" s="11" t="s">
        <v>165</v>
      </c>
      <c r="H20" s="363">
        <v>1000</v>
      </c>
      <c r="I20" s="363">
        <v>0</v>
      </c>
      <c r="J20" s="385">
        <f t="shared" si="6"/>
        <v>1000</v>
      </c>
      <c r="K20" s="363">
        <v>13</v>
      </c>
      <c r="L20" s="363"/>
      <c r="M20" s="385">
        <f t="shared" si="7"/>
        <v>13</v>
      </c>
      <c r="N20" s="347">
        <f t="shared" si="1"/>
        <v>1.3</v>
      </c>
    </row>
    <row r="21" spans="1:15" ht="12.95" customHeight="1">
      <c r="B21" s="10"/>
      <c r="C21" s="11"/>
      <c r="D21" s="11"/>
      <c r="E21" s="306">
        <v>613500</v>
      </c>
      <c r="F21" s="332"/>
      <c r="G21" s="11" t="s">
        <v>86</v>
      </c>
      <c r="H21" s="363">
        <v>5500</v>
      </c>
      <c r="I21" s="363">
        <v>0</v>
      </c>
      <c r="J21" s="385">
        <f t="shared" si="6"/>
        <v>5500</v>
      </c>
      <c r="K21" s="363">
        <v>1048</v>
      </c>
      <c r="L21" s="363"/>
      <c r="M21" s="385">
        <f t="shared" si="7"/>
        <v>1048</v>
      </c>
      <c r="N21" s="347">
        <f t="shared" si="1"/>
        <v>19.054545454545455</v>
      </c>
    </row>
    <row r="22" spans="1:15" ht="12.95" customHeight="1">
      <c r="B22" s="10"/>
      <c r="C22" s="11"/>
      <c r="D22" s="11"/>
      <c r="E22" s="306">
        <v>613600</v>
      </c>
      <c r="F22" s="332"/>
      <c r="G22" s="18" t="s">
        <v>201</v>
      </c>
      <c r="H22" s="365">
        <v>0</v>
      </c>
      <c r="I22" s="365">
        <v>0</v>
      </c>
      <c r="J22" s="385">
        <f t="shared" si="6"/>
        <v>0</v>
      </c>
      <c r="K22" s="365">
        <v>0</v>
      </c>
      <c r="L22" s="365"/>
      <c r="M22" s="385">
        <f t="shared" si="7"/>
        <v>0</v>
      </c>
      <c r="N22" s="347" t="str">
        <f t="shared" si="1"/>
        <v/>
      </c>
    </row>
    <row r="23" spans="1:15" ht="12.95" customHeight="1">
      <c r="B23" s="10"/>
      <c r="C23" s="11"/>
      <c r="D23" s="11"/>
      <c r="E23" s="306">
        <v>613700</v>
      </c>
      <c r="F23" s="332"/>
      <c r="G23" s="11" t="s">
        <v>87</v>
      </c>
      <c r="H23" s="365">
        <v>4000</v>
      </c>
      <c r="I23" s="365">
        <v>0</v>
      </c>
      <c r="J23" s="385">
        <f t="shared" si="6"/>
        <v>4000</v>
      </c>
      <c r="K23" s="365">
        <v>407</v>
      </c>
      <c r="L23" s="365"/>
      <c r="M23" s="385">
        <f t="shared" si="7"/>
        <v>407</v>
      </c>
      <c r="N23" s="347">
        <f t="shared" si="1"/>
        <v>10.174999999999999</v>
      </c>
      <c r="O23" s="50"/>
    </row>
    <row r="24" spans="1:15" ht="12.95" customHeight="1">
      <c r="B24" s="10"/>
      <c r="C24" s="11"/>
      <c r="D24" s="11"/>
      <c r="E24" s="306">
        <v>613800</v>
      </c>
      <c r="F24" s="332"/>
      <c r="G24" s="11" t="s">
        <v>166</v>
      </c>
      <c r="H24" s="365">
        <v>1000</v>
      </c>
      <c r="I24" s="365">
        <v>0</v>
      </c>
      <c r="J24" s="385">
        <f t="shared" si="6"/>
        <v>1000</v>
      </c>
      <c r="K24" s="365">
        <v>202</v>
      </c>
      <c r="L24" s="365"/>
      <c r="M24" s="385">
        <f t="shared" si="7"/>
        <v>202</v>
      </c>
      <c r="N24" s="347">
        <f t="shared" si="1"/>
        <v>20.200000000000003</v>
      </c>
    </row>
    <row r="25" spans="1:15" ht="12.95" customHeight="1">
      <c r="B25" s="10"/>
      <c r="C25" s="11"/>
      <c r="D25" s="11"/>
      <c r="E25" s="306">
        <v>613900</v>
      </c>
      <c r="F25" s="332"/>
      <c r="G25" s="11" t="s">
        <v>167</v>
      </c>
      <c r="H25" s="365">
        <v>2700</v>
      </c>
      <c r="I25" s="365">
        <v>0</v>
      </c>
      <c r="J25" s="385">
        <f t="shared" si="6"/>
        <v>2700</v>
      </c>
      <c r="K25" s="365">
        <v>711</v>
      </c>
      <c r="L25" s="365"/>
      <c r="M25" s="385">
        <f t="shared" si="7"/>
        <v>711</v>
      </c>
      <c r="N25" s="347">
        <f t="shared" si="1"/>
        <v>26.333333333333332</v>
      </c>
      <c r="O25" s="50"/>
    </row>
    <row r="26" spans="1:15" ht="12.95" customHeight="1">
      <c r="B26" s="10"/>
      <c r="C26" s="11"/>
      <c r="D26" s="11"/>
      <c r="E26" s="306">
        <v>613900</v>
      </c>
      <c r="F26" s="332"/>
      <c r="G26" s="189" t="s">
        <v>535</v>
      </c>
      <c r="H26" s="365">
        <v>0</v>
      </c>
      <c r="I26" s="365">
        <v>0</v>
      </c>
      <c r="J26" s="385">
        <f t="shared" si="6"/>
        <v>0</v>
      </c>
      <c r="K26" s="365">
        <v>0</v>
      </c>
      <c r="L26" s="365"/>
      <c r="M26" s="385">
        <f t="shared" si="7"/>
        <v>0</v>
      </c>
      <c r="N26" s="347" t="str">
        <f t="shared" si="1"/>
        <v/>
      </c>
    </row>
    <row r="27" spans="1:15" s="1" customFormat="1" ht="12.95" customHeight="1">
      <c r="A27" s="281"/>
      <c r="B27" s="12"/>
      <c r="C27" s="8"/>
      <c r="D27" s="8"/>
      <c r="E27" s="305"/>
      <c r="F27" s="331"/>
      <c r="G27" s="8"/>
      <c r="H27" s="296"/>
      <c r="I27" s="296"/>
      <c r="J27" s="386"/>
      <c r="K27" s="296"/>
      <c r="L27" s="296"/>
      <c r="M27" s="386"/>
      <c r="N27" s="347" t="str">
        <f t="shared" si="1"/>
        <v/>
      </c>
    </row>
    <row r="28" spans="1:15" s="1" customFormat="1" ht="12.95" customHeight="1">
      <c r="A28" s="281"/>
      <c r="B28" s="12"/>
      <c r="C28" s="8"/>
      <c r="D28" s="8"/>
      <c r="E28" s="305">
        <v>821000</v>
      </c>
      <c r="F28" s="331"/>
      <c r="G28" s="8" t="s">
        <v>90</v>
      </c>
      <c r="H28" s="295">
        <f t="shared" ref="H28:M28" si="8">SUM(H29:H30)</f>
        <v>2000</v>
      </c>
      <c r="I28" s="295">
        <f t="shared" si="8"/>
        <v>0</v>
      </c>
      <c r="J28" s="387">
        <f t="shared" si="8"/>
        <v>2000</v>
      </c>
      <c r="K28" s="295">
        <f t="shared" si="8"/>
        <v>0</v>
      </c>
      <c r="L28" s="295">
        <f t="shared" si="8"/>
        <v>0</v>
      </c>
      <c r="M28" s="387">
        <f t="shared" si="8"/>
        <v>0</v>
      </c>
      <c r="N28" s="346">
        <f t="shared" si="1"/>
        <v>0</v>
      </c>
    </row>
    <row r="29" spans="1:15" ht="12.95" customHeight="1">
      <c r="B29" s="10"/>
      <c r="C29" s="11"/>
      <c r="D29" s="11"/>
      <c r="E29" s="306">
        <v>821200</v>
      </c>
      <c r="F29" s="332"/>
      <c r="G29" s="11" t="s">
        <v>91</v>
      </c>
      <c r="H29" s="296">
        <v>0</v>
      </c>
      <c r="I29" s="296">
        <v>0</v>
      </c>
      <c r="J29" s="385">
        <f t="shared" ref="J29:J30" si="9">SUM(H29:I29)</f>
        <v>0</v>
      </c>
      <c r="K29" s="296">
        <v>0</v>
      </c>
      <c r="L29" s="296"/>
      <c r="M29" s="385">
        <f t="shared" ref="M29:M30" si="10">SUM(K29:L29)</f>
        <v>0</v>
      </c>
      <c r="N29" s="347" t="str">
        <f t="shared" si="1"/>
        <v/>
      </c>
    </row>
    <row r="30" spans="1:15" ht="12.95" customHeight="1">
      <c r="B30" s="10"/>
      <c r="C30" s="11"/>
      <c r="D30" s="11"/>
      <c r="E30" s="306">
        <v>821300</v>
      </c>
      <c r="F30" s="332"/>
      <c r="G30" s="11" t="s">
        <v>92</v>
      </c>
      <c r="H30" s="296">
        <v>2000</v>
      </c>
      <c r="I30" s="296">
        <v>0</v>
      </c>
      <c r="J30" s="385">
        <f t="shared" si="9"/>
        <v>2000</v>
      </c>
      <c r="K30" s="296">
        <v>0</v>
      </c>
      <c r="L30" s="296"/>
      <c r="M30" s="385">
        <f t="shared" si="10"/>
        <v>0</v>
      </c>
      <c r="N30" s="347">
        <f t="shared" si="1"/>
        <v>0</v>
      </c>
    </row>
    <row r="31" spans="1:15" ht="12.95" customHeight="1">
      <c r="B31" s="10"/>
      <c r="C31" s="11"/>
      <c r="D31" s="11"/>
      <c r="E31" s="306"/>
      <c r="F31" s="332"/>
      <c r="G31" s="11"/>
      <c r="H31" s="296"/>
      <c r="I31" s="296"/>
      <c r="J31" s="386"/>
      <c r="K31" s="296"/>
      <c r="L31" s="296"/>
      <c r="M31" s="386"/>
      <c r="N31" s="347" t="str">
        <f t="shared" si="1"/>
        <v/>
      </c>
    </row>
    <row r="32" spans="1:15" s="1" customFormat="1" ht="12.95" customHeight="1">
      <c r="A32" s="281"/>
      <c r="B32" s="12"/>
      <c r="C32" s="8"/>
      <c r="D32" s="8"/>
      <c r="E32" s="305"/>
      <c r="F32" s="331"/>
      <c r="G32" s="8" t="s">
        <v>93</v>
      </c>
      <c r="H32" s="288">
        <v>14</v>
      </c>
      <c r="I32" s="288"/>
      <c r="J32" s="387">
        <v>14</v>
      </c>
      <c r="K32" s="288">
        <v>14</v>
      </c>
      <c r="L32" s="288"/>
      <c r="M32" s="387">
        <v>14</v>
      </c>
      <c r="N32" s="347"/>
    </row>
    <row r="33" spans="1:14" s="1" customFormat="1" ht="12.95" customHeight="1">
      <c r="A33" s="281"/>
      <c r="B33" s="12"/>
      <c r="C33" s="8"/>
      <c r="D33" s="8"/>
      <c r="E33" s="305"/>
      <c r="F33" s="331"/>
      <c r="G33" s="8" t="s">
        <v>113</v>
      </c>
      <c r="H33" s="288">
        <f t="shared" ref="H33:M33" si="11">H8+H13+H16+H28</f>
        <v>485920</v>
      </c>
      <c r="I33" s="288">
        <f t="shared" si="11"/>
        <v>0</v>
      </c>
      <c r="J33" s="387">
        <f t="shared" si="11"/>
        <v>485920</v>
      </c>
      <c r="K33" s="288">
        <f t="shared" si="11"/>
        <v>116539</v>
      </c>
      <c r="L33" s="288">
        <f t="shared" si="11"/>
        <v>0</v>
      </c>
      <c r="M33" s="387">
        <f t="shared" si="11"/>
        <v>116539</v>
      </c>
      <c r="N33" s="346">
        <f t="shared" si="1"/>
        <v>23.983165953243333</v>
      </c>
    </row>
    <row r="34" spans="1:14" s="1" customFormat="1" ht="12.95" customHeight="1">
      <c r="A34" s="281"/>
      <c r="B34" s="12"/>
      <c r="C34" s="8"/>
      <c r="D34" s="8"/>
      <c r="E34" s="305"/>
      <c r="F34" s="331"/>
      <c r="G34" s="8" t="s">
        <v>94</v>
      </c>
      <c r="H34" s="288">
        <f t="shared" ref="H34:J35" si="12">H33</f>
        <v>485920</v>
      </c>
      <c r="I34" s="288">
        <f t="shared" si="12"/>
        <v>0</v>
      </c>
      <c r="J34" s="387">
        <f t="shared" si="12"/>
        <v>485920</v>
      </c>
      <c r="K34" s="288">
        <f t="shared" ref="K34:M34" si="13">K33</f>
        <v>116539</v>
      </c>
      <c r="L34" s="288">
        <f t="shared" si="13"/>
        <v>0</v>
      </c>
      <c r="M34" s="387">
        <f t="shared" si="13"/>
        <v>116539</v>
      </c>
      <c r="N34" s="346">
        <f t="shared" si="1"/>
        <v>23.983165953243333</v>
      </c>
    </row>
    <row r="35" spans="1:14" s="1" customFormat="1" ht="12.95" customHeight="1">
      <c r="A35" s="281"/>
      <c r="B35" s="12"/>
      <c r="C35" s="8"/>
      <c r="D35" s="8"/>
      <c r="E35" s="305"/>
      <c r="F35" s="331"/>
      <c r="G35" s="8" t="s">
        <v>95</v>
      </c>
      <c r="H35" s="288">
        <f t="shared" si="12"/>
        <v>485920</v>
      </c>
      <c r="I35" s="288">
        <f t="shared" si="12"/>
        <v>0</v>
      </c>
      <c r="J35" s="387">
        <f t="shared" si="12"/>
        <v>485920</v>
      </c>
      <c r="K35" s="288">
        <f t="shared" ref="K35:M35" si="14">K34</f>
        <v>116539</v>
      </c>
      <c r="L35" s="288">
        <f t="shared" si="14"/>
        <v>0</v>
      </c>
      <c r="M35" s="387">
        <f t="shared" si="14"/>
        <v>116539</v>
      </c>
      <c r="N35" s="346">
        <f t="shared" si="1"/>
        <v>23.983165953243333</v>
      </c>
    </row>
    <row r="36" spans="1:14" ht="12.95" customHeight="1" thickBot="1">
      <c r="B36" s="15"/>
      <c r="C36" s="16"/>
      <c r="D36" s="16"/>
      <c r="E36" s="307"/>
      <c r="F36" s="333"/>
      <c r="G36" s="16"/>
      <c r="H36" s="27"/>
      <c r="I36" s="27"/>
      <c r="J36" s="390"/>
      <c r="K36" s="27"/>
      <c r="L36" s="27"/>
      <c r="M36" s="390"/>
      <c r="N36" s="349" t="str">
        <f t="shared" si="1"/>
        <v/>
      </c>
    </row>
    <row r="37" spans="1:14" ht="12.95" customHeight="1">
      <c r="E37" s="308"/>
      <c r="F37" s="334"/>
      <c r="J37" s="393"/>
      <c r="M37" s="393"/>
      <c r="N37" s="350" t="str">
        <f t="shared" si="1"/>
        <v/>
      </c>
    </row>
    <row r="38" spans="1:14" ht="12.95" customHeight="1">
      <c r="B38" s="50"/>
      <c r="E38" s="308"/>
      <c r="F38" s="334"/>
      <c r="J38" s="393"/>
      <c r="M38" s="393"/>
      <c r="N38" s="350" t="str">
        <f t="shared" si="1"/>
        <v/>
      </c>
    </row>
    <row r="39" spans="1:14" ht="12.95" customHeight="1">
      <c r="E39" s="308"/>
      <c r="F39" s="334"/>
      <c r="J39" s="393"/>
      <c r="M39" s="393"/>
      <c r="N39" s="350" t="str">
        <f t="shared" si="1"/>
        <v/>
      </c>
    </row>
    <row r="40" spans="1:14" ht="12.95" customHeight="1">
      <c r="E40" s="308"/>
      <c r="F40" s="334"/>
      <c r="J40" s="393"/>
      <c r="M40" s="393"/>
      <c r="N40" s="350" t="str">
        <f t="shared" si="1"/>
        <v/>
      </c>
    </row>
    <row r="41" spans="1:14" ht="12.95" customHeight="1">
      <c r="E41" s="308"/>
      <c r="F41" s="334"/>
      <c r="J41" s="393"/>
      <c r="M41" s="393"/>
      <c r="N41" s="350" t="str">
        <f t="shared" si="1"/>
        <v/>
      </c>
    </row>
    <row r="42" spans="1:14" ht="12.95" customHeight="1">
      <c r="E42" s="308"/>
      <c r="F42" s="334"/>
      <c r="J42" s="393"/>
      <c r="M42" s="393"/>
      <c r="N42" s="350" t="str">
        <f t="shared" si="1"/>
        <v/>
      </c>
    </row>
    <row r="43" spans="1:14" ht="12.95" customHeight="1">
      <c r="E43" s="308"/>
      <c r="F43" s="334"/>
      <c r="J43" s="393"/>
      <c r="M43" s="393"/>
      <c r="N43" s="350" t="str">
        <f t="shared" si="1"/>
        <v/>
      </c>
    </row>
    <row r="44" spans="1:14" ht="12.95" customHeight="1">
      <c r="E44" s="308"/>
      <c r="F44" s="334"/>
      <c r="J44" s="393"/>
      <c r="M44" s="393"/>
      <c r="N44" s="350" t="str">
        <f t="shared" si="1"/>
        <v/>
      </c>
    </row>
    <row r="45" spans="1:14" ht="12.95" customHeight="1">
      <c r="E45" s="308"/>
      <c r="F45" s="334"/>
      <c r="J45" s="393"/>
      <c r="M45" s="393"/>
      <c r="N45" s="350" t="str">
        <f t="shared" si="1"/>
        <v/>
      </c>
    </row>
    <row r="46" spans="1:14" ht="12.95" customHeight="1">
      <c r="E46" s="308"/>
      <c r="F46" s="334"/>
      <c r="J46" s="393"/>
      <c r="M46" s="393"/>
      <c r="N46" s="350" t="str">
        <f t="shared" si="1"/>
        <v/>
      </c>
    </row>
    <row r="47" spans="1:14" ht="12.95" customHeight="1">
      <c r="E47" s="308"/>
      <c r="F47" s="334"/>
      <c r="J47" s="393"/>
      <c r="M47" s="393"/>
      <c r="N47" s="350" t="str">
        <f t="shared" si="1"/>
        <v/>
      </c>
    </row>
    <row r="48" spans="1:14" ht="12.95" customHeight="1">
      <c r="E48" s="308"/>
      <c r="F48" s="334"/>
      <c r="J48" s="393"/>
      <c r="M48" s="393"/>
      <c r="N48" s="350" t="str">
        <f t="shared" si="1"/>
        <v/>
      </c>
    </row>
    <row r="49" spans="5:14" ht="12.95" customHeight="1">
      <c r="E49" s="308"/>
      <c r="F49" s="334"/>
      <c r="J49" s="393"/>
      <c r="M49" s="393"/>
      <c r="N49" s="350" t="str">
        <f t="shared" si="1"/>
        <v/>
      </c>
    </row>
    <row r="50" spans="5:14" ht="12.95" customHeight="1">
      <c r="E50" s="308"/>
      <c r="F50" s="334"/>
      <c r="J50" s="393"/>
      <c r="M50" s="393"/>
      <c r="N50" s="350" t="str">
        <f t="shared" si="1"/>
        <v/>
      </c>
    </row>
    <row r="51" spans="5:14" ht="12.95" customHeight="1">
      <c r="E51" s="308"/>
      <c r="F51" s="334"/>
      <c r="J51" s="393"/>
      <c r="M51" s="393"/>
      <c r="N51" s="350" t="str">
        <f t="shared" si="1"/>
        <v/>
      </c>
    </row>
    <row r="52" spans="5:14" ht="12.95" customHeight="1">
      <c r="E52" s="308"/>
      <c r="F52" s="334"/>
      <c r="J52" s="393"/>
      <c r="M52" s="393"/>
      <c r="N52" s="350" t="str">
        <f t="shared" si="1"/>
        <v/>
      </c>
    </row>
    <row r="53" spans="5:14" ht="12.95" customHeight="1">
      <c r="E53" s="308"/>
      <c r="F53" s="334"/>
      <c r="J53" s="393"/>
      <c r="M53" s="393"/>
      <c r="N53" s="350" t="str">
        <f t="shared" si="1"/>
        <v/>
      </c>
    </row>
    <row r="54" spans="5:14" ht="12.95" customHeight="1">
      <c r="E54" s="308"/>
      <c r="F54" s="334"/>
      <c r="J54" s="393"/>
      <c r="M54" s="393"/>
      <c r="N54" s="350" t="str">
        <f t="shared" si="1"/>
        <v/>
      </c>
    </row>
    <row r="55" spans="5:14" ht="12.95" customHeight="1">
      <c r="E55" s="308"/>
      <c r="F55" s="334"/>
      <c r="J55" s="393"/>
      <c r="M55" s="393"/>
      <c r="N55" s="350" t="str">
        <f t="shared" si="1"/>
        <v/>
      </c>
    </row>
    <row r="56" spans="5:14" ht="12.95" customHeight="1">
      <c r="E56" s="308"/>
      <c r="F56" s="334"/>
      <c r="J56" s="393"/>
      <c r="M56" s="393"/>
      <c r="N56" s="350" t="str">
        <f t="shared" si="1"/>
        <v/>
      </c>
    </row>
    <row r="57" spans="5:14" ht="12.95" customHeight="1">
      <c r="E57" s="308"/>
      <c r="F57" s="334"/>
      <c r="J57" s="393"/>
      <c r="M57" s="393"/>
      <c r="N57" s="350" t="str">
        <f t="shared" si="1"/>
        <v/>
      </c>
    </row>
    <row r="58" spans="5:14" ht="12.95" customHeight="1">
      <c r="E58" s="308"/>
      <c r="F58" s="334"/>
      <c r="J58" s="393"/>
      <c r="M58" s="393"/>
      <c r="N58" s="350" t="str">
        <f t="shared" si="1"/>
        <v/>
      </c>
    </row>
    <row r="59" spans="5:14" ht="12.95" customHeight="1">
      <c r="E59" s="308"/>
      <c r="F59" s="334"/>
      <c r="J59" s="393"/>
      <c r="M59" s="393"/>
      <c r="N59" s="350" t="str">
        <f t="shared" si="1"/>
        <v/>
      </c>
    </row>
    <row r="60" spans="5:14" ht="17.100000000000001" customHeight="1">
      <c r="E60" s="308"/>
      <c r="F60" s="334"/>
      <c r="J60" s="393"/>
      <c r="M60" s="393"/>
      <c r="N60" s="350" t="str">
        <f t="shared" si="1"/>
        <v/>
      </c>
    </row>
    <row r="61" spans="5:14" ht="14.25">
      <c r="E61" s="308"/>
      <c r="F61" s="334"/>
      <c r="J61" s="393"/>
      <c r="M61" s="393"/>
      <c r="N61" s="350" t="str">
        <f t="shared" si="1"/>
        <v/>
      </c>
    </row>
    <row r="62" spans="5:14" ht="14.25">
      <c r="E62" s="308"/>
      <c r="F62" s="334"/>
      <c r="J62" s="393"/>
      <c r="M62" s="393"/>
      <c r="N62" s="350" t="str">
        <f t="shared" si="1"/>
        <v/>
      </c>
    </row>
    <row r="63" spans="5:14" ht="14.25">
      <c r="E63" s="308"/>
      <c r="F63" s="334"/>
      <c r="J63" s="393"/>
      <c r="M63" s="393"/>
      <c r="N63" s="350" t="str">
        <f t="shared" si="1"/>
        <v/>
      </c>
    </row>
    <row r="64" spans="5:14" ht="14.25">
      <c r="E64" s="308"/>
      <c r="F64" s="334"/>
      <c r="J64" s="393"/>
      <c r="M64" s="393"/>
      <c r="N64" s="350" t="str">
        <f t="shared" si="1"/>
        <v/>
      </c>
    </row>
    <row r="65" spans="5:14" ht="14.25">
      <c r="E65" s="308"/>
      <c r="F65" s="334"/>
      <c r="J65" s="393"/>
      <c r="M65" s="393"/>
      <c r="N65" s="350" t="str">
        <f t="shared" si="1"/>
        <v/>
      </c>
    </row>
    <row r="66" spans="5:14" ht="14.25">
      <c r="E66" s="308"/>
      <c r="F66" s="334"/>
      <c r="J66" s="393"/>
      <c r="M66" s="393"/>
      <c r="N66" s="350" t="str">
        <f t="shared" si="1"/>
        <v/>
      </c>
    </row>
    <row r="67" spans="5:14" ht="14.25">
      <c r="E67" s="308"/>
      <c r="F67" s="334"/>
      <c r="J67" s="393"/>
      <c r="M67" s="393"/>
    </row>
    <row r="68" spans="5:14" ht="14.25">
      <c r="E68" s="308"/>
      <c r="F68" s="334"/>
      <c r="J68" s="393"/>
      <c r="M68" s="393"/>
    </row>
    <row r="69" spans="5:14" ht="14.25">
      <c r="E69" s="308"/>
      <c r="F69" s="334"/>
      <c r="J69" s="393"/>
      <c r="M69" s="393"/>
    </row>
    <row r="70" spans="5:14" ht="14.25">
      <c r="E70" s="308"/>
      <c r="F70" s="334"/>
      <c r="J70" s="393"/>
      <c r="M70" s="393"/>
    </row>
    <row r="71" spans="5:14" ht="14.25">
      <c r="E71" s="308"/>
      <c r="F71" s="334"/>
      <c r="J71" s="393"/>
      <c r="M71" s="393"/>
    </row>
    <row r="72" spans="5:14" ht="14.25">
      <c r="E72" s="308"/>
      <c r="F72" s="334"/>
      <c r="J72" s="393"/>
      <c r="M72" s="393"/>
    </row>
    <row r="73" spans="5:14" ht="14.25">
      <c r="E73" s="308"/>
      <c r="F73" s="334"/>
      <c r="J73" s="393"/>
      <c r="M73" s="393"/>
    </row>
    <row r="74" spans="5:14" ht="14.25">
      <c r="E74" s="308"/>
      <c r="F74" s="308"/>
      <c r="J74" s="393"/>
      <c r="M74" s="393"/>
    </row>
    <row r="75" spans="5:14" ht="14.25">
      <c r="E75" s="308"/>
      <c r="F75" s="308"/>
      <c r="J75" s="393"/>
      <c r="M75" s="393"/>
    </row>
    <row r="76" spans="5:14" ht="14.25">
      <c r="E76" s="308"/>
      <c r="F76" s="308"/>
      <c r="J76" s="393"/>
      <c r="M76" s="393"/>
    </row>
    <row r="77" spans="5:14" ht="14.25">
      <c r="E77" s="308"/>
      <c r="F77" s="308"/>
      <c r="J77" s="393"/>
      <c r="M77" s="393"/>
    </row>
    <row r="78" spans="5:14" ht="14.25">
      <c r="E78" s="308"/>
      <c r="F78" s="308"/>
      <c r="J78" s="393"/>
      <c r="M78" s="393"/>
    </row>
    <row r="79" spans="5:14" ht="14.25">
      <c r="E79" s="308"/>
      <c r="F79" s="308"/>
      <c r="J79" s="393"/>
      <c r="M79" s="393"/>
    </row>
    <row r="80" spans="5:14" ht="14.25">
      <c r="E80" s="308"/>
      <c r="F80" s="308"/>
      <c r="J80" s="393"/>
      <c r="M80" s="393"/>
    </row>
    <row r="81" spans="5:13" ht="14.25">
      <c r="E81" s="308"/>
      <c r="F81" s="308"/>
      <c r="J81" s="393"/>
      <c r="M81" s="393"/>
    </row>
    <row r="82" spans="5:13" ht="14.25">
      <c r="E82" s="308"/>
      <c r="F82" s="308"/>
      <c r="J82" s="393"/>
      <c r="M82" s="393"/>
    </row>
    <row r="83" spans="5:13" ht="14.25">
      <c r="E83" s="308"/>
      <c r="F83" s="308"/>
      <c r="J83" s="393"/>
      <c r="M83" s="393"/>
    </row>
    <row r="84" spans="5:13" ht="14.25">
      <c r="E84" s="308"/>
      <c r="F84" s="308"/>
      <c r="J84" s="393"/>
      <c r="M84" s="393"/>
    </row>
    <row r="85" spans="5:13" ht="14.25">
      <c r="E85" s="308"/>
      <c r="F85" s="308"/>
      <c r="J85" s="393"/>
      <c r="M85" s="393"/>
    </row>
    <row r="86" spans="5:13" ht="14.25">
      <c r="E86" s="308"/>
      <c r="F86" s="308"/>
      <c r="J86" s="393"/>
      <c r="M86" s="393"/>
    </row>
    <row r="87" spans="5:13" ht="14.25">
      <c r="E87" s="308"/>
      <c r="F87" s="308"/>
      <c r="J87" s="393"/>
      <c r="M87" s="393"/>
    </row>
    <row r="88" spans="5:13" ht="14.25">
      <c r="E88" s="308"/>
      <c r="F88" s="308"/>
      <c r="J88" s="393"/>
      <c r="M88" s="393"/>
    </row>
    <row r="89" spans="5:13" ht="14.25">
      <c r="E89" s="308"/>
      <c r="F89" s="308"/>
      <c r="J89" s="393"/>
      <c r="M89" s="393"/>
    </row>
    <row r="90" spans="5:13" ht="14.25">
      <c r="E90" s="308"/>
      <c r="F90" s="308"/>
      <c r="J90" s="393"/>
      <c r="M90" s="393"/>
    </row>
    <row r="91" spans="5:13">
      <c r="F91" s="308"/>
    </row>
    <row r="92" spans="5:13">
      <c r="F92" s="308"/>
    </row>
    <row r="93" spans="5:13">
      <c r="F93" s="308"/>
    </row>
    <row r="94" spans="5:13">
      <c r="F94" s="308"/>
    </row>
    <row r="95" spans="5:13">
      <c r="F95" s="308"/>
    </row>
    <row r="96" spans="5:13">
      <c r="F96" s="308"/>
    </row>
  </sheetData>
  <mergeCells count="10">
    <mergeCell ref="N4:N5"/>
    <mergeCell ref="G4:G5"/>
    <mergeCell ref="B2:G2"/>
    <mergeCell ref="H4:J4"/>
    <mergeCell ref="B4:B5"/>
    <mergeCell ref="C4:C5"/>
    <mergeCell ref="D4:D5"/>
    <mergeCell ref="F4:F5"/>
    <mergeCell ref="E4:E5"/>
    <mergeCell ref="K4:M4"/>
  </mergeCells>
  <phoneticPr fontId="2" type="noConversion"/>
  <pageMargins left="0.78740157480314965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rgb="FF00B050"/>
  </sheetPr>
  <dimension ref="A2:L44"/>
  <sheetViews>
    <sheetView zoomScaleNormal="100" workbookViewId="0">
      <selection activeCell="K45" sqref="K45"/>
    </sheetView>
  </sheetViews>
  <sheetFormatPr defaultRowHeight="12.75"/>
  <cols>
    <col min="1" max="1" width="11.85546875" style="34" customWidth="1"/>
    <col min="2" max="2" width="82.28515625" customWidth="1"/>
    <col min="3" max="11" width="10.7109375" customWidth="1"/>
    <col min="12" max="12" width="11.42578125" style="40" customWidth="1"/>
  </cols>
  <sheetData>
    <row r="2" spans="1:12" ht="15.75">
      <c r="A2" s="565" t="s">
        <v>811</v>
      </c>
      <c r="B2" s="611"/>
      <c r="C2" s="611"/>
      <c r="D2" s="611"/>
      <c r="E2" s="611"/>
      <c r="F2" s="611"/>
      <c r="G2" s="611"/>
      <c r="H2" s="611"/>
      <c r="I2" s="611"/>
      <c r="J2" s="611"/>
      <c r="K2" s="611"/>
      <c r="L2" s="611"/>
    </row>
    <row r="4" spans="1:12" s="40" customFormat="1" ht="51">
      <c r="A4" s="139" t="s">
        <v>396</v>
      </c>
      <c r="B4" s="140" t="s">
        <v>414</v>
      </c>
      <c r="C4" s="139" t="s">
        <v>407</v>
      </c>
      <c r="D4" s="139" t="s">
        <v>408</v>
      </c>
      <c r="E4" s="139" t="s">
        <v>415</v>
      </c>
      <c r="F4" s="139" t="s">
        <v>416</v>
      </c>
      <c r="G4" s="139" t="s">
        <v>409</v>
      </c>
      <c r="H4" s="139" t="s">
        <v>410</v>
      </c>
      <c r="I4" s="139" t="s">
        <v>411</v>
      </c>
      <c r="J4" s="139" t="s">
        <v>417</v>
      </c>
      <c r="K4" s="139" t="s">
        <v>412</v>
      </c>
      <c r="L4" s="139" t="s">
        <v>413</v>
      </c>
    </row>
    <row r="5" spans="1:12" ht="15.95" customHeight="1">
      <c r="A5" s="133">
        <v>10010001</v>
      </c>
      <c r="B5" s="21" t="s">
        <v>230</v>
      </c>
      <c r="C5" s="131">
        <f>'1'!M9</f>
        <v>114323</v>
      </c>
      <c r="D5" s="131">
        <f>'1'!M10+'1'!M11</f>
        <v>14901</v>
      </c>
      <c r="E5" s="131">
        <f>'1'!M13</f>
        <v>12083</v>
      </c>
      <c r="F5" s="131">
        <f>'1'!M16</f>
        <v>60094</v>
      </c>
      <c r="G5" s="131">
        <v>0</v>
      </c>
      <c r="H5" s="131">
        <v>0</v>
      </c>
      <c r="I5" s="21">
        <v>0</v>
      </c>
      <c r="J5" s="131">
        <f>'1'!M28</f>
        <v>0</v>
      </c>
      <c r="K5" s="21">
        <v>0</v>
      </c>
      <c r="L5" s="132">
        <f>SUM(C5:K5)</f>
        <v>201401</v>
      </c>
    </row>
    <row r="6" spans="1:12" ht="15.95" customHeight="1">
      <c r="A6" s="133">
        <v>11010001</v>
      </c>
      <c r="B6" s="21" t="s">
        <v>231</v>
      </c>
      <c r="C6" s="131">
        <f>'3'!M14</f>
        <v>31904</v>
      </c>
      <c r="D6" s="131">
        <f>'3'!M15+'3'!M16</f>
        <v>35503</v>
      </c>
      <c r="E6" s="131">
        <f>'3'!M18</f>
        <v>3380</v>
      </c>
      <c r="F6" s="131">
        <f>'3'!M21</f>
        <v>73799</v>
      </c>
      <c r="G6" s="131">
        <f>'3'!M34</f>
        <v>48347</v>
      </c>
      <c r="H6" s="131">
        <f>'3'!M47</f>
        <v>0</v>
      </c>
      <c r="I6" s="21">
        <v>0</v>
      </c>
      <c r="J6" s="131">
        <f>'3'!M50</f>
        <v>1520</v>
      </c>
      <c r="K6" s="21">
        <v>0</v>
      </c>
      <c r="L6" s="132">
        <f t="shared" ref="L6:L40" si="0">SUM(C6:K6)</f>
        <v>194453</v>
      </c>
    </row>
    <row r="7" spans="1:12" ht="15.95" customHeight="1">
      <c r="A7" s="133">
        <v>11010002</v>
      </c>
      <c r="B7" s="21" t="s">
        <v>232</v>
      </c>
      <c r="C7" s="131">
        <f>'4'!M9</f>
        <v>10972</v>
      </c>
      <c r="D7" s="131">
        <f>'4'!M10+'4'!M11</f>
        <v>2487</v>
      </c>
      <c r="E7" s="131">
        <f>'4'!M13</f>
        <v>1163</v>
      </c>
      <c r="F7" s="131">
        <f>'4'!M16</f>
        <v>515</v>
      </c>
      <c r="G7" s="131">
        <f>'4'!M28</f>
        <v>0</v>
      </c>
      <c r="H7" s="21">
        <v>0</v>
      </c>
      <c r="I7" s="21">
        <v>0</v>
      </c>
      <c r="J7" s="131">
        <f>'4'!M31</f>
        <v>403</v>
      </c>
      <c r="K7" s="21">
        <v>0</v>
      </c>
      <c r="L7" s="132">
        <f t="shared" si="0"/>
        <v>15540</v>
      </c>
    </row>
    <row r="8" spans="1:12" ht="15.95" customHeight="1">
      <c r="A8" s="133">
        <v>11010003</v>
      </c>
      <c r="B8" s="21" t="s">
        <v>233</v>
      </c>
      <c r="C8" s="131">
        <f>'5'!M9</f>
        <v>7503</v>
      </c>
      <c r="D8" s="131">
        <f>'5'!M10+'5'!M11</f>
        <v>430</v>
      </c>
      <c r="E8" s="131">
        <f>'5'!M13</f>
        <v>792</v>
      </c>
      <c r="F8" s="131">
        <f>'5'!M16</f>
        <v>744</v>
      </c>
      <c r="G8" s="21">
        <v>0</v>
      </c>
      <c r="H8" s="21">
        <v>0</v>
      </c>
      <c r="I8" s="21">
        <v>0</v>
      </c>
      <c r="J8" s="131">
        <f>'5'!M28</f>
        <v>0</v>
      </c>
      <c r="K8" s="21">
        <v>0</v>
      </c>
      <c r="L8" s="132">
        <f t="shared" si="0"/>
        <v>9469</v>
      </c>
    </row>
    <row r="9" spans="1:12" ht="15.95" customHeight="1">
      <c r="A9" s="133">
        <v>11010004</v>
      </c>
      <c r="B9" s="21" t="s">
        <v>234</v>
      </c>
      <c r="C9" s="131">
        <f>'6'!M9</f>
        <v>16157</v>
      </c>
      <c r="D9" s="131">
        <f>'6'!M10+'6'!M11</f>
        <v>2317</v>
      </c>
      <c r="E9" s="131">
        <f>'6'!M13</f>
        <v>1712</v>
      </c>
      <c r="F9" s="131">
        <f>'6'!M16</f>
        <v>593</v>
      </c>
      <c r="G9" s="21">
        <v>0</v>
      </c>
      <c r="H9" s="21">
        <v>0</v>
      </c>
      <c r="I9" s="21">
        <v>0</v>
      </c>
      <c r="J9" s="131">
        <f>'6'!M28</f>
        <v>0</v>
      </c>
      <c r="K9" s="21">
        <v>0</v>
      </c>
      <c r="L9" s="132">
        <f t="shared" si="0"/>
        <v>20779</v>
      </c>
    </row>
    <row r="10" spans="1:12" ht="15.95" customHeight="1">
      <c r="A10" s="133">
        <v>11010005</v>
      </c>
      <c r="B10" s="234" t="s">
        <v>605</v>
      </c>
      <c r="C10" s="131">
        <f>'7'!M9</f>
        <v>33200</v>
      </c>
      <c r="D10" s="131">
        <f>'7'!M10+'7'!M11</f>
        <v>8421</v>
      </c>
      <c r="E10" s="131">
        <f>'7'!M13</f>
        <v>3522</v>
      </c>
      <c r="F10" s="131">
        <f>'7'!M16</f>
        <v>682</v>
      </c>
      <c r="G10" s="21">
        <v>0</v>
      </c>
      <c r="H10" s="21">
        <v>0</v>
      </c>
      <c r="I10" s="21">
        <v>0</v>
      </c>
      <c r="J10" s="131">
        <f>'7'!M28</f>
        <v>0</v>
      </c>
      <c r="K10" s="21">
        <v>0</v>
      </c>
      <c r="L10" s="132">
        <f t="shared" si="0"/>
        <v>45825</v>
      </c>
    </row>
    <row r="11" spans="1:12" ht="15.95" customHeight="1">
      <c r="A11" s="133">
        <v>12010001</v>
      </c>
      <c r="B11" s="21" t="s">
        <v>235</v>
      </c>
      <c r="C11" s="131">
        <f>'8'!M9</f>
        <v>54041</v>
      </c>
      <c r="D11" s="131">
        <f>'8'!M10+'8'!M11</f>
        <v>15339</v>
      </c>
      <c r="E11" s="131">
        <f>'8'!M13</f>
        <v>5755</v>
      </c>
      <c r="F11" s="131">
        <f>'8'!M16</f>
        <v>110719</v>
      </c>
      <c r="G11" s="21">
        <v>0</v>
      </c>
      <c r="H11" s="21">
        <v>0</v>
      </c>
      <c r="I11" s="21">
        <v>0</v>
      </c>
      <c r="J11" s="131">
        <f>'8'!M28</f>
        <v>74489</v>
      </c>
      <c r="K11" s="21">
        <v>0</v>
      </c>
      <c r="L11" s="132">
        <f t="shared" si="0"/>
        <v>260343</v>
      </c>
    </row>
    <row r="12" spans="1:12" ht="15.95" customHeight="1">
      <c r="A12" s="133">
        <v>13010001</v>
      </c>
      <c r="B12" s="21" t="s">
        <v>395</v>
      </c>
      <c r="C12" s="131">
        <f>'9'!M9</f>
        <v>987341</v>
      </c>
      <c r="D12" s="131">
        <f>'9'!M10+'9'!M11</f>
        <v>175345</v>
      </c>
      <c r="E12" s="131">
        <f>'9'!M13</f>
        <v>152366</v>
      </c>
      <c r="F12" s="131">
        <f>'9'!M16</f>
        <v>161242</v>
      </c>
      <c r="G12" s="21">
        <v>0</v>
      </c>
      <c r="H12" s="21">
        <v>0</v>
      </c>
      <c r="I12" s="21">
        <v>0</v>
      </c>
      <c r="J12" s="131">
        <f>'9'!M28</f>
        <v>283</v>
      </c>
      <c r="K12" s="21">
        <v>0</v>
      </c>
      <c r="L12" s="132">
        <f t="shared" si="0"/>
        <v>1476577</v>
      </c>
    </row>
    <row r="13" spans="1:12" ht="15.95" customHeight="1">
      <c r="A13" s="133">
        <v>14010001</v>
      </c>
      <c r="B13" s="21" t="s">
        <v>237</v>
      </c>
      <c r="C13" s="131">
        <f>'10'!M9</f>
        <v>16942</v>
      </c>
      <c r="D13" s="131">
        <f>'10'!M10+'10'!M11</f>
        <v>2300</v>
      </c>
      <c r="E13" s="131">
        <f>'10'!M13</f>
        <v>1795</v>
      </c>
      <c r="F13" s="131">
        <f>'10'!M16</f>
        <v>16589</v>
      </c>
      <c r="G13" s="21">
        <v>0</v>
      </c>
      <c r="H13" s="21">
        <v>0</v>
      </c>
      <c r="I13" s="21">
        <v>0</v>
      </c>
      <c r="J13" s="131">
        <f>'10'!M28</f>
        <v>0</v>
      </c>
      <c r="K13" s="21">
        <v>0</v>
      </c>
      <c r="L13" s="132">
        <f t="shared" si="0"/>
        <v>37626</v>
      </c>
    </row>
    <row r="14" spans="1:12" ht="15.95" customHeight="1">
      <c r="A14" s="133">
        <v>14020003</v>
      </c>
      <c r="B14" s="21" t="s">
        <v>238</v>
      </c>
      <c r="C14" s="131">
        <f>'11'!M9</f>
        <v>243768</v>
      </c>
      <c r="D14" s="131">
        <f>'11'!M10+'11'!M11</f>
        <v>35988</v>
      </c>
      <c r="E14" s="131">
        <f>'11'!M13</f>
        <v>25810</v>
      </c>
      <c r="F14" s="131">
        <f>'11'!M16</f>
        <v>55254</v>
      </c>
      <c r="G14" s="21">
        <v>0</v>
      </c>
      <c r="H14" s="21">
        <v>0</v>
      </c>
      <c r="I14" s="21">
        <v>0</v>
      </c>
      <c r="J14" s="131">
        <f>'11'!M29</f>
        <v>19890</v>
      </c>
      <c r="K14" s="21">
        <v>0</v>
      </c>
      <c r="L14" s="132">
        <f t="shared" si="0"/>
        <v>380710</v>
      </c>
    </row>
    <row r="15" spans="1:12" ht="15.95" customHeight="1">
      <c r="A15" s="133">
        <v>14050001</v>
      </c>
      <c r="B15" s="21" t="s">
        <v>239</v>
      </c>
      <c r="C15" s="131">
        <f>'12'!M9</f>
        <v>7231</v>
      </c>
      <c r="D15" s="131">
        <f>'12'!M10+'12'!M11</f>
        <v>840</v>
      </c>
      <c r="E15" s="131">
        <f>'12'!M13</f>
        <v>765</v>
      </c>
      <c r="F15" s="131">
        <f>'12'!M16</f>
        <v>946</v>
      </c>
      <c r="G15" s="21">
        <v>0</v>
      </c>
      <c r="H15" s="21">
        <v>0</v>
      </c>
      <c r="I15" s="21">
        <v>0</v>
      </c>
      <c r="J15" s="131">
        <f>'12'!M28</f>
        <v>0</v>
      </c>
      <c r="K15" s="21">
        <v>0</v>
      </c>
      <c r="L15" s="132">
        <f t="shared" si="0"/>
        <v>9782</v>
      </c>
    </row>
    <row r="16" spans="1:12" ht="15.95" customHeight="1">
      <c r="A16" s="133">
        <v>14050002</v>
      </c>
      <c r="B16" s="21" t="s">
        <v>240</v>
      </c>
      <c r="C16" s="131">
        <f>'13'!M9</f>
        <v>7807</v>
      </c>
      <c r="D16" s="131">
        <f>'13'!M10+'13'!M11</f>
        <v>1550</v>
      </c>
      <c r="E16" s="131">
        <f>'13'!M13</f>
        <v>830</v>
      </c>
      <c r="F16" s="131">
        <f>'13'!M16</f>
        <v>244</v>
      </c>
      <c r="G16" s="21">
        <v>0</v>
      </c>
      <c r="H16" s="21">
        <v>0</v>
      </c>
      <c r="I16" s="21">
        <v>0</v>
      </c>
      <c r="J16" s="131">
        <f>'13'!M28</f>
        <v>0</v>
      </c>
      <c r="K16" s="21">
        <v>0</v>
      </c>
      <c r="L16" s="132">
        <f t="shared" si="0"/>
        <v>10431</v>
      </c>
    </row>
    <row r="17" spans="1:12" ht="15.95" customHeight="1">
      <c r="A17" s="133">
        <v>14060001</v>
      </c>
      <c r="B17" s="21" t="s">
        <v>241</v>
      </c>
      <c r="C17" s="131">
        <f>'14'!M9</f>
        <v>16736</v>
      </c>
      <c r="D17" s="131">
        <f>'14'!M10+'14'!M11</f>
        <v>1758</v>
      </c>
      <c r="E17" s="131">
        <f>'14'!M13</f>
        <v>1771</v>
      </c>
      <c r="F17" s="131">
        <f>'14'!M16</f>
        <v>568</v>
      </c>
      <c r="G17" s="21">
        <v>0</v>
      </c>
      <c r="H17" s="21">
        <v>0</v>
      </c>
      <c r="I17" s="21">
        <v>0</v>
      </c>
      <c r="J17" s="131">
        <f>'14'!M28</f>
        <v>0</v>
      </c>
      <c r="K17" s="21">
        <v>0</v>
      </c>
      <c r="L17" s="132">
        <f t="shared" si="0"/>
        <v>20833</v>
      </c>
    </row>
    <row r="18" spans="1:12" ht="15.95" customHeight="1">
      <c r="A18" s="133">
        <v>15010001</v>
      </c>
      <c r="B18" s="21" t="s">
        <v>242</v>
      </c>
      <c r="C18" s="131">
        <f>'15'!M9</f>
        <v>44125</v>
      </c>
      <c r="D18" s="131">
        <f>'15'!M10+'15'!M11</f>
        <v>6224</v>
      </c>
      <c r="E18" s="131">
        <f>'15'!M13</f>
        <v>4669</v>
      </c>
      <c r="F18" s="131">
        <f>'15'!M16</f>
        <v>5223</v>
      </c>
      <c r="G18" s="131">
        <f>'15'!M29</f>
        <v>74617</v>
      </c>
      <c r="H18" s="21">
        <v>0</v>
      </c>
      <c r="I18" s="21">
        <v>0</v>
      </c>
      <c r="J18" s="131">
        <f>'15'!M32</f>
        <v>0</v>
      </c>
      <c r="K18" s="21">
        <v>0</v>
      </c>
      <c r="L18" s="132">
        <f t="shared" si="0"/>
        <v>134858</v>
      </c>
    </row>
    <row r="19" spans="1:12" ht="15.95" customHeight="1">
      <c r="A19" s="133">
        <v>16010001</v>
      </c>
      <c r="B19" s="21" t="s">
        <v>243</v>
      </c>
      <c r="C19" s="131">
        <f>'16'!M12</f>
        <v>75063</v>
      </c>
      <c r="D19" s="131">
        <f>'16'!M13+'16'!M14</f>
        <v>16281</v>
      </c>
      <c r="E19" s="131">
        <f>'16'!M16</f>
        <v>8275</v>
      </c>
      <c r="F19" s="131">
        <f>'16'!M19</f>
        <v>24732</v>
      </c>
      <c r="G19" s="131">
        <f>'16'!M32</f>
        <v>6085</v>
      </c>
      <c r="H19" s="21">
        <v>0</v>
      </c>
      <c r="I19" s="131">
        <f>'16'!M37</f>
        <v>0</v>
      </c>
      <c r="J19" s="131">
        <f>'16'!M41</f>
        <v>1377</v>
      </c>
      <c r="K19" s="131">
        <f>'16'!M45</f>
        <v>215141</v>
      </c>
      <c r="L19" s="132">
        <f t="shared" si="0"/>
        <v>346954</v>
      </c>
    </row>
    <row r="20" spans="1:12" ht="15.95" customHeight="1">
      <c r="A20" s="133">
        <v>17010001</v>
      </c>
      <c r="B20" s="21" t="s">
        <v>244</v>
      </c>
      <c r="C20" s="131">
        <f>'17'!M9</f>
        <v>50050</v>
      </c>
      <c r="D20" s="131">
        <f>'17'!M10+'17'!M11</f>
        <v>7678</v>
      </c>
      <c r="E20" s="131">
        <f>'17'!M13</f>
        <v>5300</v>
      </c>
      <c r="F20" s="131">
        <f>'17'!M16</f>
        <v>21233</v>
      </c>
      <c r="G20" s="131">
        <f>'17'!M28</f>
        <v>620701</v>
      </c>
      <c r="H20" s="131">
        <v>0</v>
      </c>
      <c r="I20" s="21">
        <v>0</v>
      </c>
      <c r="J20" s="131">
        <f>'17'!M34</f>
        <v>240</v>
      </c>
      <c r="K20" s="21">
        <v>0</v>
      </c>
      <c r="L20" s="132">
        <f t="shared" si="0"/>
        <v>705202</v>
      </c>
    </row>
    <row r="21" spans="1:12" ht="15.95" customHeight="1">
      <c r="A21" s="133">
        <v>18010001</v>
      </c>
      <c r="B21" s="21" t="s">
        <v>245</v>
      </c>
      <c r="C21" s="131">
        <f>'18'!M9</f>
        <v>49174</v>
      </c>
      <c r="D21" s="131">
        <f>'18'!M10+'18'!M11</f>
        <v>8910</v>
      </c>
      <c r="E21" s="131">
        <f>'18'!M13</f>
        <v>5212</v>
      </c>
      <c r="F21" s="131">
        <f>'18'!M16</f>
        <v>42611</v>
      </c>
      <c r="G21" s="131">
        <f>'18'!M29</f>
        <v>0</v>
      </c>
      <c r="H21" s="21">
        <v>0</v>
      </c>
      <c r="I21" s="21">
        <v>0</v>
      </c>
      <c r="J21" s="131">
        <f>'18'!M33</f>
        <v>189</v>
      </c>
      <c r="K21" s="21">
        <v>0</v>
      </c>
      <c r="L21" s="132">
        <f t="shared" si="0"/>
        <v>106096</v>
      </c>
    </row>
    <row r="22" spans="1:12" ht="15.95" customHeight="1">
      <c r="A22" s="133">
        <v>19010001</v>
      </c>
      <c r="B22" s="21" t="s">
        <v>246</v>
      </c>
      <c r="C22" s="131">
        <f>'19'!M9</f>
        <v>118140</v>
      </c>
      <c r="D22" s="131">
        <f>'19'!M10+'19'!M11</f>
        <v>20143</v>
      </c>
      <c r="E22" s="131">
        <f>'19'!M13</f>
        <v>13095</v>
      </c>
      <c r="F22" s="131">
        <f>'19'!M16</f>
        <v>21828</v>
      </c>
      <c r="G22" s="131">
        <f>'19'!M28</f>
        <v>0</v>
      </c>
      <c r="H22" s="21">
        <v>0</v>
      </c>
      <c r="I22" s="21">
        <v>0</v>
      </c>
      <c r="J22" s="131">
        <f>'19'!M34</f>
        <v>33222</v>
      </c>
      <c r="K22" s="21">
        <v>0</v>
      </c>
      <c r="L22" s="132">
        <f t="shared" si="0"/>
        <v>206428</v>
      </c>
    </row>
    <row r="23" spans="1:12" ht="15.95" customHeight="1">
      <c r="A23" s="133">
        <v>20010001</v>
      </c>
      <c r="B23" s="21" t="s">
        <v>247</v>
      </c>
      <c r="C23" s="131">
        <f>'20'!M9</f>
        <v>63909</v>
      </c>
      <c r="D23" s="131">
        <f>'20'!M10+'20'!M11</f>
        <v>9460</v>
      </c>
      <c r="E23" s="131">
        <f>'20'!M13</f>
        <v>6765</v>
      </c>
      <c r="F23" s="131">
        <f>'20'!M16</f>
        <v>16234</v>
      </c>
      <c r="G23" s="131">
        <f>'20'!M30</f>
        <v>176496</v>
      </c>
      <c r="H23" s="131">
        <v>0</v>
      </c>
      <c r="I23" s="131">
        <f>'20'!M41</f>
        <v>1615</v>
      </c>
      <c r="J23" s="131">
        <f>'20'!M44</f>
        <v>1931</v>
      </c>
      <c r="K23" s="131">
        <f>'20'!M48</f>
        <v>35586</v>
      </c>
      <c r="L23" s="132">
        <f t="shared" si="0"/>
        <v>311996</v>
      </c>
    </row>
    <row r="24" spans="1:12" ht="15.95" customHeight="1">
      <c r="A24" s="133">
        <v>20020002</v>
      </c>
      <c r="B24" s="21" t="s">
        <v>397</v>
      </c>
      <c r="C24" s="131">
        <f>'21'!M9</f>
        <v>221829</v>
      </c>
      <c r="D24" s="131">
        <f>'21'!M10+'21'!M11</f>
        <v>40526</v>
      </c>
      <c r="E24" s="131">
        <f>'21'!M13</f>
        <v>23540</v>
      </c>
      <c r="F24" s="131">
        <f>'21'!M16</f>
        <v>29805</v>
      </c>
      <c r="G24" s="21">
        <v>0</v>
      </c>
      <c r="H24" s="21">
        <v>0</v>
      </c>
      <c r="I24" s="21">
        <v>0</v>
      </c>
      <c r="J24" s="131">
        <f>'21'!M28</f>
        <v>0</v>
      </c>
      <c r="K24" s="21">
        <v>0</v>
      </c>
      <c r="L24" s="132">
        <f t="shared" si="0"/>
        <v>315700</v>
      </c>
    </row>
    <row r="25" spans="1:12" ht="15.95" customHeight="1">
      <c r="A25" s="133">
        <v>20020003</v>
      </c>
      <c r="B25" s="21" t="s">
        <v>398</v>
      </c>
      <c r="C25" s="131">
        <f>'22'!M9</f>
        <v>206847</v>
      </c>
      <c r="D25" s="131">
        <f>'22'!M10+'22'!M11</f>
        <v>47493</v>
      </c>
      <c r="E25" s="131">
        <f>'22'!M13</f>
        <v>22140</v>
      </c>
      <c r="F25" s="131">
        <f>'22'!M16</f>
        <v>92902</v>
      </c>
      <c r="G25" s="21">
        <v>0</v>
      </c>
      <c r="H25" s="21">
        <v>0</v>
      </c>
      <c r="I25" s="21">
        <v>0</v>
      </c>
      <c r="J25" s="131">
        <f>'22'!M28</f>
        <v>0</v>
      </c>
      <c r="K25" s="21">
        <v>0</v>
      </c>
      <c r="L25" s="132">
        <f t="shared" si="0"/>
        <v>369382</v>
      </c>
    </row>
    <row r="26" spans="1:12" ht="15.95" customHeight="1">
      <c r="A26" s="133">
        <v>20020004</v>
      </c>
      <c r="B26" s="21" t="s">
        <v>399</v>
      </c>
      <c r="C26" s="131">
        <f>'23'!M9</f>
        <v>173935</v>
      </c>
      <c r="D26" s="131">
        <f>'23'!M10+'23'!M11</f>
        <v>37119</v>
      </c>
      <c r="E26" s="131">
        <f>'23'!M13</f>
        <v>18602</v>
      </c>
      <c r="F26" s="131">
        <f>'23'!M16</f>
        <v>30549</v>
      </c>
      <c r="G26" s="21">
        <v>0</v>
      </c>
      <c r="H26" s="21">
        <v>0</v>
      </c>
      <c r="I26" s="21">
        <v>0</v>
      </c>
      <c r="J26" s="131">
        <f>'23'!M29</f>
        <v>0</v>
      </c>
      <c r="K26" s="21">
        <v>0</v>
      </c>
      <c r="L26" s="132">
        <f t="shared" si="0"/>
        <v>260205</v>
      </c>
    </row>
    <row r="27" spans="1:12" ht="15.95" customHeight="1">
      <c r="A27" s="133">
        <v>20030001</v>
      </c>
      <c r="B27" s="21" t="s">
        <v>400</v>
      </c>
      <c r="C27" s="131">
        <f>'24'!M9</f>
        <v>207762</v>
      </c>
      <c r="D27" s="131">
        <f>'24'!M10+'24'!M11</f>
        <v>34733</v>
      </c>
      <c r="E27" s="131">
        <f>'24'!M13</f>
        <v>22391</v>
      </c>
      <c r="F27" s="131">
        <f>'24'!M16</f>
        <v>34017</v>
      </c>
      <c r="G27" s="21">
        <v>0</v>
      </c>
      <c r="H27" s="21">
        <v>0</v>
      </c>
      <c r="I27" s="21">
        <v>0</v>
      </c>
      <c r="J27" s="131">
        <f>'24'!M28</f>
        <v>0</v>
      </c>
      <c r="K27" s="21">
        <v>0</v>
      </c>
      <c r="L27" s="132">
        <f t="shared" si="0"/>
        <v>298903</v>
      </c>
    </row>
    <row r="28" spans="1:12" ht="15.95" customHeight="1">
      <c r="A28" s="133">
        <v>20030002</v>
      </c>
      <c r="B28" s="21" t="s">
        <v>401</v>
      </c>
      <c r="C28" s="131">
        <f>'25'!M9</f>
        <v>457376</v>
      </c>
      <c r="D28" s="131">
        <f>'25'!M10+'25'!M11</f>
        <v>83613</v>
      </c>
      <c r="E28" s="131">
        <f>'25'!M13</f>
        <v>49738</v>
      </c>
      <c r="F28" s="131">
        <f>'25'!M16</f>
        <v>47596</v>
      </c>
      <c r="G28" s="21">
        <v>0</v>
      </c>
      <c r="H28" s="21">
        <v>0</v>
      </c>
      <c r="I28" s="21">
        <v>0</v>
      </c>
      <c r="J28" s="131">
        <f>'25'!M28</f>
        <v>4577</v>
      </c>
      <c r="K28" s="21">
        <v>0</v>
      </c>
      <c r="L28" s="132">
        <f t="shared" si="0"/>
        <v>642900</v>
      </c>
    </row>
    <row r="29" spans="1:12" ht="15.95" customHeight="1">
      <c r="A29" s="133">
        <v>20030003</v>
      </c>
      <c r="B29" s="21" t="s">
        <v>402</v>
      </c>
      <c r="C29" s="131">
        <f>'26'!M9</f>
        <v>129821</v>
      </c>
      <c r="D29" s="131">
        <f>'26'!M10+'26'!M11</f>
        <v>22939</v>
      </c>
      <c r="E29" s="131">
        <f>'26'!M13</f>
        <v>13976</v>
      </c>
      <c r="F29" s="131">
        <f>'26'!M16</f>
        <v>15842</v>
      </c>
      <c r="G29" s="21">
        <v>0</v>
      </c>
      <c r="H29" s="21">
        <v>0</v>
      </c>
      <c r="I29" s="21">
        <v>0</v>
      </c>
      <c r="J29" s="131">
        <f>'26'!M28</f>
        <v>2111</v>
      </c>
      <c r="K29" s="21">
        <v>0</v>
      </c>
      <c r="L29" s="132">
        <f t="shared" si="0"/>
        <v>184689</v>
      </c>
    </row>
    <row r="30" spans="1:12" ht="15.95" customHeight="1">
      <c r="A30" s="133">
        <v>20030004</v>
      </c>
      <c r="B30" s="21" t="s">
        <v>403</v>
      </c>
      <c r="C30" s="131">
        <f>'27'!M9</f>
        <v>159423</v>
      </c>
      <c r="D30" s="131">
        <f>'27'!M10+'27'!M11</f>
        <v>26566</v>
      </c>
      <c r="E30" s="131">
        <f>'27'!M13</f>
        <v>18285</v>
      </c>
      <c r="F30" s="131">
        <f>'27'!M16</f>
        <v>27587</v>
      </c>
      <c r="G30" s="21">
        <v>0</v>
      </c>
      <c r="H30" s="21">
        <v>0</v>
      </c>
      <c r="I30" s="21">
        <v>0</v>
      </c>
      <c r="J30" s="131">
        <f>'27'!M28</f>
        <v>4899</v>
      </c>
      <c r="K30" s="21">
        <v>0</v>
      </c>
      <c r="L30" s="132">
        <f t="shared" si="0"/>
        <v>236760</v>
      </c>
    </row>
    <row r="31" spans="1:12" ht="15.95" customHeight="1">
      <c r="A31" s="133">
        <v>20030005</v>
      </c>
      <c r="B31" s="21" t="s">
        <v>404</v>
      </c>
      <c r="C31" s="131">
        <f>'28'!M9</f>
        <v>202834</v>
      </c>
      <c r="D31" s="131">
        <f>'28'!M10+'28'!M11</f>
        <v>36294</v>
      </c>
      <c r="E31" s="131">
        <f>'28'!M13</f>
        <v>22544</v>
      </c>
      <c r="F31" s="131">
        <f>'28'!M16</f>
        <v>25291</v>
      </c>
      <c r="G31" s="21">
        <v>0</v>
      </c>
      <c r="H31" s="21">
        <v>0</v>
      </c>
      <c r="I31" s="21">
        <v>0</v>
      </c>
      <c r="J31" s="131">
        <f>'28'!M28</f>
        <v>630</v>
      </c>
      <c r="K31" s="21">
        <v>0</v>
      </c>
      <c r="L31" s="132">
        <f t="shared" si="0"/>
        <v>287593</v>
      </c>
    </row>
    <row r="32" spans="1:12" ht="15.95" customHeight="1">
      <c r="A32" s="133">
        <v>20030006</v>
      </c>
      <c r="B32" s="21" t="s">
        <v>405</v>
      </c>
      <c r="C32" s="131">
        <f>'29'!M9</f>
        <v>78237</v>
      </c>
      <c r="D32" s="131">
        <f>'29'!M10+'29'!M11</f>
        <v>14411</v>
      </c>
      <c r="E32" s="131">
        <f>'29'!M13</f>
        <v>8875</v>
      </c>
      <c r="F32" s="131">
        <f>'29'!M16</f>
        <v>8327</v>
      </c>
      <c r="G32" s="21">
        <v>0</v>
      </c>
      <c r="H32" s="21">
        <v>0</v>
      </c>
      <c r="I32" s="21">
        <v>0</v>
      </c>
      <c r="J32" s="131">
        <f>'29'!M28</f>
        <v>0</v>
      </c>
      <c r="K32" s="21">
        <v>0</v>
      </c>
      <c r="L32" s="132">
        <f t="shared" si="0"/>
        <v>109850</v>
      </c>
    </row>
    <row r="33" spans="1:12" ht="15.95" customHeight="1">
      <c r="A33" s="133">
        <v>20030007</v>
      </c>
      <c r="B33" s="21" t="s">
        <v>406</v>
      </c>
      <c r="C33" s="131">
        <f>'30'!M9</f>
        <v>120618</v>
      </c>
      <c r="D33" s="131">
        <f>'30'!M10+'30'!M11</f>
        <v>24290</v>
      </c>
      <c r="E33" s="131">
        <f>'30'!M13</f>
        <v>12988</v>
      </c>
      <c r="F33" s="131">
        <f>'30'!M16</f>
        <v>20500</v>
      </c>
      <c r="G33" s="21">
        <v>0</v>
      </c>
      <c r="H33" s="21">
        <v>0</v>
      </c>
      <c r="I33" s="21">
        <v>0</v>
      </c>
      <c r="J33" s="131">
        <f>'30'!M28</f>
        <v>2899</v>
      </c>
      <c r="K33" s="21">
        <v>0</v>
      </c>
      <c r="L33" s="132">
        <f t="shared" si="0"/>
        <v>181295</v>
      </c>
    </row>
    <row r="34" spans="1:12" ht="15.95" customHeight="1">
      <c r="A34" s="133">
        <v>21010001</v>
      </c>
      <c r="B34" s="21" t="s">
        <v>257</v>
      </c>
      <c r="C34" s="131">
        <f>'31'!M9</f>
        <v>48114</v>
      </c>
      <c r="D34" s="131">
        <f>'31'!M10+'31'!M11</f>
        <v>11033</v>
      </c>
      <c r="E34" s="131">
        <f>'31'!M13</f>
        <v>5108</v>
      </c>
      <c r="F34" s="131">
        <f>'31'!M16</f>
        <v>9463</v>
      </c>
      <c r="G34" s="131">
        <f>'31'!M28</f>
        <v>196372</v>
      </c>
      <c r="H34" s="21">
        <v>0</v>
      </c>
      <c r="I34" s="21">
        <v>0</v>
      </c>
      <c r="J34" s="131">
        <f>'31'!M31</f>
        <v>0</v>
      </c>
      <c r="K34" s="21">
        <v>0</v>
      </c>
      <c r="L34" s="132">
        <f t="shared" si="0"/>
        <v>270090</v>
      </c>
    </row>
    <row r="35" spans="1:12" ht="15.95" customHeight="1">
      <c r="A35" s="133">
        <v>22010001</v>
      </c>
      <c r="B35" s="21" t="s">
        <v>258</v>
      </c>
      <c r="C35" s="131">
        <f>'32'!M9</f>
        <v>20864</v>
      </c>
      <c r="D35" s="131">
        <f>'32'!M10+'32'!M11</f>
        <v>4184</v>
      </c>
      <c r="E35" s="131">
        <f>'32'!M13</f>
        <v>2212</v>
      </c>
      <c r="F35" s="131">
        <f>'32'!M16</f>
        <v>1852</v>
      </c>
      <c r="G35" s="21">
        <v>0</v>
      </c>
      <c r="H35" s="21">
        <v>0</v>
      </c>
      <c r="I35" s="21">
        <v>0</v>
      </c>
      <c r="J35" s="131">
        <f>'32'!M28</f>
        <v>0</v>
      </c>
      <c r="K35" s="21">
        <v>0</v>
      </c>
      <c r="L35" s="132">
        <f t="shared" si="0"/>
        <v>29112</v>
      </c>
    </row>
    <row r="36" spans="1:12" ht="15.95" customHeight="1">
      <c r="A36" s="133">
        <v>23010001</v>
      </c>
      <c r="B36" s="21" t="s">
        <v>259</v>
      </c>
      <c r="C36" s="131">
        <f>'33'!M9</f>
        <v>44016</v>
      </c>
      <c r="D36" s="131">
        <f>'33'!M10+'33'!M11</f>
        <v>8597</v>
      </c>
      <c r="E36" s="131">
        <f>'33'!M13</f>
        <v>4973</v>
      </c>
      <c r="F36" s="131">
        <f>'33'!M16</f>
        <v>12572</v>
      </c>
      <c r="G36" s="131">
        <f>'33'!M28</f>
        <v>0</v>
      </c>
      <c r="H36" s="21">
        <v>0</v>
      </c>
      <c r="I36" s="21">
        <v>0</v>
      </c>
      <c r="J36" s="131">
        <f>'33'!M32</f>
        <v>0</v>
      </c>
      <c r="K36" s="21">
        <v>0</v>
      </c>
      <c r="L36" s="132">
        <f t="shared" si="0"/>
        <v>70158</v>
      </c>
    </row>
    <row r="37" spans="1:12" ht="15.95" customHeight="1">
      <c r="A37" s="133">
        <v>24010001</v>
      </c>
      <c r="B37" s="21" t="s">
        <v>260</v>
      </c>
      <c r="C37" s="131">
        <f>'34'!M9</f>
        <v>109912</v>
      </c>
      <c r="D37" s="131">
        <f>'34'!M10+'34'!M11</f>
        <v>14890</v>
      </c>
      <c r="E37" s="131">
        <f>'34'!M13</f>
        <v>11618</v>
      </c>
      <c r="F37" s="131">
        <f>'34'!M16</f>
        <v>24855</v>
      </c>
      <c r="G37" s="21">
        <v>0</v>
      </c>
      <c r="H37" s="21">
        <v>0</v>
      </c>
      <c r="I37" s="21">
        <v>0</v>
      </c>
      <c r="J37" s="131">
        <f>'34'!M28</f>
        <v>0</v>
      </c>
      <c r="K37" s="21">
        <v>0</v>
      </c>
      <c r="L37" s="132">
        <f t="shared" si="0"/>
        <v>161275</v>
      </c>
    </row>
    <row r="38" spans="1:12" ht="15.95" customHeight="1">
      <c r="A38" s="133">
        <v>26010001</v>
      </c>
      <c r="B38" s="21" t="s">
        <v>261</v>
      </c>
      <c r="C38" s="131">
        <f>'35'!M9</f>
        <v>14725</v>
      </c>
      <c r="D38" s="131">
        <f>'35'!M10+'35'!M11</f>
        <v>1604</v>
      </c>
      <c r="E38" s="131">
        <f>'35'!M13</f>
        <v>1558</v>
      </c>
      <c r="F38" s="131">
        <f>'35'!M16</f>
        <v>1329</v>
      </c>
      <c r="G38" s="131">
        <v>0</v>
      </c>
      <c r="H38" s="21">
        <v>0</v>
      </c>
      <c r="I38" s="21">
        <v>0</v>
      </c>
      <c r="J38" s="131">
        <f>'35'!M28</f>
        <v>0</v>
      </c>
      <c r="K38" s="21">
        <v>0</v>
      </c>
      <c r="L38" s="132">
        <f t="shared" si="0"/>
        <v>19216</v>
      </c>
    </row>
    <row r="39" spans="1:12" ht="15.95" customHeight="1">
      <c r="A39" s="133">
        <v>27010001</v>
      </c>
      <c r="B39" s="21" t="s">
        <v>262</v>
      </c>
      <c r="C39" s="131">
        <f>'36'!M9</f>
        <v>99621</v>
      </c>
      <c r="D39" s="131">
        <f>'36'!M10+'36'!M11</f>
        <v>12783</v>
      </c>
      <c r="E39" s="131">
        <f>'36'!M13</f>
        <v>10954</v>
      </c>
      <c r="F39" s="131">
        <f>'36'!M16</f>
        <v>18029</v>
      </c>
      <c r="G39" s="21">
        <v>0</v>
      </c>
      <c r="H39" s="21">
        <v>0</v>
      </c>
      <c r="I39" s="21">
        <v>0</v>
      </c>
      <c r="J39" s="131">
        <f>'36'!M28</f>
        <v>0</v>
      </c>
      <c r="K39" s="21">
        <v>0</v>
      </c>
      <c r="L39" s="132">
        <f t="shared" si="0"/>
        <v>141387</v>
      </c>
    </row>
    <row r="40" spans="1:12" ht="15.95" customHeight="1">
      <c r="A40" s="133">
        <v>28010001</v>
      </c>
      <c r="B40" s="21" t="s">
        <v>263</v>
      </c>
      <c r="C40" s="131">
        <f>'37'!M9</f>
        <v>87372</v>
      </c>
      <c r="D40" s="131">
        <f>'37'!M10+'37'!M11</f>
        <v>12629</v>
      </c>
      <c r="E40" s="131">
        <f>'37'!M13</f>
        <v>9245</v>
      </c>
      <c r="F40" s="131">
        <f>'37'!M16</f>
        <v>7293</v>
      </c>
      <c r="G40" s="131">
        <v>0</v>
      </c>
      <c r="H40" s="21">
        <v>0</v>
      </c>
      <c r="I40" s="21">
        <v>0</v>
      </c>
      <c r="J40" s="131">
        <f>'37'!M28</f>
        <v>0</v>
      </c>
      <c r="K40" s="21">
        <v>0</v>
      </c>
      <c r="L40" s="132">
        <f t="shared" si="0"/>
        <v>116539</v>
      </c>
    </row>
    <row r="41" spans="1:12" s="40" customFormat="1" ht="15.95" customHeight="1">
      <c r="A41" s="78"/>
      <c r="B41" s="137" t="s">
        <v>418</v>
      </c>
      <c r="C41" s="138">
        <f>SUM(C5:C40)</f>
        <v>4331692</v>
      </c>
      <c r="D41" s="138">
        <f t="shared" ref="D41:K41" si="1">SUM(D5:D40)</f>
        <v>799579</v>
      </c>
      <c r="E41" s="138">
        <f t="shared" si="1"/>
        <v>513807</v>
      </c>
      <c r="F41" s="138">
        <f t="shared" si="1"/>
        <v>1021659</v>
      </c>
      <c r="G41" s="138">
        <f t="shared" si="1"/>
        <v>1122618</v>
      </c>
      <c r="H41" s="138">
        <f t="shared" si="1"/>
        <v>0</v>
      </c>
      <c r="I41" s="138">
        <f t="shared" si="1"/>
        <v>1615</v>
      </c>
      <c r="J41" s="138">
        <f t="shared" si="1"/>
        <v>148660</v>
      </c>
      <c r="K41" s="138">
        <f t="shared" si="1"/>
        <v>250727</v>
      </c>
      <c r="L41" s="138">
        <f>SUM(L5:L40)</f>
        <v>8190357</v>
      </c>
    </row>
    <row r="42" spans="1:12" ht="18" customHeight="1">
      <c r="B42" t="s">
        <v>419</v>
      </c>
      <c r="L42" s="91">
        <f>Rashodi!K9</f>
        <v>80450</v>
      </c>
    </row>
    <row r="43" spans="1:12" ht="18" customHeight="1">
      <c r="B43" t="s">
        <v>440</v>
      </c>
      <c r="L43" s="91">
        <f>Uvod!E42</f>
        <v>1488390</v>
      </c>
    </row>
    <row r="44" spans="1:12" ht="18" customHeight="1">
      <c r="A44" s="134"/>
      <c r="B44" s="136" t="s">
        <v>418</v>
      </c>
      <c r="C44" s="135"/>
      <c r="D44" s="135"/>
      <c r="E44" s="135"/>
      <c r="F44" s="135"/>
      <c r="G44" s="135"/>
      <c r="H44" s="135"/>
      <c r="I44" s="135"/>
      <c r="J44" s="135"/>
      <c r="K44" s="135"/>
      <c r="L44" s="141">
        <f>L41+L42+L43</f>
        <v>9759197</v>
      </c>
    </row>
  </sheetData>
  <mergeCells count="1">
    <mergeCell ref="A2:L2"/>
  </mergeCells>
  <phoneticPr fontId="0" type="noConversion"/>
  <pageMargins left="0.9055118110236221" right="0.31496062992125984" top="0.35433070866141736" bottom="0.51181102362204722" header="0.39370078740157483" footer="0.31496062992125984"/>
  <pageSetup paperSize="9" scale="67" orientation="landscape" r:id="rId1"/>
  <headerFooter alignWithMargins="0">
    <oddFooter>&amp;R&amp;P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>
  <dimension ref="A2:I119"/>
  <sheetViews>
    <sheetView topLeftCell="A43" zoomScaleNormal="100" zoomScaleSheetLayoutView="100" workbookViewId="0">
      <selection activeCell="K45" sqref="K45"/>
    </sheetView>
  </sheetViews>
  <sheetFormatPr defaultRowHeight="12.75"/>
  <cols>
    <col min="1" max="1" width="6.140625" style="445" customWidth="1"/>
    <col min="2" max="2" width="6.85546875" customWidth="1"/>
    <col min="3" max="3" width="11.5703125" customWidth="1"/>
    <col min="4" max="4" width="74.85546875" customWidth="1"/>
    <col min="5" max="6" width="17.7109375" customWidth="1"/>
    <col min="7" max="7" width="8.85546875" customWidth="1"/>
  </cols>
  <sheetData>
    <row r="2" spans="2:9" ht="15">
      <c r="B2" s="612" t="s">
        <v>809</v>
      </c>
      <c r="C2" s="535"/>
      <c r="D2" s="535"/>
      <c r="E2" s="535"/>
      <c r="F2" s="535"/>
      <c r="G2" s="535"/>
    </row>
    <row r="3" spans="2:9" ht="15">
      <c r="B3" s="146"/>
      <c r="C3" s="148"/>
      <c r="D3" s="147"/>
      <c r="E3" s="147"/>
      <c r="F3" s="147"/>
    </row>
    <row r="4" spans="2:9">
      <c r="B4" s="149"/>
      <c r="C4" s="149"/>
      <c r="D4" s="150"/>
      <c r="E4" s="151"/>
      <c r="F4" s="151"/>
    </row>
    <row r="5" spans="2:9" ht="66" customHeight="1">
      <c r="B5" s="152" t="s">
        <v>264</v>
      </c>
      <c r="C5" s="153" t="s">
        <v>442</v>
      </c>
      <c r="D5" s="153" t="s">
        <v>443</v>
      </c>
      <c r="E5" s="154" t="s">
        <v>647</v>
      </c>
      <c r="F5" s="154" t="s">
        <v>810</v>
      </c>
      <c r="G5" s="154" t="s">
        <v>55</v>
      </c>
    </row>
    <row r="6" spans="2:9">
      <c r="B6" s="155"/>
      <c r="C6" s="156">
        <v>1</v>
      </c>
      <c r="D6" s="156">
        <v>2</v>
      </c>
      <c r="E6" s="157">
        <v>3</v>
      </c>
      <c r="F6" s="157">
        <v>4</v>
      </c>
      <c r="G6" s="261">
        <v>5</v>
      </c>
    </row>
    <row r="7" spans="2:9">
      <c r="B7" s="516">
        <v>1</v>
      </c>
      <c r="C7" s="517"/>
      <c r="D7" s="517" t="s">
        <v>54</v>
      </c>
      <c r="E7" s="518">
        <f>E8+E17+E23+E30+E40+E47+E54+E61+E68+E77</f>
        <v>41220340</v>
      </c>
      <c r="F7" s="518">
        <f>F8+F17+F23+F30+F40+F47+F54+F61+F68+F77</f>
        <v>8270807</v>
      </c>
      <c r="G7" s="519">
        <f>IF(E7=0,"",F7/E7*100)</f>
        <v>20.064868460570679</v>
      </c>
      <c r="I7" s="65"/>
    </row>
    <row r="8" spans="2:9">
      <c r="B8" s="516">
        <v>2</v>
      </c>
      <c r="C8" s="520" t="s">
        <v>81</v>
      </c>
      <c r="D8" s="521" t="s">
        <v>58</v>
      </c>
      <c r="E8" s="518">
        <f>SUM(E9:E16)</f>
        <v>5803250</v>
      </c>
      <c r="F8" s="518">
        <f>SUM(F9:F16)</f>
        <v>1175214</v>
      </c>
      <c r="G8" s="522">
        <f>IF(E8=0,"",F8/E8*100)</f>
        <v>20.250962822556325</v>
      </c>
    </row>
    <row r="9" spans="2:9" ht="14.1" customHeight="1">
      <c r="B9" s="155">
        <v>3</v>
      </c>
      <c r="C9" s="158" t="s">
        <v>444</v>
      </c>
      <c r="D9" s="159" t="s">
        <v>59</v>
      </c>
      <c r="E9" s="128">
        <v>5022500</v>
      </c>
      <c r="F9" s="128">
        <f>'1'!M33+'3'!M56+'4'!M36+'5'!M33+'6'!M33+'7'!M33+'16'!M50</f>
        <v>914871</v>
      </c>
      <c r="G9" s="160">
        <f>IF(E9=0,"",F9/E9*100)</f>
        <v>18.215450472872075</v>
      </c>
    </row>
    <row r="10" spans="2:9" ht="14.1" customHeight="1">
      <c r="B10" s="155">
        <v>4</v>
      </c>
      <c r="C10" s="158" t="s">
        <v>445</v>
      </c>
      <c r="D10" s="159" t="s">
        <v>446</v>
      </c>
      <c r="E10" s="128">
        <v>0</v>
      </c>
      <c r="F10" s="128">
        <v>0</v>
      </c>
      <c r="G10" s="160" t="str">
        <f t="shared" ref="G10:G73" si="0">IF(E10=0,"",F10/E10*100)</f>
        <v/>
      </c>
    </row>
    <row r="11" spans="2:9" ht="14.1" customHeight="1">
      <c r="B11" s="155">
        <v>5</v>
      </c>
      <c r="C11" s="158" t="s">
        <v>447</v>
      </c>
      <c r="D11" s="159" t="s">
        <v>448</v>
      </c>
      <c r="E11" s="128">
        <v>780750</v>
      </c>
      <c r="F11" s="128">
        <f>'8'!M33</f>
        <v>260343</v>
      </c>
      <c r="G11" s="160">
        <f t="shared" si="0"/>
        <v>33.345244956772333</v>
      </c>
    </row>
    <row r="12" spans="2:9" ht="14.1" customHeight="1">
      <c r="B12" s="155">
        <v>6</v>
      </c>
      <c r="C12" s="158" t="s">
        <v>449</v>
      </c>
      <c r="D12" s="159" t="s">
        <v>450</v>
      </c>
      <c r="E12" s="128">
        <v>0</v>
      </c>
      <c r="F12" s="128">
        <v>0</v>
      </c>
      <c r="G12" s="160" t="str">
        <f t="shared" si="0"/>
        <v/>
      </c>
    </row>
    <row r="13" spans="2:9" ht="14.1" customHeight="1">
      <c r="B13" s="155">
        <v>7</v>
      </c>
      <c r="C13" s="158" t="s">
        <v>451</v>
      </c>
      <c r="D13" s="159" t="s">
        <v>452</v>
      </c>
      <c r="E13" s="128">
        <v>0</v>
      </c>
      <c r="F13" s="128">
        <v>0</v>
      </c>
      <c r="G13" s="160" t="str">
        <f t="shared" si="0"/>
        <v/>
      </c>
    </row>
    <row r="14" spans="2:9" ht="14.1" customHeight="1">
      <c r="B14" s="155">
        <v>8</v>
      </c>
      <c r="C14" s="158" t="s">
        <v>453</v>
      </c>
      <c r="D14" s="159" t="s">
        <v>454</v>
      </c>
      <c r="E14" s="128">
        <v>0</v>
      </c>
      <c r="F14" s="128">
        <v>0</v>
      </c>
      <c r="G14" s="160" t="str">
        <f t="shared" si="0"/>
        <v/>
      </c>
    </row>
    <row r="15" spans="2:9" ht="14.1" customHeight="1">
      <c r="B15" s="155">
        <v>9</v>
      </c>
      <c r="C15" s="158" t="s">
        <v>455</v>
      </c>
      <c r="D15" s="159" t="s">
        <v>456</v>
      </c>
      <c r="E15" s="128">
        <v>0</v>
      </c>
      <c r="F15" s="128">
        <v>0</v>
      </c>
      <c r="G15" s="160" t="str">
        <f t="shared" si="0"/>
        <v/>
      </c>
    </row>
    <row r="16" spans="2:9" ht="14.1" customHeight="1">
      <c r="B16" s="155">
        <v>10</v>
      </c>
      <c r="C16" s="158" t="s">
        <v>457</v>
      </c>
      <c r="D16" s="159" t="s">
        <v>60</v>
      </c>
      <c r="E16" s="128">
        <v>0</v>
      </c>
      <c r="F16" s="128">
        <v>0</v>
      </c>
      <c r="G16" s="160" t="str">
        <f t="shared" si="0"/>
        <v/>
      </c>
    </row>
    <row r="17" spans="2:7" ht="14.1" customHeight="1">
      <c r="B17" s="516">
        <v>11</v>
      </c>
      <c r="C17" s="520" t="s">
        <v>132</v>
      </c>
      <c r="D17" s="521" t="s">
        <v>61</v>
      </c>
      <c r="E17" s="518">
        <f>SUM(E18:E22)</f>
        <v>0</v>
      </c>
      <c r="F17" s="518">
        <f>SUM(F18:F22)</f>
        <v>0</v>
      </c>
      <c r="G17" s="522" t="str">
        <f t="shared" si="0"/>
        <v/>
      </c>
    </row>
    <row r="18" spans="2:7" ht="14.1" customHeight="1">
      <c r="B18" s="155">
        <v>12</v>
      </c>
      <c r="C18" s="158" t="s">
        <v>458</v>
      </c>
      <c r="D18" s="159" t="s">
        <v>62</v>
      </c>
      <c r="E18" s="128">
        <v>0</v>
      </c>
      <c r="F18" s="128">
        <v>0</v>
      </c>
      <c r="G18" s="160" t="str">
        <f t="shared" si="0"/>
        <v/>
      </c>
    </row>
    <row r="19" spans="2:7" ht="14.1" customHeight="1">
      <c r="B19" s="155">
        <v>13</v>
      </c>
      <c r="C19" s="158" t="s">
        <v>459</v>
      </c>
      <c r="D19" s="159" t="s">
        <v>63</v>
      </c>
      <c r="E19" s="128">
        <v>0</v>
      </c>
      <c r="F19" s="128">
        <v>0</v>
      </c>
      <c r="G19" s="160" t="str">
        <f t="shared" si="0"/>
        <v/>
      </c>
    </row>
    <row r="20" spans="2:7" ht="14.1" customHeight="1">
      <c r="B20" s="155">
        <v>14</v>
      </c>
      <c r="C20" s="158" t="s">
        <v>460</v>
      </c>
      <c r="D20" s="159" t="s">
        <v>64</v>
      </c>
      <c r="E20" s="128">
        <v>0</v>
      </c>
      <c r="F20" s="128">
        <v>0</v>
      </c>
      <c r="G20" s="160" t="str">
        <f t="shared" si="0"/>
        <v/>
      </c>
    </row>
    <row r="21" spans="2:7" ht="14.1" customHeight="1">
      <c r="B21" s="155">
        <v>15</v>
      </c>
      <c r="C21" s="158" t="s">
        <v>461</v>
      </c>
      <c r="D21" s="159" t="s">
        <v>65</v>
      </c>
      <c r="E21" s="128">
        <v>0</v>
      </c>
      <c r="F21" s="128">
        <v>0</v>
      </c>
      <c r="G21" s="160" t="str">
        <f t="shared" si="0"/>
        <v/>
      </c>
    </row>
    <row r="22" spans="2:7" ht="14.1" customHeight="1">
      <c r="B22" s="155">
        <v>16</v>
      </c>
      <c r="C22" s="158" t="s">
        <v>462</v>
      </c>
      <c r="D22" s="159" t="s">
        <v>66</v>
      </c>
      <c r="E22" s="128">
        <v>0</v>
      </c>
      <c r="F22" s="128">
        <v>0</v>
      </c>
      <c r="G22" s="160" t="str">
        <f t="shared" si="0"/>
        <v/>
      </c>
    </row>
    <row r="23" spans="2:7" ht="14.1" customHeight="1">
      <c r="B23" s="516">
        <v>17</v>
      </c>
      <c r="C23" s="520" t="s">
        <v>145</v>
      </c>
      <c r="D23" s="521" t="s">
        <v>609</v>
      </c>
      <c r="E23" s="518">
        <f>SUM(E24:E29)</f>
        <v>10058170</v>
      </c>
      <c r="F23" s="518">
        <f>SUM(F24:F29)</f>
        <v>2327995</v>
      </c>
      <c r="G23" s="522">
        <f t="shared" si="0"/>
        <v>23.14531371014807</v>
      </c>
    </row>
    <row r="24" spans="2:7" ht="14.1" customHeight="1">
      <c r="B24" s="155">
        <v>18</v>
      </c>
      <c r="C24" s="158" t="s">
        <v>463</v>
      </c>
      <c r="D24" s="159" t="s">
        <v>464</v>
      </c>
      <c r="E24" s="128">
        <v>6308670</v>
      </c>
      <c r="F24" s="128">
        <f>'9'!M33</f>
        <v>1476577</v>
      </c>
      <c r="G24" s="160">
        <f t="shared" si="0"/>
        <v>23.40551970542127</v>
      </c>
    </row>
    <row r="25" spans="2:7" ht="14.1" customHeight="1">
      <c r="B25" s="155">
        <v>19</v>
      </c>
      <c r="C25" s="158" t="s">
        <v>465</v>
      </c>
      <c r="D25" s="159" t="s">
        <v>610</v>
      </c>
      <c r="E25" s="128">
        <v>384590</v>
      </c>
      <c r="F25" s="128">
        <f>'33'!M37</f>
        <v>70158</v>
      </c>
      <c r="G25" s="160">
        <f t="shared" si="0"/>
        <v>18.242283990743388</v>
      </c>
    </row>
    <row r="26" spans="2:7" ht="14.1" customHeight="1">
      <c r="B26" s="155">
        <v>20</v>
      </c>
      <c r="C26" s="158" t="s">
        <v>466</v>
      </c>
      <c r="D26" s="159" t="s">
        <v>467</v>
      </c>
      <c r="E26" s="128">
        <v>3182420</v>
      </c>
      <c r="F26" s="128">
        <f>'11'!M34+'12'!M33+'13'!M33+'14'!M33+'34'!M33+'35'!M33+'36'!M33</f>
        <v>743634</v>
      </c>
      <c r="G26" s="160">
        <f t="shared" si="0"/>
        <v>23.366934596941949</v>
      </c>
    </row>
    <row r="27" spans="2:7" ht="14.1" customHeight="1">
      <c r="B27" s="155">
        <v>21</v>
      </c>
      <c r="C27" s="158" t="s">
        <v>468</v>
      </c>
      <c r="D27" s="159" t="s">
        <v>469</v>
      </c>
      <c r="E27" s="128">
        <v>0</v>
      </c>
      <c r="F27" s="128">
        <v>0</v>
      </c>
      <c r="G27" s="160" t="str">
        <f t="shared" si="0"/>
        <v/>
      </c>
    </row>
    <row r="28" spans="2:7" ht="14.1" customHeight="1">
      <c r="B28" s="155">
        <v>22</v>
      </c>
      <c r="C28" s="158" t="s">
        <v>470</v>
      </c>
      <c r="D28" s="159" t="s">
        <v>471</v>
      </c>
      <c r="E28" s="128">
        <v>0</v>
      </c>
      <c r="F28" s="128">
        <v>0</v>
      </c>
      <c r="G28" s="160" t="str">
        <f t="shared" si="0"/>
        <v/>
      </c>
    </row>
    <row r="29" spans="2:7" ht="14.1" customHeight="1">
      <c r="B29" s="155">
        <v>23</v>
      </c>
      <c r="C29" s="158" t="s">
        <v>472</v>
      </c>
      <c r="D29" s="159" t="s">
        <v>473</v>
      </c>
      <c r="E29" s="128">
        <v>182490</v>
      </c>
      <c r="F29" s="128">
        <f>'10'!M33</f>
        <v>37626</v>
      </c>
      <c r="G29" s="160">
        <f t="shared" si="0"/>
        <v>20.618116061154034</v>
      </c>
    </row>
    <row r="30" spans="2:7" ht="14.1" customHeight="1">
      <c r="B30" s="516">
        <v>24</v>
      </c>
      <c r="C30" s="520" t="s">
        <v>474</v>
      </c>
      <c r="D30" s="521" t="s">
        <v>475</v>
      </c>
      <c r="E30" s="518">
        <f>SUM(E31:E39)</f>
        <v>6068880</v>
      </c>
      <c r="F30" s="518">
        <f>SUM(F31:F39)</f>
        <v>593033</v>
      </c>
      <c r="G30" s="522">
        <f t="shared" si="0"/>
        <v>9.7717041694678421</v>
      </c>
    </row>
    <row r="31" spans="2:7" ht="14.1" customHeight="1">
      <c r="B31" s="155">
        <v>25</v>
      </c>
      <c r="C31" s="158" t="s">
        <v>476</v>
      </c>
      <c r="D31" s="159" t="s">
        <v>477</v>
      </c>
      <c r="E31" s="128">
        <v>0</v>
      </c>
      <c r="F31" s="128">
        <v>0</v>
      </c>
      <c r="G31" s="160" t="str">
        <f t="shared" si="0"/>
        <v/>
      </c>
    </row>
    <row r="32" spans="2:7" ht="14.1" customHeight="1">
      <c r="B32" s="155">
        <v>26</v>
      </c>
      <c r="C32" s="158" t="s">
        <v>478</v>
      </c>
      <c r="D32" s="159" t="s">
        <v>479</v>
      </c>
      <c r="E32" s="128">
        <v>2535230</v>
      </c>
      <c r="F32" s="128">
        <f>'19'!M39</f>
        <v>206428</v>
      </c>
      <c r="G32" s="160">
        <f t="shared" si="0"/>
        <v>8.1423776146542917</v>
      </c>
    </row>
    <row r="33" spans="2:7" ht="14.1" customHeight="1">
      <c r="B33" s="155">
        <v>27</v>
      </c>
      <c r="C33" s="158" t="s">
        <v>480</v>
      </c>
      <c r="D33" s="159" t="s">
        <v>481</v>
      </c>
      <c r="E33" s="128">
        <v>0</v>
      </c>
      <c r="F33" s="128">
        <v>0</v>
      </c>
      <c r="G33" s="160" t="str">
        <f t="shared" si="0"/>
        <v/>
      </c>
    </row>
    <row r="34" spans="2:7" ht="14.1" customHeight="1">
      <c r="B34" s="155">
        <v>28</v>
      </c>
      <c r="C34" s="158" t="s">
        <v>482</v>
      </c>
      <c r="D34" s="159" t="s">
        <v>483</v>
      </c>
      <c r="E34" s="128">
        <v>0</v>
      </c>
      <c r="F34" s="128">
        <v>0</v>
      </c>
      <c r="G34" s="160" t="str">
        <f t="shared" si="0"/>
        <v/>
      </c>
    </row>
    <row r="35" spans="2:7" ht="14.1" customHeight="1">
      <c r="B35" s="155">
        <v>29</v>
      </c>
      <c r="C35" s="158" t="s">
        <v>484</v>
      </c>
      <c r="D35" s="159" t="s">
        <v>67</v>
      </c>
      <c r="E35" s="128">
        <v>0</v>
      </c>
      <c r="F35" s="128">
        <v>0</v>
      </c>
      <c r="G35" s="160" t="str">
        <f t="shared" si="0"/>
        <v/>
      </c>
    </row>
    <row r="36" spans="2:7" ht="14.1" customHeight="1">
      <c r="B36" s="155">
        <v>30</v>
      </c>
      <c r="C36" s="158" t="s">
        <v>485</v>
      </c>
      <c r="D36" s="159" t="s">
        <v>486</v>
      </c>
      <c r="E36" s="128">
        <v>0</v>
      </c>
      <c r="F36" s="128">
        <v>0</v>
      </c>
      <c r="G36" s="160" t="str">
        <f t="shared" si="0"/>
        <v/>
      </c>
    </row>
    <row r="37" spans="2:7" ht="14.1" customHeight="1">
      <c r="B37" s="155">
        <v>31</v>
      </c>
      <c r="C37" s="158" t="s">
        <v>487</v>
      </c>
      <c r="D37" s="159" t="s">
        <v>488</v>
      </c>
      <c r="E37" s="128">
        <v>0</v>
      </c>
      <c r="F37" s="128">
        <v>0</v>
      </c>
      <c r="G37" s="160" t="str">
        <f t="shared" si="0"/>
        <v/>
      </c>
    </row>
    <row r="38" spans="2:7" ht="14.1" customHeight="1">
      <c r="B38" s="155">
        <v>32</v>
      </c>
      <c r="C38" s="158" t="s">
        <v>489</v>
      </c>
      <c r="D38" s="159" t="s">
        <v>490</v>
      </c>
      <c r="E38" s="128">
        <v>0</v>
      </c>
      <c r="F38" s="128">
        <v>0</v>
      </c>
      <c r="G38" s="160" t="str">
        <f t="shared" si="0"/>
        <v/>
      </c>
    </row>
    <row r="39" spans="2:7" ht="14.1" customHeight="1">
      <c r="B39" s="155">
        <v>33</v>
      </c>
      <c r="C39" s="158" t="s">
        <v>491</v>
      </c>
      <c r="D39" s="159" t="s">
        <v>492</v>
      </c>
      <c r="E39" s="128">
        <v>3533650</v>
      </c>
      <c r="F39" s="128">
        <f>'15'!M37+'18'!M39+'32'!M33+'37'!M33</f>
        <v>386605</v>
      </c>
      <c r="G39" s="160">
        <f t="shared" si="0"/>
        <v>10.940670411614054</v>
      </c>
    </row>
    <row r="40" spans="2:7" ht="14.1" customHeight="1">
      <c r="B40" s="516">
        <v>34</v>
      </c>
      <c r="C40" s="520" t="s">
        <v>133</v>
      </c>
      <c r="D40" s="521" t="s">
        <v>493</v>
      </c>
      <c r="E40" s="518">
        <f>SUM(E41:E46)</f>
        <v>0</v>
      </c>
      <c r="F40" s="518">
        <f>SUM(F41:F46)</f>
        <v>0</v>
      </c>
      <c r="G40" s="522" t="str">
        <f t="shared" si="0"/>
        <v/>
      </c>
    </row>
    <row r="41" spans="2:7" ht="14.1" customHeight="1">
      <c r="B41" s="155">
        <v>35</v>
      </c>
      <c r="C41" s="158" t="s">
        <v>494</v>
      </c>
      <c r="D41" s="159" t="s">
        <v>495</v>
      </c>
      <c r="E41" s="128">
        <v>0</v>
      </c>
      <c r="F41" s="128">
        <v>0</v>
      </c>
      <c r="G41" s="160" t="str">
        <f t="shared" si="0"/>
        <v/>
      </c>
    </row>
    <row r="42" spans="2:7" ht="14.1" customHeight="1">
      <c r="B42" s="155">
        <v>36</v>
      </c>
      <c r="C42" s="158" t="s">
        <v>496</v>
      </c>
      <c r="D42" s="159" t="s">
        <v>497</v>
      </c>
      <c r="E42" s="128">
        <v>0</v>
      </c>
      <c r="F42" s="128">
        <v>0</v>
      </c>
      <c r="G42" s="160" t="str">
        <f t="shared" si="0"/>
        <v/>
      </c>
    </row>
    <row r="43" spans="2:7" ht="14.1" customHeight="1">
      <c r="B43" s="155">
        <v>37</v>
      </c>
      <c r="C43" s="158" t="s">
        <v>498</v>
      </c>
      <c r="D43" s="159" t="s">
        <v>499</v>
      </c>
      <c r="E43" s="128">
        <v>0</v>
      </c>
      <c r="F43" s="128">
        <v>0</v>
      </c>
      <c r="G43" s="160" t="str">
        <f t="shared" si="0"/>
        <v/>
      </c>
    </row>
    <row r="44" spans="2:7" ht="14.1" customHeight="1">
      <c r="B44" s="155">
        <v>38</v>
      </c>
      <c r="C44" s="158" t="s">
        <v>500</v>
      </c>
      <c r="D44" s="159" t="s">
        <v>68</v>
      </c>
      <c r="E44" s="128">
        <v>0</v>
      </c>
      <c r="F44" s="128">
        <v>0</v>
      </c>
      <c r="G44" s="160" t="str">
        <f t="shared" si="0"/>
        <v/>
      </c>
    </row>
    <row r="45" spans="2:7" ht="14.1" customHeight="1">
      <c r="B45" s="155">
        <v>39</v>
      </c>
      <c r="C45" s="158" t="s">
        <v>501</v>
      </c>
      <c r="D45" s="159" t="s">
        <v>56</v>
      </c>
      <c r="E45" s="128">
        <v>0</v>
      </c>
      <c r="F45" s="128">
        <v>0</v>
      </c>
      <c r="G45" s="160" t="str">
        <f t="shared" si="0"/>
        <v/>
      </c>
    </row>
    <row r="46" spans="2:7" ht="14.1" customHeight="1">
      <c r="B46" s="155">
        <v>40</v>
      </c>
      <c r="C46" s="158" t="s">
        <v>502</v>
      </c>
      <c r="D46" s="159" t="s">
        <v>503</v>
      </c>
      <c r="E46" s="128">
        <v>0</v>
      </c>
      <c r="F46" s="128">
        <v>0</v>
      </c>
      <c r="G46" s="160" t="str">
        <f t="shared" si="0"/>
        <v/>
      </c>
    </row>
    <row r="47" spans="2:7" ht="14.1" customHeight="1">
      <c r="B47" s="516">
        <v>41</v>
      </c>
      <c r="C47" s="520" t="s">
        <v>197</v>
      </c>
      <c r="D47" s="521" t="s">
        <v>504</v>
      </c>
      <c r="E47" s="518">
        <f>SUM(E48:E53)</f>
        <v>0</v>
      </c>
      <c r="F47" s="518">
        <f>SUM(F48:F53)</f>
        <v>0</v>
      </c>
      <c r="G47" s="522" t="str">
        <f t="shared" si="0"/>
        <v/>
      </c>
    </row>
    <row r="48" spans="2:7" ht="14.1" customHeight="1">
      <c r="B48" s="155">
        <v>42</v>
      </c>
      <c r="C48" s="158" t="s">
        <v>505</v>
      </c>
      <c r="D48" s="159" t="s">
        <v>506</v>
      </c>
      <c r="E48" s="128">
        <v>0</v>
      </c>
      <c r="F48" s="128">
        <v>0</v>
      </c>
      <c r="G48" s="160" t="str">
        <f t="shared" si="0"/>
        <v/>
      </c>
    </row>
    <row r="49" spans="2:7" ht="14.1" customHeight="1">
      <c r="B49" s="155">
        <v>43</v>
      </c>
      <c r="C49" s="158" t="s">
        <v>507</v>
      </c>
      <c r="D49" s="159" t="s">
        <v>508</v>
      </c>
      <c r="E49" s="128">
        <v>0</v>
      </c>
      <c r="F49" s="128">
        <v>0</v>
      </c>
      <c r="G49" s="160" t="str">
        <f t="shared" si="0"/>
        <v/>
      </c>
    </row>
    <row r="50" spans="2:7" ht="14.1" customHeight="1">
      <c r="B50" s="155">
        <v>44</v>
      </c>
      <c r="C50" s="158" t="s">
        <v>509</v>
      </c>
      <c r="D50" s="159" t="s">
        <v>69</v>
      </c>
      <c r="E50" s="128">
        <v>0</v>
      </c>
      <c r="F50" s="128">
        <v>0</v>
      </c>
      <c r="G50" s="160" t="str">
        <f t="shared" si="0"/>
        <v/>
      </c>
    </row>
    <row r="51" spans="2:7" ht="14.1" customHeight="1">
      <c r="B51" s="155">
        <v>45</v>
      </c>
      <c r="C51" s="158" t="s">
        <v>510</v>
      </c>
      <c r="D51" s="159" t="s">
        <v>511</v>
      </c>
      <c r="E51" s="128">
        <v>0</v>
      </c>
      <c r="F51" s="128">
        <v>0</v>
      </c>
      <c r="G51" s="160" t="str">
        <f t="shared" si="0"/>
        <v/>
      </c>
    </row>
    <row r="52" spans="2:7" ht="14.1" customHeight="1">
      <c r="B52" s="155">
        <v>46</v>
      </c>
      <c r="C52" s="158" t="s">
        <v>512</v>
      </c>
      <c r="D52" s="159" t="s">
        <v>513</v>
      </c>
      <c r="E52" s="128">
        <v>0</v>
      </c>
      <c r="F52" s="128">
        <v>0</v>
      </c>
      <c r="G52" s="160" t="str">
        <f t="shared" si="0"/>
        <v/>
      </c>
    </row>
    <row r="53" spans="2:7" ht="14.1" customHeight="1">
      <c r="B53" s="155">
        <v>47</v>
      </c>
      <c r="C53" s="158" t="s">
        <v>514</v>
      </c>
      <c r="D53" s="159" t="s">
        <v>515</v>
      </c>
      <c r="E53" s="128">
        <v>0</v>
      </c>
      <c r="F53" s="128">
        <v>0</v>
      </c>
      <c r="G53" s="160" t="str">
        <f t="shared" si="0"/>
        <v/>
      </c>
    </row>
    <row r="54" spans="2:7" ht="14.1" customHeight="1">
      <c r="B54" s="516">
        <v>48</v>
      </c>
      <c r="C54" s="520" t="s">
        <v>516</v>
      </c>
      <c r="D54" s="521" t="s">
        <v>517</v>
      </c>
      <c r="E54" s="518">
        <f>SUM(E55:E60)</f>
        <v>60000</v>
      </c>
      <c r="F54" s="518">
        <f>SUM(F55:F60)</f>
        <v>0</v>
      </c>
      <c r="G54" s="522">
        <f t="shared" si="0"/>
        <v>0</v>
      </c>
    </row>
    <row r="55" spans="2:7" ht="14.1" customHeight="1">
      <c r="B55" s="155">
        <v>49</v>
      </c>
      <c r="C55" s="158" t="s">
        <v>518</v>
      </c>
      <c r="D55" s="159" t="s">
        <v>519</v>
      </c>
      <c r="E55" s="128">
        <v>0</v>
      </c>
      <c r="F55" s="128">
        <v>0</v>
      </c>
      <c r="G55" s="160" t="str">
        <f t="shared" si="0"/>
        <v/>
      </c>
    </row>
    <row r="56" spans="2:7" ht="14.1" customHeight="1">
      <c r="B56" s="155">
        <v>50</v>
      </c>
      <c r="C56" s="158" t="s">
        <v>520</v>
      </c>
      <c r="D56" s="159" t="s">
        <v>70</v>
      </c>
      <c r="E56" s="128">
        <v>0</v>
      </c>
      <c r="F56" s="128">
        <v>0</v>
      </c>
      <c r="G56" s="160" t="str">
        <f t="shared" si="0"/>
        <v/>
      </c>
    </row>
    <row r="57" spans="2:7" ht="14.1" customHeight="1">
      <c r="B57" s="155">
        <v>51</v>
      </c>
      <c r="C57" s="158" t="s">
        <v>0</v>
      </c>
      <c r="D57" s="159" t="s">
        <v>1</v>
      </c>
      <c r="E57" s="128">
        <v>0</v>
      </c>
      <c r="F57" s="128">
        <v>0</v>
      </c>
      <c r="G57" s="160" t="str">
        <f t="shared" si="0"/>
        <v/>
      </c>
    </row>
    <row r="58" spans="2:7" ht="14.1" customHeight="1">
      <c r="B58" s="155">
        <v>52</v>
      </c>
      <c r="C58" s="158" t="s">
        <v>2</v>
      </c>
      <c r="D58" s="159" t="s">
        <v>3</v>
      </c>
      <c r="E58" s="128">
        <v>0</v>
      </c>
      <c r="F58" s="128">
        <v>0</v>
      </c>
      <c r="G58" s="160" t="str">
        <f t="shared" si="0"/>
        <v/>
      </c>
    </row>
    <row r="59" spans="2:7" ht="14.1" customHeight="1">
      <c r="B59" s="155">
        <v>53</v>
      </c>
      <c r="C59" s="158" t="s">
        <v>4</v>
      </c>
      <c r="D59" s="159" t="s">
        <v>5</v>
      </c>
      <c r="E59" s="128">
        <v>0</v>
      </c>
      <c r="F59" s="128">
        <v>0</v>
      </c>
      <c r="G59" s="160" t="str">
        <f t="shared" si="0"/>
        <v/>
      </c>
    </row>
    <row r="60" spans="2:7" ht="14.1" customHeight="1">
      <c r="B60" s="155">
        <v>54</v>
      </c>
      <c r="C60" s="158" t="s">
        <v>6</v>
      </c>
      <c r="D60" s="159" t="s">
        <v>7</v>
      </c>
      <c r="E60" s="128">
        <v>60000</v>
      </c>
      <c r="F60" s="128">
        <v>0</v>
      </c>
      <c r="G60" s="160">
        <f t="shared" si="0"/>
        <v>0</v>
      </c>
    </row>
    <row r="61" spans="2:7">
      <c r="B61" s="516">
        <v>55</v>
      </c>
      <c r="C61" s="520" t="s">
        <v>8</v>
      </c>
      <c r="D61" s="521" t="s">
        <v>9</v>
      </c>
      <c r="E61" s="518">
        <f>SUM(E62:E67)</f>
        <v>530000</v>
      </c>
      <c r="F61" s="518">
        <f>SUM(F62:F67)</f>
        <v>69250</v>
      </c>
      <c r="G61" s="522">
        <f t="shared" si="0"/>
        <v>13.066037735849056</v>
      </c>
    </row>
    <row r="62" spans="2:7">
      <c r="B62" s="155">
        <v>56</v>
      </c>
      <c r="C62" s="158" t="s">
        <v>10</v>
      </c>
      <c r="D62" s="159" t="s">
        <v>71</v>
      </c>
      <c r="E62" s="128">
        <v>280000</v>
      </c>
      <c r="F62" s="128">
        <f>'20'!M33</f>
        <v>56250</v>
      </c>
      <c r="G62" s="161">
        <f t="shared" si="0"/>
        <v>20.089285714285715</v>
      </c>
    </row>
    <row r="63" spans="2:7">
      <c r="B63" s="155">
        <v>57</v>
      </c>
      <c r="C63" s="158" t="s">
        <v>11</v>
      </c>
      <c r="D63" s="159" t="s">
        <v>12</v>
      </c>
      <c r="E63" s="128">
        <v>60000</v>
      </c>
      <c r="F63" s="128">
        <f>'20'!M34</f>
        <v>3100</v>
      </c>
      <c r="G63" s="161">
        <f t="shared" si="0"/>
        <v>5.166666666666667</v>
      </c>
    </row>
    <row r="64" spans="2:7">
      <c r="B64" s="155">
        <v>58</v>
      </c>
      <c r="C64" s="158" t="s">
        <v>13</v>
      </c>
      <c r="D64" s="159" t="s">
        <v>72</v>
      </c>
      <c r="E64" s="128">
        <v>40000</v>
      </c>
      <c r="F64" s="128">
        <f>'20'!M38</f>
        <v>9900</v>
      </c>
      <c r="G64" s="161">
        <f t="shared" si="0"/>
        <v>24.75</v>
      </c>
    </row>
    <row r="65" spans="2:7">
      <c r="B65" s="155">
        <v>59</v>
      </c>
      <c r="C65" s="158" t="s">
        <v>14</v>
      </c>
      <c r="D65" s="159" t="s">
        <v>57</v>
      </c>
      <c r="E65" s="128">
        <v>150000</v>
      </c>
      <c r="F65" s="128">
        <f>'20'!M39</f>
        <v>0</v>
      </c>
      <c r="G65" s="161">
        <f t="shared" si="0"/>
        <v>0</v>
      </c>
    </row>
    <row r="66" spans="2:7">
      <c r="B66" s="155">
        <v>60</v>
      </c>
      <c r="C66" s="158" t="s">
        <v>15</v>
      </c>
      <c r="D66" s="159" t="s">
        <v>16</v>
      </c>
      <c r="E66" s="128">
        <v>0</v>
      </c>
      <c r="F66" s="128">
        <v>0</v>
      </c>
      <c r="G66" s="161" t="str">
        <f t="shared" si="0"/>
        <v/>
      </c>
    </row>
    <row r="67" spans="2:7">
      <c r="B67" s="155">
        <v>61</v>
      </c>
      <c r="C67" s="158" t="s">
        <v>17</v>
      </c>
      <c r="D67" s="159" t="s">
        <v>18</v>
      </c>
      <c r="E67" s="128">
        <v>0</v>
      </c>
      <c r="F67" s="128">
        <v>0</v>
      </c>
      <c r="G67" s="161" t="str">
        <f t="shared" si="0"/>
        <v/>
      </c>
    </row>
    <row r="68" spans="2:7">
      <c r="B68" s="516">
        <v>62</v>
      </c>
      <c r="C68" s="520" t="s">
        <v>19</v>
      </c>
      <c r="D68" s="521" t="s">
        <v>20</v>
      </c>
      <c r="E68" s="518">
        <f>SUM(E69:E76)</f>
        <v>12971280</v>
      </c>
      <c r="F68" s="518">
        <f>SUM(F69:F76)</f>
        <v>3130023</v>
      </c>
      <c r="G68" s="522">
        <f t="shared" si="0"/>
        <v>24.130409643458471</v>
      </c>
    </row>
    <row r="69" spans="2:7">
      <c r="B69" s="155">
        <v>63</v>
      </c>
      <c r="C69" s="158" t="s">
        <v>21</v>
      </c>
      <c r="D69" s="159" t="s">
        <v>22</v>
      </c>
      <c r="E69" s="128">
        <v>7986890</v>
      </c>
      <c r="F69" s="128">
        <f>'24'!M33+'25'!M33+'26'!M33+'27'!M33+'28'!M33+'29'!M33+'30'!M33</f>
        <v>1941990</v>
      </c>
      <c r="G69" s="161">
        <f t="shared" si="0"/>
        <v>24.314720748626812</v>
      </c>
    </row>
    <row r="70" spans="2:7">
      <c r="B70" s="155">
        <v>64</v>
      </c>
      <c r="C70" s="158" t="s">
        <v>23</v>
      </c>
      <c r="D70" s="159" t="s">
        <v>24</v>
      </c>
      <c r="E70" s="128">
        <v>3852170</v>
      </c>
      <c r="F70" s="128">
        <f>'21'!M33+'22'!M33+'23'!M34</f>
        <v>945287</v>
      </c>
      <c r="G70" s="161">
        <f t="shared" si="0"/>
        <v>24.539077974232708</v>
      </c>
    </row>
    <row r="71" spans="2:7">
      <c r="B71" s="155">
        <v>65</v>
      </c>
      <c r="C71" s="158" t="s">
        <v>25</v>
      </c>
      <c r="D71" s="159" t="s">
        <v>26</v>
      </c>
      <c r="E71" s="128">
        <v>0</v>
      </c>
      <c r="F71" s="128">
        <v>0</v>
      </c>
      <c r="G71" s="161" t="str">
        <f t="shared" si="0"/>
        <v/>
      </c>
    </row>
    <row r="72" spans="2:7">
      <c r="B72" s="155">
        <v>66</v>
      </c>
      <c r="C72" s="158" t="s">
        <v>27</v>
      </c>
      <c r="D72" s="159" t="s">
        <v>28</v>
      </c>
      <c r="E72" s="128">
        <v>300000</v>
      </c>
      <c r="F72" s="128">
        <f>'20'!M31+'20'!M36</f>
        <v>42750</v>
      </c>
      <c r="G72" s="161">
        <f t="shared" si="0"/>
        <v>14.249999999999998</v>
      </c>
    </row>
    <row r="73" spans="2:7">
      <c r="B73" s="155">
        <v>67</v>
      </c>
      <c r="C73" s="158" t="s">
        <v>29</v>
      </c>
      <c r="D73" s="159" t="s">
        <v>73</v>
      </c>
      <c r="E73" s="128">
        <v>0</v>
      </c>
      <c r="F73" s="128">
        <v>0</v>
      </c>
      <c r="G73" s="161" t="str">
        <f t="shared" si="0"/>
        <v/>
      </c>
    </row>
    <row r="74" spans="2:7">
      <c r="B74" s="155">
        <v>68</v>
      </c>
      <c r="C74" s="158" t="s">
        <v>30</v>
      </c>
      <c r="D74" s="159" t="s">
        <v>31</v>
      </c>
      <c r="E74" s="128">
        <v>0</v>
      </c>
      <c r="F74" s="128">
        <v>0</v>
      </c>
      <c r="G74" s="161" t="str">
        <f t="shared" ref="G74:G86" si="1">IF(E74=0,"",F74/E74*100)</f>
        <v/>
      </c>
    </row>
    <row r="75" spans="2:7">
      <c r="B75" s="155">
        <v>69</v>
      </c>
      <c r="C75" s="158" t="s">
        <v>32</v>
      </c>
      <c r="D75" s="159" t="s">
        <v>33</v>
      </c>
      <c r="E75" s="128">
        <v>0</v>
      </c>
      <c r="F75" s="128">
        <v>0</v>
      </c>
      <c r="G75" s="161" t="str">
        <f t="shared" si="1"/>
        <v/>
      </c>
    </row>
    <row r="76" spans="2:7">
      <c r="B76" s="155">
        <v>70</v>
      </c>
      <c r="C76" s="158" t="s">
        <v>34</v>
      </c>
      <c r="D76" s="159" t="s">
        <v>35</v>
      </c>
      <c r="E76" s="128">
        <v>832220</v>
      </c>
      <c r="F76" s="128">
        <f>'20'!M52-'20'!M31-'20'!M33-'20'!M34-'20'!M36-'20'!M37-'20'!M38-'20'!M39</f>
        <v>199996</v>
      </c>
      <c r="G76" s="161">
        <f t="shared" si="1"/>
        <v>24.031626252673572</v>
      </c>
    </row>
    <row r="77" spans="2:7">
      <c r="B77" s="516">
        <v>71</v>
      </c>
      <c r="C77" s="520" t="s">
        <v>36</v>
      </c>
      <c r="D77" s="517" t="s">
        <v>37</v>
      </c>
      <c r="E77" s="518">
        <f>SUM(E78:E86)</f>
        <v>5728760</v>
      </c>
      <c r="F77" s="518">
        <f>SUM(F78:F86)</f>
        <v>975292</v>
      </c>
      <c r="G77" s="522">
        <f t="shared" si="1"/>
        <v>17.024486974493609</v>
      </c>
    </row>
    <row r="78" spans="2:7">
      <c r="B78" s="155">
        <v>72</v>
      </c>
      <c r="C78" s="158" t="s">
        <v>38</v>
      </c>
      <c r="D78" s="159" t="s">
        <v>39</v>
      </c>
      <c r="E78" s="128">
        <v>0</v>
      </c>
      <c r="F78" s="128">
        <v>0</v>
      </c>
      <c r="G78" s="161" t="str">
        <f t="shared" si="1"/>
        <v/>
      </c>
    </row>
    <row r="79" spans="2:7">
      <c r="B79" s="155">
        <v>73</v>
      </c>
      <c r="C79" s="158" t="s">
        <v>40</v>
      </c>
      <c r="D79" s="159" t="s">
        <v>41</v>
      </c>
      <c r="E79" s="128">
        <v>0</v>
      </c>
      <c r="F79" s="128">
        <v>0</v>
      </c>
      <c r="G79" s="161" t="str">
        <f t="shared" si="1"/>
        <v/>
      </c>
    </row>
    <row r="80" spans="2:7">
      <c r="B80" s="155">
        <v>74</v>
      </c>
      <c r="C80" s="158" t="s">
        <v>42</v>
      </c>
      <c r="D80" s="159" t="s">
        <v>43</v>
      </c>
      <c r="E80" s="128">
        <v>0</v>
      </c>
      <c r="F80" s="128">
        <v>0</v>
      </c>
      <c r="G80" s="161" t="str">
        <f t="shared" si="1"/>
        <v/>
      </c>
    </row>
    <row r="81" spans="2:7">
      <c r="B81" s="155">
        <v>75</v>
      </c>
      <c r="C81" s="158" t="s">
        <v>44</v>
      </c>
      <c r="D81" s="159" t="s">
        <v>74</v>
      </c>
      <c r="E81" s="128">
        <v>0</v>
      </c>
      <c r="F81" s="128">
        <v>0</v>
      </c>
      <c r="G81" s="161" t="str">
        <f t="shared" si="1"/>
        <v/>
      </c>
    </row>
    <row r="82" spans="2:7">
      <c r="B82" s="155">
        <v>76</v>
      </c>
      <c r="C82" s="158" t="s">
        <v>45</v>
      </c>
      <c r="D82" s="159" t="s">
        <v>75</v>
      </c>
      <c r="E82" s="128">
        <v>0</v>
      </c>
      <c r="F82" s="128">
        <v>0</v>
      </c>
      <c r="G82" s="161" t="str">
        <f t="shared" si="1"/>
        <v/>
      </c>
    </row>
    <row r="83" spans="2:7">
      <c r="B83" s="155">
        <v>77</v>
      </c>
      <c r="C83" s="158" t="s">
        <v>46</v>
      </c>
      <c r="D83" s="159" t="s">
        <v>47</v>
      </c>
      <c r="E83" s="128">
        <v>0</v>
      </c>
      <c r="F83" s="128">
        <v>0</v>
      </c>
      <c r="G83" s="161" t="str">
        <f t="shared" si="1"/>
        <v/>
      </c>
    </row>
    <row r="84" spans="2:7">
      <c r="B84" s="155">
        <v>78</v>
      </c>
      <c r="C84" s="158" t="s">
        <v>48</v>
      </c>
      <c r="D84" s="159" t="s">
        <v>49</v>
      </c>
      <c r="E84" s="128">
        <v>0</v>
      </c>
      <c r="F84" s="128">
        <v>0</v>
      </c>
      <c r="G84" s="161" t="str">
        <f t="shared" si="1"/>
        <v/>
      </c>
    </row>
    <row r="85" spans="2:7">
      <c r="B85" s="155">
        <v>79</v>
      </c>
      <c r="C85" s="158" t="s">
        <v>50</v>
      </c>
      <c r="D85" s="159" t="s">
        <v>51</v>
      </c>
      <c r="E85" s="128">
        <v>0</v>
      </c>
      <c r="F85" s="128">
        <v>0</v>
      </c>
      <c r="G85" s="161" t="str">
        <f t="shared" si="1"/>
        <v/>
      </c>
    </row>
    <row r="86" spans="2:7">
      <c r="B86" s="155">
        <v>80</v>
      </c>
      <c r="C86" s="158" t="s">
        <v>52</v>
      </c>
      <c r="D86" s="159" t="s">
        <v>53</v>
      </c>
      <c r="E86" s="128">
        <v>5728760</v>
      </c>
      <c r="F86" s="128">
        <f>'17'!M41-'17'!M31+'31'!M36+'17'!M31</f>
        <v>975292</v>
      </c>
      <c r="G86" s="161">
        <f t="shared" si="1"/>
        <v>17.024486974493609</v>
      </c>
    </row>
    <row r="87" spans="2:7">
      <c r="B87" s="62"/>
      <c r="C87" s="62"/>
      <c r="D87" s="62"/>
      <c r="E87" s="62"/>
      <c r="F87" s="62"/>
      <c r="G87" s="62"/>
    </row>
    <row r="88" spans="2:7">
      <c r="B88" s="62"/>
      <c r="C88" s="62"/>
      <c r="D88" s="62"/>
      <c r="E88" s="62"/>
      <c r="F88" s="62"/>
      <c r="G88" s="62"/>
    </row>
    <row r="89" spans="2:7">
      <c r="B89" s="62"/>
      <c r="C89" s="62"/>
      <c r="D89" s="62"/>
      <c r="E89" s="62"/>
      <c r="F89" s="62"/>
      <c r="G89" s="62"/>
    </row>
    <row r="90" spans="2:7">
      <c r="B90" s="62"/>
      <c r="C90" s="62"/>
      <c r="D90" s="62"/>
      <c r="E90" s="62"/>
      <c r="F90" s="62"/>
      <c r="G90" s="62"/>
    </row>
    <row r="91" spans="2:7">
      <c r="B91" s="62"/>
      <c r="C91" s="62"/>
      <c r="D91" s="62"/>
      <c r="E91" s="62"/>
      <c r="F91" s="62"/>
      <c r="G91" s="62"/>
    </row>
    <row r="92" spans="2:7">
      <c r="B92" s="62"/>
      <c r="C92" s="62"/>
      <c r="D92" s="62"/>
      <c r="E92" s="62"/>
      <c r="F92" s="62"/>
      <c r="G92" s="62"/>
    </row>
    <row r="93" spans="2:7">
      <c r="B93" s="62"/>
      <c r="C93" s="62"/>
      <c r="D93" s="62"/>
      <c r="E93" s="62"/>
      <c r="F93" s="62"/>
      <c r="G93" s="62"/>
    </row>
    <row r="94" spans="2:7">
      <c r="B94" s="62"/>
      <c r="C94" s="62"/>
      <c r="D94" s="62"/>
      <c r="E94" s="62"/>
      <c r="F94" s="62"/>
      <c r="G94" s="62"/>
    </row>
    <row r="95" spans="2:7">
      <c r="B95" s="62"/>
      <c r="C95" s="62"/>
      <c r="D95" s="62"/>
      <c r="E95" s="62"/>
      <c r="F95" s="62"/>
      <c r="G95" s="62"/>
    </row>
    <row r="96" spans="2:7">
      <c r="B96" s="62"/>
      <c r="C96" s="62"/>
      <c r="D96" s="62"/>
      <c r="E96" s="62"/>
      <c r="F96" s="62"/>
      <c r="G96" s="62"/>
    </row>
    <row r="97" spans="2:7">
      <c r="B97" s="62"/>
      <c r="C97" s="62"/>
      <c r="D97" s="62"/>
      <c r="E97" s="62"/>
      <c r="F97" s="62"/>
      <c r="G97" s="62"/>
    </row>
    <row r="98" spans="2:7">
      <c r="B98" s="62"/>
      <c r="C98" s="62"/>
      <c r="D98" s="62"/>
      <c r="E98" s="62"/>
      <c r="F98" s="62"/>
      <c r="G98" s="62"/>
    </row>
    <row r="99" spans="2:7">
      <c r="B99" s="62"/>
      <c r="C99" s="62"/>
      <c r="D99" s="62"/>
      <c r="E99" s="62"/>
      <c r="F99" s="62"/>
      <c r="G99" s="62"/>
    </row>
    <row r="100" spans="2:7">
      <c r="B100" s="62"/>
      <c r="C100" s="62"/>
      <c r="D100" s="62"/>
      <c r="E100" s="62"/>
      <c r="F100" s="62"/>
      <c r="G100" s="62"/>
    </row>
    <row r="101" spans="2:7">
      <c r="B101" s="62"/>
      <c r="C101" s="62"/>
      <c r="D101" s="62"/>
      <c r="E101" s="62"/>
      <c r="F101" s="62"/>
      <c r="G101" s="62"/>
    </row>
    <row r="102" spans="2:7">
      <c r="B102" s="62"/>
      <c r="C102" s="62"/>
      <c r="D102" s="62"/>
      <c r="E102" s="62"/>
      <c r="F102" s="62"/>
      <c r="G102" s="62"/>
    </row>
    <row r="103" spans="2:7">
      <c r="B103" s="62"/>
      <c r="C103" s="62"/>
      <c r="D103" s="62"/>
      <c r="E103" s="62"/>
      <c r="F103" s="62"/>
      <c r="G103" s="62"/>
    </row>
    <row r="104" spans="2:7">
      <c r="B104" s="62"/>
      <c r="C104" s="62"/>
      <c r="D104" s="62"/>
      <c r="E104" s="62"/>
      <c r="F104" s="62"/>
      <c r="G104" s="62"/>
    </row>
    <row r="105" spans="2:7">
      <c r="B105" s="62"/>
      <c r="C105" s="62"/>
      <c r="D105" s="62"/>
      <c r="E105" s="62"/>
      <c r="F105" s="62"/>
      <c r="G105" s="62"/>
    </row>
    <row r="106" spans="2:7">
      <c r="B106" s="62"/>
      <c r="C106" s="62"/>
      <c r="D106" s="62"/>
      <c r="E106" s="62"/>
      <c r="F106" s="62"/>
      <c r="G106" s="62"/>
    </row>
    <row r="107" spans="2:7">
      <c r="B107" s="62"/>
      <c r="C107" s="62"/>
      <c r="D107" s="62"/>
      <c r="E107" s="62"/>
      <c r="F107" s="62"/>
      <c r="G107" s="62"/>
    </row>
    <row r="108" spans="2:7">
      <c r="B108" s="62"/>
      <c r="C108" s="62"/>
      <c r="D108" s="62"/>
      <c r="E108" s="62"/>
      <c r="F108" s="62"/>
      <c r="G108" s="62"/>
    </row>
    <row r="109" spans="2:7">
      <c r="B109" s="62"/>
      <c r="C109" s="62"/>
      <c r="D109" s="62"/>
      <c r="E109" s="62"/>
      <c r="F109" s="62"/>
      <c r="G109" s="62"/>
    </row>
    <row r="110" spans="2:7">
      <c r="B110" s="62"/>
      <c r="C110" s="62"/>
      <c r="D110" s="62"/>
      <c r="E110" s="62"/>
      <c r="F110" s="62"/>
      <c r="G110" s="62"/>
    </row>
    <row r="111" spans="2:7">
      <c r="B111" s="62"/>
      <c r="C111" s="62"/>
      <c r="D111" s="62"/>
      <c r="E111" s="62"/>
      <c r="F111" s="62"/>
      <c r="G111" s="62"/>
    </row>
    <row r="112" spans="2:7">
      <c r="B112" s="62"/>
      <c r="C112" s="62"/>
      <c r="D112" s="62"/>
      <c r="E112" s="62"/>
      <c r="F112" s="62"/>
      <c r="G112" s="62"/>
    </row>
    <row r="113" spans="2:7">
      <c r="B113" s="62"/>
      <c r="C113" s="62"/>
      <c r="D113" s="62"/>
      <c r="E113" s="62"/>
      <c r="F113" s="62"/>
      <c r="G113" s="62"/>
    </row>
    <row r="114" spans="2:7">
      <c r="B114" s="62"/>
      <c r="C114" s="62"/>
      <c r="D114" s="62"/>
      <c r="E114" s="62"/>
      <c r="F114" s="62"/>
      <c r="G114" s="62"/>
    </row>
    <row r="115" spans="2:7">
      <c r="B115" s="62"/>
      <c r="C115" s="62"/>
      <c r="D115" s="62"/>
      <c r="E115" s="62"/>
      <c r="F115" s="62"/>
      <c r="G115" s="62"/>
    </row>
    <row r="116" spans="2:7">
      <c r="B116" s="62"/>
      <c r="C116" s="62"/>
      <c r="D116" s="62"/>
      <c r="E116" s="62"/>
      <c r="F116" s="62"/>
      <c r="G116" s="62"/>
    </row>
    <row r="117" spans="2:7">
      <c r="B117" s="62"/>
      <c r="C117" s="62"/>
      <c r="D117" s="62"/>
      <c r="E117" s="62"/>
      <c r="F117" s="62"/>
      <c r="G117" s="62"/>
    </row>
    <row r="118" spans="2:7">
      <c r="B118" s="62"/>
      <c r="C118" s="62"/>
      <c r="D118" s="62"/>
      <c r="E118" s="62"/>
      <c r="F118" s="62"/>
      <c r="G118" s="62"/>
    </row>
    <row r="119" spans="2:7">
      <c r="B119" s="62"/>
      <c r="C119" s="62"/>
      <c r="D119" s="62"/>
      <c r="E119" s="62"/>
      <c r="F119" s="62"/>
      <c r="G119" s="62"/>
    </row>
  </sheetData>
  <mergeCells count="1">
    <mergeCell ref="B2:G2"/>
  </mergeCells>
  <phoneticPr fontId="0" type="noConversion"/>
  <pageMargins left="0.9055118110236221" right="0.31496062992125984" top="0.35433070866141736" bottom="0.51181102362204722" header="0.39370078740157483" footer="0.31496062992125984"/>
  <pageSetup paperSize="9" scale="88" firstPageNumber="46" orientation="landscape" r:id="rId1"/>
  <headerFooter alignWithMargins="0">
    <oddFooter>&amp;R&amp;P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>
  <dimension ref="A2:F44"/>
  <sheetViews>
    <sheetView zoomScaleNormal="100" workbookViewId="0">
      <selection activeCell="H12" sqref="H12"/>
    </sheetView>
  </sheetViews>
  <sheetFormatPr defaultRowHeight="12.75"/>
  <cols>
    <col min="1" max="1" width="15.7109375" style="34" customWidth="1"/>
    <col min="2" max="2" width="82.28515625" customWidth="1"/>
    <col min="3" max="6" width="18.7109375" customWidth="1"/>
  </cols>
  <sheetData>
    <row r="2" spans="1:6" ht="15.75">
      <c r="A2" s="565" t="s">
        <v>808</v>
      </c>
      <c r="B2" s="611"/>
      <c r="C2" s="611"/>
      <c r="D2" s="611"/>
      <c r="E2" s="611"/>
      <c r="F2" s="611"/>
    </row>
    <row r="4" spans="1:6" s="40" customFormat="1">
      <c r="A4" s="616" t="s">
        <v>396</v>
      </c>
      <c r="B4" s="616" t="s">
        <v>414</v>
      </c>
      <c r="C4" s="616" t="s">
        <v>807</v>
      </c>
      <c r="D4" s="613" t="s">
        <v>421</v>
      </c>
      <c r="E4" s="614"/>
      <c r="F4" s="615"/>
    </row>
    <row r="5" spans="1:6" s="40" customFormat="1" ht="39" customHeight="1">
      <c r="A5" s="617"/>
      <c r="B5" s="617"/>
      <c r="C5" s="617"/>
      <c r="D5" s="139" t="s">
        <v>420</v>
      </c>
      <c r="E5" s="139" t="s">
        <v>539</v>
      </c>
      <c r="F5" s="139" t="s">
        <v>540</v>
      </c>
    </row>
    <row r="6" spans="1:6" s="40" customFormat="1">
      <c r="A6" s="139">
        <v>1</v>
      </c>
      <c r="B6" s="140">
        <v>2</v>
      </c>
      <c r="C6" s="139" t="s">
        <v>422</v>
      </c>
      <c r="D6" s="139">
        <v>4</v>
      </c>
      <c r="E6" s="139">
        <v>5</v>
      </c>
      <c r="F6" s="139">
        <v>6</v>
      </c>
    </row>
    <row r="7" spans="1:6" ht="15.95" customHeight="1">
      <c r="A7" s="133">
        <v>10010001</v>
      </c>
      <c r="B7" s="21" t="s">
        <v>230</v>
      </c>
      <c r="C7" s="131">
        <f>D7+E7+F7</f>
        <v>0</v>
      </c>
      <c r="D7" s="131">
        <f>'1'!K28</f>
        <v>0</v>
      </c>
      <c r="E7" s="131">
        <v>0</v>
      </c>
      <c r="F7" s="131">
        <v>0</v>
      </c>
    </row>
    <row r="8" spans="1:6" ht="15.95" customHeight="1">
      <c r="A8" s="133">
        <v>11010001</v>
      </c>
      <c r="B8" s="21" t="s">
        <v>231</v>
      </c>
      <c r="C8" s="131">
        <f t="shared" ref="C8:C42" si="0">D8+E8+F8</f>
        <v>1520</v>
      </c>
      <c r="D8" s="131">
        <f>'3'!K50</f>
        <v>1520</v>
      </c>
      <c r="E8" s="131">
        <v>0</v>
      </c>
      <c r="F8" s="131">
        <v>0</v>
      </c>
    </row>
    <row r="9" spans="1:6" ht="15.95" customHeight="1">
      <c r="A9" s="133">
        <v>11010002</v>
      </c>
      <c r="B9" s="21" t="s">
        <v>232</v>
      </c>
      <c r="C9" s="131">
        <f t="shared" si="0"/>
        <v>403</v>
      </c>
      <c r="D9" s="131">
        <f>'4'!K31</f>
        <v>403</v>
      </c>
      <c r="E9" s="131">
        <v>0</v>
      </c>
      <c r="F9" s="131">
        <v>0</v>
      </c>
    </row>
    <row r="10" spans="1:6" ht="15.95" customHeight="1">
      <c r="A10" s="133">
        <v>11010003</v>
      </c>
      <c r="B10" s="21" t="s">
        <v>233</v>
      </c>
      <c r="C10" s="131">
        <f t="shared" si="0"/>
        <v>0</v>
      </c>
      <c r="D10" s="131">
        <f>'5'!K28</f>
        <v>0</v>
      </c>
      <c r="E10" s="131">
        <v>0</v>
      </c>
      <c r="F10" s="131">
        <v>0</v>
      </c>
    </row>
    <row r="11" spans="1:6" ht="15.95" customHeight="1">
      <c r="A11" s="133">
        <v>11010004</v>
      </c>
      <c r="B11" s="21" t="s">
        <v>234</v>
      </c>
      <c r="C11" s="131">
        <f t="shared" si="0"/>
        <v>0</v>
      </c>
      <c r="D11" s="131">
        <f>'6'!K28</f>
        <v>0</v>
      </c>
      <c r="E11" s="131">
        <v>0</v>
      </c>
      <c r="F11" s="131">
        <v>0</v>
      </c>
    </row>
    <row r="12" spans="1:6" ht="15.95" customHeight="1">
      <c r="A12" s="133">
        <v>11010005</v>
      </c>
      <c r="B12" s="234" t="s">
        <v>605</v>
      </c>
      <c r="C12" s="131">
        <f t="shared" si="0"/>
        <v>0</v>
      </c>
      <c r="D12" s="131">
        <f>'7'!K28</f>
        <v>0</v>
      </c>
      <c r="E12" s="131">
        <v>0</v>
      </c>
      <c r="F12" s="131">
        <v>0</v>
      </c>
    </row>
    <row r="13" spans="1:6" ht="15.95" customHeight="1">
      <c r="A13" s="133">
        <v>12010001</v>
      </c>
      <c r="B13" s="21" t="s">
        <v>235</v>
      </c>
      <c r="C13" s="131">
        <f t="shared" si="0"/>
        <v>74489</v>
      </c>
      <c r="D13" s="131">
        <f>'8'!K28</f>
        <v>74489</v>
      </c>
      <c r="E13" s="131">
        <v>0</v>
      </c>
      <c r="F13" s="131">
        <v>0</v>
      </c>
    </row>
    <row r="14" spans="1:6" ht="15.95" customHeight="1">
      <c r="A14" s="133">
        <v>13010001</v>
      </c>
      <c r="B14" s="21" t="s">
        <v>395</v>
      </c>
      <c r="C14" s="131">
        <f t="shared" si="0"/>
        <v>283</v>
      </c>
      <c r="D14" s="131">
        <f>'9'!K28</f>
        <v>283</v>
      </c>
      <c r="E14" s="131">
        <v>0</v>
      </c>
      <c r="F14" s="131">
        <v>0</v>
      </c>
    </row>
    <row r="15" spans="1:6" ht="15.95" customHeight="1">
      <c r="A15" s="133">
        <v>14010001</v>
      </c>
      <c r="B15" s="21" t="s">
        <v>237</v>
      </c>
      <c r="C15" s="131">
        <f t="shared" si="0"/>
        <v>0</v>
      </c>
      <c r="D15" s="131">
        <f>'10'!K28</f>
        <v>0</v>
      </c>
      <c r="E15" s="131">
        <v>0</v>
      </c>
      <c r="F15" s="131">
        <v>0</v>
      </c>
    </row>
    <row r="16" spans="1:6" ht="15.95" customHeight="1">
      <c r="A16" s="133">
        <v>14020003</v>
      </c>
      <c r="B16" s="21" t="s">
        <v>238</v>
      </c>
      <c r="C16" s="131">
        <f t="shared" si="0"/>
        <v>19890</v>
      </c>
      <c r="D16" s="131">
        <f>'11'!K29</f>
        <v>19890</v>
      </c>
      <c r="E16" s="131">
        <v>0</v>
      </c>
      <c r="F16" s="131">
        <v>0</v>
      </c>
    </row>
    <row r="17" spans="1:6" ht="15.95" customHeight="1">
      <c r="A17" s="133">
        <v>14050001</v>
      </c>
      <c r="B17" s="21" t="s">
        <v>239</v>
      </c>
      <c r="C17" s="131">
        <f t="shared" si="0"/>
        <v>0</v>
      </c>
      <c r="D17" s="131">
        <f>'12'!K28</f>
        <v>0</v>
      </c>
      <c r="E17" s="131">
        <v>0</v>
      </c>
      <c r="F17" s="131">
        <v>0</v>
      </c>
    </row>
    <row r="18" spans="1:6" ht="15.95" customHeight="1">
      <c r="A18" s="133">
        <v>14050002</v>
      </c>
      <c r="B18" s="21" t="s">
        <v>240</v>
      </c>
      <c r="C18" s="131">
        <f t="shared" si="0"/>
        <v>0</v>
      </c>
      <c r="D18" s="131">
        <f>'13'!K28</f>
        <v>0</v>
      </c>
      <c r="E18" s="131">
        <v>0</v>
      </c>
      <c r="F18" s="131">
        <v>0</v>
      </c>
    </row>
    <row r="19" spans="1:6" ht="15.95" customHeight="1">
      <c r="A19" s="133">
        <v>14060001</v>
      </c>
      <c r="B19" s="21" t="s">
        <v>241</v>
      </c>
      <c r="C19" s="131">
        <f t="shared" si="0"/>
        <v>0</v>
      </c>
      <c r="D19" s="131">
        <f>'14'!K28</f>
        <v>0</v>
      </c>
      <c r="E19" s="131">
        <v>0</v>
      </c>
      <c r="F19" s="131">
        <v>0</v>
      </c>
    </row>
    <row r="20" spans="1:6" ht="15.95" customHeight="1">
      <c r="A20" s="133">
        <v>15010001</v>
      </c>
      <c r="B20" s="21" t="s">
        <v>242</v>
      </c>
      <c r="C20" s="131">
        <f t="shared" si="0"/>
        <v>0</v>
      </c>
      <c r="D20" s="131">
        <f>'15'!K32</f>
        <v>0</v>
      </c>
      <c r="E20" s="131">
        <v>0</v>
      </c>
      <c r="F20" s="131">
        <v>0</v>
      </c>
    </row>
    <row r="21" spans="1:6" ht="15.95" customHeight="1">
      <c r="A21" s="133">
        <v>16010001</v>
      </c>
      <c r="B21" s="21" t="s">
        <v>243</v>
      </c>
      <c r="C21" s="131">
        <f t="shared" si="0"/>
        <v>1377</v>
      </c>
      <c r="D21" s="131">
        <f>'16'!K41</f>
        <v>1377</v>
      </c>
      <c r="E21" s="131">
        <v>0</v>
      </c>
      <c r="F21" s="131">
        <v>0</v>
      </c>
    </row>
    <row r="22" spans="1:6" ht="15.95" customHeight="1">
      <c r="A22" s="133">
        <v>17010001</v>
      </c>
      <c r="B22" s="21" t="s">
        <v>244</v>
      </c>
      <c r="C22" s="131">
        <f t="shared" si="0"/>
        <v>240</v>
      </c>
      <c r="D22" s="131">
        <f>'17'!K34</f>
        <v>240</v>
      </c>
      <c r="E22" s="131">
        <v>0</v>
      </c>
      <c r="F22" s="131">
        <v>0</v>
      </c>
    </row>
    <row r="23" spans="1:6" ht="15.95" customHeight="1">
      <c r="A23" s="133">
        <v>18010001</v>
      </c>
      <c r="B23" s="21" t="s">
        <v>245</v>
      </c>
      <c r="C23" s="131">
        <f t="shared" si="0"/>
        <v>189</v>
      </c>
      <c r="D23" s="131">
        <f>'18'!K33</f>
        <v>189</v>
      </c>
      <c r="E23" s="131">
        <v>0</v>
      </c>
      <c r="F23" s="131">
        <v>0</v>
      </c>
    </row>
    <row r="24" spans="1:6" ht="15.95" customHeight="1">
      <c r="A24" s="133">
        <v>19010001</v>
      </c>
      <c r="B24" s="21" t="s">
        <v>246</v>
      </c>
      <c r="C24" s="131">
        <f t="shared" si="0"/>
        <v>33222</v>
      </c>
      <c r="D24" s="131">
        <f>'19'!K34</f>
        <v>3222</v>
      </c>
      <c r="E24" s="131">
        <v>30000</v>
      </c>
      <c r="F24" s="131">
        <v>0</v>
      </c>
    </row>
    <row r="25" spans="1:6" ht="15.95" customHeight="1">
      <c r="A25" s="133">
        <v>20010001</v>
      </c>
      <c r="B25" s="21" t="s">
        <v>247</v>
      </c>
      <c r="C25" s="131">
        <f t="shared" si="0"/>
        <v>1931</v>
      </c>
      <c r="D25" s="131">
        <f>'20'!K44</f>
        <v>1931</v>
      </c>
      <c r="E25" s="131">
        <v>0</v>
      </c>
      <c r="F25" s="131">
        <v>0</v>
      </c>
    </row>
    <row r="26" spans="1:6" ht="15.95" customHeight="1">
      <c r="A26" s="133">
        <v>20020002</v>
      </c>
      <c r="B26" s="21" t="s">
        <v>397</v>
      </c>
      <c r="C26" s="131">
        <f t="shared" si="0"/>
        <v>0</v>
      </c>
      <c r="D26" s="131">
        <f>'21'!K28</f>
        <v>0</v>
      </c>
      <c r="E26" s="131">
        <v>0</v>
      </c>
      <c r="F26" s="131">
        <v>0</v>
      </c>
    </row>
    <row r="27" spans="1:6" ht="15.95" customHeight="1">
      <c r="A27" s="133">
        <v>20020003</v>
      </c>
      <c r="B27" s="21" t="s">
        <v>398</v>
      </c>
      <c r="C27" s="131">
        <f t="shared" si="0"/>
        <v>0</v>
      </c>
      <c r="D27" s="131">
        <f>'22'!K28</f>
        <v>0</v>
      </c>
      <c r="E27" s="131">
        <v>0</v>
      </c>
      <c r="F27" s="131">
        <v>0</v>
      </c>
    </row>
    <row r="28" spans="1:6" ht="15.95" customHeight="1">
      <c r="A28" s="133">
        <v>20020004</v>
      </c>
      <c r="B28" s="21" t="s">
        <v>399</v>
      </c>
      <c r="C28" s="131">
        <f t="shared" si="0"/>
        <v>0</v>
      </c>
      <c r="D28" s="131">
        <f>'23'!K29</f>
        <v>0</v>
      </c>
      <c r="E28" s="131">
        <v>0</v>
      </c>
      <c r="F28" s="265">
        <v>0</v>
      </c>
    </row>
    <row r="29" spans="1:6" ht="15.95" customHeight="1">
      <c r="A29" s="133">
        <v>20030001</v>
      </c>
      <c r="B29" s="197" t="s">
        <v>400</v>
      </c>
      <c r="C29" s="131">
        <f t="shared" si="0"/>
        <v>0</v>
      </c>
      <c r="D29" s="131">
        <f>'24'!K28</f>
        <v>0</v>
      </c>
      <c r="E29" s="131">
        <v>0</v>
      </c>
      <c r="F29" s="131">
        <v>0</v>
      </c>
    </row>
    <row r="30" spans="1:6" ht="15.95" customHeight="1">
      <c r="A30" s="133">
        <v>20030002</v>
      </c>
      <c r="B30" s="21" t="s">
        <v>401</v>
      </c>
      <c r="C30" s="131">
        <f t="shared" si="0"/>
        <v>4577</v>
      </c>
      <c r="D30" s="131">
        <f>'25'!K28</f>
        <v>0</v>
      </c>
      <c r="E30" s="131">
        <v>0</v>
      </c>
      <c r="F30" s="131">
        <v>4577</v>
      </c>
    </row>
    <row r="31" spans="1:6" ht="15.95" customHeight="1">
      <c r="A31" s="133">
        <v>20030003</v>
      </c>
      <c r="B31" s="21" t="s">
        <v>402</v>
      </c>
      <c r="C31" s="131">
        <f t="shared" si="0"/>
        <v>2111</v>
      </c>
      <c r="D31" s="131">
        <f>'26'!K28</f>
        <v>2111</v>
      </c>
      <c r="E31" s="131">
        <v>0</v>
      </c>
      <c r="F31" s="131">
        <v>0</v>
      </c>
    </row>
    <row r="32" spans="1:6" ht="15.95" customHeight="1">
      <c r="A32" s="133">
        <v>20030004</v>
      </c>
      <c r="B32" s="197" t="s">
        <v>533</v>
      </c>
      <c r="C32" s="131">
        <f t="shared" si="0"/>
        <v>4899</v>
      </c>
      <c r="D32" s="131">
        <f>'27'!K28</f>
        <v>0</v>
      </c>
      <c r="E32" s="131">
        <v>0</v>
      </c>
      <c r="F32" s="131">
        <v>4899</v>
      </c>
    </row>
    <row r="33" spans="1:6" ht="15.95" customHeight="1">
      <c r="A33" s="133">
        <v>20030005</v>
      </c>
      <c r="B33" s="21" t="s">
        <v>541</v>
      </c>
      <c r="C33" s="131">
        <f t="shared" si="0"/>
        <v>630</v>
      </c>
      <c r="D33" s="131">
        <f>'28'!K28</f>
        <v>630</v>
      </c>
      <c r="E33" s="131">
        <v>0</v>
      </c>
      <c r="F33" s="131">
        <v>0</v>
      </c>
    </row>
    <row r="34" spans="1:6" ht="15.95" customHeight="1">
      <c r="A34" s="133">
        <v>20030006</v>
      </c>
      <c r="B34" s="21" t="s">
        <v>542</v>
      </c>
      <c r="C34" s="131">
        <f t="shared" si="0"/>
        <v>0</v>
      </c>
      <c r="D34" s="131">
        <f>'29'!K28</f>
        <v>0</v>
      </c>
      <c r="E34" s="131">
        <v>0</v>
      </c>
      <c r="F34" s="131">
        <v>0</v>
      </c>
    </row>
    <row r="35" spans="1:6" ht="15.95" customHeight="1">
      <c r="A35" s="133">
        <v>20030007</v>
      </c>
      <c r="B35" s="21" t="s">
        <v>543</v>
      </c>
      <c r="C35" s="131">
        <f t="shared" si="0"/>
        <v>2899</v>
      </c>
      <c r="D35" s="131">
        <f>'30'!K28</f>
        <v>2899</v>
      </c>
      <c r="E35" s="131">
        <v>0</v>
      </c>
      <c r="F35" s="131">
        <v>0</v>
      </c>
    </row>
    <row r="36" spans="1:6" ht="15.95" customHeight="1">
      <c r="A36" s="133">
        <v>21010001</v>
      </c>
      <c r="B36" s="21" t="s">
        <v>257</v>
      </c>
      <c r="C36" s="131">
        <f t="shared" si="0"/>
        <v>0</v>
      </c>
      <c r="D36" s="131">
        <f>'31'!K31</f>
        <v>0</v>
      </c>
      <c r="E36" s="131">
        <v>0</v>
      </c>
      <c r="F36" s="131">
        <v>0</v>
      </c>
    </row>
    <row r="37" spans="1:6" ht="15.95" customHeight="1">
      <c r="A37" s="133">
        <v>22010001</v>
      </c>
      <c r="B37" s="21" t="s">
        <v>258</v>
      </c>
      <c r="C37" s="131">
        <f t="shared" si="0"/>
        <v>0</v>
      </c>
      <c r="D37" s="131">
        <f>'32'!K28</f>
        <v>0</v>
      </c>
      <c r="E37" s="131">
        <v>0</v>
      </c>
      <c r="F37" s="131">
        <v>0</v>
      </c>
    </row>
    <row r="38" spans="1:6" ht="15.95" customHeight="1">
      <c r="A38" s="133">
        <v>23010001</v>
      </c>
      <c r="B38" s="21" t="s">
        <v>259</v>
      </c>
      <c r="C38" s="131">
        <f t="shared" si="0"/>
        <v>0</v>
      </c>
      <c r="D38" s="131">
        <f>'33'!K32</f>
        <v>0</v>
      </c>
      <c r="E38" s="131">
        <v>0</v>
      </c>
      <c r="F38" s="131">
        <v>0</v>
      </c>
    </row>
    <row r="39" spans="1:6" ht="15.95" customHeight="1">
      <c r="A39" s="133">
        <v>24010001</v>
      </c>
      <c r="B39" s="21" t="s">
        <v>260</v>
      </c>
      <c r="C39" s="131">
        <f t="shared" si="0"/>
        <v>0</v>
      </c>
      <c r="D39" s="131">
        <f>'34'!K28</f>
        <v>0</v>
      </c>
      <c r="E39" s="131">
        <v>0</v>
      </c>
      <c r="F39" s="131">
        <v>0</v>
      </c>
    </row>
    <row r="40" spans="1:6" ht="15.95" customHeight="1">
      <c r="A40" s="133">
        <v>26010001</v>
      </c>
      <c r="B40" s="21" t="s">
        <v>261</v>
      </c>
      <c r="C40" s="131">
        <f t="shared" si="0"/>
        <v>0</v>
      </c>
      <c r="D40" s="131">
        <f>'35'!K28</f>
        <v>0</v>
      </c>
      <c r="E40" s="131">
        <v>0</v>
      </c>
      <c r="F40" s="131">
        <v>0</v>
      </c>
    </row>
    <row r="41" spans="1:6" ht="15.95" customHeight="1">
      <c r="A41" s="133">
        <v>27010001</v>
      </c>
      <c r="B41" s="21" t="s">
        <v>262</v>
      </c>
      <c r="C41" s="131">
        <f t="shared" si="0"/>
        <v>0</v>
      </c>
      <c r="D41" s="131">
        <f>'36'!K28</f>
        <v>0</v>
      </c>
      <c r="E41" s="131">
        <v>0</v>
      </c>
      <c r="F41" s="131">
        <v>0</v>
      </c>
    </row>
    <row r="42" spans="1:6" ht="15.95" customHeight="1">
      <c r="A42" s="133">
        <v>28010001</v>
      </c>
      <c r="B42" s="21" t="s">
        <v>263</v>
      </c>
      <c r="C42" s="131">
        <f t="shared" si="0"/>
        <v>0</v>
      </c>
      <c r="D42" s="131">
        <f>'37'!K28</f>
        <v>0</v>
      </c>
      <c r="E42" s="131">
        <v>0</v>
      </c>
      <c r="F42" s="131">
        <v>0</v>
      </c>
    </row>
    <row r="43" spans="1:6" s="40" customFormat="1" ht="15.95" customHeight="1">
      <c r="A43" s="78"/>
      <c r="B43" s="137" t="s">
        <v>418</v>
      </c>
      <c r="C43" s="138">
        <f>SUM(C7:C42)</f>
        <v>148660</v>
      </c>
      <c r="D43" s="138">
        <f>SUM(D7:D42)</f>
        <v>109184</v>
      </c>
      <c r="E43" s="138">
        <f>SUM(E7:E42)</f>
        <v>30000</v>
      </c>
      <c r="F43" s="138">
        <f>SUM(F7:F42)</f>
        <v>9476</v>
      </c>
    </row>
    <row r="44" spans="1:6" ht="18" customHeight="1"/>
  </sheetData>
  <mergeCells count="5">
    <mergeCell ref="A2:F2"/>
    <mergeCell ref="D4:F4"/>
    <mergeCell ref="A4:A5"/>
    <mergeCell ref="B4:B5"/>
    <mergeCell ref="C4:C5"/>
  </mergeCells>
  <phoneticPr fontId="0" type="noConversion"/>
  <pageMargins left="0.9055118110236221" right="0.31496062992125984" top="0.35433070866141736" bottom="0.51181102362204722" header="0.39370078740157483" footer="0.31496062992125984"/>
  <pageSetup paperSize="9" scale="78" orientation="landscape" r:id="rId1"/>
  <headerFooter alignWithMargins="0">
    <oddFooter>&amp;R&amp;P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>
  <sheetPr codeName="Sheet47"/>
  <dimension ref="A1:H38"/>
  <sheetViews>
    <sheetView zoomScaleNormal="100" workbookViewId="0">
      <selection activeCell="K45" sqref="K45"/>
    </sheetView>
  </sheetViews>
  <sheetFormatPr defaultRowHeight="15" customHeight="1"/>
  <cols>
    <col min="2" max="2" width="46.7109375" customWidth="1"/>
    <col min="3" max="3" width="18" customWidth="1"/>
    <col min="4" max="4" width="12.42578125" customWidth="1"/>
    <col min="7" max="7" width="15.7109375" customWidth="1"/>
    <col min="8" max="8" width="9.28515625" customWidth="1"/>
    <col min="9" max="9" width="8.7109375" customWidth="1"/>
  </cols>
  <sheetData>
    <row r="1" spans="1:8" ht="15" customHeight="1">
      <c r="A1" s="33"/>
      <c r="C1" s="33"/>
    </row>
    <row r="2" spans="1:8" ht="15" customHeight="1">
      <c r="A2" s="33"/>
      <c r="C2" s="193"/>
    </row>
    <row r="3" spans="1:8" ht="15.75" customHeight="1">
      <c r="A3" s="623" t="s">
        <v>136</v>
      </c>
      <c r="B3" s="624"/>
      <c r="C3" s="624"/>
      <c r="D3" s="624"/>
      <c r="E3" s="624"/>
      <c r="F3" s="624"/>
      <c r="G3" s="624"/>
      <c r="H3" s="624"/>
    </row>
    <row r="4" spans="1:8" s="445" customFormat="1" ht="27" customHeight="1">
      <c r="A4" s="408"/>
      <c r="B4" s="409"/>
      <c r="C4" s="409"/>
      <c r="D4" s="405"/>
      <c r="E4" s="405"/>
      <c r="F4" s="405"/>
      <c r="G4" s="405"/>
    </row>
    <row r="5" spans="1:8" ht="15" customHeight="1">
      <c r="G5" s="40"/>
      <c r="H5" s="40"/>
    </row>
    <row r="6" spans="1:8" ht="15" customHeight="1">
      <c r="A6" s="33"/>
      <c r="C6" s="33"/>
    </row>
    <row r="7" spans="1:8" ht="15" customHeight="1">
      <c r="A7" s="33"/>
      <c r="C7" s="33"/>
      <c r="E7" s="192"/>
    </row>
    <row r="8" spans="1:8" ht="15" customHeight="1">
      <c r="A8" s="562" t="s">
        <v>835</v>
      </c>
      <c r="B8" s="621"/>
      <c r="C8" s="621"/>
      <c r="D8" s="622"/>
      <c r="E8" s="622"/>
      <c r="F8" s="622"/>
      <c r="G8" s="622"/>
      <c r="H8" s="535"/>
    </row>
    <row r="9" spans="1:8" ht="12" customHeight="1">
      <c r="A9" s="621"/>
      <c r="B9" s="621"/>
      <c r="C9" s="621"/>
      <c r="D9" s="622"/>
      <c r="E9" s="622"/>
      <c r="F9" s="622"/>
      <c r="G9" s="622"/>
      <c r="H9" s="535"/>
    </row>
    <row r="18" spans="1:8" ht="15" customHeight="1">
      <c r="A18" s="528"/>
    </row>
    <row r="19" spans="1:8" ht="15" customHeight="1">
      <c r="A19" s="528"/>
    </row>
    <row r="21" spans="1:8" ht="15" customHeight="1">
      <c r="G21" s="618"/>
      <c r="H21" s="619"/>
    </row>
    <row r="22" spans="1:8" ht="15" customHeight="1">
      <c r="G22" s="618"/>
      <c r="H22" s="619"/>
    </row>
    <row r="23" spans="1:8" ht="15" customHeight="1">
      <c r="G23" s="620"/>
      <c r="H23" s="619"/>
    </row>
    <row r="24" spans="1:8" ht="15" customHeight="1">
      <c r="G24" s="534"/>
      <c r="H24" s="534"/>
    </row>
    <row r="25" spans="1:8" ht="15" customHeight="1">
      <c r="C25" s="34"/>
    </row>
    <row r="28" spans="1:8" ht="15" customHeight="1">
      <c r="C28" s="34"/>
    </row>
    <row r="38" ht="12.75"/>
  </sheetData>
  <mergeCells count="5">
    <mergeCell ref="G21:H21"/>
    <mergeCell ref="G22:H22"/>
    <mergeCell ref="G23:H23"/>
    <mergeCell ref="A8:H9"/>
    <mergeCell ref="A3:H3"/>
  </mergeCells>
  <phoneticPr fontId="0" type="noConversion"/>
  <pageMargins left="0.9055118110236221" right="0.31496062992125984" top="0.35433070866141736" bottom="0.51181102362204722" header="0.39370078740157483" footer="0.31496062992125984"/>
  <pageSetup paperSize="9" scale="88" orientation="landscape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4"/>
  <dimension ref="A2:J218"/>
  <sheetViews>
    <sheetView topLeftCell="B155" zoomScaleNormal="100" workbookViewId="0">
      <selection activeCell="I164" sqref="I164"/>
    </sheetView>
  </sheetViews>
  <sheetFormatPr defaultRowHeight="14.25"/>
  <cols>
    <col min="1" max="1" width="0.42578125" hidden="1" customWidth="1"/>
    <col min="2" max="2" width="13.28515625" style="34" customWidth="1"/>
    <col min="3" max="3" width="63.140625" customWidth="1"/>
    <col min="4" max="4" width="24.85546875" customWidth="1"/>
    <col min="5" max="5" width="25.140625" style="443" customWidth="1"/>
    <col min="6" max="6" width="9" customWidth="1"/>
    <col min="7" max="7" width="11" style="164" customWidth="1"/>
    <col min="8" max="8" width="15.28515625" style="164" customWidth="1"/>
    <col min="9" max="10" width="9.140625" style="164"/>
  </cols>
  <sheetData>
    <row r="2" spans="2:10" ht="18.75" thickBot="1">
      <c r="B2" s="568" t="s">
        <v>76</v>
      </c>
      <c r="C2" s="568"/>
      <c r="D2" s="568"/>
      <c r="E2" s="569"/>
      <c r="F2" s="569"/>
    </row>
    <row r="3" spans="2:10" ht="76.5" customHeight="1">
      <c r="B3" s="51" t="s">
        <v>184</v>
      </c>
      <c r="C3" s="52" t="s">
        <v>80</v>
      </c>
      <c r="D3" s="430" t="s">
        <v>710</v>
      </c>
      <c r="E3" s="430" t="s">
        <v>812</v>
      </c>
      <c r="F3" s="198" t="s">
        <v>813</v>
      </c>
      <c r="G3" s="253"/>
    </row>
    <row r="4" spans="2:10" ht="12.75" customHeight="1">
      <c r="B4" s="129">
        <v>1</v>
      </c>
      <c r="C4" s="130">
        <v>2</v>
      </c>
      <c r="D4" s="252">
        <v>3</v>
      </c>
      <c r="E4" s="444">
        <v>4</v>
      </c>
      <c r="F4" s="163">
        <v>5</v>
      </c>
    </row>
    <row r="5" spans="2:10" s="31" customFormat="1" ht="17.25" customHeight="1">
      <c r="B5" s="199">
        <v>710000</v>
      </c>
      <c r="C5" s="200" t="s">
        <v>183</v>
      </c>
      <c r="D5" s="431">
        <f>D6+D15+D19+D27+D37+D46+D51</f>
        <v>37198120</v>
      </c>
      <c r="E5" s="431">
        <f>E6+E15+E19+E27+E37+E46+E51</f>
        <v>9004727</v>
      </c>
      <c r="F5" s="183">
        <f>IF(D5=0,"",E5/D5*100)</f>
        <v>24.207478765055868</v>
      </c>
      <c r="G5" s="254"/>
      <c r="H5" s="165"/>
      <c r="I5" s="165"/>
      <c r="J5" s="165"/>
    </row>
    <row r="6" spans="2:10" s="108" customFormat="1" ht="17.100000000000001" customHeight="1">
      <c r="B6" s="201">
        <v>711000</v>
      </c>
      <c r="C6" s="202" t="s">
        <v>188</v>
      </c>
      <c r="D6" s="432">
        <f>D7+D12</f>
        <v>3122830</v>
      </c>
      <c r="E6" s="432">
        <f>E7+E12</f>
        <v>970830</v>
      </c>
      <c r="F6" s="184">
        <f t="shared" ref="F6:F70" si="0">IF(D6=0,"",E6/D6*100)</f>
        <v>31.088147609700179</v>
      </c>
      <c r="G6" s="255"/>
      <c r="H6" s="166"/>
      <c r="I6" s="167"/>
      <c r="J6" s="167"/>
    </row>
    <row r="7" spans="2:10" s="108" customFormat="1" ht="15" customHeight="1">
      <c r="B7" s="109">
        <v>711100</v>
      </c>
      <c r="C7" s="110" t="s">
        <v>275</v>
      </c>
      <c r="D7" s="433">
        <f>SUM(D8:D11)</f>
        <v>2760</v>
      </c>
      <c r="E7" s="433">
        <f>SUM(E8:E11)</f>
        <v>1016</v>
      </c>
      <c r="F7" s="117">
        <f t="shared" si="0"/>
        <v>36.811594202898554</v>
      </c>
      <c r="G7" s="255"/>
      <c r="H7" s="167"/>
      <c r="I7" s="167"/>
      <c r="J7" s="167"/>
    </row>
    <row r="8" spans="2:10" ht="15" customHeight="1">
      <c r="B8" s="106">
        <v>711111</v>
      </c>
      <c r="C8" s="168" t="s">
        <v>276</v>
      </c>
      <c r="D8" s="434">
        <v>2340</v>
      </c>
      <c r="E8" s="434">
        <v>1016</v>
      </c>
      <c r="F8" s="111">
        <f t="shared" si="0"/>
        <v>43.418803418803421</v>
      </c>
      <c r="G8" s="255"/>
    </row>
    <row r="9" spans="2:10" ht="15" customHeight="1">
      <c r="B9" s="106">
        <v>711113</v>
      </c>
      <c r="C9" s="168" t="s">
        <v>633</v>
      </c>
      <c r="D9" s="434">
        <v>70</v>
      </c>
      <c r="E9" s="434">
        <v>0</v>
      </c>
      <c r="F9" s="111">
        <f t="shared" si="0"/>
        <v>0</v>
      </c>
      <c r="G9" s="255"/>
    </row>
    <row r="10" spans="2:10" ht="15" customHeight="1">
      <c r="B10" s="106">
        <v>711114</v>
      </c>
      <c r="C10" s="168" t="s">
        <v>522</v>
      </c>
      <c r="D10" s="434">
        <v>300</v>
      </c>
      <c r="E10" s="434">
        <v>0</v>
      </c>
      <c r="F10" s="111">
        <f t="shared" si="0"/>
        <v>0</v>
      </c>
      <c r="G10" s="255"/>
    </row>
    <row r="11" spans="2:10" ht="15" customHeight="1">
      <c r="B11" s="106">
        <v>711115</v>
      </c>
      <c r="C11" s="168" t="s">
        <v>277</v>
      </c>
      <c r="D11" s="435">
        <v>50</v>
      </c>
      <c r="E11" s="435">
        <v>0</v>
      </c>
      <c r="F11" s="111">
        <f t="shared" si="0"/>
        <v>0</v>
      </c>
      <c r="G11" s="255"/>
    </row>
    <row r="12" spans="2:10" s="108" customFormat="1" ht="15" customHeight="1">
      <c r="B12" s="109">
        <v>711200</v>
      </c>
      <c r="C12" s="110" t="s">
        <v>280</v>
      </c>
      <c r="D12" s="433">
        <f>SUM(D13:D14)</f>
        <v>3120070</v>
      </c>
      <c r="E12" s="433">
        <f>SUM(E13:E14)</f>
        <v>969814</v>
      </c>
      <c r="F12" s="117">
        <f t="shared" si="0"/>
        <v>31.083084674382306</v>
      </c>
      <c r="G12" s="255"/>
      <c r="H12" s="167"/>
      <c r="I12" s="167"/>
      <c r="J12" s="167"/>
    </row>
    <row r="13" spans="2:10" ht="15" customHeight="1">
      <c r="B13" s="106">
        <v>711211</v>
      </c>
      <c r="C13" s="168" t="s">
        <v>278</v>
      </c>
      <c r="D13" s="435">
        <v>2969160</v>
      </c>
      <c r="E13" s="435">
        <v>967323</v>
      </c>
      <c r="F13" s="111">
        <f t="shared" si="0"/>
        <v>32.579012245887725</v>
      </c>
      <c r="G13" s="255"/>
    </row>
    <row r="14" spans="2:10" ht="15" customHeight="1">
      <c r="B14" s="106">
        <v>711212</v>
      </c>
      <c r="C14" s="168" t="s">
        <v>279</v>
      </c>
      <c r="D14" s="435">
        <v>150910</v>
      </c>
      <c r="E14" s="435">
        <v>2491</v>
      </c>
      <c r="F14" s="111">
        <f t="shared" si="0"/>
        <v>1.6506527069114041</v>
      </c>
      <c r="G14" s="255"/>
    </row>
    <row r="15" spans="2:10" s="108" customFormat="1" ht="17.100000000000001" customHeight="1">
      <c r="B15" s="201">
        <v>713000</v>
      </c>
      <c r="C15" s="203" t="s">
        <v>281</v>
      </c>
      <c r="D15" s="432">
        <f>D16</f>
        <v>6530</v>
      </c>
      <c r="E15" s="432">
        <f>E16</f>
        <v>12</v>
      </c>
      <c r="F15" s="184">
        <f t="shared" si="0"/>
        <v>0.18376722817764166</v>
      </c>
      <c r="G15" s="255"/>
      <c r="H15" s="167"/>
      <c r="I15" s="167"/>
      <c r="J15" s="167"/>
    </row>
    <row r="16" spans="2:10" s="108" customFormat="1" ht="15" customHeight="1">
      <c r="B16" s="109">
        <v>713100</v>
      </c>
      <c r="C16" s="118" t="s">
        <v>381</v>
      </c>
      <c r="D16" s="436">
        <f>SUM(D17:D18)</f>
        <v>6530</v>
      </c>
      <c r="E16" s="436">
        <f>SUM(E17:E18)</f>
        <v>12</v>
      </c>
      <c r="F16" s="117">
        <f t="shared" si="0"/>
        <v>0.18376722817764166</v>
      </c>
      <c r="G16" s="255"/>
      <c r="H16" s="167"/>
      <c r="I16" s="167"/>
      <c r="J16" s="167"/>
    </row>
    <row r="17" spans="2:10" ht="15" customHeight="1">
      <c r="B17" s="106">
        <v>713111</v>
      </c>
      <c r="C17" s="168" t="s">
        <v>282</v>
      </c>
      <c r="D17" s="434">
        <f>6200+140/10*20</f>
        <v>6480</v>
      </c>
      <c r="E17" s="434">
        <v>12</v>
      </c>
      <c r="F17" s="111">
        <f t="shared" si="0"/>
        <v>0.1851851851851852</v>
      </c>
      <c r="G17" s="216"/>
    </row>
    <row r="18" spans="2:10" ht="15" customHeight="1">
      <c r="B18" s="106">
        <v>713113</v>
      </c>
      <c r="C18" s="168" t="s">
        <v>283</v>
      </c>
      <c r="D18" s="434">
        <v>50</v>
      </c>
      <c r="E18" s="434">
        <v>0</v>
      </c>
      <c r="F18" s="111">
        <f t="shared" si="0"/>
        <v>0</v>
      </c>
      <c r="G18" s="216"/>
    </row>
    <row r="19" spans="2:10" s="108" customFormat="1" ht="17.100000000000001" customHeight="1">
      <c r="B19" s="201">
        <v>714000</v>
      </c>
      <c r="C19" s="203" t="s">
        <v>189</v>
      </c>
      <c r="D19" s="432">
        <f>D20</f>
        <v>286650</v>
      </c>
      <c r="E19" s="432">
        <f>E20</f>
        <v>84191</v>
      </c>
      <c r="F19" s="184">
        <f t="shared" si="0"/>
        <v>29.370661084946796</v>
      </c>
      <c r="G19" s="255"/>
      <c r="H19" s="167"/>
      <c r="I19" s="167"/>
      <c r="J19" s="167"/>
    </row>
    <row r="20" spans="2:10" s="108" customFormat="1" ht="15" customHeight="1">
      <c r="B20" s="109">
        <v>714100</v>
      </c>
      <c r="C20" s="118" t="s">
        <v>380</v>
      </c>
      <c r="D20" s="436">
        <f>SUM(D21:D26)</f>
        <v>286650</v>
      </c>
      <c r="E20" s="436">
        <f>SUM(E21:E26)</f>
        <v>84191</v>
      </c>
      <c r="F20" s="117">
        <f t="shared" si="0"/>
        <v>29.370661084946796</v>
      </c>
      <c r="G20" s="255"/>
      <c r="H20" s="167"/>
      <c r="I20" s="167"/>
      <c r="J20" s="167"/>
    </row>
    <row r="21" spans="2:10" ht="15" customHeight="1">
      <c r="B21" s="106">
        <v>714111</v>
      </c>
      <c r="C21" s="168" t="s">
        <v>284</v>
      </c>
      <c r="D21" s="434">
        <v>38220</v>
      </c>
      <c r="E21" s="434">
        <v>16393</v>
      </c>
      <c r="F21" s="111">
        <f t="shared" si="0"/>
        <v>42.89115646258503</v>
      </c>
      <c r="G21" s="216"/>
    </row>
    <row r="22" spans="2:10" ht="15" customHeight="1">
      <c r="B22" s="106">
        <v>714112</v>
      </c>
      <c r="C22" s="168" t="s">
        <v>285</v>
      </c>
      <c r="D22" s="435">
        <v>9240</v>
      </c>
      <c r="E22" s="435">
        <v>6965</v>
      </c>
      <c r="F22" s="111">
        <f t="shared" si="0"/>
        <v>75.378787878787875</v>
      </c>
      <c r="G22" s="216"/>
    </row>
    <row r="23" spans="2:10" ht="15" customHeight="1">
      <c r="B23" s="106">
        <v>714113</v>
      </c>
      <c r="C23" s="168" t="s">
        <v>286</v>
      </c>
      <c r="D23" s="434">
        <v>300</v>
      </c>
      <c r="E23" s="434">
        <v>377</v>
      </c>
      <c r="F23" s="111">
        <f t="shared" si="0"/>
        <v>125.66666666666666</v>
      </c>
      <c r="G23" s="216"/>
    </row>
    <row r="24" spans="2:10" ht="15" customHeight="1">
      <c r="B24" s="106">
        <v>714121</v>
      </c>
      <c r="C24" s="168" t="s">
        <v>287</v>
      </c>
      <c r="D24" s="435">
        <v>10460</v>
      </c>
      <c r="E24" s="435">
        <v>2837</v>
      </c>
      <c r="F24" s="111">
        <f t="shared" si="0"/>
        <v>27.122370936902485</v>
      </c>
      <c r="G24" s="216"/>
    </row>
    <row r="25" spans="2:10" ht="15" customHeight="1">
      <c r="B25" s="106">
        <v>714131</v>
      </c>
      <c r="C25" s="168" t="s">
        <v>288</v>
      </c>
      <c r="D25" s="435">
        <v>179450</v>
      </c>
      <c r="E25" s="435">
        <v>46147</v>
      </c>
      <c r="F25" s="111">
        <f t="shared" si="0"/>
        <v>25.715798272499303</v>
      </c>
      <c r="G25" s="216"/>
    </row>
    <row r="26" spans="2:10" ht="15" customHeight="1">
      <c r="B26" s="106">
        <v>714132</v>
      </c>
      <c r="C26" s="168" t="s">
        <v>289</v>
      </c>
      <c r="D26" s="434">
        <v>48980</v>
      </c>
      <c r="E26" s="434">
        <v>11472</v>
      </c>
      <c r="F26" s="111">
        <f t="shared" si="0"/>
        <v>23.421804818293182</v>
      </c>
      <c r="G26" s="216"/>
    </row>
    <row r="27" spans="2:10" s="108" customFormat="1" ht="25.5" customHeight="1">
      <c r="B27" s="201">
        <v>715000</v>
      </c>
      <c r="C27" s="202" t="s">
        <v>290</v>
      </c>
      <c r="D27" s="432">
        <f>D28+D33+D35</f>
        <v>3940</v>
      </c>
      <c r="E27" s="432">
        <f>E28+E33+E35</f>
        <v>466</v>
      </c>
      <c r="F27" s="184">
        <f t="shared" si="0"/>
        <v>11.82741116751269</v>
      </c>
      <c r="G27" s="255"/>
      <c r="H27" s="167"/>
      <c r="I27" s="167"/>
      <c r="J27" s="167"/>
    </row>
    <row r="28" spans="2:10" s="108" customFormat="1" ht="26.25" customHeight="1">
      <c r="B28" s="109">
        <v>715100</v>
      </c>
      <c r="C28" s="169" t="s">
        <v>294</v>
      </c>
      <c r="D28" s="433">
        <f>SUM(D29:D32)</f>
        <v>740</v>
      </c>
      <c r="E28" s="433">
        <f>SUM(E29:E32)</f>
        <v>231</v>
      </c>
      <c r="F28" s="117">
        <f t="shared" si="0"/>
        <v>31.216216216216214</v>
      </c>
      <c r="G28" s="255"/>
      <c r="H28" s="167"/>
      <c r="I28" s="167"/>
      <c r="J28" s="167"/>
    </row>
    <row r="29" spans="2:10" ht="15" customHeight="1">
      <c r="B29" s="106">
        <v>715131</v>
      </c>
      <c r="C29" s="168" t="s">
        <v>291</v>
      </c>
      <c r="D29" s="434">
        <v>150</v>
      </c>
      <c r="E29" s="434">
        <v>31</v>
      </c>
      <c r="F29" s="111">
        <f t="shared" si="0"/>
        <v>20.666666666666668</v>
      </c>
      <c r="G29" s="216"/>
    </row>
    <row r="30" spans="2:10" ht="15" customHeight="1">
      <c r="B30" s="106">
        <v>715132</v>
      </c>
      <c r="C30" s="168" t="s">
        <v>523</v>
      </c>
      <c r="D30" s="434">
        <v>40</v>
      </c>
      <c r="E30" s="434">
        <v>0</v>
      </c>
      <c r="F30" s="111">
        <f t="shared" si="0"/>
        <v>0</v>
      </c>
      <c r="G30" s="216"/>
    </row>
    <row r="31" spans="2:10" ht="15" customHeight="1">
      <c r="B31" s="106">
        <v>715137</v>
      </c>
      <c r="C31" s="168" t="s">
        <v>292</v>
      </c>
      <c r="D31" s="434">
        <v>50</v>
      </c>
      <c r="E31" s="434">
        <v>0</v>
      </c>
      <c r="F31" s="111">
        <f t="shared" si="0"/>
        <v>0</v>
      </c>
      <c r="G31" s="216"/>
    </row>
    <row r="32" spans="2:10" ht="15" customHeight="1">
      <c r="B32" s="106">
        <v>715141</v>
      </c>
      <c r="C32" s="168" t="s">
        <v>293</v>
      </c>
      <c r="D32" s="434">
        <v>500</v>
      </c>
      <c r="E32" s="434">
        <v>200</v>
      </c>
      <c r="F32" s="111">
        <f t="shared" si="0"/>
        <v>40</v>
      </c>
      <c r="G32" s="216"/>
    </row>
    <row r="33" spans="2:10" s="108" customFormat="1" ht="15" customHeight="1">
      <c r="B33" s="109">
        <v>715200</v>
      </c>
      <c r="C33" s="170" t="s">
        <v>295</v>
      </c>
      <c r="D33" s="433">
        <f>D34</f>
        <v>3000</v>
      </c>
      <c r="E33" s="433">
        <f>E34</f>
        <v>230</v>
      </c>
      <c r="F33" s="117">
        <f t="shared" si="0"/>
        <v>7.6666666666666661</v>
      </c>
      <c r="G33" s="255"/>
      <c r="H33" s="167"/>
      <c r="I33" s="167"/>
      <c r="J33" s="167"/>
    </row>
    <row r="34" spans="2:10" ht="15" customHeight="1">
      <c r="B34" s="106">
        <v>715211</v>
      </c>
      <c r="C34" s="168" t="s">
        <v>296</v>
      </c>
      <c r="D34" s="434">
        <f>2870+130</f>
        <v>3000</v>
      </c>
      <c r="E34" s="434">
        <v>230</v>
      </c>
      <c r="F34" s="111">
        <f t="shared" si="0"/>
        <v>7.6666666666666661</v>
      </c>
      <c r="G34" s="216"/>
    </row>
    <row r="35" spans="2:10" s="108" customFormat="1" ht="15" customHeight="1">
      <c r="B35" s="109">
        <v>715900</v>
      </c>
      <c r="C35" s="170" t="s">
        <v>297</v>
      </c>
      <c r="D35" s="433">
        <f>D36</f>
        <v>200</v>
      </c>
      <c r="E35" s="433">
        <f>E36</f>
        <v>5</v>
      </c>
      <c r="F35" s="117">
        <f t="shared" si="0"/>
        <v>2.5</v>
      </c>
      <c r="G35" s="255"/>
      <c r="H35" s="167"/>
      <c r="I35" s="167"/>
      <c r="J35" s="167"/>
    </row>
    <row r="36" spans="2:10" ht="27" customHeight="1">
      <c r="B36" s="106">
        <v>715914</v>
      </c>
      <c r="C36" s="171" t="s">
        <v>298</v>
      </c>
      <c r="D36" s="435">
        <v>200</v>
      </c>
      <c r="E36" s="435">
        <v>5</v>
      </c>
      <c r="F36" s="111">
        <f t="shared" si="0"/>
        <v>2.5</v>
      </c>
      <c r="G36" s="216"/>
    </row>
    <row r="37" spans="2:10" s="108" customFormat="1" ht="17.100000000000001" customHeight="1">
      <c r="B37" s="201">
        <v>716000</v>
      </c>
      <c r="C37" s="203" t="s">
        <v>190</v>
      </c>
      <c r="D37" s="432">
        <f>D38</f>
        <v>2921770</v>
      </c>
      <c r="E37" s="432">
        <f>E38</f>
        <v>823466</v>
      </c>
      <c r="F37" s="184">
        <f t="shared" si="0"/>
        <v>28.183806391331284</v>
      </c>
      <c r="G37" s="255"/>
      <c r="H37" s="173"/>
      <c r="I37" s="255"/>
      <c r="J37" s="167"/>
    </row>
    <row r="38" spans="2:10" s="108" customFormat="1" ht="15" customHeight="1">
      <c r="B38" s="109">
        <v>716100</v>
      </c>
      <c r="C38" s="170" t="s">
        <v>299</v>
      </c>
      <c r="D38" s="433">
        <f>SUM(D39:D45)</f>
        <v>2921770</v>
      </c>
      <c r="E38" s="433">
        <f>SUM(E39:E45)</f>
        <v>823466</v>
      </c>
      <c r="F38" s="117">
        <f t="shared" si="0"/>
        <v>28.183806391331284</v>
      </c>
      <c r="G38" s="256"/>
      <c r="H38" s="172"/>
      <c r="I38" s="167"/>
      <c r="J38" s="167"/>
    </row>
    <row r="39" spans="2:10" ht="15" customHeight="1">
      <c r="B39" s="106">
        <v>716111</v>
      </c>
      <c r="C39" s="168" t="s">
        <v>301</v>
      </c>
      <c r="D39" s="435">
        <v>2060770</v>
      </c>
      <c r="E39" s="435">
        <v>521607</v>
      </c>
      <c r="F39" s="111">
        <f t="shared" si="0"/>
        <v>25.311267147716631</v>
      </c>
      <c r="G39" s="255"/>
      <c r="H39" s="172"/>
      <c r="I39" s="167"/>
    </row>
    <row r="40" spans="2:10" ht="15" customHeight="1">
      <c r="B40" s="106">
        <v>716112</v>
      </c>
      <c r="C40" s="168" t="s">
        <v>302</v>
      </c>
      <c r="D40" s="435">
        <v>129060</v>
      </c>
      <c r="E40" s="435">
        <v>25740</v>
      </c>
      <c r="F40" s="111">
        <f t="shared" si="0"/>
        <v>19.944211994421199</v>
      </c>
      <c r="G40" s="255"/>
      <c r="H40" s="172"/>
      <c r="I40" s="167"/>
    </row>
    <row r="41" spans="2:10" ht="15" customHeight="1">
      <c r="B41" s="106">
        <v>716113</v>
      </c>
      <c r="C41" s="168" t="s">
        <v>303</v>
      </c>
      <c r="D41" s="435">
        <v>28020</v>
      </c>
      <c r="E41" s="435">
        <v>64504</v>
      </c>
      <c r="F41" s="111">
        <f t="shared" si="0"/>
        <v>230.20699500356886</v>
      </c>
      <c r="G41" s="255"/>
      <c r="H41" s="172"/>
      <c r="I41" s="167"/>
    </row>
    <row r="42" spans="2:10" ht="15" customHeight="1">
      <c r="B42" s="106">
        <v>716114</v>
      </c>
      <c r="C42" s="168" t="s">
        <v>304</v>
      </c>
      <c r="D42" s="435">
        <v>110</v>
      </c>
      <c r="E42" s="435">
        <v>0</v>
      </c>
      <c r="F42" s="111">
        <f t="shared" si="0"/>
        <v>0</v>
      </c>
      <c r="G42" s="255"/>
      <c r="H42" s="172"/>
      <c r="I42" s="167"/>
    </row>
    <row r="43" spans="2:10" ht="25.5" customHeight="1">
      <c r="B43" s="106">
        <v>716115</v>
      </c>
      <c r="C43" s="171" t="s">
        <v>305</v>
      </c>
      <c r="D43" s="435">
        <v>295120</v>
      </c>
      <c r="E43" s="435">
        <v>80000</v>
      </c>
      <c r="F43" s="111">
        <f t="shared" si="0"/>
        <v>27.107617240444565</v>
      </c>
      <c r="G43" s="255"/>
      <c r="H43" s="172"/>
      <c r="I43" s="167"/>
    </row>
    <row r="44" spans="2:10" ht="15" customHeight="1">
      <c r="B44" s="106">
        <v>716116</v>
      </c>
      <c r="C44" s="168" t="s">
        <v>306</v>
      </c>
      <c r="D44" s="435">
        <v>254490</v>
      </c>
      <c r="E44" s="435">
        <v>58644</v>
      </c>
      <c r="F44" s="111">
        <f t="shared" si="0"/>
        <v>23.043734527879288</v>
      </c>
      <c r="G44" s="255"/>
      <c r="H44" s="172"/>
      <c r="I44" s="167"/>
    </row>
    <row r="45" spans="2:10" ht="15" customHeight="1">
      <c r="B45" s="106">
        <v>716117</v>
      </c>
      <c r="C45" s="168" t="s">
        <v>300</v>
      </c>
      <c r="D45" s="435">
        <v>154200</v>
      </c>
      <c r="E45" s="435">
        <v>72971</v>
      </c>
      <c r="F45" s="111">
        <f t="shared" si="0"/>
        <v>47.322308690012974</v>
      </c>
      <c r="G45" s="255"/>
      <c r="H45" s="172"/>
      <c r="I45" s="167"/>
    </row>
    <row r="46" spans="2:10" s="108" customFormat="1" ht="17.100000000000001" customHeight="1">
      <c r="B46" s="201">
        <v>717000</v>
      </c>
      <c r="C46" s="203" t="s">
        <v>191</v>
      </c>
      <c r="D46" s="432">
        <f>D47</f>
        <v>30856100</v>
      </c>
      <c r="E46" s="432">
        <f>E47</f>
        <v>7125719</v>
      </c>
      <c r="F46" s="184">
        <f t="shared" si="0"/>
        <v>23.093388341365241</v>
      </c>
      <c r="G46" s="255"/>
      <c r="H46" s="167"/>
      <c r="I46" s="167"/>
      <c r="J46" s="167"/>
    </row>
    <row r="47" spans="2:10" s="108" customFormat="1" ht="15" customHeight="1">
      <c r="B47" s="109">
        <v>717100</v>
      </c>
      <c r="C47" s="170" t="s">
        <v>307</v>
      </c>
      <c r="D47" s="433">
        <f t="shared" ref="D47" si="1">SUM(D48:D50)</f>
        <v>30856100</v>
      </c>
      <c r="E47" s="433">
        <f t="shared" ref="E47" si="2">SUM(E48:E50)</f>
        <v>7125719</v>
      </c>
      <c r="F47" s="117">
        <f t="shared" si="0"/>
        <v>23.093388341365241</v>
      </c>
      <c r="G47" s="255"/>
      <c r="H47" s="167"/>
      <c r="I47" s="167"/>
      <c r="J47" s="167"/>
    </row>
    <row r="48" spans="2:10" ht="15" customHeight="1">
      <c r="B48" s="106">
        <v>717114</v>
      </c>
      <c r="C48" s="168" t="s">
        <v>634</v>
      </c>
      <c r="D48" s="435">
        <v>544250</v>
      </c>
      <c r="E48" s="435">
        <v>116997</v>
      </c>
      <c r="F48" s="111">
        <f t="shared" si="0"/>
        <v>21.496922370234266</v>
      </c>
      <c r="G48" s="216"/>
    </row>
    <row r="49" spans="1:10" ht="15" customHeight="1">
      <c r="B49" s="106">
        <v>717121</v>
      </c>
      <c r="C49" s="168" t="s">
        <v>308</v>
      </c>
      <c r="D49" s="435">
        <v>29528820</v>
      </c>
      <c r="E49" s="435">
        <v>6822683</v>
      </c>
      <c r="F49" s="111">
        <f t="shared" si="0"/>
        <v>23.10516641030695</v>
      </c>
      <c r="G49" s="216"/>
    </row>
    <row r="50" spans="1:10" ht="15" customHeight="1">
      <c r="B50" s="106">
        <v>717131</v>
      </c>
      <c r="C50" s="168" t="s">
        <v>309</v>
      </c>
      <c r="D50" s="435">
        <v>783030</v>
      </c>
      <c r="E50" s="435">
        <v>186039</v>
      </c>
      <c r="F50" s="111">
        <f t="shared" si="0"/>
        <v>23.758859813800235</v>
      </c>
      <c r="G50" s="216"/>
      <c r="H50" s="216"/>
    </row>
    <row r="51" spans="1:10" s="108" customFormat="1" ht="17.100000000000001" customHeight="1">
      <c r="B51" s="201">
        <v>719000</v>
      </c>
      <c r="C51" s="203" t="s">
        <v>192</v>
      </c>
      <c r="D51" s="432">
        <f>D52</f>
        <v>300</v>
      </c>
      <c r="E51" s="432">
        <f>E52</f>
        <v>43</v>
      </c>
      <c r="F51" s="184">
        <f t="shared" si="0"/>
        <v>14.333333333333334</v>
      </c>
      <c r="G51" s="255"/>
      <c r="H51" s="215"/>
      <c r="I51" s="167"/>
      <c r="J51" s="167"/>
    </row>
    <row r="52" spans="1:10" s="108" customFormat="1" ht="15" customHeight="1">
      <c r="B52" s="109">
        <v>719100</v>
      </c>
      <c r="C52" s="170" t="s">
        <v>310</v>
      </c>
      <c r="D52" s="433">
        <f>SUM(D53:D55)</f>
        <v>300</v>
      </c>
      <c r="E52" s="433">
        <f>SUM(E53:E55)</f>
        <v>43</v>
      </c>
      <c r="F52" s="117">
        <f t="shared" si="0"/>
        <v>14.333333333333334</v>
      </c>
      <c r="G52" s="255"/>
      <c r="H52" s="167"/>
      <c r="I52" s="167"/>
      <c r="J52" s="167"/>
    </row>
    <row r="53" spans="1:10" ht="15" customHeight="1" thickBot="1">
      <c r="A53" s="143"/>
      <c r="B53" s="106">
        <v>719111</v>
      </c>
      <c r="C53" s="168" t="s">
        <v>310</v>
      </c>
      <c r="D53" s="434">
        <v>100</v>
      </c>
      <c r="E53" s="434">
        <v>40</v>
      </c>
      <c r="F53" s="111">
        <f t="shared" si="0"/>
        <v>40</v>
      </c>
      <c r="G53" s="216"/>
    </row>
    <row r="54" spans="1:10" ht="15" customHeight="1">
      <c r="B54" s="178">
        <v>719114</v>
      </c>
      <c r="C54" s="179" t="s">
        <v>311</v>
      </c>
      <c r="D54" s="437">
        <v>150</v>
      </c>
      <c r="E54" s="437">
        <v>0</v>
      </c>
      <c r="F54" s="185">
        <f t="shared" si="0"/>
        <v>0</v>
      </c>
    </row>
    <row r="55" spans="1:10" ht="25.5">
      <c r="B55" s="106">
        <v>719115</v>
      </c>
      <c r="C55" s="171" t="s">
        <v>312</v>
      </c>
      <c r="D55" s="435">
        <v>50</v>
      </c>
      <c r="E55" s="435">
        <v>3</v>
      </c>
      <c r="F55" s="113">
        <f t="shared" si="0"/>
        <v>6</v>
      </c>
      <c r="G55" s="257"/>
    </row>
    <row r="56" spans="1:10">
      <c r="B56" s="106"/>
      <c r="C56" s="21"/>
      <c r="D56" s="434"/>
      <c r="E56" s="434"/>
      <c r="F56" s="113" t="str">
        <f t="shared" si="0"/>
        <v/>
      </c>
      <c r="G56" s="257"/>
    </row>
    <row r="57" spans="1:10" ht="17.100000000000001" customHeight="1">
      <c r="B57" s="199">
        <v>720000</v>
      </c>
      <c r="C57" s="200" t="s">
        <v>187</v>
      </c>
      <c r="D57" s="431">
        <f>D58+D71+D141</f>
        <v>2624140</v>
      </c>
      <c r="E57" s="431">
        <f>E58+E71+E141</f>
        <v>678648</v>
      </c>
      <c r="F57" s="183">
        <f t="shared" si="0"/>
        <v>25.861729938189271</v>
      </c>
      <c r="G57" s="258"/>
      <c r="H57" s="216"/>
    </row>
    <row r="58" spans="1:10" ht="26.25">
      <c r="B58" s="201">
        <v>721000</v>
      </c>
      <c r="C58" s="204" t="s">
        <v>209</v>
      </c>
      <c r="D58" s="432">
        <f>D59+D62+D66+D69</f>
        <v>122040</v>
      </c>
      <c r="E58" s="432">
        <f>E59+E62+E66+E69</f>
        <v>2646</v>
      </c>
      <c r="F58" s="184">
        <f t="shared" si="0"/>
        <v>2.168141592920354</v>
      </c>
    </row>
    <row r="59" spans="1:10" ht="15" customHeight="1">
      <c r="B59" s="109">
        <v>721100</v>
      </c>
      <c r="C59" s="170" t="s">
        <v>313</v>
      </c>
      <c r="D59" s="433">
        <f>SUM(D60:D61)</f>
        <v>111200</v>
      </c>
      <c r="E59" s="433">
        <f>SUM(E60:E61)</f>
        <v>393</v>
      </c>
      <c r="F59" s="218">
        <f t="shared" si="0"/>
        <v>0.35341726618705038</v>
      </c>
      <c r="H59" s="216"/>
    </row>
    <row r="60" spans="1:10" ht="15" customHeight="1">
      <c r="B60" s="106">
        <v>721112</v>
      </c>
      <c r="C60" s="168" t="s">
        <v>314</v>
      </c>
      <c r="D60" s="435">
        <v>200</v>
      </c>
      <c r="E60" s="435">
        <v>34</v>
      </c>
      <c r="F60" s="113">
        <f t="shared" si="0"/>
        <v>17</v>
      </c>
      <c r="G60" s="259"/>
    </row>
    <row r="61" spans="1:10" ht="15" customHeight="1">
      <c r="B61" s="106">
        <v>721121</v>
      </c>
      <c r="C61" s="168" t="s">
        <v>792</v>
      </c>
      <c r="D61" s="435">
        <v>111000</v>
      </c>
      <c r="E61" s="435">
        <v>359</v>
      </c>
      <c r="F61" s="195">
        <f t="shared" si="0"/>
        <v>0.32342342342342345</v>
      </c>
      <c r="G61" s="259"/>
      <c r="H61" s="216"/>
    </row>
    <row r="62" spans="1:10" ht="15" customHeight="1">
      <c r="B62" s="114">
        <v>721200</v>
      </c>
      <c r="C62" s="170" t="s">
        <v>315</v>
      </c>
      <c r="D62" s="433">
        <f>SUM(D63:D65)</f>
        <v>10540</v>
      </c>
      <c r="E62" s="433">
        <f>SUM(E63:E65)</f>
        <v>2203</v>
      </c>
      <c r="F62" s="107">
        <f t="shared" si="0"/>
        <v>20.901328273244783</v>
      </c>
    </row>
    <row r="63" spans="1:10" ht="15" customHeight="1">
      <c r="B63" s="115">
        <v>721211</v>
      </c>
      <c r="C63" s="168" t="s">
        <v>316</v>
      </c>
      <c r="D63" s="434">
        <v>440</v>
      </c>
      <c r="E63" s="434">
        <v>83</v>
      </c>
      <c r="F63" s="113">
        <f t="shared" si="0"/>
        <v>18.863636363636363</v>
      </c>
      <c r="H63" s="216"/>
    </row>
    <row r="64" spans="1:10" ht="15" customHeight="1">
      <c r="B64" s="115">
        <v>721225</v>
      </c>
      <c r="C64" s="168" t="s">
        <v>611</v>
      </c>
      <c r="D64" s="435">
        <v>8100</v>
      </c>
      <c r="E64" s="435">
        <v>0</v>
      </c>
      <c r="F64" s="113">
        <f t="shared" si="0"/>
        <v>0</v>
      </c>
    </row>
    <row r="65" spans="2:10" ht="15" customHeight="1">
      <c r="B65" s="115">
        <v>721227</v>
      </c>
      <c r="C65" s="168" t="s">
        <v>635</v>
      </c>
      <c r="D65" s="435">
        <v>2000</v>
      </c>
      <c r="E65" s="435">
        <v>2120</v>
      </c>
      <c r="F65" s="113">
        <f t="shared" si="0"/>
        <v>106</v>
      </c>
    </row>
    <row r="66" spans="2:10" ht="15" customHeight="1">
      <c r="B66" s="114">
        <v>721300</v>
      </c>
      <c r="C66" s="170" t="s">
        <v>317</v>
      </c>
      <c r="D66" s="433">
        <f>SUM(D67:D68)</f>
        <v>0</v>
      </c>
      <c r="E66" s="433">
        <f>SUM(E67:E68)</f>
        <v>50</v>
      </c>
      <c r="F66" s="107" t="str">
        <f t="shared" si="0"/>
        <v/>
      </c>
      <c r="H66" s="216"/>
    </row>
    <row r="67" spans="2:10" s="532" customFormat="1" ht="15" customHeight="1">
      <c r="B67" s="115">
        <v>721311</v>
      </c>
      <c r="C67" s="168" t="s">
        <v>822</v>
      </c>
      <c r="D67" s="434">
        <v>0</v>
      </c>
      <c r="E67" s="434">
        <v>50</v>
      </c>
      <c r="F67" s="113" t="str">
        <f t="shared" ref="F67" si="3">IF(D67=0,"",E67/D67*100)</f>
        <v/>
      </c>
      <c r="G67" s="164"/>
      <c r="H67" s="216"/>
      <c r="I67" s="164"/>
      <c r="J67" s="164"/>
    </row>
    <row r="68" spans="2:10" ht="15" customHeight="1">
      <c r="B68" s="115">
        <v>721312</v>
      </c>
      <c r="C68" s="168" t="s">
        <v>318</v>
      </c>
      <c r="D68" s="434">
        <v>0</v>
      </c>
      <c r="E68" s="434">
        <v>0</v>
      </c>
      <c r="F68" s="113" t="str">
        <f t="shared" si="0"/>
        <v/>
      </c>
      <c r="H68" s="216"/>
    </row>
    <row r="69" spans="2:10" ht="15" customHeight="1">
      <c r="B69" s="114">
        <v>721500</v>
      </c>
      <c r="C69" s="170" t="s">
        <v>319</v>
      </c>
      <c r="D69" s="433">
        <f>D70</f>
        <v>300</v>
      </c>
      <c r="E69" s="433">
        <f>E70</f>
        <v>0</v>
      </c>
      <c r="F69" s="107">
        <f t="shared" si="0"/>
        <v>0</v>
      </c>
    </row>
    <row r="70" spans="2:10" ht="15" customHeight="1">
      <c r="B70" s="115">
        <v>721511</v>
      </c>
      <c r="C70" s="168" t="s">
        <v>319</v>
      </c>
      <c r="D70" s="434">
        <v>300</v>
      </c>
      <c r="E70" s="434">
        <v>0</v>
      </c>
      <c r="F70" s="113">
        <f t="shared" si="0"/>
        <v>0</v>
      </c>
      <c r="H70" s="216"/>
    </row>
    <row r="71" spans="2:10" ht="15">
      <c r="B71" s="201">
        <v>722000</v>
      </c>
      <c r="C71" s="202" t="s">
        <v>382</v>
      </c>
      <c r="D71" s="431">
        <f>D72+D74+D76+D91+D129+D136</f>
        <v>2062200</v>
      </c>
      <c r="E71" s="431">
        <f>E72+E74+E76+E91+E129+E136</f>
        <v>499109</v>
      </c>
      <c r="F71" s="184">
        <f t="shared" ref="F71:F134" si="4">IF(D71=0,"",E71/D71*100)</f>
        <v>24.202744641644848</v>
      </c>
    </row>
    <row r="72" spans="2:10" ht="15" customHeight="1">
      <c r="B72" s="109">
        <v>722100</v>
      </c>
      <c r="C72" s="120" t="s">
        <v>320</v>
      </c>
      <c r="D72" s="436">
        <f>D73</f>
        <v>128910</v>
      </c>
      <c r="E72" s="436">
        <f>E73</f>
        <v>24307</v>
      </c>
      <c r="F72" s="107">
        <f t="shared" si="4"/>
        <v>18.855790861841594</v>
      </c>
      <c r="H72" s="216"/>
    </row>
    <row r="73" spans="2:10" ht="15" customHeight="1">
      <c r="B73" s="112">
        <v>722121</v>
      </c>
      <c r="C73" s="174" t="s">
        <v>321</v>
      </c>
      <c r="D73" s="435">
        <v>128910</v>
      </c>
      <c r="E73" s="435">
        <v>24307</v>
      </c>
      <c r="F73" s="113">
        <f t="shared" si="4"/>
        <v>18.855790861841594</v>
      </c>
    </row>
    <row r="74" spans="2:10" ht="15" customHeight="1">
      <c r="B74" s="109">
        <v>722200</v>
      </c>
      <c r="C74" s="120" t="s">
        <v>322</v>
      </c>
      <c r="D74" s="436">
        <f>D75</f>
        <v>381800</v>
      </c>
      <c r="E74" s="436">
        <f>E75</f>
        <v>101176</v>
      </c>
      <c r="F74" s="107">
        <f t="shared" si="4"/>
        <v>26.499738082765845</v>
      </c>
      <c r="H74" s="216"/>
      <c r="J74" s="260"/>
    </row>
    <row r="75" spans="2:10" ht="15" customHeight="1">
      <c r="B75" s="112">
        <v>722221</v>
      </c>
      <c r="C75" s="174" t="s">
        <v>323</v>
      </c>
      <c r="D75" s="435">
        <v>381800</v>
      </c>
      <c r="E75" s="435">
        <v>101176</v>
      </c>
      <c r="F75" s="113">
        <f t="shared" si="4"/>
        <v>26.499738082765845</v>
      </c>
    </row>
    <row r="76" spans="2:10" ht="15" customHeight="1">
      <c r="B76" s="109">
        <v>722400</v>
      </c>
      <c r="C76" s="120" t="s">
        <v>324</v>
      </c>
      <c r="D76" s="436">
        <f>D77+D83+D86</f>
        <v>221530</v>
      </c>
      <c r="E76" s="436">
        <f>E77+E83+E86</f>
        <v>67260</v>
      </c>
      <c r="F76" s="107">
        <f t="shared" si="4"/>
        <v>30.361576310206296</v>
      </c>
    </row>
    <row r="77" spans="2:10" ht="15" customHeight="1">
      <c r="B77" s="121">
        <v>722420</v>
      </c>
      <c r="C77" s="175" t="s">
        <v>325</v>
      </c>
      <c r="D77" s="438">
        <f>D78+D79+D81+D82</f>
        <v>41730</v>
      </c>
      <c r="E77" s="438">
        <f>E78+E79+E81+E82</f>
        <v>17739</v>
      </c>
      <c r="F77" s="107">
        <f t="shared" si="4"/>
        <v>42.508986340762043</v>
      </c>
    </row>
    <row r="78" spans="2:10" ht="15" customHeight="1">
      <c r="B78" s="112">
        <v>722421</v>
      </c>
      <c r="C78" s="174" t="s">
        <v>325</v>
      </c>
      <c r="D78" s="435">
        <v>20</v>
      </c>
      <c r="E78" s="435">
        <v>0</v>
      </c>
      <c r="F78" s="113">
        <f t="shared" si="4"/>
        <v>0</v>
      </c>
    </row>
    <row r="79" spans="2:10" ht="15" customHeight="1">
      <c r="B79" s="112">
        <v>722422</v>
      </c>
      <c r="C79" s="174" t="s">
        <v>390</v>
      </c>
      <c r="D79" s="435">
        <f>D80</f>
        <v>34060</v>
      </c>
      <c r="E79" s="435">
        <f>E80</f>
        <v>16233</v>
      </c>
      <c r="F79" s="113">
        <f t="shared" si="4"/>
        <v>47.660011743981215</v>
      </c>
    </row>
    <row r="80" spans="2:10" ht="15" customHeight="1">
      <c r="B80" s="112"/>
      <c r="C80" s="176" t="s">
        <v>624</v>
      </c>
      <c r="D80" s="435">
        <v>34060</v>
      </c>
      <c r="E80" s="435">
        <v>16233</v>
      </c>
      <c r="F80" s="113">
        <f t="shared" si="4"/>
        <v>47.660011743981215</v>
      </c>
      <c r="G80" s="259"/>
    </row>
    <row r="81" spans="2:9" ht="15" customHeight="1">
      <c r="B81" s="112">
        <v>722424</v>
      </c>
      <c r="C81" s="174" t="s">
        <v>328</v>
      </c>
      <c r="D81" s="435">
        <v>5180</v>
      </c>
      <c r="E81" s="435">
        <v>1506</v>
      </c>
      <c r="F81" s="113">
        <f t="shared" si="4"/>
        <v>29.073359073359072</v>
      </c>
      <c r="H81" s="216"/>
    </row>
    <row r="82" spans="2:9" ht="15" customHeight="1">
      <c r="B82" s="112">
        <v>722429</v>
      </c>
      <c r="C82" s="174" t="s">
        <v>326</v>
      </c>
      <c r="D82" s="435">
        <v>2470</v>
      </c>
      <c r="E82" s="435">
        <v>0</v>
      </c>
      <c r="F82" s="113">
        <f t="shared" si="4"/>
        <v>0</v>
      </c>
      <c r="I82" s="216"/>
    </row>
    <row r="83" spans="2:9" ht="15" customHeight="1">
      <c r="B83" s="119">
        <v>722450</v>
      </c>
      <c r="C83" s="175" t="s">
        <v>327</v>
      </c>
      <c r="D83" s="438">
        <f>SUM(D84:D85)</f>
        <v>8780</v>
      </c>
      <c r="E83" s="438">
        <f>SUM(E84:E85)</f>
        <v>1548</v>
      </c>
      <c r="F83" s="107">
        <f t="shared" si="4"/>
        <v>17.630979498861048</v>
      </c>
    </row>
    <row r="84" spans="2:9" ht="15" customHeight="1">
      <c r="B84" s="112">
        <v>722451</v>
      </c>
      <c r="C84" s="174" t="s">
        <v>329</v>
      </c>
      <c r="D84" s="435">
        <v>6960</v>
      </c>
      <c r="E84" s="435">
        <v>1016</v>
      </c>
      <c r="F84" s="113">
        <f t="shared" si="4"/>
        <v>14.597701149425287</v>
      </c>
    </row>
    <row r="85" spans="2:9" ht="15" customHeight="1">
      <c r="B85" s="112">
        <v>722454</v>
      </c>
      <c r="C85" s="174" t="s">
        <v>330</v>
      </c>
      <c r="D85" s="435">
        <v>1820</v>
      </c>
      <c r="E85" s="435">
        <v>532</v>
      </c>
      <c r="F85" s="113">
        <f t="shared" si="4"/>
        <v>29.230769230769234</v>
      </c>
    </row>
    <row r="86" spans="2:9" ht="25.5">
      <c r="B86" s="119">
        <v>722470</v>
      </c>
      <c r="C86" s="177" t="s">
        <v>383</v>
      </c>
      <c r="D86" s="438">
        <f>D87+D89+D90</f>
        <v>171020</v>
      </c>
      <c r="E86" s="438">
        <f>E87+E89+E90</f>
        <v>47973</v>
      </c>
      <c r="F86" s="107">
        <f t="shared" si="4"/>
        <v>28.051105133902464</v>
      </c>
      <c r="H86" s="216"/>
    </row>
    <row r="87" spans="2:9" ht="15" customHeight="1">
      <c r="B87" s="112">
        <v>722471</v>
      </c>
      <c r="C87" s="174" t="s">
        <v>331</v>
      </c>
      <c r="D87" s="435">
        <f>D88</f>
        <v>137420</v>
      </c>
      <c r="E87" s="435">
        <f>E88</f>
        <v>42531</v>
      </c>
      <c r="F87" s="113">
        <f t="shared" si="4"/>
        <v>30.949643428904089</v>
      </c>
      <c r="H87" s="216"/>
    </row>
    <row r="88" spans="2:9" ht="15" customHeight="1">
      <c r="B88" s="112"/>
      <c r="C88" s="176" t="s">
        <v>786</v>
      </c>
      <c r="D88" s="435">
        <f>115760-8720+380+30000</f>
        <v>137420</v>
      </c>
      <c r="E88" s="435">
        <v>42531</v>
      </c>
      <c r="F88" s="113">
        <f t="shared" si="4"/>
        <v>30.949643428904089</v>
      </c>
    </row>
    <row r="89" spans="2:9" ht="25.5">
      <c r="B89" s="112">
        <v>722472</v>
      </c>
      <c r="C89" s="176" t="s">
        <v>332</v>
      </c>
      <c r="D89" s="435">
        <v>19780</v>
      </c>
      <c r="E89" s="435">
        <v>5442</v>
      </c>
      <c r="F89" s="113">
        <f t="shared" si="4"/>
        <v>27.51263902932255</v>
      </c>
    </row>
    <row r="90" spans="2:9" ht="17.100000000000001" customHeight="1">
      <c r="B90" s="112">
        <v>722479</v>
      </c>
      <c r="C90" s="176" t="s">
        <v>612</v>
      </c>
      <c r="D90" s="435">
        <v>13820</v>
      </c>
      <c r="E90" s="435">
        <v>0</v>
      </c>
      <c r="F90" s="113">
        <f t="shared" si="4"/>
        <v>0</v>
      </c>
    </row>
    <row r="91" spans="2:9" ht="17.100000000000001" customHeight="1">
      <c r="B91" s="109">
        <v>722500</v>
      </c>
      <c r="C91" s="45" t="s">
        <v>623</v>
      </c>
      <c r="D91" s="436">
        <f>D92+D97+D108+D113+D115+D122</f>
        <v>869050</v>
      </c>
      <c r="E91" s="436">
        <f>E92+E97+E108+E113+E115+E122</f>
        <v>212781</v>
      </c>
      <c r="F91" s="107">
        <f t="shared" si="4"/>
        <v>24.484321960761751</v>
      </c>
    </row>
    <row r="92" spans="2:9" ht="27" customHeight="1">
      <c r="B92" s="119">
        <v>722510</v>
      </c>
      <c r="C92" s="122" t="s">
        <v>384</v>
      </c>
      <c r="D92" s="438">
        <f t="shared" ref="D92" si="5">SUM(D93:D96)</f>
        <v>17800</v>
      </c>
      <c r="E92" s="438">
        <f t="shared" ref="E92" si="6">SUM(E93:E96)</f>
        <v>4805</v>
      </c>
      <c r="F92" s="107">
        <f t="shared" si="4"/>
        <v>26.994382022471907</v>
      </c>
    </row>
    <row r="93" spans="2:9" ht="25.5">
      <c r="B93" s="106">
        <v>722511</v>
      </c>
      <c r="C93" s="73" t="s">
        <v>636</v>
      </c>
      <c r="D93" s="435">
        <v>20</v>
      </c>
      <c r="E93" s="435">
        <v>0</v>
      </c>
      <c r="F93" s="113">
        <f t="shared" si="4"/>
        <v>0</v>
      </c>
    </row>
    <row r="94" spans="2:9" ht="25.5">
      <c r="B94" s="106">
        <v>722514</v>
      </c>
      <c r="C94" s="73" t="s">
        <v>347</v>
      </c>
      <c r="D94" s="435">
        <v>2040</v>
      </c>
      <c r="E94" s="435">
        <v>384</v>
      </c>
      <c r="F94" s="113">
        <f t="shared" si="4"/>
        <v>18.823529411764707</v>
      </c>
    </row>
    <row r="95" spans="2:9" ht="15" customHeight="1">
      <c r="B95" s="106">
        <v>722515</v>
      </c>
      <c r="C95" s="74" t="s">
        <v>333</v>
      </c>
      <c r="D95" s="435">
        <v>15720</v>
      </c>
      <c r="E95" s="435">
        <v>4421</v>
      </c>
      <c r="F95" s="113">
        <f t="shared" si="4"/>
        <v>28.123409669211195</v>
      </c>
    </row>
    <row r="96" spans="2:9" ht="15" customHeight="1">
      <c r="B96" s="106">
        <v>722516</v>
      </c>
      <c r="C96" s="74" t="s">
        <v>334</v>
      </c>
      <c r="D96" s="435">
        <v>20</v>
      </c>
      <c r="E96" s="435">
        <v>0</v>
      </c>
      <c r="F96" s="113">
        <f t="shared" si="4"/>
        <v>0</v>
      </c>
    </row>
    <row r="97" spans="2:6" ht="15" customHeight="1">
      <c r="B97" s="119">
        <v>722520</v>
      </c>
      <c r="C97" s="123" t="s">
        <v>335</v>
      </c>
      <c r="D97" s="438">
        <f>D98+D100+D101+D102+D103+D104+D105+D106+D107</f>
        <v>260040</v>
      </c>
      <c r="E97" s="438">
        <f>E98+E100+E101+E102+E103+E104+E105+E106+E107</f>
        <v>67405</v>
      </c>
      <c r="F97" s="107">
        <f t="shared" si="4"/>
        <v>25.921012151976619</v>
      </c>
    </row>
    <row r="98" spans="2:6" ht="25.5">
      <c r="B98" s="106">
        <v>722521</v>
      </c>
      <c r="C98" s="73" t="s">
        <v>348</v>
      </c>
      <c r="D98" s="435">
        <f>D99</f>
        <v>92880</v>
      </c>
      <c r="E98" s="435">
        <f>E99</f>
        <v>21917</v>
      </c>
      <c r="F98" s="113">
        <f t="shared" si="4"/>
        <v>23.59711455641688</v>
      </c>
    </row>
    <row r="99" spans="2:6" ht="15" customHeight="1">
      <c r="B99" s="112"/>
      <c r="C99" s="176" t="s">
        <v>787</v>
      </c>
      <c r="D99" s="435">
        <v>92880</v>
      </c>
      <c r="E99" s="435">
        <v>21917</v>
      </c>
      <c r="F99" s="113">
        <f t="shared" si="4"/>
        <v>23.59711455641688</v>
      </c>
    </row>
    <row r="100" spans="2:6" ht="25.5" customHeight="1">
      <c r="B100" s="178">
        <v>722522</v>
      </c>
      <c r="C100" s="180" t="s">
        <v>349</v>
      </c>
      <c r="D100" s="437">
        <v>26680</v>
      </c>
      <c r="E100" s="437">
        <v>6848</v>
      </c>
      <c r="F100" s="186">
        <f t="shared" si="4"/>
        <v>25.667166416791602</v>
      </c>
    </row>
    <row r="101" spans="2:6" ht="25.5">
      <c r="B101" s="106">
        <v>722523</v>
      </c>
      <c r="C101" s="73" t="s">
        <v>350</v>
      </c>
      <c r="D101" s="435">
        <v>4950</v>
      </c>
      <c r="E101" s="435">
        <v>1074</v>
      </c>
      <c r="F101" s="111">
        <f t="shared" si="4"/>
        <v>21.696969696969699</v>
      </c>
    </row>
    <row r="102" spans="2:6" ht="27" customHeight="1">
      <c r="B102" s="106">
        <v>722524</v>
      </c>
      <c r="C102" s="263" t="s">
        <v>620</v>
      </c>
      <c r="D102" s="435">
        <v>410</v>
      </c>
      <c r="E102" s="435">
        <v>63</v>
      </c>
      <c r="F102" s="111">
        <f t="shared" si="4"/>
        <v>15.365853658536585</v>
      </c>
    </row>
    <row r="103" spans="2:6" ht="25.5">
      <c r="B103" s="106">
        <v>722525</v>
      </c>
      <c r="C103" s="263" t="s">
        <v>619</v>
      </c>
      <c r="D103" s="435">
        <v>160</v>
      </c>
      <c r="E103" s="435">
        <v>15</v>
      </c>
      <c r="F103" s="111">
        <f t="shared" si="4"/>
        <v>9.375</v>
      </c>
    </row>
    <row r="104" spans="2:6" ht="25.5">
      <c r="B104" s="106">
        <v>722526</v>
      </c>
      <c r="C104" s="73" t="s">
        <v>622</v>
      </c>
      <c r="D104" s="435">
        <v>20</v>
      </c>
      <c r="E104" s="435">
        <v>0</v>
      </c>
      <c r="F104" s="111">
        <f t="shared" si="4"/>
        <v>0</v>
      </c>
    </row>
    <row r="105" spans="2:6" ht="15" customHeight="1">
      <c r="B105" s="106">
        <v>722527</v>
      </c>
      <c r="C105" s="74" t="s">
        <v>525</v>
      </c>
      <c r="D105" s="435">
        <v>49450</v>
      </c>
      <c r="E105" s="435">
        <v>15753</v>
      </c>
      <c r="F105" s="196">
        <f t="shared" si="4"/>
        <v>31.856420626895854</v>
      </c>
    </row>
    <row r="106" spans="2:6" ht="15" customHeight="1">
      <c r="B106" s="106">
        <v>722528</v>
      </c>
      <c r="C106" s="74" t="s">
        <v>336</v>
      </c>
      <c r="D106" s="435">
        <v>1130</v>
      </c>
      <c r="E106" s="435">
        <v>284</v>
      </c>
      <c r="F106" s="111">
        <f t="shared" si="4"/>
        <v>25.13274336283186</v>
      </c>
    </row>
    <row r="107" spans="2:6" ht="15" customHeight="1">
      <c r="B107" s="106">
        <v>722529</v>
      </c>
      <c r="C107" s="74" t="s">
        <v>337</v>
      </c>
      <c r="D107" s="435">
        <v>84360</v>
      </c>
      <c r="E107" s="435">
        <v>21451</v>
      </c>
      <c r="F107" s="111">
        <f t="shared" si="4"/>
        <v>25.427927927927929</v>
      </c>
    </row>
    <row r="108" spans="2:6" ht="15" customHeight="1">
      <c r="B108" s="119">
        <v>722530</v>
      </c>
      <c r="C108" s="123" t="s">
        <v>338</v>
      </c>
      <c r="D108" s="438">
        <f>SUM(D109:D112)</f>
        <v>340550</v>
      </c>
      <c r="E108" s="438">
        <f>SUM(E109:E112)</f>
        <v>82413</v>
      </c>
      <c r="F108" s="117">
        <f t="shared" si="4"/>
        <v>24.19997063573631</v>
      </c>
    </row>
    <row r="109" spans="2:6" ht="15" customHeight="1">
      <c r="B109" s="106">
        <v>722531</v>
      </c>
      <c r="C109" s="74" t="s">
        <v>339</v>
      </c>
      <c r="D109" s="435">
        <v>97960</v>
      </c>
      <c r="E109" s="435">
        <v>27071</v>
      </c>
      <c r="F109" s="111">
        <f t="shared" si="4"/>
        <v>27.63474887709269</v>
      </c>
    </row>
    <row r="110" spans="2:6" ht="15" customHeight="1">
      <c r="B110" s="106">
        <v>722532</v>
      </c>
      <c r="C110" s="74" t="s">
        <v>340</v>
      </c>
      <c r="D110" s="435">
        <v>242560</v>
      </c>
      <c r="E110" s="435">
        <v>55342</v>
      </c>
      <c r="F110" s="111">
        <f t="shared" si="4"/>
        <v>22.815798153034301</v>
      </c>
    </row>
    <row r="111" spans="2:6" ht="15" customHeight="1">
      <c r="B111" s="106">
        <v>722538</v>
      </c>
      <c r="C111" s="74" t="s">
        <v>341</v>
      </c>
      <c r="D111" s="435">
        <v>20</v>
      </c>
      <c r="E111" s="435">
        <v>0</v>
      </c>
      <c r="F111" s="111">
        <f t="shared" si="4"/>
        <v>0</v>
      </c>
    </row>
    <row r="112" spans="2:6" ht="15" customHeight="1">
      <c r="B112" s="106">
        <v>722539</v>
      </c>
      <c r="C112" s="74" t="s">
        <v>529</v>
      </c>
      <c r="D112" s="435">
        <v>10</v>
      </c>
      <c r="E112" s="435">
        <v>0</v>
      </c>
      <c r="F112" s="111">
        <f t="shared" si="4"/>
        <v>0</v>
      </c>
    </row>
    <row r="113" spans="2:8" ht="15" customHeight="1">
      <c r="B113" s="119">
        <v>722540</v>
      </c>
      <c r="C113" s="123" t="s">
        <v>342</v>
      </c>
      <c r="D113" s="438">
        <f>D114</f>
        <v>200</v>
      </c>
      <c r="E113" s="438">
        <f>E114</f>
        <v>209</v>
      </c>
      <c r="F113" s="117">
        <f t="shared" si="4"/>
        <v>104.5</v>
      </c>
    </row>
    <row r="114" spans="2:8" ht="15" customHeight="1">
      <c r="B114" s="106">
        <v>722541</v>
      </c>
      <c r="C114" s="74" t="s">
        <v>343</v>
      </c>
      <c r="D114" s="435">
        <v>200</v>
      </c>
      <c r="E114" s="435">
        <v>209</v>
      </c>
      <c r="F114" s="111">
        <f t="shared" si="4"/>
        <v>104.5</v>
      </c>
    </row>
    <row r="115" spans="2:8" ht="15" customHeight="1">
      <c r="B115" s="119">
        <v>722550</v>
      </c>
      <c r="C115" s="123" t="s">
        <v>344</v>
      </c>
      <c r="D115" s="438">
        <f>D116+D118+D120</f>
        <v>180000</v>
      </c>
      <c r="E115" s="438">
        <f>E116+E118+E120</f>
        <v>41495</v>
      </c>
      <c r="F115" s="117">
        <f t="shared" si="4"/>
        <v>23.052777777777777</v>
      </c>
      <c r="H115" s="215"/>
    </row>
    <row r="116" spans="2:8" ht="15" customHeight="1">
      <c r="B116" s="106">
        <v>722551</v>
      </c>
      <c r="C116" s="74" t="s">
        <v>345</v>
      </c>
      <c r="D116" s="435">
        <f>D117</f>
        <v>13760</v>
      </c>
      <c r="E116" s="435">
        <f>E117</f>
        <v>376</v>
      </c>
      <c r="F116" s="111">
        <f t="shared" si="4"/>
        <v>2.7325581395348837</v>
      </c>
    </row>
    <row r="117" spans="2:8" ht="15" customHeight="1">
      <c r="B117" s="112"/>
      <c r="C117" s="176" t="s">
        <v>787</v>
      </c>
      <c r="D117" s="435">
        <v>13760</v>
      </c>
      <c r="E117" s="435">
        <v>376</v>
      </c>
      <c r="F117" s="111">
        <f t="shared" si="4"/>
        <v>2.7325581395348837</v>
      </c>
    </row>
    <row r="118" spans="2:8" ht="25.5">
      <c r="B118" s="106">
        <v>722555</v>
      </c>
      <c r="C118" s="73" t="s">
        <v>351</v>
      </c>
      <c r="D118" s="435">
        <f>D119</f>
        <v>60890</v>
      </c>
      <c r="E118" s="435">
        <f>E119</f>
        <v>15021</v>
      </c>
      <c r="F118" s="111">
        <f t="shared" si="4"/>
        <v>24.669075381836098</v>
      </c>
    </row>
    <row r="119" spans="2:8" ht="17.100000000000001" customHeight="1">
      <c r="B119" s="112"/>
      <c r="C119" s="176" t="s">
        <v>787</v>
      </c>
      <c r="D119" s="435">
        <f>60890</f>
        <v>60890</v>
      </c>
      <c r="E119" s="435">
        <v>15021</v>
      </c>
      <c r="F119" s="111">
        <f t="shared" si="4"/>
        <v>24.669075381836098</v>
      </c>
    </row>
    <row r="120" spans="2:8" ht="25.5">
      <c r="B120" s="106">
        <v>722556</v>
      </c>
      <c r="C120" s="73" t="s">
        <v>352</v>
      </c>
      <c r="D120" s="435">
        <f>D121</f>
        <v>105350</v>
      </c>
      <c r="E120" s="435">
        <f>E121</f>
        <v>26098</v>
      </c>
      <c r="F120" s="111">
        <f t="shared" si="4"/>
        <v>24.772662553393452</v>
      </c>
    </row>
    <row r="121" spans="2:8" ht="15" customHeight="1">
      <c r="B121" s="112"/>
      <c r="C121" s="176" t="s">
        <v>524</v>
      </c>
      <c r="D121" s="435">
        <f>119840-14490</f>
        <v>105350</v>
      </c>
      <c r="E121" s="435">
        <v>26098</v>
      </c>
      <c r="F121" s="111">
        <f t="shared" si="4"/>
        <v>24.772662553393452</v>
      </c>
    </row>
    <row r="122" spans="2:8" ht="15" customHeight="1">
      <c r="B122" s="119">
        <v>722580</v>
      </c>
      <c r="C122" s="123" t="s">
        <v>353</v>
      </c>
      <c r="D122" s="438">
        <f>D123+D125+D126+D127+D128</f>
        <v>70460</v>
      </c>
      <c r="E122" s="438">
        <f>E123+E125+E126+E127+E128</f>
        <v>16454</v>
      </c>
      <c r="F122" s="117">
        <f t="shared" si="4"/>
        <v>23.352256599489071</v>
      </c>
    </row>
    <row r="123" spans="2:8" ht="25.5">
      <c r="B123" s="106">
        <v>722581</v>
      </c>
      <c r="C123" s="73" t="s">
        <v>621</v>
      </c>
      <c r="D123" s="435">
        <f>D124</f>
        <v>57700</v>
      </c>
      <c r="E123" s="435">
        <f>E124</f>
        <v>13777</v>
      </c>
      <c r="F123" s="111">
        <f t="shared" si="4"/>
        <v>23.876949740034661</v>
      </c>
    </row>
    <row r="124" spans="2:8" ht="15" customHeight="1">
      <c r="B124" s="112"/>
      <c r="C124" s="176" t="s">
        <v>785</v>
      </c>
      <c r="D124" s="435">
        <v>57700</v>
      </c>
      <c r="E124" s="435">
        <v>13777</v>
      </c>
      <c r="F124" s="111">
        <f t="shared" si="4"/>
        <v>23.876949740034661</v>
      </c>
      <c r="H124" s="215"/>
    </row>
    <row r="125" spans="2:8" ht="37.5" customHeight="1">
      <c r="B125" s="106">
        <v>722582</v>
      </c>
      <c r="C125" s="263" t="s">
        <v>618</v>
      </c>
      <c r="D125" s="435">
        <v>10230</v>
      </c>
      <c r="E125" s="435">
        <v>1885</v>
      </c>
      <c r="F125" s="111">
        <f t="shared" si="4"/>
        <v>18.426197458455523</v>
      </c>
    </row>
    <row r="126" spans="2:8" ht="26.25" customHeight="1">
      <c r="B126" s="106">
        <v>722583</v>
      </c>
      <c r="C126" s="73" t="s">
        <v>354</v>
      </c>
      <c r="D126" s="435">
        <v>1290</v>
      </c>
      <c r="E126" s="435">
        <v>366</v>
      </c>
      <c r="F126" s="111">
        <f t="shared" si="4"/>
        <v>28.372093023255811</v>
      </c>
    </row>
    <row r="127" spans="2:8" ht="25.5">
      <c r="B127" s="106">
        <v>722584</v>
      </c>
      <c r="C127" s="73" t="s">
        <v>355</v>
      </c>
      <c r="D127" s="435">
        <v>770</v>
      </c>
      <c r="E127" s="435">
        <v>314</v>
      </c>
      <c r="F127" s="111">
        <f t="shared" si="4"/>
        <v>40.779220779220779</v>
      </c>
    </row>
    <row r="128" spans="2:8" ht="25.5">
      <c r="B128" s="106">
        <v>722585</v>
      </c>
      <c r="C128" s="73" t="s">
        <v>356</v>
      </c>
      <c r="D128" s="435">
        <v>470</v>
      </c>
      <c r="E128" s="435">
        <v>112</v>
      </c>
      <c r="F128" s="111">
        <f t="shared" si="4"/>
        <v>23.829787234042556</v>
      </c>
    </row>
    <row r="129" spans="2:6" ht="15" customHeight="1">
      <c r="B129" s="109">
        <v>722600</v>
      </c>
      <c r="C129" s="45" t="s">
        <v>346</v>
      </c>
      <c r="D129" s="436">
        <f>SUM(D130:D135)</f>
        <v>460000</v>
      </c>
      <c r="E129" s="436">
        <f>SUM(E130:E135)</f>
        <v>81665</v>
      </c>
      <c r="F129" s="117">
        <f t="shared" si="4"/>
        <v>17.753260869565217</v>
      </c>
    </row>
    <row r="130" spans="2:6" ht="15" customHeight="1">
      <c r="B130" s="112">
        <v>722611</v>
      </c>
      <c r="C130" s="74" t="s">
        <v>357</v>
      </c>
      <c r="D130" s="435">
        <v>137240</v>
      </c>
      <c r="E130" s="435">
        <v>35093</v>
      </c>
      <c r="F130" s="111">
        <f t="shared" si="4"/>
        <v>25.570533372194699</v>
      </c>
    </row>
    <row r="131" spans="2:6" ht="15" customHeight="1">
      <c r="B131" s="112">
        <v>722612</v>
      </c>
      <c r="C131" s="74" t="s">
        <v>358</v>
      </c>
      <c r="D131" s="435">
        <v>38960</v>
      </c>
      <c r="E131" s="435">
        <v>12310</v>
      </c>
      <c r="F131" s="111">
        <f t="shared" si="4"/>
        <v>31.596509240246405</v>
      </c>
    </row>
    <row r="132" spans="2:6" ht="15" customHeight="1">
      <c r="B132" s="112">
        <v>722613</v>
      </c>
      <c r="C132" s="74" t="s">
        <v>359</v>
      </c>
      <c r="D132" s="435">
        <v>9620</v>
      </c>
      <c r="E132" s="435">
        <v>2722</v>
      </c>
      <c r="F132" s="111">
        <f t="shared" si="4"/>
        <v>28.295218295218294</v>
      </c>
    </row>
    <row r="133" spans="2:6" ht="15" customHeight="1">
      <c r="B133" s="112">
        <v>722621</v>
      </c>
      <c r="C133" s="74" t="s">
        <v>360</v>
      </c>
      <c r="D133" s="435">
        <v>149420</v>
      </c>
      <c r="E133" s="435">
        <v>18704</v>
      </c>
      <c r="F133" s="111">
        <f t="shared" si="4"/>
        <v>12.517735242939365</v>
      </c>
    </row>
    <row r="134" spans="2:6" ht="15" customHeight="1">
      <c r="B134" s="112">
        <v>722631</v>
      </c>
      <c r="C134" s="74" t="s">
        <v>361</v>
      </c>
      <c r="D134" s="435">
        <v>124570</v>
      </c>
      <c r="E134" s="435">
        <v>12836</v>
      </c>
      <c r="F134" s="111">
        <f t="shared" si="4"/>
        <v>10.304246608332665</v>
      </c>
    </row>
    <row r="135" spans="2:6" ht="15" customHeight="1">
      <c r="B135" s="112">
        <v>722632</v>
      </c>
      <c r="C135" s="74" t="s">
        <v>530</v>
      </c>
      <c r="D135" s="435">
        <v>190</v>
      </c>
      <c r="E135" s="435">
        <v>0</v>
      </c>
      <c r="F135" s="111">
        <f t="shared" ref="F135:F198" si="7">IF(D135=0,"",E135/D135*100)</f>
        <v>0</v>
      </c>
    </row>
    <row r="136" spans="2:6" ht="15" customHeight="1">
      <c r="B136" s="119">
        <v>722700</v>
      </c>
      <c r="C136" s="45" t="s">
        <v>362</v>
      </c>
      <c r="D136" s="436">
        <f t="shared" ref="D136" si="8">SUM(D137:D140)</f>
        <v>910</v>
      </c>
      <c r="E136" s="436">
        <f t="shared" ref="E136" si="9">SUM(E137:E140)</f>
        <v>11920</v>
      </c>
      <c r="F136" s="117">
        <f t="shared" si="7"/>
        <v>1309.8901098901099</v>
      </c>
    </row>
    <row r="137" spans="2:6" ht="15" customHeight="1">
      <c r="B137" s="112">
        <v>722715</v>
      </c>
      <c r="C137" s="74" t="s">
        <v>637</v>
      </c>
      <c r="D137" s="435">
        <v>0</v>
      </c>
      <c r="E137" s="435">
        <v>0</v>
      </c>
      <c r="F137" s="111" t="str">
        <f t="shared" si="7"/>
        <v/>
      </c>
    </row>
    <row r="138" spans="2:6" ht="15" customHeight="1">
      <c r="B138" s="112">
        <v>722719</v>
      </c>
      <c r="C138" s="74" t="s">
        <v>526</v>
      </c>
      <c r="D138" s="435">
        <v>50</v>
      </c>
      <c r="E138" s="435">
        <v>0</v>
      </c>
      <c r="F138" s="111">
        <f t="shared" si="7"/>
        <v>0</v>
      </c>
    </row>
    <row r="139" spans="2:6" ht="15" customHeight="1">
      <c r="B139" s="112">
        <v>722732</v>
      </c>
      <c r="C139" s="74" t="s">
        <v>363</v>
      </c>
      <c r="D139" s="435">
        <v>430</v>
      </c>
      <c r="E139" s="435">
        <v>0</v>
      </c>
      <c r="F139" s="111">
        <f t="shared" si="7"/>
        <v>0</v>
      </c>
    </row>
    <row r="140" spans="2:6" ht="15" customHeight="1">
      <c r="B140" s="112">
        <v>722791</v>
      </c>
      <c r="C140" s="74" t="s">
        <v>364</v>
      </c>
      <c r="D140" s="435">
        <v>430</v>
      </c>
      <c r="E140" s="435">
        <v>11920</v>
      </c>
      <c r="F140" s="111">
        <f t="shared" si="7"/>
        <v>2772.0930232558139</v>
      </c>
    </row>
    <row r="141" spans="2:6" ht="17.100000000000001" customHeight="1">
      <c r="B141" s="201">
        <v>723000</v>
      </c>
      <c r="C141" s="202" t="s">
        <v>193</v>
      </c>
      <c r="D141" s="432">
        <f>D142</f>
        <v>439900</v>
      </c>
      <c r="E141" s="432">
        <f>E142</f>
        <v>176893</v>
      </c>
      <c r="F141" s="184">
        <f t="shared" si="7"/>
        <v>40.212093657649469</v>
      </c>
    </row>
    <row r="142" spans="2:6" ht="15" customHeight="1">
      <c r="B142" s="114">
        <v>723100</v>
      </c>
      <c r="C142" s="122" t="s">
        <v>365</v>
      </c>
      <c r="D142" s="438">
        <f>SUM(D143:D146)</f>
        <v>439900</v>
      </c>
      <c r="E142" s="438">
        <f>SUM(E143:E146)</f>
        <v>176893</v>
      </c>
      <c r="F142" s="111">
        <f t="shared" si="7"/>
        <v>40.212093657649469</v>
      </c>
    </row>
    <row r="143" spans="2:6" ht="15" customHeight="1">
      <c r="B143" s="112">
        <v>723121</v>
      </c>
      <c r="C143" s="21" t="s">
        <v>366</v>
      </c>
      <c r="D143" s="434">
        <v>120</v>
      </c>
      <c r="E143" s="434">
        <v>230</v>
      </c>
      <c r="F143" s="111">
        <f t="shared" si="7"/>
        <v>191.66666666666669</v>
      </c>
    </row>
    <row r="144" spans="2:6" ht="15" customHeight="1">
      <c r="B144" s="112">
        <v>723122</v>
      </c>
      <c r="C144" s="21" t="s">
        <v>367</v>
      </c>
      <c r="D144" s="435">
        <v>150</v>
      </c>
      <c r="E144" s="435">
        <v>0</v>
      </c>
      <c r="F144" s="111">
        <f t="shared" si="7"/>
        <v>0</v>
      </c>
    </row>
    <row r="145" spans="2:8" ht="25.5">
      <c r="B145" s="112">
        <v>723123</v>
      </c>
      <c r="C145" s="43" t="s">
        <v>369</v>
      </c>
      <c r="D145" s="434">
        <f>420600+11230</f>
        <v>431830</v>
      </c>
      <c r="E145" s="434">
        <v>174648</v>
      </c>
      <c r="F145" s="111">
        <f t="shared" si="7"/>
        <v>40.443693119977766</v>
      </c>
    </row>
    <row r="146" spans="2:8" ht="15" customHeight="1">
      <c r="B146" s="181">
        <v>723129</v>
      </c>
      <c r="C146" s="182" t="s">
        <v>368</v>
      </c>
      <c r="D146" s="439">
        <v>7800</v>
      </c>
      <c r="E146" s="439">
        <v>2015</v>
      </c>
      <c r="F146" s="185">
        <f t="shared" si="7"/>
        <v>25.833333333333336</v>
      </c>
    </row>
    <row r="147" spans="2:8">
      <c r="B147" s="112"/>
      <c r="C147" s="105"/>
      <c r="D147" s="434"/>
      <c r="E147" s="434"/>
      <c r="F147" s="113" t="str">
        <f t="shared" si="7"/>
        <v/>
      </c>
    </row>
    <row r="148" spans="2:8" ht="17.100000000000001" customHeight="1">
      <c r="B148" s="570" t="s">
        <v>388</v>
      </c>
      <c r="C148" s="571"/>
      <c r="D148" s="440">
        <f>D5+D57</f>
        <v>39822260</v>
      </c>
      <c r="E148" s="440">
        <f>E5+E57</f>
        <v>9683375</v>
      </c>
      <c r="F148" s="187">
        <f t="shared" si="7"/>
        <v>24.316487813599728</v>
      </c>
      <c r="H148" s="216"/>
    </row>
    <row r="149" spans="2:8">
      <c r="B149" s="46"/>
      <c r="C149" s="44"/>
      <c r="D149" s="434"/>
      <c r="E149" s="434"/>
      <c r="F149" s="113" t="str">
        <f t="shared" si="7"/>
        <v/>
      </c>
    </row>
    <row r="150" spans="2:8" ht="17.100000000000001" customHeight="1">
      <c r="B150" s="199">
        <v>730000</v>
      </c>
      <c r="C150" s="205" t="s">
        <v>441</v>
      </c>
      <c r="D150" s="431">
        <f>D151+D158+D173</f>
        <v>1366000</v>
      </c>
      <c r="E150" s="431">
        <f>E151+E158+E173</f>
        <v>65852</v>
      </c>
      <c r="F150" s="183">
        <f t="shared" si="7"/>
        <v>4.8207906295754031</v>
      </c>
    </row>
    <row r="151" spans="2:8" ht="26.25">
      <c r="B151" s="206">
        <v>731000</v>
      </c>
      <c r="C151" s="207" t="s">
        <v>423</v>
      </c>
      <c r="D151" s="432">
        <f>D152</f>
        <v>77800</v>
      </c>
      <c r="E151" s="432">
        <f>E152</f>
        <v>0</v>
      </c>
      <c r="F151" s="184">
        <f t="shared" si="7"/>
        <v>0</v>
      </c>
    </row>
    <row r="152" spans="2:8" ht="15" customHeight="1">
      <c r="B152" s="119">
        <v>731100</v>
      </c>
      <c r="C152" s="175" t="s">
        <v>424</v>
      </c>
      <c r="D152" s="438">
        <f>D153+D154</f>
        <v>77800</v>
      </c>
      <c r="E152" s="438">
        <f>E153+E154</f>
        <v>0</v>
      </c>
      <c r="F152" s="107">
        <f t="shared" si="7"/>
        <v>0</v>
      </c>
    </row>
    <row r="153" spans="2:8" ht="15" customHeight="1">
      <c r="B153" s="219">
        <v>731111</v>
      </c>
      <c r="C153" s="168" t="s">
        <v>544</v>
      </c>
      <c r="D153" s="434">
        <v>0</v>
      </c>
      <c r="E153" s="434">
        <v>0</v>
      </c>
      <c r="F153" s="220" t="str">
        <f t="shared" si="7"/>
        <v/>
      </c>
    </row>
    <row r="154" spans="2:8" ht="15" customHeight="1">
      <c r="B154" s="219">
        <v>731121</v>
      </c>
      <c r="C154" s="168" t="s">
        <v>425</v>
      </c>
      <c r="D154" s="434">
        <f t="shared" ref="D154" si="10">SUM(D155:D157)</f>
        <v>77800</v>
      </c>
      <c r="E154" s="434">
        <f t="shared" ref="E154" si="11">SUM(E155:E157)</f>
        <v>0</v>
      </c>
      <c r="F154" s="220">
        <f t="shared" si="7"/>
        <v>0</v>
      </c>
    </row>
    <row r="155" spans="2:8" ht="15" customHeight="1">
      <c r="B155" s="219"/>
      <c r="C155" s="366" t="s">
        <v>703</v>
      </c>
      <c r="D155" s="435">
        <v>0</v>
      </c>
      <c r="E155" s="435">
        <v>0</v>
      </c>
      <c r="F155" s="220" t="str">
        <f t="shared" si="7"/>
        <v/>
      </c>
    </row>
    <row r="156" spans="2:8" ht="15" customHeight="1">
      <c r="B156" s="219"/>
      <c r="C156" s="176" t="s">
        <v>613</v>
      </c>
      <c r="D156" s="435">
        <v>0</v>
      </c>
      <c r="E156" s="435">
        <v>0</v>
      </c>
      <c r="F156" s="220" t="str">
        <f t="shared" si="7"/>
        <v/>
      </c>
    </row>
    <row r="157" spans="2:8" ht="15" customHeight="1">
      <c r="B157" s="219"/>
      <c r="C157" s="176" t="s">
        <v>800</v>
      </c>
      <c r="D157" s="435">
        <v>77800</v>
      </c>
      <c r="E157" s="435">
        <v>0</v>
      </c>
      <c r="F157" s="220">
        <f t="shared" si="7"/>
        <v>0</v>
      </c>
    </row>
    <row r="158" spans="2:8" ht="17.100000000000001" customHeight="1">
      <c r="B158" s="208">
        <v>732000</v>
      </c>
      <c r="C158" s="207" t="s">
        <v>426</v>
      </c>
      <c r="D158" s="432">
        <f>D159</f>
        <v>1288200</v>
      </c>
      <c r="E158" s="432">
        <f>E159</f>
        <v>65852</v>
      </c>
      <c r="F158" s="184">
        <f t="shared" si="7"/>
        <v>5.1119391398851111</v>
      </c>
    </row>
    <row r="159" spans="2:8" ht="15" customHeight="1">
      <c r="B159" s="119">
        <v>732100</v>
      </c>
      <c r="C159" s="175" t="s">
        <v>427</v>
      </c>
      <c r="D159" s="438">
        <f>D160+D168+D170</f>
        <v>1288200</v>
      </c>
      <c r="E159" s="438">
        <f>E160+E168+E170</f>
        <v>65852</v>
      </c>
      <c r="F159" s="107">
        <f t="shared" si="7"/>
        <v>5.1119391398851111</v>
      </c>
    </row>
    <row r="160" spans="2:8" ht="15" customHeight="1">
      <c r="B160" s="109">
        <v>732110</v>
      </c>
      <c r="C160" s="116" t="s">
        <v>428</v>
      </c>
      <c r="D160" s="436">
        <f>D161+D167</f>
        <v>1266000</v>
      </c>
      <c r="E160" s="436">
        <f>E161+E167</f>
        <v>65852</v>
      </c>
      <c r="F160" s="107">
        <f t="shared" si="7"/>
        <v>5.2015797788309639</v>
      </c>
    </row>
    <row r="161" spans="2:8" ht="15" customHeight="1">
      <c r="B161" s="219">
        <v>732112</v>
      </c>
      <c r="C161" s="168" t="s">
        <v>429</v>
      </c>
      <c r="D161" s="434">
        <f>SUM(D162:D166)</f>
        <v>1266000</v>
      </c>
      <c r="E161" s="434">
        <f>SUM(E162:E166)</f>
        <v>65852</v>
      </c>
      <c r="F161" s="220">
        <f t="shared" si="7"/>
        <v>5.2015797788309639</v>
      </c>
    </row>
    <row r="162" spans="2:8" ht="15" customHeight="1">
      <c r="B162" s="219"/>
      <c r="C162" s="176" t="s">
        <v>531</v>
      </c>
      <c r="D162" s="435">
        <v>0</v>
      </c>
      <c r="E162" s="435">
        <v>0</v>
      </c>
      <c r="F162" s="220" t="str">
        <f t="shared" si="7"/>
        <v/>
      </c>
    </row>
    <row r="163" spans="2:8" ht="25.5">
      <c r="B163" s="219"/>
      <c r="C163" s="176" t="s">
        <v>386</v>
      </c>
      <c r="D163" s="435">
        <v>266000</v>
      </c>
      <c r="E163" s="435">
        <v>65852</v>
      </c>
      <c r="F163" s="220">
        <f t="shared" si="7"/>
        <v>24.756390977443608</v>
      </c>
    </row>
    <row r="164" spans="2:8" ht="25.5">
      <c r="B164" s="219"/>
      <c r="C164" s="176" t="s">
        <v>704</v>
      </c>
      <c r="D164" s="435">
        <v>0</v>
      </c>
      <c r="E164" s="435">
        <v>0</v>
      </c>
      <c r="F164" s="220" t="str">
        <f t="shared" si="7"/>
        <v/>
      </c>
    </row>
    <row r="165" spans="2:8" ht="25.5">
      <c r="B165" s="219"/>
      <c r="C165" s="176" t="s">
        <v>780</v>
      </c>
      <c r="D165" s="435">
        <v>0</v>
      </c>
      <c r="E165" s="435">
        <v>0</v>
      </c>
      <c r="F165" s="220" t="str">
        <f t="shared" si="7"/>
        <v/>
      </c>
    </row>
    <row r="166" spans="2:8" ht="17.100000000000001" customHeight="1">
      <c r="B166" s="219"/>
      <c r="C166" s="176" t="s">
        <v>387</v>
      </c>
      <c r="D166" s="435">
        <v>1000000</v>
      </c>
      <c r="E166" s="435">
        <v>0</v>
      </c>
      <c r="F166" s="220">
        <f t="shared" si="7"/>
        <v>0</v>
      </c>
    </row>
    <row r="167" spans="2:8" ht="15" customHeight="1">
      <c r="B167" s="219">
        <v>732115</v>
      </c>
      <c r="C167" s="168" t="s">
        <v>645</v>
      </c>
      <c r="D167" s="434">
        <v>0</v>
      </c>
      <c r="E167" s="434">
        <v>0</v>
      </c>
      <c r="F167" s="220" t="str">
        <f t="shared" si="7"/>
        <v/>
      </c>
      <c r="H167" s="216"/>
    </row>
    <row r="168" spans="2:8" ht="15" customHeight="1">
      <c r="B168" s="109">
        <v>732120</v>
      </c>
      <c r="C168" s="116" t="s">
        <v>430</v>
      </c>
      <c r="D168" s="436">
        <f>SUM(D169:D169)</f>
        <v>0</v>
      </c>
      <c r="E168" s="436">
        <f>SUM(E169:E169)</f>
        <v>0</v>
      </c>
      <c r="F168" s="107" t="str">
        <f t="shared" si="7"/>
        <v/>
      </c>
    </row>
    <row r="169" spans="2:8" ht="15" customHeight="1">
      <c r="B169" s="115">
        <v>732125</v>
      </c>
      <c r="C169" s="174" t="s">
        <v>614</v>
      </c>
      <c r="D169" s="435">
        <v>0</v>
      </c>
      <c r="E169" s="435">
        <v>0</v>
      </c>
      <c r="F169" s="220" t="str">
        <f t="shared" si="7"/>
        <v/>
      </c>
      <c r="G169" s="264"/>
    </row>
    <row r="170" spans="2:8" ht="15" customHeight="1">
      <c r="B170" s="109">
        <v>732130</v>
      </c>
      <c r="C170" s="116" t="s">
        <v>603</v>
      </c>
      <c r="D170" s="436">
        <f>SUM(D171:D172)</f>
        <v>22200</v>
      </c>
      <c r="E170" s="436">
        <f>SUM(E171:E172)</f>
        <v>0</v>
      </c>
      <c r="F170" s="107">
        <f t="shared" si="7"/>
        <v>0</v>
      </c>
    </row>
    <row r="171" spans="2:8" ht="15" customHeight="1">
      <c r="B171" s="115">
        <v>732131</v>
      </c>
      <c r="C171" s="174" t="s">
        <v>629</v>
      </c>
      <c r="D171" s="435">
        <v>15000</v>
      </c>
      <c r="E171" s="435">
        <v>0</v>
      </c>
      <c r="F171" s="220">
        <f t="shared" si="7"/>
        <v>0</v>
      </c>
    </row>
    <row r="172" spans="2:8" ht="15" customHeight="1">
      <c r="B172" s="115">
        <v>732131</v>
      </c>
      <c r="C172" s="174" t="s">
        <v>630</v>
      </c>
      <c r="D172" s="435">
        <v>7200</v>
      </c>
      <c r="E172" s="435">
        <v>0</v>
      </c>
      <c r="F172" s="220">
        <f t="shared" si="7"/>
        <v>0</v>
      </c>
    </row>
    <row r="173" spans="2:8" ht="17.100000000000001" customHeight="1">
      <c r="B173" s="208">
        <v>733000</v>
      </c>
      <c r="C173" s="207" t="s">
        <v>370</v>
      </c>
      <c r="D173" s="432">
        <f>D174</f>
        <v>0</v>
      </c>
      <c r="E173" s="432">
        <f>E174</f>
        <v>0</v>
      </c>
      <c r="F173" s="184" t="str">
        <f t="shared" si="7"/>
        <v/>
      </c>
    </row>
    <row r="174" spans="2:8" ht="15" customHeight="1">
      <c r="B174" s="119">
        <v>733100</v>
      </c>
      <c r="C174" s="175" t="s">
        <v>371</v>
      </c>
      <c r="D174" s="438">
        <f>D175+D176</f>
        <v>0</v>
      </c>
      <c r="E174" s="438">
        <f>E175+E176</f>
        <v>0</v>
      </c>
      <c r="F174" s="107" t="str">
        <f t="shared" si="7"/>
        <v/>
      </c>
    </row>
    <row r="175" spans="2:8" ht="15" customHeight="1">
      <c r="B175" s="109">
        <v>733110</v>
      </c>
      <c r="C175" s="116" t="s">
        <v>372</v>
      </c>
      <c r="D175" s="436">
        <v>0</v>
      </c>
      <c r="E175" s="436">
        <v>0</v>
      </c>
      <c r="F175" s="107" t="str">
        <f t="shared" si="7"/>
        <v/>
      </c>
    </row>
    <row r="176" spans="2:8" ht="15" customHeight="1">
      <c r="B176" s="109">
        <v>733120</v>
      </c>
      <c r="C176" s="116" t="s">
        <v>373</v>
      </c>
      <c r="D176" s="436">
        <v>0</v>
      </c>
      <c r="E176" s="436">
        <v>0</v>
      </c>
      <c r="F176" s="107" t="str">
        <f t="shared" si="7"/>
        <v/>
      </c>
    </row>
    <row r="177" spans="2:6" ht="15">
      <c r="B177" s="30"/>
      <c r="C177" s="45"/>
      <c r="D177" s="433"/>
      <c r="E177" s="433"/>
      <c r="F177" s="220" t="str">
        <f t="shared" si="7"/>
        <v/>
      </c>
    </row>
    <row r="178" spans="2:6" ht="17.100000000000001" customHeight="1">
      <c r="B178" s="199">
        <v>740000</v>
      </c>
      <c r="C178" s="205" t="s">
        <v>431</v>
      </c>
      <c r="D178" s="431">
        <f>D179+D187</f>
        <v>26650</v>
      </c>
      <c r="E178" s="431">
        <f>E179+E187</f>
        <v>9559</v>
      </c>
      <c r="F178" s="183">
        <f t="shared" si="7"/>
        <v>35.868667917448406</v>
      </c>
    </row>
    <row r="179" spans="2:6" ht="26.25">
      <c r="B179" s="208">
        <v>741000</v>
      </c>
      <c r="C179" s="207" t="s">
        <v>432</v>
      </c>
      <c r="D179" s="432">
        <f t="shared" ref="D179:E180" si="12">D180</f>
        <v>5150</v>
      </c>
      <c r="E179" s="432">
        <f t="shared" si="12"/>
        <v>0</v>
      </c>
      <c r="F179" s="184">
        <f t="shared" si="7"/>
        <v>0</v>
      </c>
    </row>
    <row r="180" spans="2:6" ht="25.5">
      <c r="B180" s="119">
        <v>741100</v>
      </c>
      <c r="C180" s="177" t="s">
        <v>433</v>
      </c>
      <c r="D180" s="438">
        <f t="shared" si="12"/>
        <v>5150</v>
      </c>
      <c r="E180" s="438">
        <f t="shared" si="12"/>
        <v>0</v>
      </c>
      <c r="F180" s="107">
        <f t="shared" si="7"/>
        <v>0</v>
      </c>
    </row>
    <row r="181" spans="2:6" ht="15" customHeight="1">
      <c r="B181" s="115">
        <v>741111</v>
      </c>
      <c r="C181" s="168" t="s">
        <v>434</v>
      </c>
      <c r="D181" s="434">
        <f>SUM(D182:D186)</f>
        <v>5150</v>
      </c>
      <c r="E181" s="434">
        <f>SUM(E182:E186)</f>
        <v>0</v>
      </c>
      <c r="F181" s="220">
        <f t="shared" si="7"/>
        <v>0</v>
      </c>
    </row>
    <row r="182" spans="2:6" ht="15" customHeight="1">
      <c r="B182" s="219"/>
      <c r="C182" s="176" t="s">
        <v>532</v>
      </c>
      <c r="D182" s="435">
        <v>0</v>
      </c>
      <c r="E182" s="435">
        <v>0</v>
      </c>
      <c r="F182" s="220" t="str">
        <f t="shared" si="7"/>
        <v/>
      </c>
    </row>
    <row r="183" spans="2:6" ht="15" customHeight="1">
      <c r="B183" s="219"/>
      <c r="C183" s="176" t="s">
        <v>615</v>
      </c>
      <c r="D183" s="435">
        <v>0</v>
      </c>
      <c r="E183" s="435">
        <v>0</v>
      </c>
      <c r="F183" s="220" t="str">
        <f t="shared" si="7"/>
        <v/>
      </c>
    </row>
    <row r="184" spans="2:6" ht="15" customHeight="1">
      <c r="B184" s="219"/>
      <c r="C184" s="176" t="s">
        <v>799</v>
      </c>
      <c r="D184" s="435">
        <v>5150</v>
      </c>
      <c r="E184" s="435">
        <v>0</v>
      </c>
      <c r="F184" s="220">
        <f t="shared" si="7"/>
        <v>0</v>
      </c>
    </row>
    <row r="185" spans="2:6" ht="15" customHeight="1">
      <c r="B185" s="219"/>
      <c r="C185" s="176" t="s">
        <v>638</v>
      </c>
      <c r="D185" s="435">
        <v>0</v>
      </c>
      <c r="E185" s="435">
        <v>0</v>
      </c>
      <c r="F185" s="220" t="str">
        <f t="shared" si="7"/>
        <v/>
      </c>
    </row>
    <row r="186" spans="2:6" ht="15" customHeight="1">
      <c r="B186" s="219"/>
      <c r="C186" s="176" t="s">
        <v>639</v>
      </c>
      <c r="D186" s="435">
        <v>0</v>
      </c>
      <c r="E186" s="435">
        <v>0</v>
      </c>
      <c r="F186" s="220" t="str">
        <f t="shared" si="7"/>
        <v/>
      </c>
    </row>
    <row r="187" spans="2:6" ht="25.5" customHeight="1">
      <c r="B187" s="208">
        <v>742000</v>
      </c>
      <c r="C187" s="207" t="s">
        <v>435</v>
      </c>
      <c r="D187" s="432">
        <f>D188+D197</f>
        <v>21500</v>
      </c>
      <c r="E187" s="432">
        <f>E188+E197</f>
        <v>9559</v>
      </c>
      <c r="F187" s="184">
        <f t="shared" si="7"/>
        <v>44.460465116279067</v>
      </c>
    </row>
    <row r="188" spans="2:6" ht="15" customHeight="1">
      <c r="B188" s="119">
        <v>742100</v>
      </c>
      <c r="C188" s="177" t="s">
        <v>436</v>
      </c>
      <c r="D188" s="438">
        <f>D189+D190</f>
        <v>21500</v>
      </c>
      <c r="E188" s="438">
        <f>E189+E190</f>
        <v>9559</v>
      </c>
      <c r="F188" s="107">
        <f t="shared" si="7"/>
        <v>44.460465116279067</v>
      </c>
    </row>
    <row r="189" spans="2:6" ht="15" customHeight="1">
      <c r="B189" s="115">
        <v>742111</v>
      </c>
      <c r="C189" s="168" t="s">
        <v>545</v>
      </c>
      <c r="D189" s="434">
        <v>0</v>
      </c>
      <c r="E189" s="434">
        <v>0</v>
      </c>
      <c r="F189" s="220" t="str">
        <f t="shared" si="7"/>
        <v/>
      </c>
    </row>
    <row r="190" spans="2:6" ht="15" customHeight="1">
      <c r="B190" s="115">
        <v>742112</v>
      </c>
      <c r="C190" s="168" t="s">
        <v>437</v>
      </c>
      <c r="D190" s="434">
        <f>SUM(D191:D196)</f>
        <v>21500</v>
      </c>
      <c r="E190" s="434">
        <f>SUM(E191:E196)</f>
        <v>9559</v>
      </c>
      <c r="F190" s="220">
        <f t="shared" si="7"/>
        <v>44.460465116279067</v>
      </c>
    </row>
    <row r="191" spans="2:6" ht="15" customHeight="1">
      <c r="B191" s="109"/>
      <c r="C191" s="176" t="s">
        <v>602</v>
      </c>
      <c r="D191" s="435">
        <v>0</v>
      </c>
      <c r="E191" s="435">
        <v>0</v>
      </c>
      <c r="F191" s="220" t="str">
        <f t="shared" si="7"/>
        <v/>
      </c>
    </row>
    <row r="192" spans="2:6" ht="25.5">
      <c r="B192" s="109"/>
      <c r="C192" s="176" t="s">
        <v>527</v>
      </c>
      <c r="D192" s="435">
        <v>0</v>
      </c>
      <c r="E192" s="435">
        <v>0</v>
      </c>
      <c r="F192" s="220" t="str">
        <f t="shared" si="7"/>
        <v/>
      </c>
    </row>
    <row r="193" spans="2:10" ht="25.5">
      <c r="B193" s="219"/>
      <c r="C193" s="176" t="s">
        <v>640</v>
      </c>
      <c r="D193" s="435">
        <v>0</v>
      </c>
      <c r="E193" s="435">
        <v>0</v>
      </c>
      <c r="F193" s="220" t="str">
        <f t="shared" si="7"/>
        <v/>
      </c>
    </row>
    <row r="194" spans="2:10" ht="25.5">
      <c r="B194" s="219"/>
      <c r="C194" s="176" t="s">
        <v>616</v>
      </c>
      <c r="D194" s="435">
        <v>11940</v>
      </c>
      <c r="E194" s="435">
        <v>0</v>
      </c>
      <c r="F194" s="220">
        <f t="shared" si="7"/>
        <v>0</v>
      </c>
    </row>
    <row r="195" spans="2:10" s="527" customFormat="1" ht="25.5">
      <c r="B195" s="219"/>
      <c r="C195" s="176" t="s">
        <v>783</v>
      </c>
      <c r="D195" s="435">
        <v>4660</v>
      </c>
      <c r="E195" s="435">
        <v>4660</v>
      </c>
      <c r="F195" s="220">
        <f t="shared" si="7"/>
        <v>100</v>
      </c>
      <c r="G195" s="164"/>
      <c r="H195" s="164"/>
      <c r="I195" s="164"/>
      <c r="J195" s="164"/>
    </row>
    <row r="196" spans="2:10" s="527" customFormat="1" ht="25.5">
      <c r="B196" s="219"/>
      <c r="C196" s="176" t="s">
        <v>784</v>
      </c>
      <c r="D196" s="435">
        <v>4900</v>
      </c>
      <c r="E196" s="435">
        <v>4899</v>
      </c>
      <c r="F196" s="220">
        <f t="shared" si="7"/>
        <v>99.979591836734699</v>
      </c>
      <c r="G196" s="164"/>
      <c r="H196" s="164"/>
      <c r="I196" s="164"/>
      <c r="J196" s="164"/>
    </row>
    <row r="197" spans="2:10" ht="15" customHeight="1">
      <c r="B197" s="119">
        <v>742200</v>
      </c>
      <c r="C197" s="177" t="s">
        <v>641</v>
      </c>
      <c r="D197" s="438">
        <f t="shared" ref="D197:E197" si="13">D198</f>
        <v>0</v>
      </c>
      <c r="E197" s="438">
        <f t="shared" si="13"/>
        <v>0</v>
      </c>
      <c r="F197" s="107" t="str">
        <f t="shared" si="7"/>
        <v/>
      </c>
    </row>
    <row r="198" spans="2:10" ht="15" customHeight="1">
      <c r="B198" s="115">
        <v>742212</v>
      </c>
      <c r="C198" s="168" t="s">
        <v>642</v>
      </c>
      <c r="D198" s="434">
        <f t="shared" ref="D198" si="14">SUM(D199:D200)</f>
        <v>0</v>
      </c>
      <c r="E198" s="434">
        <f t="shared" ref="E198" si="15">SUM(E199:E200)</f>
        <v>0</v>
      </c>
      <c r="F198" s="220" t="str">
        <f t="shared" si="7"/>
        <v/>
      </c>
    </row>
    <row r="199" spans="2:10" ht="15" customHeight="1">
      <c r="B199" s="109"/>
      <c r="C199" s="176" t="s">
        <v>643</v>
      </c>
      <c r="D199" s="435">
        <v>0</v>
      </c>
      <c r="E199" s="435">
        <v>0</v>
      </c>
      <c r="F199" s="220" t="str">
        <f t="shared" ref="F199:F215" si="16">IF(D199=0,"",E199/D199*100)</f>
        <v/>
      </c>
    </row>
    <row r="200" spans="2:10" ht="15" customHeight="1">
      <c r="B200" s="109"/>
      <c r="C200" s="176" t="s">
        <v>644</v>
      </c>
      <c r="D200" s="435">
        <v>0</v>
      </c>
      <c r="E200" s="435">
        <v>0</v>
      </c>
      <c r="F200" s="220" t="str">
        <f t="shared" si="16"/>
        <v/>
      </c>
    </row>
    <row r="201" spans="2:10">
      <c r="B201" s="109"/>
      <c r="C201" s="176"/>
      <c r="D201" s="435"/>
      <c r="E201" s="435"/>
      <c r="F201" s="220" t="str">
        <f t="shared" si="16"/>
        <v/>
      </c>
    </row>
    <row r="202" spans="2:10" ht="17.100000000000001" customHeight="1">
      <c r="B202" s="199">
        <v>777000</v>
      </c>
      <c r="C202" s="200" t="s">
        <v>374</v>
      </c>
      <c r="D202" s="432">
        <f>SUM(D203:D204)</f>
        <v>11000</v>
      </c>
      <c r="E202" s="432">
        <f>SUM(E203:E204)</f>
        <v>411</v>
      </c>
      <c r="F202" s="194">
        <f t="shared" si="16"/>
        <v>3.7363636363636363</v>
      </c>
    </row>
    <row r="203" spans="2:10" ht="15" customHeight="1">
      <c r="B203" s="106">
        <v>777778</v>
      </c>
      <c r="C203" s="174" t="s">
        <v>375</v>
      </c>
      <c r="D203" s="434">
        <v>10950</v>
      </c>
      <c r="E203" s="434">
        <v>411</v>
      </c>
      <c r="F203" s="220">
        <f t="shared" si="16"/>
        <v>3.7534246575342469</v>
      </c>
    </row>
    <row r="204" spans="2:10" ht="15" customHeight="1">
      <c r="B204" s="106">
        <v>777779</v>
      </c>
      <c r="C204" s="168" t="s">
        <v>376</v>
      </c>
      <c r="D204" s="435">
        <v>50</v>
      </c>
      <c r="E204" s="435">
        <v>0</v>
      </c>
      <c r="F204" s="220">
        <f t="shared" si="16"/>
        <v>0</v>
      </c>
    </row>
    <row r="205" spans="2:10" ht="15" customHeight="1">
      <c r="B205" s="63"/>
      <c r="C205" s="64"/>
      <c r="D205" s="435"/>
      <c r="E205" s="435"/>
      <c r="F205" s="220" t="str">
        <f t="shared" si="16"/>
        <v/>
      </c>
    </row>
    <row r="206" spans="2:10" ht="15" customHeight="1">
      <c r="B206" s="570" t="s">
        <v>389</v>
      </c>
      <c r="C206" s="571"/>
      <c r="D206" s="440">
        <f>D148+D150+D178+D202</f>
        <v>41225910</v>
      </c>
      <c r="E206" s="440">
        <f>E148+E150+E178+E202</f>
        <v>9759197</v>
      </c>
      <c r="F206" s="187">
        <f t="shared" si="16"/>
        <v>23.672484124668198</v>
      </c>
    </row>
    <row r="207" spans="2:10" ht="15" customHeight="1">
      <c r="B207" s="124"/>
      <c r="C207" s="125"/>
      <c r="D207" s="440"/>
      <c r="E207" s="440"/>
      <c r="F207" s="220" t="str">
        <f t="shared" si="16"/>
        <v/>
      </c>
    </row>
    <row r="208" spans="2:10" ht="17.100000000000001" customHeight="1">
      <c r="B208" s="199">
        <v>810000</v>
      </c>
      <c r="C208" s="200" t="s">
        <v>377</v>
      </c>
      <c r="D208" s="431">
        <f>D209</f>
        <v>0</v>
      </c>
      <c r="E208" s="431">
        <f>E209</f>
        <v>0</v>
      </c>
      <c r="F208" s="184" t="str">
        <f t="shared" si="16"/>
        <v/>
      </c>
    </row>
    <row r="209" spans="2:6" ht="17.100000000000001" customHeight="1">
      <c r="B209" s="206">
        <v>811000</v>
      </c>
      <c r="C209" s="207" t="s">
        <v>379</v>
      </c>
      <c r="D209" s="432">
        <f>SUM(D210:D210)</f>
        <v>0</v>
      </c>
      <c r="E209" s="432">
        <f>SUM(E210:E210)</f>
        <v>0</v>
      </c>
      <c r="F209" s="184" t="str">
        <f t="shared" si="16"/>
        <v/>
      </c>
    </row>
    <row r="210" spans="2:6" ht="15" customHeight="1">
      <c r="B210" s="119">
        <v>811100</v>
      </c>
      <c r="C210" s="123" t="s">
        <v>378</v>
      </c>
      <c r="D210" s="436">
        <f>D211+D212</f>
        <v>0</v>
      </c>
      <c r="E210" s="436">
        <f>E211+E212</f>
        <v>0</v>
      </c>
      <c r="F210" s="107" t="str">
        <f t="shared" si="16"/>
        <v/>
      </c>
    </row>
    <row r="211" spans="2:6" ht="15" customHeight="1">
      <c r="B211" s="106">
        <v>811111</v>
      </c>
      <c r="C211" s="174" t="s">
        <v>536</v>
      </c>
      <c r="D211" s="434">
        <v>0</v>
      </c>
      <c r="E211" s="434">
        <v>0</v>
      </c>
      <c r="F211" s="220" t="str">
        <f t="shared" si="16"/>
        <v/>
      </c>
    </row>
    <row r="212" spans="2:6" ht="15" customHeight="1">
      <c r="B212" s="106">
        <v>811114</v>
      </c>
      <c r="C212" s="168" t="s">
        <v>537</v>
      </c>
      <c r="D212" s="434">
        <v>0</v>
      </c>
      <c r="E212" s="434">
        <v>0</v>
      </c>
      <c r="F212" s="220" t="str">
        <f t="shared" si="16"/>
        <v/>
      </c>
    </row>
    <row r="213" spans="2:6" ht="15" customHeight="1">
      <c r="B213" s="106"/>
      <c r="C213" s="176" t="s">
        <v>646</v>
      </c>
      <c r="D213" s="434">
        <v>0</v>
      </c>
      <c r="E213" s="434">
        <v>0</v>
      </c>
      <c r="F213" s="220" t="str">
        <f t="shared" si="16"/>
        <v/>
      </c>
    </row>
    <row r="214" spans="2:6" ht="15" customHeight="1" thickBot="1">
      <c r="B214" s="144"/>
      <c r="C214" s="145"/>
      <c r="D214" s="441"/>
      <c r="E214" s="441"/>
      <c r="F214" s="221" t="str">
        <f t="shared" si="16"/>
        <v/>
      </c>
    </row>
    <row r="215" spans="2:6" ht="17.100000000000001" customHeight="1" thickBot="1">
      <c r="B215" s="572" t="s">
        <v>438</v>
      </c>
      <c r="C215" s="573"/>
      <c r="D215" s="442">
        <f>D206+D208</f>
        <v>41225910</v>
      </c>
      <c r="E215" s="442">
        <f>E206+E208</f>
        <v>9759197</v>
      </c>
      <c r="F215" s="188">
        <f t="shared" si="16"/>
        <v>23.672484124668198</v>
      </c>
    </row>
    <row r="218" spans="2:6">
      <c r="D218" s="65"/>
    </row>
  </sheetData>
  <mergeCells count="4">
    <mergeCell ref="B2:F2"/>
    <mergeCell ref="B148:C148"/>
    <mergeCell ref="B206:C206"/>
    <mergeCell ref="B215:C215"/>
  </mergeCells>
  <pageMargins left="0.91" right="0.31496062992125984" top="0.57999999999999996" bottom="0.51181102362204722" header="0.57999999999999996" footer="0.31496062992125984"/>
  <pageSetup paperSize="9" scale="88" firstPageNumber="2" orientation="landscape" r:id="rId1"/>
  <headerFooter alignWithMargins="0"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/>
  <dimension ref="A2:P119"/>
  <sheetViews>
    <sheetView topLeftCell="C31" zoomScaleNormal="100" workbookViewId="0">
      <selection activeCell="G40" sqref="G40"/>
    </sheetView>
  </sheetViews>
  <sheetFormatPr defaultRowHeight="12" customHeight="1"/>
  <cols>
    <col min="1" max="1" width="0.5703125" style="9" hidden="1" customWidth="1"/>
    <col min="2" max="2" width="5.7109375" style="9" hidden="1" customWidth="1"/>
    <col min="3" max="3" width="9.7109375" style="17" customWidth="1"/>
    <col min="4" max="4" width="7.42578125" style="289" customWidth="1"/>
    <col min="5" max="5" width="54" style="9" customWidth="1"/>
    <col min="6" max="7" width="12.7109375" style="284" customWidth="1"/>
    <col min="8" max="8" width="14.7109375" style="9" customWidth="1"/>
    <col min="9" max="10" width="12.7109375" style="284" customWidth="1"/>
    <col min="11" max="11" width="14.7109375" style="284" customWidth="1"/>
    <col min="12" max="12" width="7.85546875" style="82" customWidth="1"/>
    <col min="13" max="13" width="9.140625" style="9"/>
    <col min="14" max="14" width="13.140625" style="9" bestFit="1" customWidth="1"/>
    <col min="15" max="16" width="10.140625" style="9" bestFit="1" customWidth="1"/>
    <col min="17" max="16384" width="9.140625" style="9"/>
  </cols>
  <sheetData>
    <row r="2" spans="2:16" ht="2.25" customHeight="1"/>
    <row r="3" spans="2:16" s="1" customFormat="1" ht="30.75" customHeight="1" thickBot="1">
      <c r="C3" s="576" t="s">
        <v>77</v>
      </c>
      <c r="D3" s="576"/>
      <c r="E3" s="576"/>
      <c r="F3" s="369"/>
      <c r="G3" s="369"/>
      <c r="H3" s="574"/>
      <c r="I3" s="574"/>
      <c r="J3" s="574"/>
      <c r="K3" s="574"/>
      <c r="L3" s="575"/>
    </row>
    <row r="4" spans="2:16" s="1" customFormat="1" ht="39.75" customHeight="1">
      <c r="B4" s="3" t="s">
        <v>78</v>
      </c>
      <c r="C4" s="582" t="s">
        <v>594</v>
      </c>
      <c r="D4" s="584" t="s">
        <v>653</v>
      </c>
      <c r="E4" s="586" t="s">
        <v>80</v>
      </c>
      <c r="F4" s="579" t="s">
        <v>647</v>
      </c>
      <c r="G4" s="580"/>
      <c r="H4" s="581"/>
      <c r="I4" s="579" t="s">
        <v>802</v>
      </c>
      <c r="J4" s="580"/>
      <c r="K4" s="581"/>
      <c r="L4" s="588" t="s">
        <v>806</v>
      </c>
    </row>
    <row r="5" spans="2:16" s="281" customFormat="1" ht="28.5" customHeight="1">
      <c r="B5" s="373"/>
      <c r="C5" s="583"/>
      <c r="D5" s="585"/>
      <c r="E5" s="587"/>
      <c r="F5" s="410" t="s">
        <v>705</v>
      </c>
      <c r="G5" s="410" t="s">
        <v>706</v>
      </c>
      <c r="H5" s="382" t="s">
        <v>413</v>
      </c>
      <c r="I5" s="410" t="s">
        <v>705</v>
      </c>
      <c r="J5" s="410" t="s">
        <v>706</v>
      </c>
      <c r="K5" s="382" t="s">
        <v>413</v>
      </c>
      <c r="L5" s="589"/>
    </row>
    <row r="6" spans="2:16" s="2" customFormat="1" ht="14.1" customHeight="1">
      <c r="B6" s="4">
        <v>1</v>
      </c>
      <c r="C6" s="504">
        <v>1</v>
      </c>
      <c r="D6" s="317"/>
      <c r="E6" s="331">
        <v>2</v>
      </c>
      <c r="F6" s="331">
        <v>3</v>
      </c>
      <c r="G6" s="331">
        <v>4</v>
      </c>
      <c r="H6" s="506" t="s">
        <v>803</v>
      </c>
      <c r="I6" s="331">
        <v>6</v>
      </c>
      <c r="J6" s="331">
        <v>7</v>
      </c>
      <c r="K6" s="506" t="s">
        <v>708</v>
      </c>
      <c r="L6" s="505">
        <v>9</v>
      </c>
    </row>
    <row r="7" spans="2:16" s="2" customFormat="1" ht="15" customHeight="1">
      <c r="B7" s="4"/>
      <c r="C7" s="415"/>
      <c r="D7" s="416"/>
      <c r="E7" s="417" t="s">
        <v>159</v>
      </c>
      <c r="F7" s="418">
        <f t="shared" ref="F7:H7" si="0">F9+F15+F21+F24+F46+F91+F94+F99+F105</f>
        <v>38977250</v>
      </c>
      <c r="G7" s="418">
        <f t="shared" si="0"/>
        <v>2243090</v>
      </c>
      <c r="H7" s="389">
        <f t="shared" si="0"/>
        <v>41220340</v>
      </c>
      <c r="I7" s="418">
        <f t="shared" ref="I7:K7" si="1">I9+I15+I21+I24+I46+I91+I94+I99+I105</f>
        <v>8125472</v>
      </c>
      <c r="J7" s="418">
        <f t="shared" si="1"/>
        <v>145335</v>
      </c>
      <c r="K7" s="389">
        <f t="shared" si="1"/>
        <v>8270807</v>
      </c>
      <c r="L7" s="419">
        <f>IF(H7=0,"",K7/H7*100)</f>
        <v>20.064868460570679</v>
      </c>
      <c r="N7" s="142"/>
    </row>
    <row r="8" spans="2:16" s="2" customFormat="1" ht="9" customHeight="1">
      <c r="B8" s="4"/>
      <c r="C8" s="4"/>
      <c r="D8" s="317"/>
      <c r="E8" s="19"/>
      <c r="F8" s="278"/>
      <c r="G8" s="278"/>
      <c r="H8" s="389"/>
      <c r="I8" s="278"/>
      <c r="J8" s="278"/>
      <c r="K8" s="389"/>
      <c r="L8" s="89" t="str">
        <f t="shared" ref="L8:L71" si="2">IF(H8=0,"",K8/H8*100)</f>
        <v/>
      </c>
      <c r="N8" s="81"/>
    </row>
    <row r="9" spans="2:16" s="2" customFormat="1" ht="15" customHeight="1">
      <c r="B9" s="4"/>
      <c r="C9" s="420">
        <v>600000</v>
      </c>
      <c r="D9" s="421"/>
      <c r="E9" s="417" t="s">
        <v>120</v>
      </c>
      <c r="F9" s="418">
        <f t="shared" ref="F9:K9" si="3">F10+F11+F12+F13</f>
        <v>460000</v>
      </c>
      <c r="G9" s="418">
        <f t="shared" si="3"/>
        <v>0</v>
      </c>
      <c r="H9" s="389">
        <f t="shared" si="3"/>
        <v>460000</v>
      </c>
      <c r="I9" s="418">
        <f t="shared" si="3"/>
        <v>80450</v>
      </c>
      <c r="J9" s="418">
        <f t="shared" si="3"/>
        <v>0</v>
      </c>
      <c r="K9" s="389">
        <f t="shared" si="3"/>
        <v>80450</v>
      </c>
      <c r="L9" s="419">
        <f t="shared" si="2"/>
        <v>17.489130434782609</v>
      </c>
      <c r="N9" s="142"/>
    </row>
    <row r="10" spans="2:16" s="2" customFormat="1" ht="15" customHeight="1">
      <c r="B10" s="4"/>
      <c r="C10" s="236">
        <v>600000</v>
      </c>
      <c r="D10" s="319"/>
      <c r="E10" s="35" t="s">
        <v>97</v>
      </c>
      <c r="F10" s="217">
        <f>'3'!H9</f>
        <v>400000</v>
      </c>
      <c r="G10" s="217">
        <f>'3'!I9</f>
        <v>0</v>
      </c>
      <c r="H10" s="411">
        <f>'3'!J9</f>
        <v>400000</v>
      </c>
      <c r="I10" s="217">
        <f>'3'!K9</f>
        <v>74500</v>
      </c>
      <c r="J10" s="217">
        <f>'3'!L9</f>
        <v>0</v>
      </c>
      <c r="K10" s="411">
        <f>'3'!M9</f>
        <v>74500</v>
      </c>
      <c r="L10" s="89">
        <f t="shared" si="2"/>
        <v>18.625</v>
      </c>
      <c r="P10" s="81"/>
    </row>
    <row r="11" spans="2:16" s="2" customFormat="1" ht="15" customHeight="1">
      <c r="B11" s="4"/>
      <c r="C11" s="236">
        <v>600000</v>
      </c>
      <c r="D11" s="319"/>
      <c r="E11" s="35" t="s">
        <v>98</v>
      </c>
      <c r="F11" s="38">
        <f>'3'!H10</f>
        <v>30000</v>
      </c>
      <c r="G11" s="38">
        <f>'3'!I10</f>
        <v>0</v>
      </c>
      <c r="H11" s="411">
        <f>'3'!J10</f>
        <v>30000</v>
      </c>
      <c r="I11" s="38">
        <f>'3'!K10</f>
        <v>4550</v>
      </c>
      <c r="J11" s="38">
        <f>'3'!L10</f>
        <v>0</v>
      </c>
      <c r="K11" s="411">
        <f>'3'!M10</f>
        <v>4550</v>
      </c>
      <c r="L11" s="89">
        <f t="shared" si="2"/>
        <v>15.166666666666668</v>
      </c>
      <c r="O11" s="81"/>
    </row>
    <row r="12" spans="2:16" s="2" customFormat="1" ht="15" customHeight="1">
      <c r="B12" s="4"/>
      <c r="C12" s="236">
        <v>600000</v>
      </c>
      <c r="D12" s="319"/>
      <c r="E12" s="35" t="s">
        <v>121</v>
      </c>
      <c r="F12" s="38">
        <f>'3'!H11</f>
        <v>15000</v>
      </c>
      <c r="G12" s="38">
        <f>'3'!I11</f>
        <v>0</v>
      </c>
      <c r="H12" s="411">
        <f>'3'!J11</f>
        <v>15000</v>
      </c>
      <c r="I12" s="38">
        <f>'3'!K11</f>
        <v>0</v>
      </c>
      <c r="J12" s="38">
        <f>'3'!L11</f>
        <v>0</v>
      </c>
      <c r="K12" s="411">
        <f>'3'!M11</f>
        <v>0</v>
      </c>
      <c r="L12" s="89">
        <f t="shared" si="2"/>
        <v>0</v>
      </c>
      <c r="P12" s="81"/>
    </row>
    <row r="13" spans="2:16" s="2" customFormat="1" ht="15" customHeight="1">
      <c r="B13" s="4"/>
      <c r="C13" s="236">
        <v>600000</v>
      </c>
      <c r="D13" s="319"/>
      <c r="E13" s="35" t="s">
        <v>109</v>
      </c>
      <c r="F13" s="38">
        <f>'16'!H9</f>
        <v>15000</v>
      </c>
      <c r="G13" s="38">
        <f>'16'!I9</f>
        <v>0</v>
      </c>
      <c r="H13" s="411">
        <f>'16'!J9</f>
        <v>15000</v>
      </c>
      <c r="I13" s="38">
        <f>'16'!K9</f>
        <v>1400</v>
      </c>
      <c r="J13" s="38">
        <f>'16'!L9</f>
        <v>0</v>
      </c>
      <c r="K13" s="411">
        <f>'16'!M9</f>
        <v>1400</v>
      </c>
      <c r="L13" s="89">
        <f t="shared" si="2"/>
        <v>9.3333333333333339</v>
      </c>
    </row>
    <row r="14" spans="2:16" s="2" customFormat="1" ht="10.5" customHeight="1">
      <c r="B14" s="4"/>
      <c r="C14" s="236"/>
      <c r="D14" s="319"/>
      <c r="E14" s="35"/>
      <c r="F14" s="297"/>
      <c r="G14" s="297"/>
      <c r="H14" s="389"/>
      <c r="I14" s="297"/>
      <c r="J14" s="297"/>
      <c r="K14" s="389"/>
      <c r="L14" s="89" t="str">
        <f t="shared" si="2"/>
        <v/>
      </c>
    </row>
    <row r="15" spans="2:16" s="1" customFormat="1" ht="15" customHeight="1">
      <c r="B15" s="6"/>
      <c r="C15" s="420">
        <v>611000</v>
      </c>
      <c r="D15" s="421"/>
      <c r="E15" s="422" t="s">
        <v>163</v>
      </c>
      <c r="F15" s="423">
        <f t="shared" ref="F15:K15" si="4">F16+F17</f>
        <v>21500940</v>
      </c>
      <c r="G15" s="423">
        <f t="shared" si="4"/>
        <v>0</v>
      </c>
      <c r="H15" s="387">
        <f t="shared" si="4"/>
        <v>21500940</v>
      </c>
      <c r="I15" s="423">
        <f t="shared" si="4"/>
        <v>5131271</v>
      </c>
      <c r="J15" s="423">
        <f t="shared" si="4"/>
        <v>0</v>
      </c>
      <c r="K15" s="387">
        <f t="shared" si="4"/>
        <v>5131271</v>
      </c>
      <c r="L15" s="424">
        <f t="shared" si="2"/>
        <v>23.865333329612564</v>
      </c>
      <c r="N15" s="58"/>
      <c r="O15" s="58"/>
    </row>
    <row r="16" spans="2:16" ht="15" customHeight="1">
      <c r="B16" s="10"/>
      <c r="C16" s="237">
        <v>611100</v>
      </c>
      <c r="D16" s="319"/>
      <c r="E16" s="18" t="s">
        <v>198</v>
      </c>
      <c r="F16" s="291">
        <f>'1'!H9+'3'!H14+'4'!H9+'5'!H9+'6'!H9+'8'!H9+'9'!H9+'10'!H9+'11'!H9+'12'!H9+'13'!H9+'14'!H9+'15'!H9+'16'!H12+'17'!H9+'18'!H9+'19'!H9+'20'!H9+'22'!H9+'23'!H9+'21'!H9+'24'!H9+'25'!H9+'26'!H9+'27'!H9+'28'!H9+'29'!H9+'30'!H9+'31'!H9+'32'!H9+'33'!H9+'34'!H9+'35'!H9+'36'!H9+'37'!H9+'7'!H9</f>
        <v>17704390</v>
      </c>
      <c r="G16" s="291">
        <f>'1'!I9+'3'!I14+'4'!I9+'5'!I9+'6'!I9+'8'!I9+'9'!I9+'10'!I9+'11'!I9+'12'!I9+'13'!I9+'14'!I9+'15'!I9+'16'!I12+'17'!I9+'18'!I9+'19'!I9+'20'!I9+'22'!I9+'23'!I9+'21'!I9+'24'!I9+'25'!I9+'26'!I9+'27'!I9+'28'!I9+'29'!I9+'30'!I9+'31'!I9+'32'!I9+'33'!I9+'34'!I9+'35'!I9+'36'!I9+'37'!I9+'7'!I9</f>
        <v>0</v>
      </c>
      <c r="H16" s="386">
        <f>'1'!J9+'3'!J14+'4'!J9+'5'!J9+'6'!J9+'8'!J9+'9'!J9+'10'!J9+'11'!J9+'12'!J9+'13'!J9+'14'!J9+'15'!J9+'16'!J12+'17'!J9+'18'!J9+'19'!J9+'20'!J9+'22'!J9+'23'!J9+'21'!J9+'24'!J9+'25'!J9+'26'!J9+'27'!J9+'28'!J9+'29'!J9+'30'!J9+'31'!J9+'32'!J9+'33'!J9+'34'!J9+'35'!J9+'36'!J9+'37'!J9+'7'!J9</f>
        <v>17704390</v>
      </c>
      <c r="I16" s="291">
        <f>'1'!K9+'3'!K14+'4'!K9+'5'!K9+'6'!K9+'8'!K9+'9'!K9+'10'!K9+'11'!K9+'12'!K9+'13'!K9+'14'!K9+'15'!K9+'16'!K12+'17'!K9+'18'!K9+'19'!K9+'20'!K9+'22'!K9+'23'!K9+'21'!K9+'24'!K9+'25'!K9+'26'!K9+'27'!K9+'28'!K9+'29'!K9+'30'!K9+'31'!K9+'32'!K9+'33'!K9+'34'!K9+'35'!K9+'36'!K9+'37'!K9+'7'!K9</f>
        <v>4331692</v>
      </c>
      <c r="J16" s="291">
        <f>'1'!L9+'3'!L14+'4'!L9+'5'!L9+'6'!L9+'8'!L9+'9'!L9+'10'!L9+'11'!L9+'12'!L9+'13'!L9+'14'!L9+'15'!L9+'16'!L12+'17'!L9+'18'!L9+'19'!L9+'20'!L9+'22'!L9+'23'!L9+'21'!L9+'24'!L9+'25'!L9+'26'!L9+'27'!L9+'28'!L9+'29'!L9+'30'!L9+'31'!L9+'32'!L9+'33'!L9+'34'!L9+'35'!L9+'36'!L9+'37'!L9+'7'!L9</f>
        <v>0</v>
      </c>
      <c r="K16" s="386">
        <f>'1'!M9+'3'!M14+'4'!M9+'5'!M9+'6'!M9+'8'!M9+'9'!M9+'10'!M9+'11'!M9+'12'!M9+'13'!M9+'14'!M9+'15'!M9+'16'!M12+'17'!M9+'18'!M9+'19'!M9+'20'!M9+'22'!M9+'23'!M9+'21'!M9+'24'!M9+'25'!M9+'26'!M9+'27'!M9+'28'!M9+'29'!M9+'30'!M9+'31'!M9+'32'!M9+'33'!M9+'34'!M9+'35'!M9+'36'!M9+'37'!M9+'7'!M9</f>
        <v>4331692</v>
      </c>
      <c r="L16" s="89">
        <f t="shared" si="2"/>
        <v>24.466767846844768</v>
      </c>
      <c r="N16" s="57"/>
    </row>
    <row r="17" spans="2:15" ht="15" customHeight="1">
      <c r="B17" s="10"/>
      <c r="C17" s="237">
        <v>611200</v>
      </c>
      <c r="D17" s="319"/>
      <c r="E17" s="18" t="s">
        <v>199</v>
      </c>
      <c r="F17" s="291">
        <f t="shared" ref="F17:G17" si="5">F18+F19</f>
        <v>3796550</v>
      </c>
      <c r="G17" s="291">
        <f t="shared" si="5"/>
        <v>0</v>
      </c>
      <c r="H17" s="386">
        <f t="shared" ref="H17:J17" si="6">H18+H19</f>
        <v>3796550</v>
      </c>
      <c r="I17" s="291">
        <f t="shared" si="6"/>
        <v>799579</v>
      </c>
      <c r="J17" s="291">
        <f t="shared" si="6"/>
        <v>0</v>
      </c>
      <c r="K17" s="386">
        <f t="shared" ref="K17" si="7">K18+K19</f>
        <v>799579</v>
      </c>
      <c r="L17" s="89">
        <f t="shared" si="2"/>
        <v>21.060673506209586</v>
      </c>
      <c r="N17" s="57"/>
    </row>
    <row r="18" spans="2:15" ht="15" customHeight="1">
      <c r="B18" s="10"/>
      <c r="C18" s="238">
        <v>611200</v>
      </c>
      <c r="D18" s="320"/>
      <c r="E18" s="225" t="s">
        <v>199</v>
      </c>
      <c r="F18" s="300">
        <f>'1'!H10+'3'!H15+'4'!H10+'5'!H10+'6'!H10+'8'!H10+'9'!H10+'10'!H10+'11'!H10+'12'!H10+'13'!H10+'14'!H10+'15'!H10+'16'!H13+'17'!H10+'18'!H10+'19'!H10+'20'!H10+'22'!H10+'23'!H10+'21'!H10+'24'!H10+'25'!H10+'26'!H10+'27'!H10+'28'!H10+'29'!H10+'30'!H10+'31'!H10+'32'!H10+'33'!H10+'34'!H10+'35'!H10+'36'!H10+'37'!H10+'7'!H10</f>
        <v>3678290</v>
      </c>
      <c r="G18" s="300">
        <f>'1'!I10+'3'!I15+'4'!I10+'5'!I10+'6'!I10+'8'!I10+'9'!I10+'10'!I10+'11'!I10+'12'!I10+'13'!I10+'14'!I10+'15'!I10+'16'!I13+'17'!I10+'18'!I10+'19'!I10+'20'!I10+'22'!I10+'23'!I10+'21'!I10+'24'!I10+'25'!I10+'26'!I10+'27'!I10+'28'!I10+'29'!I10+'30'!I10+'31'!I10+'32'!I10+'33'!I10+'34'!I10+'35'!I10+'36'!I10+'37'!I10+'7'!I10</f>
        <v>0</v>
      </c>
      <c r="H18" s="412">
        <f>'1'!J10+'3'!J15+'4'!J10+'5'!J10+'6'!J10+'8'!J10+'9'!J10+'10'!J10+'11'!J10+'12'!J10+'13'!J10+'14'!J10+'15'!J10+'16'!J13+'17'!J10+'18'!J10+'19'!J10+'20'!J10+'22'!J10+'23'!J10+'21'!J10+'24'!J10+'25'!J10+'26'!J10+'27'!J10+'28'!J10+'29'!J10+'30'!J10+'31'!J10+'32'!J10+'33'!J10+'34'!J10+'35'!J10+'36'!J10+'37'!J10+'7'!J10</f>
        <v>3678290</v>
      </c>
      <c r="I18" s="300">
        <f>'1'!K10+'3'!K15+'4'!K10+'5'!K10+'6'!K10+'8'!K10+'9'!K10+'10'!K10+'11'!K10+'12'!K10+'13'!K10+'14'!K10+'15'!K10+'16'!K13+'17'!K10+'18'!K10+'19'!K10+'20'!K10+'22'!K10+'23'!K10+'21'!K10+'24'!K10+'25'!K10+'26'!K10+'27'!K10+'28'!K10+'29'!K10+'30'!K10+'31'!K10+'32'!K10+'33'!K10+'34'!K10+'35'!K10+'36'!K10+'37'!K10+'7'!K10</f>
        <v>769635</v>
      </c>
      <c r="J18" s="300">
        <f>'1'!L10+'3'!L15+'4'!L10+'5'!L10+'6'!L10+'8'!L10+'9'!L10+'10'!L10+'11'!L10+'12'!L10+'13'!L10+'14'!L10+'15'!L10+'16'!L13+'17'!L10+'18'!L10+'19'!L10+'20'!L10+'22'!L10+'23'!L10+'21'!L10+'24'!L10+'25'!L10+'26'!L10+'27'!L10+'28'!L10+'29'!L10+'30'!L10+'31'!L10+'32'!L10+'33'!L10+'34'!L10+'35'!L10+'36'!L10+'37'!L10+'7'!L10</f>
        <v>0</v>
      </c>
      <c r="K18" s="412">
        <f>'1'!M10+'3'!M15+'4'!M10+'5'!M10+'6'!M10+'8'!M10+'9'!M10+'10'!M10+'11'!M10+'12'!M10+'13'!M10+'14'!M10+'15'!M10+'16'!M13+'17'!M10+'18'!M10+'19'!M10+'20'!M10+'22'!M10+'23'!M10+'21'!M10+'24'!M10+'25'!M10+'26'!M10+'27'!M10+'28'!M10+'29'!M10+'30'!M10+'31'!M10+'32'!M10+'33'!M10+'34'!M10+'35'!M10+'36'!M10+'37'!M10+'7'!M10</f>
        <v>769635</v>
      </c>
      <c r="L18" s="226">
        <f t="shared" si="2"/>
        <v>20.923717270797031</v>
      </c>
      <c r="N18" s="57"/>
    </row>
    <row r="19" spans="2:15" ht="15" customHeight="1">
      <c r="B19" s="10"/>
      <c r="C19" s="238">
        <v>611200</v>
      </c>
      <c r="D19" s="320" t="s">
        <v>654</v>
      </c>
      <c r="E19" s="299" t="s">
        <v>839</v>
      </c>
      <c r="F19" s="300">
        <f>'1'!H11+'3'!H16+'4'!H11+'5'!H11+'6'!H11+'8'!H11+'9'!H11+'10'!H11+'11'!H11+'12'!H11+'13'!H11+'14'!H11+'15'!H11+'16'!H14+'17'!H11+'18'!H11+'19'!H11+'20'!H11+'22'!H11+'23'!H11+'21'!H11+'24'!H11+'25'!H11+'26'!H11+'27'!H11+'28'!H11+'29'!H11+'30'!H11+'31'!H11+'32'!H11+'33'!H11+'34'!H11+'35'!H11+'36'!H11+'37'!H11+'7'!H11</f>
        <v>118260</v>
      </c>
      <c r="G19" s="300">
        <f>'1'!I11+'3'!I16+'4'!I11+'5'!I11+'6'!I11+'8'!I11+'9'!I11+'10'!I11+'11'!I11+'12'!I11+'13'!I11+'14'!I11+'15'!I11+'16'!I14+'17'!I11+'18'!I11+'19'!I11+'20'!I11+'22'!I11+'23'!I11+'21'!I11+'24'!I11+'25'!I11+'26'!I11+'27'!I11+'28'!I11+'29'!I11+'30'!I11+'31'!I11+'32'!I11+'33'!I11+'34'!I11+'35'!I11+'36'!I11+'37'!I11+'7'!I11</f>
        <v>0</v>
      </c>
      <c r="H19" s="412">
        <f>'1'!J11+'3'!J16+'4'!J11+'5'!J11+'6'!J11+'8'!J11+'9'!J11+'10'!J11+'11'!J11+'12'!J11+'13'!J11+'14'!J11+'15'!J11+'16'!J14+'17'!J11+'18'!J11+'19'!J11+'20'!J11+'22'!J11+'23'!J11+'21'!J11+'24'!J11+'25'!J11+'26'!J11+'27'!J11+'28'!J11+'29'!J11+'30'!J11+'31'!J11+'32'!J11+'33'!J11+'34'!J11+'35'!J11+'36'!J11+'37'!J11+'7'!J11</f>
        <v>118260</v>
      </c>
      <c r="I19" s="300">
        <f>'1'!K11+'3'!K16+'4'!K11+'5'!K11+'6'!K11+'8'!K11+'9'!K11+'10'!K11+'11'!K11+'12'!K11+'13'!K11+'14'!K11+'15'!K11+'16'!K14+'17'!K11+'18'!K11+'19'!K11+'20'!K11+'22'!K11+'23'!K11+'21'!K11+'24'!K11+'25'!K11+'26'!K11+'27'!K11+'28'!K11+'29'!K11+'30'!K11+'31'!K11+'32'!K11+'33'!K11+'34'!K11+'35'!K11+'36'!K11+'37'!K11+'7'!K11</f>
        <v>29944</v>
      </c>
      <c r="J19" s="300">
        <f>'1'!L11+'3'!L16+'4'!L11+'5'!L11+'6'!L11+'8'!L11+'9'!L11+'10'!L11+'11'!L11+'12'!L11+'13'!L11+'14'!L11+'15'!L11+'16'!L14+'17'!L11+'18'!L11+'19'!L11+'20'!L11+'22'!L11+'23'!L11+'21'!L11+'24'!L11+'25'!L11+'26'!L11+'27'!L11+'28'!L11+'29'!L11+'30'!L11+'31'!L11+'32'!L11+'33'!L11+'34'!L11+'35'!L11+'36'!L11+'37'!L11+'7'!L11</f>
        <v>0</v>
      </c>
      <c r="K19" s="412">
        <f>'1'!M11+'3'!M16+'4'!M11+'5'!M11+'6'!M11+'8'!M11+'9'!M11+'10'!M11+'11'!M11+'12'!M11+'13'!M11+'14'!M11+'15'!M11+'16'!M14+'17'!M11+'18'!M11+'19'!M11+'20'!M11+'22'!M11+'23'!M11+'21'!M11+'24'!M11+'25'!M11+'26'!M11+'27'!M11+'28'!M11+'29'!M11+'30'!M11+'31'!M11+'32'!M11+'33'!M11+'34'!M11+'35'!M11+'36'!M11+'37'!M11+'7'!M11</f>
        <v>29944</v>
      </c>
      <c r="L19" s="226">
        <f t="shared" si="2"/>
        <v>25.320480297649244</v>
      </c>
      <c r="N19" s="57"/>
    </row>
    <row r="20" spans="2:15" ht="12.75" customHeight="1">
      <c r="B20" s="10"/>
      <c r="C20" s="237"/>
      <c r="D20" s="319"/>
      <c r="E20" s="11"/>
      <c r="F20" s="280"/>
      <c r="G20" s="280"/>
      <c r="H20" s="386"/>
      <c r="I20" s="280"/>
      <c r="J20" s="280"/>
      <c r="K20" s="386"/>
      <c r="L20" s="89" t="str">
        <f t="shared" si="2"/>
        <v/>
      </c>
      <c r="N20" s="57"/>
    </row>
    <row r="21" spans="2:15" ht="15" customHeight="1">
      <c r="B21" s="10"/>
      <c r="C21" s="420">
        <v>612000</v>
      </c>
      <c r="D21" s="421"/>
      <c r="E21" s="422" t="s">
        <v>162</v>
      </c>
      <c r="F21" s="423">
        <f t="shared" ref="F21:K21" si="8">F22</f>
        <v>2108270</v>
      </c>
      <c r="G21" s="423">
        <f t="shared" si="8"/>
        <v>0</v>
      </c>
      <c r="H21" s="387">
        <f t="shared" si="8"/>
        <v>2108270</v>
      </c>
      <c r="I21" s="423">
        <f t="shared" si="8"/>
        <v>513807</v>
      </c>
      <c r="J21" s="423">
        <f t="shared" si="8"/>
        <v>0</v>
      </c>
      <c r="K21" s="387">
        <f t="shared" si="8"/>
        <v>513807</v>
      </c>
      <c r="L21" s="424">
        <f t="shared" si="2"/>
        <v>24.371024584137704</v>
      </c>
      <c r="N21" s="57"/>
      <c r="O21" s="57"/>
    </row>
    <row r="22" spans="2:15" s="1" customFormat="1" ht="15" customHeight="1">
      <c r="B22" s="12"/>
      <c r="C22" s="237">
        <v>612100</v>
      </c>
      <c r="D22" s="319"/>
      <c r="E22" s="13" t="s">
        <v>83</v>
      </c>
      <c r="F22" s="291">
        <f>'1'!H14+'3'!H19+'4'!H14+'5'!H14+'6'!H14+'8'!H14+'9'!H14+'10'!H14+'11'!H14+'12'!H14+'13'!H14+'14'!H14+'15'!H14+'16'!H17+'17'!H14+'18'!H14+'19'!H14+'20'!H14+'22'!H14+'23'!H14+'21'!H14+'24'!H14+'25'!H14+'26'!H14+'27'!H14+'28'!H14+'29'!H14+'30'!H14+'31'!H14+'32'!H14+'33'!H14+'34'!H14+'35'!H14+'36'!H14+'37'!H14+'7'!H14</f>
        <v>2108270</v>
      </c>
      <c r="G22" s="291">
        <f>'1'!I14+'3'!I19+'4'!I14+'5'!I14+'6'!I14+'8'!I14+'9'!I14+'10'!I14+'11'!I14+'12'!I14+'13'!I14+'14'!I14+'15'!I14+'16'!I17+'17'!I14+'18'!I14+'19'!I14+'20'!I14+'22'!I14+'23'!I14+'21'!I14+'24'!I14+'25'!I14+'26'!I14+'27'!I14+'28'!I14+'29'!I14+'30'!I14+'31'!I14+'32'!I14+'33'!I14+'34'!I14+'35'!I14+'36'!I14+'37'!I14+'7'!I14</f>
        <v>0</v>
      </c>
      <c r="H22" s="386">
        <f>'1'!J14+'3'!J19+'4'!J14+'5'!J14+'6'!J14+'8'!J14+'9'!J14+'10'!J14+'11'!J14+'12'!J14+'13'!J14+'14'!J14+'15'!J14+'16'!J17+'17'!J14+'18'!J14+'19'!J14+'20'!J14+'22'!J14+'23'!J14+'21'!J14+'24'!J14+'25'!J14+'26'!J14+'27'!J14+'28'!J14+'29'!J14+'30'!J14+'31'!J14+'32'!J14+'33'!J14+'34'!J14+'35'!J14+'36'!J14+'37'!J14+'7'!J14</f>
        <v>2108270</v>
      </c>
      <c r="I22" s="291">
        <f>'1'!K14+'3'!K19+'4'!K14+'5'!K14+'6'!K14+'8'!K14+'9'!K14+'10'!K14+'11'!K14+'12'!K14+'13'!K14+'14'!K14+'15'!K14+'16'!K17+'17'!K14+'18'!K14+'19'!K14+'20'!K14+'22'!K14+'23'!K14+'21'!K14+'24'!K14+'25'!K14+'26'!K14+'27'!K14+'28'!K14+'29'!K14+'30'!K14+'31'!K14+'32'!K14+'33'!K14+'34'!K14+'35'!K14+'36'!K14+'37'!K14+'7'!K14</f>
        <v>513807</v>
      </c>
      <c r="J22" s="291">
        <f>'1'!L14+'3'!L19+'4'!L14+'5'!L14+'6'!L14+'8'!L14+'9'!L14+'10'!L14+'11'!L14+'12'!L14+'13'!L14+'14'!L14+'15'!L14+'16'!L17+'17'!L14+'18'!L14+'19'!L14+'20'!L14+'22'!L14+'23'!L14+'21'!L14+'24'!L14+'25'!L14+'26'!L14+'27'!L14+'28'!L14+'29'!L14+'30'!L14+'31'!L14+'32'!L14+'33'!L14+'34'!L14+'35'!L14+'36'!L14+'37'!L14+'7'!L14</f>
        <v>0</v>
      </c>
      <c r="K22" s="386">
        <f>'1'!M14+'3'!M19+'4'!M14+'5'!M14+'6'!M14+'8'!M14+'9'!M14+'10'!M14+'11'!M14+'12'!M14+'13'!M14+'14'!M14+'15'!M14+'16'!M17+'17'!M14+'18'!M14+'19'!M14+'20'!M14+'22'!M14+'23'!M14+'21'!M14+'24'!M14+'25'!M14+'26'!M14+'27'!M14+'28'!M14+'29'!M14+'30'!M14+'31'!M14+'32'!M14+'33'!M14+'34'!M14+'35'!M14+'36'!M14+'37'!M14+'7'!M14</f>
        <v>513807</v>
      </c>
      <c r="L22" s="89">
        <f t="shared" si="2"/>
        <v>24.371024584137704</v>
      </c>
      <c r="N22" s="58"/>
    </row>
    <row r="23" spans="2:15" ht="11.25" customHeight="1">
      <c r="B23" s="10"/>
      <c r="C23" s="237"/>
      <c r="D23" s="319"/>
      <c r="E23" s="18"/>
      <c r="F23" s="291"/>
      <c r="G23" s="291"/>
      <c r="H23" s="386"/>
      <c r="I23" s="291"/>
      <c r="J23" s="291"/>
      <c r="K23" s="386"/>
      <c r="L23" s="89" t="str">
        <f t="shared" si="2"/>
        <v/>
      </c>
    </row>
    <row r="24" spans="2:15" ht="15" customHeight="1">
      <c r="B24" s="10"/>
      <c r="C24" s="420">
        <v>613000</v>
      </c>
      <c r="D24" s="421"/>
      <c r="E24" s="422" t="s">
        <v>164</v>
      </c>
      <c r="F24" s="423">
        <f t="shared" ref="F24:K24" si="9">F25+F26+F27+F28+F29+F30+F31+F34+F37</f>
        <v>4210130</v>
      </c>
      <c r="G24" s="423">
        <f t="shared" si="9"/>
        <v>200000</v>
      </c>
      <c r="H24" s="387">
        <f t="shared" si="9"/>
        <v>4410130</v>
      </c>
      <c r="I24" s="423">
        <f t="shared" si="9"/>
        <v>981652</v>
      </c>
      <c r="J24" s="423">
        <f t="shared" si="9"/>
        <v>40007</v>
      </c>
      <c r="K24" s="387">
        <f t="shared" si="9"/>
        <v>1021659</v>
      </c>
      <c r="L24" s="424">
        <f t="shared" si="2"/>
        <v>23.16618784480276</v>
      </c>
      <c r="N24" s="82"/>
    </row>
    <row r="25" spans="2:15" s="1" customFormat="1" ht="15" customHeight="1">
      <c r="B25" s="12"/>
      <c r="C25" s="237">
        <v>613100</v>
      </c>
      <c r="D25" s="319"/>
      <c r="E25" s="11" t="s">
        <v>84</v>
      </c>
      <c r="F25" s="291">
        <f>'1'!H17+'3'!H22+'4'!H17+'5'!H17+'6'!H17+'8'!H17+'9'!H17+'10'!H17+'11'!H17+'12'!H17+'13'!H17+'14'!H17+'15'!H17+'16'!H20+'17'!H17+'18'!H17+'19'!H17+'20'!H17+'22'!H17+'23'!H17+'21'!H17+'24'!H17+'25'!H17+'26'!H17+'27'!H17+'28'!H17+'29'!H17+'30'!H17+'31'!H17+'32'!H17+'33'!H17+'34'!H17+'35'!H17+'36'!H17+'37'!H17+'7'!H17</f>
        <v>161600</v>
      </c>
      <c r="G25" s="291">
        <f>'1'!I17+'3'!I22+'4'!I17+'5'!I17+'6'!I17+'8'!I17+'9'!I17+'10'!I17+'11'!I17+'12'!I17+'13'!I17+'14'!I17+'15'!I17+'16'!I20+'17'!I17+'18'!I17+'19'!I17+'20'!I17+'22'!I17+'23'!I17+'21'!I17+'24'!I17+'25'!I17+'26'!I17+'27'!I17+'28'!I17+'29'!I17+'30'!I17+'31'!I17+'32'!I17+'33'!I17+'34'!I17+'35'!I17+'36'!I17+'37'!I17+'7'!I17</f>
        <v>0</v>
      </c>
      <c r="H25" s="386">
        <f>'1'!J17+'3'!J22+'4'!J17+'5'!J17+'6'!J17+'8'!J17+'9'!J17+'10'!J17+'11'!J17+'12'!J17+'13'!J17+'14'!J17+'15'!J17+'16'!J20+'17'!J17+'18'!J17+'19'!J17+'20'!J17+'22'!J17+'23'!J17+'21'!J17+'24'!J17+'25'!J17+'26'!J17+'27'!J17+'28'!J17+'29'!J17+'30'!J17+'31'!J17+'32'!J17+'33'!J17+'34'!J17+'35'!J17+'36'!J17+'37'!J17+'7'!J17</f>
        <v>161600</v>
      </c>
      <c r="I25" s="291">
        <f>'1'!K17+'3'!K22+'4'!K17+'5'!K17+'6'!K17+'8'!K17+'9'!K17+'10'!K17+'11'!K17+'12'!K17+'13'!K17+'14'!K17+'15'!K17+'16'!K20+'17'!K17+'18'!K17+'19'!K17+'20'!K17+'22'!K17+'23'!K17+'21'!K17+'24'!K17+'25'!K17+'26'!K17+'27'!K17+'28'!K17+'29'!K17+'30'!K17+'31'!K17+'32'!K17+'33'!K17+'34'!K17+'35'!K17+'36'!K17+'37'!K17+'7'!K17</f>
        <v>20774</v>
      </c>
      <c r="J25" s="291">
        <f>'1'!L17+'3'!L22+'4'!L17+'5'!L17+'6'!L17+'8'!L17+'9'!L17+'10'!L17+'11'!L17+'12'!L17+'13'!L17+'14'!L17+'15'!L17+'16'!L20+'17'!L17+'18'!L17+'19'!L17+'20'!L17+'22'!L17+'23'!L17+'21'!L17+'24'!L17+'25'!L17+'26'!L17+'27'!L17+'28'!L17+'29'!L17+'30'!L17+'31'!L17+'32'!L17+'33'!L17+'34'!L17+'35'!L17+'36'!L17+'37'!L17+'7'!L17</f>
        <v>0</v>
      </c>
      <c r="K25" s="386">
        <f>'1'!M17+'3'!M22+'4'!M17+'5'!M17+'6'!M17+'8'!M17+'9'!M17+'10'!M17+'11'!M17+'12'!M17+'13'!M17+'14'!M17+'15'!M17+'16'!M20+'17'!M17+'18'!M17+'19'!M17+'20'!M17+'22'!M17+'23'!M17+'21'!M17+'24'!M17+'25'!M17+'26'!M17+'27'!M17+'28'!M17+'29'!M17+'30'!M17+'31'!M17+'32'!M17+'33'!M17+'34'!M17+'35'!M17+'36'!M17+'37'!M17+'7'!M17</f>
        <v>20774</v>
      </c>
      <c r="L25" s="89">
        <f t="shared" si="2"/>
        <v>12.85519801980198</v>
      </c>
      <c r="N25" s="58"/>
    </row>
    <row r="26" spans="2:15" ht="15" customHeight="1">
      <c r="B26" s="10"/>
      <c r="C26" s="237">
        <v>613200</v>
      </c>
      <c r="D26" s="319"/>
      <c r="E26" s="11" t="s">
        <v>85</v>
      </c>
      <c r="F26" s="291">
        <f>'1'!H18+'3'!H23+'4'!H18+'5'!H18+'6'!H18+'8'!H18+'9'!H18+'10'!H18+'11'!H18+'12'!H18+'13'!H18+'14'!H18+'15'!H18+'16'!H21+'17'!H18+'18'!H18+'19'!H18+'20'!H18+'22'!H18+'23'!H18+'21'!H18+'24'!H18+'25'!H18+'26'!H18+'27'!H18+'28'!H18+'29'!H18+'30'!H18+'31'!H18+'32'!H18+'33'!H18+'34'!H18+'35'!H18+'36'!H18+'37'!H18+'7'!H18</f>
        <v>748100</v>
      </c>
      <c r="G26" s="291">
        <f>'1'!I18+'3'!I23+'4'!I18+'5'!I18+'6'!I18+'8'!I18+'9'!I18+'10'!I18+'11'!I18+'12'!I18+'13'!I18+'14'!I18+'15'!I18+'16'!I21+'17'!I18+'18'!I18+'19'!I18+'20'!I18+'22'!I18+'23'!I18+'21'!I18+'24'!I18+'25'!I18+'26'!I18+'27'!I18+'28'!I18+'29'!I18+'30'!I18+'31'!I18+'32'!I18+'33'!I18+'34'!I18+'35'!I18+'36'!I18+'37'!I18+'7'!I18</f>
        <v>0</v>
      </c>
      <c r="H26" s="386">
        <f>'1'!J18+'3'!J23+'4'!J18+'5'!J18+'6'!J18+'8'!J18+'9'!J18+'10'!J18+'11'!J18+'12'!J18+'13'!J18+'14'!J18+'15'!J18+'16'!J21+'17'!J18+'18'!J18+'19'!J18+'20'!J18+'22'!J18+'23'!J18+'21'!J18+'24'!J18+'25'!J18+'26'!J18+'27'!J18+'28'!J18+'29'!J18+'30'!J18+'31'!J18+'32'!J18+'33'!J18+'34'!J18+'35'!J18+'36'!J18+'37'!J18+'7'!J18</f>
        <v>748100</v>
      </c>
      <c r="I26" s="291">
        <f>'1'!K18+'3'!K23+'4'!K18+'5'!K18+'6'!K18+'8'!K18+'9'!K18+'10'!K18+'11'!K18+'12'!K18+'13'!K18+'14'!K18+'15'!K18+'16'!K21+'17'!K18+'18'!K18+'19'!K18+'20'!K18+'22'!K18+'23'!K18+'21'!K18+'24'!K18+'25'!K18+'26'!K18+'27'!K18+'28'!K18+'29'!K18+'30'!K18+'31'!K18+'32'!K18+'33'!K18+'34'!K18+'35'!K18+'36'!K18+'37'!K18+'7'!K18</f>
        <v>287777</v>
      </c>
      <c r="J26" s="291">
        <f>'1'!L18+'3'!L23+'4'!L18+'5'!L18+'6'!L18+'8'!L18+'9'!L18+'10'!L18+'11'!L18+'12'!L18+'13'!L18+'14'!L18+'15'!L18+'16'!L21+'17'!L18+'18'!L18+'19'!L18+'20'!L18+'22'!L18+'23'!L18+'21'!L18+'24'!L18+'25'!L18+'26'!L18+'27'!L18+'28'!L18+'29'!L18+'30'!L18+'31'!L18+'32'!L18+'33'!L18+'34'!L18+'35'!L18+'36'!L18+'37'!L18+'7'!L18</f>
        <v>0</v>
      </c>
      <c r="K26" s="386">
        <f>'1'!M18+'3'!M23+'4'!M18+'5'!M18+'6'!M18+'8'!M18+'9'!M18+'10'!M18+'11'!M18+'12'!M18+'13'!M18+'14'!M18+'15'!M18+'16'!M21+'17'!M18+'18'!M18+'19'!M18+'20'!M18+'22'!M18+'23'!M18+'21'!M18+'24'!M18+'25'!M18+'26'!M18+'27'!M18+'28'!M18+'29'!M18+'30'!M18+'31'!M18+'32'!M18+'33'!M18+'34'!M18+'35'!M18+'36'!M18+'37'!M18+'7'!M18</f>
        <v>287777</v>
      </c>
      <c r="L26" s="89">
        <f t="shared" si="2"/>
        <v>38.46771821948937</v>
      </c>
    </row>
    <row r="27" spans="2:15" ht="15" customHeight="1">
      <c r="B27" s="10"/>
      <c r="C27" s="237">
        <v>613300</v>
      </c>
      <c r="D27" s="319"/>
      <c r="E27" s="18" t="s">
        <v>200</v>
      </c>
      <c r="F27" s="291">
        <f>'1'!H19+'3'!H24+'4'!H19+'5'!H19+'6'!H19+'8'!H19+'9'!H19+'10'!H19+'11'!H19+'12'!H19+'13'!H19+'14'!H19+'15'!H19+'16'!H22+'17'!H19+'18'!H19+'19'!H19+'20'!H19+'22'!H19+'23'!H19+'21'!H19+'24'!H19+'25'!H19+'26'!H19+'27'!H19+'28'!H19+'29'!H19+'30'!H19+'31'!H19+'32'!H19+'33'!H19+'34'!H19+'35'!H19+'36'!H19+'37'!H19+'7'!H19</f>
        <v>438680</v>
      </c>
      <c r="G27" s="291">
        <f>'1'!I19+'3'!I24+'4'!I19+'5'!I19+'6'!I19+'8'!I19+'9'!I19+'10'!I19+'11'!I19+'12'!I19+'13'!I19+'14'!I19+'15'!I19+'16'!I22+'17'!I19+'18'!I19+'19'!I19+'20'!I19+'22'!I19+'23'!I19+'21'!I19+'24'!I19+'25'!I19+'26'!I19+'27'!I19+'28'!I19+'29'!I19+'30'!I19+'31'!I19+'32'!I19+'33'!I19+'34'!I19+'35'!I19+'36'!I19+'37'!I19+'7'!I19</f>
        <v>0</v>
      </c>
      <c r="H27" s="386">
        <f>'1'!J19+'3'!J24+'4'!J19+'5'!J19+'6'!J19+'8'!J19+'9'!J19+'10'!J19+'11'!J19+'12'!J19+'13'!J19+'14'!J19+'15'!J19+'16'!J22+'17'!J19+'18'!J19+'19'!J19+'20'!J19+'22'!J19+'23'!J19+'21'!J19+'24'!J19+'25'!J19+'26'!J19+'27'!J19+'28'!J19+'29'!J19+'30'!J19+'31'!J19+'32'!J19+'33'!J19+'34'!J19+'35'!J19+'36'!J19+'37'!J19+'7'!J19</f>
        <v>438680</v>
      </c>
      <c r="I27" s="291">
        <f>'1'!K19+'3'!K24+'4'!K19+'5'!K19+'6'!K19+'8'!K19+'9'!K19+'10'!K19+'11'!K19+'12'!K19+'13'!K19+'14'!K19+'15'!K19+'16'!K22+'17'!K19+'18'!K19+'19'!K19+'20'!K19+'22'!K19+'23'!K19+'21'!K19+'24'!K19+'25'!K19+'26'!K19+'27'!K19+'28'!K19+'29'!K19+'30'!K19+'31'!K19+'32'!K19+'33'!K19+'34'!K19+'35'!K19+'36'!K19+'37'!K19+'7'!K19</f>
        <v>99294</v>
      </c>
      <c r="J27" s="291">
        <f>'1'!L19+'3'!L24+'4'!L19+'5'!L19+'6'!L19+'8'!L19+'9'!L19+'10'!L19+'11'!L19+'12'!L19+'13'!L19+'14'!L19+'15'!L19+'16'!L22+'17'!L19+'18'!L19+'19'!L19+'20'!L19+'22'!L19+'23'!L19+'21'!L19+'24'!L19+'25'!L19+'26'!L19+'27'!L19+'28'!L19+'29'!L19+'30'!L19+'31'!L19+'32'!L19+'33'!L19+'34'!L19+'35'!L19+'36'!L19+'37'!L19+'7'!L19</f>
        <v>0</v>
      </c>
      <c r="K27" s="386">
        <f>'1'!M19+'3'!M24+'4'!M19+'5'!M19+'6'!M19+'8'!M19+'9'!M19+'10'!M19+'11'!M19+'12'!M19+'13'!M19+'14'!M19+'15'!M19+'16'!M22+'17'!M19+'18'!M19+'19'!M19+'20'!M19+'22'!M19+'23'!M19+'21'!M19+'24'!M19+'25'!M19+'26'!M19+'27'!M19+'28'!M19+'29'!M19+'30'!M19+'31'!M19+'32'!M19+'33'!M19+'34'!M19+'35'!M19+'36'!M19+'37'!M19+'7'!M19</f>
        <v>99294</v>
      </c>
      <c r="L27" s="89">
        <f t="shared" si="2"/>
        <v>22.634722348864777</v>
      </c>
    </row>
    <row r="28" spans="2:15" ht="15" customHeight="1">
      <c r="B28" s="10"/>
      <c r="C28" s="237">
        <v>613400</v>
      </c>
      <c r="D28" s="319"/>
      <c r="E28" s="18" t="s">
        <v>165</v>
      </c>
      <c r="F28" s="291">
        <f>'1'!H20+'3'!H25+'4'!H20+'5'!H20+'6'!H20+'8'!H20+'9'!H20+'10'!H20+'11'!H20+'12'!H20+'13'!H20+'14'!H20+'15'!H20+'16'!H23+'17'!H20+'18'!H20+'19'!H20+'20'!H20+'22'!H20+'23'!H20+'21'!H20+'24'!H20+'25'!H20+'26'!H20+'27'!H20+'28'!H20+'29'!H20+'30'!H20+'31'!H20+'32'!H20+'33'!H20+'34'!H20+'35'!H20+'36'!H20+'37'!H20+'7'!H20</f>
        <v>514650</v>
      </c>
      <c r="G28" s="291">
        <f>'1'!I20+'3'!I25+'4'!I20+'5'!I20+'6'!I20+'8'!I20+'9'!I20+'10'!I20+'11'!I20+'12'!I20+'13'!I20+'14'!I20+'15'!I20+'16'!I23+'17'!I20+'18'!I20+'19'!I20+'20'!I20+'22'!I20+'23'!I20+'21'!I20+'24'!I20+'25'!I20+'26'!I20+'27'!I20+'28'!I20+'29'!I20+'30'!I20+'31'!I20+'32'!I20+'33'!I20+'34'!I20+'35'!I20+'36'!I20+'37'!I20+'7'!I20</f>
        <v>0</v>
      </c>
      <c r="H28" s="386">
        <f>'1'!J20+'3'!J25+'4'!J20+'5'!J20+'6'!J20+'8'!J20+'9'!J20+'10'!J20+'11'!J20+'12'!J20+'13'!J20+'14'!J20+'15'!J20+'16'!J23+'17'!J20+'18'!J20+'19'!J20+'20'!J20+'22'!J20+'23'!J20+'21'!J20+'24'!J20+'25'!J20+'26'!J20+'27'!J20+'28'!J20+'29'!J20+'30'!J20+'31'!J20+'32'!J20+'33'!J20+'34'!J20+'35'!J20+'36'!J20+'37'!J20+'7'!J20</f>
        <v>514650</v>
      </c>
      <c r="I28" s="291">
        <f>'1'!K20+'3'!K25+'4'!K20+'5'!K20+'6'!K20+'8'!K20+'9'!K20+'10'!K20+'11'!K20+'12'!K20+'13'!K20+'14'!K20+'15'!K20+'16'!K23+'17'!K20+'18'!K20+'19'!K20+'20'!K20+'22'!K20+'23'!K20+'21'!K20+'24'!K20+'25'!K20+'26'!K20+'27'!K20+'28'!K20+'29'!K20+'30'!K20+'31'!K20+'32'!K20+'33'!K20+'34'!K20+'35'!K20+'36'!K20+'37'!K20+'7'!K20</f>
        <v>89374</v>
      </c>
      <c r="J28" s="291">
        <f>'1'!L20+'3'!L25+'4'!L20+'5'!L20+'6'!L20+'8'!L20+'9'!L20+'10'!L20+'11'!L20+'12'!L20+'13'!L20+'14'!L20+'15'!L20+'16'!L23+'17'!L20+'18'!L20+'19'!L20+'20'!L20+'22'!L20+'23'!L20+'21'!L20+'24'!L20+'25'!L20+'26'!L20+'27'!L20+'28'!L20+'29'!L20+'30'!L20+'31'!L20+'32'!L20+'33'!L20+'34'!L20+'35'!L20+'36'!L20+'37'!L20+'7'!L20</f>
        <v>0</v>
      </c>
      <c r="K28" s="386">
        <f>'1'!M20+'3'!M25+'4'!M20+'5'!M20+'6'!M20+'8'!M20+'9'!M20+'10'!M20+'11'!M20+'12'!M20+'13'!M20+'14'!M20+'15'!M20+'16'!M23+'17'!M20+'18'!M20+'19'!M20+'20'!M20+'22'!M20+'23'!M20+'21'!M20+'24'!M20+'25'!M20+'26'!M20+'27'!M20+'28'!M20+'29'!M20+'30'!M20+'31'!M20+'32'!M20+'33'!M20+'34'!M20+'35'!M20+'36'!M20+'37'!M20+'7'!M20</f>
        <v>89374</v>
      </c>
      <c r="L28" s="89">
        <f t="shared" si="2"/>
        <v>17.365976877489555</v>
      </c>
    </row>
    <row r="29" spans="2:15" ht="15" customHeight="1">
      <c r="B29" s="10"/>
      <c r="C29" s="237">
        <v>613500</v>
      </c>
      <c r="D29" s="319"/>
      <c r="E29" s="14" t="s">
        <v>86</v>
      </c>
      <c r="F29" s="296">
        <f>'1'!H21+'3'!H26+'4'!H21+'5'!H21+'6'!H21+'8'!H21+'9'!H21+'10'!H21+'11'!H21+'12'!H21+'13'!H21+'14'!H21+'15'!H21+'16'!H24+'17'!H21+'18'!H21+'19'!H21+'20'!H21+'22'!H21+'23'!H21+'21'!H21+'24'!H21+'25'!H21+'26'!H21+'27'!H21+'28'!H21+'29'!H21+'30'!H21+'31'!H21+'32'!H21+'33'!H21+'34'!H21+'35'!H21+'36'!H21+'37'!H21+'7'!H21</f>
        <v>210500</v>
      </c>
      <c r="G29" s="296">
        <f>'1'!I21+'3'!I26+'4'!I21+'5'!I21+'6'!I21+'8'!I21+'9'!I21+'10'!I21+'11'!I21+'12'!I21+'13'!I21+'14'!I21+'15'!I21+'16'!I24+'17'!I21+'18'!I21+'19'!I21+'20'!I21+'22'!I21+'23'!I21+'21'!I21+'24'!I21+'25'!I21+'26'!I21+'27'!I21+'28'!I21+'29'!I21+'30'!I21+'31'!I21+'32'!I21+'33'!I21+'34'!I21+'35'!I21+'36'!I21+'37'!I21+'7'!I21</f>
        <v>0</v>
      </c>
      <c r="H29" s="386">
        <f>'1'!J21+'3'!J26+'4'!J21+'5'!J21+'6'!J21+'8'!J21+'9'!J21+'10'!J21+'11'!J21+'12'!J21+'13'!J21+'14'!J21+'15'!J21+'16'!J24+'17'!J21+'18'!J21+'19'!J21+'20'!J21+'22'!J21+'23'!J21+'21'!J21+'24'!J21+'25'!J21+'26'!J21+'27'!J21+'28'!J21+'29'!J21+'30'!J21+'31'!J21+'32'!J21+'33'!J21+'34'!J21+'35'!J21+'36'!J21+'37'!J21+'7'!J21</f>
        <v>210500</v>
      </c>
      <c r="I29" s="296">
        <f>'1'!K21+'3'!K26+'4'!K21+'5'!K21+'6'!K21+'8'!K21+'9'!K21+'10'!K21+'11'!K21+'12'!K21+'13'!K21+'14'!K21+'15'!K21+'16'!K24+'17'!K21+'18'!K21+'19'!K21+'20'!K21+'22'!K21+'23'!K21+'21'!K21+'24'!K21+'25'!K21+'26'!K21+'27'!K21+'28'!K21+'29'!K21+'30'!K21+'31'!K21+'32'!K21+'33'!K21+'34'!K21+'35'!K21+'36'!K21+'37'!K21+'7'!K21</f>
        <v>48522</v>
      </c>
      <c r="J29" s="296">
        <f>'1'!L21+'3'!L26+'4'!L21+'5'!L21+'6'!L21+'8'!L21+'9'!L21+'10'!L21+'11'!L21+'12'!L21+'13'!L21+'14'!L21+'15'!L21+'16'!L24+'17'!L21+'18'!L21+'19'!L21+'20'!L21+'22'!L21+'23'!L21+'21'!L21+'24'!L21+'25'!L21+'26'!L21+'27'!L21+'28'!L21+'29'!L21+'30'!L21+'31'!L21+'32'!L21+'33'!L21+'34'!L21+'35'!L21+'36'!L21+'37'!L21+'7'!L21</f>
        <v>0</v>
      </c>
      <c r="K29" s="386">
        <f>'1'!M21+'3'!M26+'4'!M21+'5'!M21+'6'!M21+'8'!M21+'9'!M21+'10'!M21+'11'!M21+'12'!M21+'13'!M21+'14'!M21+'15'!M21+'16'!M24+'17'!M21+'18'!M21+'19'!M21+'20'!M21+'22'!M21+'23'!M21+'21'!M21+'24'!M21+'25'!M21+'26'!M21+'27'!M21+'28'!M21+'29'!M21+'30'!M21+'31'!M21+'32'!M21+'33'!M21+'34'!M21+'35'!M21+'36'!M21+'37'!M21+'7'!M21</f>
        <v>48522</v>
      </c>
      <c r="L29" s="89">
        <f t="shared" si="2"/>
        <v>23.050831353919239</v>
      </c>
    </row>
    <row r="30" spans="2:15" ht="15" customHeight="1">
      <c r="B30" s="10"/>
      <c r="C30" s="237">
        <v>613600</v>
      </c>
      <c r="D30" s="319"/>
      <c r="E30" s="69" t="s">
        <v>201</v>
      </c>
      <c r="F30" s="296">
        <f>'1'!H22+'3'!H27+'4'!H22+'5'!H22+'6'!H22+'8'!H22+'9'!H22+'10'!H22+'11'!H22+'12'!H22+'13'!H22+'14'!H22+'15'!H22+'16'!H25+'17'!H22+'18'!H22+'19'!H22+'20'!H22+'22'!H22+'23'!H22+'21'!H22+'24'!H22+'25'!H22+'26'!H22+'27'!H22+'28'!H22+'29'!H22+'30'!H22+'31'!H22+'32'!H22+'33'!H22+'34'!H22+'35'!H22+'36'!H22+'37'!H22+'7'!H22</f>
        <v>38500</v>
      </c>
      <c r="G30" s="296">
        <f>'1'!I22+'3'!I27+'4'!I22+'5'!I22+'6'!I22+'8'!I22+'9'!I22+'10'!I22+'11'!I22+'12'!I22+'13'!I22+'14'!I22+'15'!I22+'16'!I25+'17'!I22+'18'!I22+'19'!I22+'20'!I22+'22'!I22+'23'!I22+'21'!I22+'24'!I22+'25'!I22+'26'!I22+'27'!I22+'28'!I22+'29'!I22+'30'!I22+'31'!I22+'32'!I22+'33'!I22+'34'!I22+'35'!I22+'36'!I22+'37'!I22+'7'!I22</f>
        <v>0</v>
      </c>
      <c r="H30" s="386">
        <f>'1'!J22+'3'!J27+'4'!J22+'5'!J22+'6'!J22+'8'!J22+'9'!J22+'10'!J22+'11'!J22+'12'!J22+'13'!J22+'14'!J22+'15'!J22+'16'!J25+'17'!J22+'18'!J22+'19'!J22+'20'!J22+'22'!J22+'23'!J22+'21'!J22+'24'!J22+'25'!J22+'26'!J22+'27'!J22+'28'!J22+'29'!J22+'30'!J22+'31'!J22+'32'!J22+'33'!J22+'34'!J22+'35'!J22+'36'!J22+'37'!J22+'7'!J22</f>
        <v>38500</v>
      </c>
      <c r="I30" s="296">
        <f>'1'!K22+'3'!K27+'4'!K22+'5'!K22+'6'!K22+'8'!K22+'9'!K22+'10'!K22+'11'!K22+'12'!K22+'13'!K22+'14'!K22+'15'!K22+'16'!K25+'17'!K22+'18'!K22+'19'!K22+'20'!K22+'22'!K22+'23'!K22+'21'!K22+'24'!K22+'25'!K22+'26'!K22+'27'!K22+'28'!K22+'29'!K22+'30'!K22+'31'!K22+'32'!K22+'33'!K22+'34'!K22+'35'!K22+'36'!K22+'37'!K22+'7'!K22</f>
        <v>7251</v>
      </c>
      <c r="J30" s="296">
        <f>'1'!L22+'3'!L27+'4'!L22+'5'!L22+'6'!L22+'8'!L22+'9'!L22+'10'!L22+'11'!L22+'12'!L22+'13'!L22+'14'!L22+'15'!L22+'16'!L25+'17'!L22+'18'!L22+'19'!L22+'20'!L22+'22'!L22+'23'!L22+'21'!L22+'24'!L22+'25'!L22+'26'!L22+'27'!L22+'28'!L22+'29'!L22+'30'!L22+'31'!L22+'32'!L22+'33'!L22+'34'!L22+'35'!L22+'36'!L22+'37'!L22+'7'!L22</f>
        <v>0</v>
      </c>
      <c r="K30" s="386">
        <f>'1'!M22+'3'!M27+'4'!M22+'5'!M22+'6'!M22+'8'!M22+'9'!M22+'10'!M22+'11'!M22+'12'!M22+'13'!M22+'14'!M22+'15'!M22+'16'!M25+'17'!M22+'18'!M22+'19'!M22+'20'!M22+'22'!M22+'23'!M22+'21'!M22+'24'!M22+'25'!M22+'26'!M22+'27'!M22+'28'!M22+'29'!M22+'30'!M22+'31'!M22+'32'!M22+'33'!M22+'34'!M22+'35'!M22+'36'!M22+'37'!M22+'7'!M22</f>
        <v>7251</v>
      </c>
      <c r="L30" s="89">
        <f t="shared" si="2"/>
        <v>18.833766233766234</v>
      </c>
    </row>
    <row r="31" spans="2:15" ht="15" customHeight="1">
      <c r="B31" s="10"/>
      <c r="C31" s="237">
        <v>613700</v>
      </c>
      <c r="D31" s="319"/>
      <c r="E31" s="14" t="s">
        <v>87</v>
      </c>
      <c r="F31" s="296">
        <f t="shared" ref="F31:G31" si="10">F32+F33</f>
        <v>314800</v>
      </c>
      <c r="G31" s="296">
        <f t="shared" si="10"/>
        <v>200000</v>
      </c>
      <c r="H31" s="386">
        <f t="shared" ref="H31:J31" si="11">H32+H33</f>
        <v>514800</v>
      </c>
      <c r="I31" s="296">
        <f t="shared" si="11"/>
        <v>69822</v>
      </c>
      <c r="J31" s="296">
        <f t="shared" si="11"/>
        <v>40007</v>
      </c>
      <c r="K31" s="386">
        <f t="shared" ref="K31" si="12">K32+K33</f>
        <v>109829</v>
      </c>
      <c r="L31" s="89">
        <f t="shared" si="2"/>
        <v>21.334304584304583</v>
      </c>
    </row>
    <row r="32" spans="2:15" ht="15" customHeight="1">
      <c r="B32" s="10"/>
      <c r="C32" s="238">
        <v>613700</v>
      </c>
      <c r="D32" s="320"/>
      <c r="E32" s="227" t="s">
        <v>549</v>
      </c>
      <c r="F32" s="302">
        <f>'1'!H23+'3'!H28+'4'!H23+'5'!H23+'6'!H23+'8'!H23+'9'!H23+'10'!H23+'11'!H23+'12'!H23+'13'!H23+'14'!H23+'15'!H23+'16'!H26+'17'!H23+'18'!H23+'19'!H23+'20'!H23+'22'!H23+'23'!H23+'21'!H23+'24'!H23+'25'!H23+'26'!H23+'27'!H23+'28'!H23+'29'!H23+'30'!H23+'31'!H23+'32'!H23+'33'!H23+'34'!H23+'35'!H23+'36'!H23+'37'!H23+'7'!H23</f>
        <v>314800</v>
      </c>
      <c r="G32" s="302">
        <f>'1'!I23+'3'!I28+'4'!I23+'5'!I23+'6'!I23+'8'!I23+'9'!I23+'10'!I23+'11'!I23+'12'!I23+'13'!I23+'14'!I23+'15'!I23+'16'!I26+'17'!I23+'18'!I23+'19'!I23+'20'!I23+'22'!I23+'23'!I23+'21'!I23+'24'!I23+'25'!I23+'26'!I23+'27'!I23+'28'!I23+'29'!I23+'30'!I23+'31'!I23+'32'!I23+'33'!I23+'34'!I23+'35'!I23+'36'!I23+'37'!I23+'7'!I23</f>
        <v>0</v>
      </c>
      <c r="H32" s="412">
        <f>'1'!J23+'3'!J28+'4'!J23+'5'!J23+'6'!J23+'8'!J23+'9'!J23+'10'!J23+'11'!J23+'12'!J23+'13'!J23+'14'!J23+'15'!J23+'16'!J26+'17'!J23+'18'!J23+'19'!J23+'20'!J23+'22'!J23+'23'!J23+'21'!J23+'24'!J23+'25'!J23+'26'!J23+'27'!J23+'28'!J23+'29'!J23+'30'!J23+'31'!J23+'32'!J23+'33'!J23+'34'!J23+'35'!J23+'36'!J23+'37'!J23+'7'!J23</f>
        <v>314800</v>
      </c>
      <c r="I32" s="302">
        <f>'1'!K23+'3'!K28+'4'!K23+'5'!K23+'6'!K23+'8'!K23+'9'!K23+'10'!K23+'11'!K23+'12'!K23+'13'!K23+'14'!K23+'15'!K23+'16'!K26+'17'!K23+'18'!K23+'19'!K23+'20'!K23+'22'!K23+'23'!K23+'21'!K23+'24'!K23+'25'!K23+'26'!K23+'27'!K23+'28'!K23+'29'!K23+'30'!K23+'31'!K23+'32'!K23+'33'!K23+'34'!K23+'35'!K23+'36'!K23+'37'!K23+'7'!K23</f>
        <v>69822</v>
      </c>
      <c r="J32" s="302">
        <f>'1'!L23+'3'!L28+'4'!L23+'5'!L23+'6'!L23+'8'!L23+'9'!L23+'10'!L23+'11'!L23+'12'!L23+'13'!L23+'14'!L23+'15'!L23+'16'!L26+'17'!L23+'18'!L23+'19'!L23+'20'!L23+'22'!L23+'23'!L23+'21'!L23+'24'!L23+'25'!L23+'26'!L23+'27'!L23+'28'!L23+'29'!L23+'30'!L23+'31'!L23+'32'!L23+'33'!L23+'34'!L23+'35'!L23+'36'!L23+'37'!L23+'7'!L23</f>
        <v>0</v>
      </c>
      <c r="K32" s="412">
        <f>'1'!M23+'3'!M28+'4'!M23+'5'!M23+'6'!M23+'8'!M23+'9'!M23+'10'!M23+'11'!M23+'12'!M23+'13'!M23+'14'!M23+'15'!M23+'16'!M26+'17'!M23+'18'!M23+'19'!M23+'20'!M23+'22'!M23+'23'!M23+'21'!M23+'24'!M23+'25'!M23+'26'!M23+'27'!M23+'28'!M23+'29'!M23+'30'!M23+'31'!M23+'32'!M23+'33'!M23+'34'!M23+'35'!M23+'36'!M23+'37'!M23+'7'!M23</f>
        <v>69822</v>
      </c>
      <c r="L32" s="226">
        <f t="shared" si="2"/>
        <v>22.179796696315123</v>
      </c>
    </row>
    <row r="33" spans="2:14" ht="15" customHeight="1">
      <c r="B33" s="10"/>
      <c r="C33" s="238">
        <v>613700</v>
      </c>
      <c r="D33" s="320" t="s">
        <v>677</v>
      </c>
      <c r="E33" s="227" t="s">
        <v>550</v>
      </c>
      <c r="F33" s="302">
        <f>'18'!H24</f>
        <v>0</v>
      </c>
      <c r="G33" s="302">
        <f>'18'!I24</f>
        <v>200000</v>
      </c>
      <c r="H33" s="412">
        <f>'18'!J24</f>
        <v>200000</v>
      </c>
      <c r="I33" s="302">
        <f>'18'!K24</f>
        <v>0</v>
      </c>
      <c r="J33" s="302">
        <f>'18'!L24</f>
        <v>40007</v>
      </c>
      <c r="K33" s="412">
        <f>'18'!M24</f>
        <v>40007</v>
      </c>
      <c r="L33" s="226">
        <f t="shared" si="2"/>
        <v>20.003499999999999</v>
      </c>
    </row>
    <row r="34" spans="2:14" ht="15" customHeight="1">
      <c r="B34" s="10"/>
      <c r="C34" s="237">
        <v>613800</v>
      </c>
      <c r="D34" s="319"/>
      <c r="E34" s="69" t="s">
        <v>166</v>
      </c>
      <c r="F34" s="296">
        <f t="shared" ref="F34:K34" si="13">F35+F36</f>
        <v>41500</v>
      </c>
      <c r="G34" s="296">
        <f t="shared" si="13"/>
        <v>0</v>
      </c>
      <c r="H34" s="386">
        <f t="shared" si="13"/>
        <v>41500</v>
      </c>
      <c r="I34" s="296">
        <f t="shared" si="13"/>
        <v>8806</v>
      </c>
      <c r="J34" s="296">
        <f t="shared" si="13"/>
        <v>0</v>
      </c>
      <c r="K34" s="386">
        <f t="shared" si="13"/>
        <v>8806</v>
      </c>
      <c r="L34" s="89">
        <f t="shared" si="2"/>
        <v>21.219277108433733</v>
      </c>
    </row>
    <row r="35" spans="2:14" ht="15" customHeight="1">
      <c r="B35" s="10"/>
      <c r="C35" s="238">
        <v>613800</v>
      </c>
      <c r="D35" s="320"/>
      <c r="E35" s="227" t="s">
        <v>551</v>
      </c>
      <c r="F35" s="302">
        <f>'1'!H24+'3'!H29+'4'!H24+'5'!H24+'6'!H24+'8'!H24+'9'!H24+'10'!H24+'11'!H24+'12'!H24+'13'!H24+'14'!H24+'15'!H24+'16'!H27+'17'!H24+'18'!H25+'19'!H24+'20'!H24+'22'!H24+'23'!H24+'21'!H24+'24'!H24+'25'!H24+'26'!H24+'27'!H24+'28'!H24+'29'!H24+'30'!H24+'31'!H24+'32'!H24+'33'!H24+'34'!H24+'35'!H24+'36'!H24+'37'!H24+'7'!H24</f>
        <v>41500</v>
      </c>
      <c r="G35" s="302">
        <f>'1'!I24+'3'!I29+'4'!I24+'5'!I24+'6'!I24+'8'!I24+'9'!I24+'10'!I24+'11'!I24+'12'!I24+'13'!I24+'14'!I24+'15'!I24+'16'!I27+'17'!I24+'18'!I25+'19'!I24+'20'!I24+'22'!I24+'23'!I24+'21'!I24+'24'!I24+'25'!I24+'26'!I24+'27'!I24+'28'!I24+'29'!I24+'30'!I24+'31'!I24+'32'!I24+'33'!I24+'34'!I24+'35'!I24+'36'!I24+'37'!I24+'7'!I24</f>
        <v>0</v>
      </c>
      <c r="H35" s="412">
        <f>'1'!J24+'3'!J29+'4'!J24+'5'!J24+'6'!J24+'8'!J24+'9'!J24+'10'!J24+'11'!J24+'12'!J24+'13'!J24+'14'!J24+'15'!J24+'16'!J27+'17'!J24+'18'!J25+'19'!J24+'20'!J24+'22'!J24+'23'!J24+'21'!J24+'24'!J24+'25'!J24+'26'!J24+'27'!J24+'28'!J24+'29'!J24+'30'!J24+'31'!J24+'32'!J24+'33'!J24+'34'!J24+'35'!J24+'36'!J24+'37'!J24+'7'!J24</f>
        <v>41500</v>
      </c>
      <c r="I35" s="302">
        <f>'1'!K24+'3'!K29+'4'!K24+'5'!K24+'6'!K24+'8'!K24+'9'!K24+'10'!K24+'11'!K24+'12'!K24+'13'!K24+'14'!K24+'15'!K24+'16'!K27+'17'!K24+'18'!K25+'19'!K24+'20'!K24+'22'!K24+'23'!K24+'21'!K24+'24'!K24+'25'!K24+'26'!K24+'27'!K24+'28'!K24+'29'!K24+'30'!K24+'31'!K24+'32'!K24+'33'!K24+'34'!K24+'35'!K24+'36'!K24+'37'!K24+'7'!K24</f>
        <v>8806</v>
      </c>
      <c r="J35" s="302">
        <f>'1'!L24+'3'!L29+'4'!L24+'5'!L24+'6'!L24+'8'!L24+'9'!L24+'10'!L24+'11'!L24+'12'!L24+'13'!L24+'14'!L24+'15'!L24+'16'!L27+'17'!L24+'18'!L25+'19'!L24+'20'!L24+'22'!L24+'23'!L24+'21'!L24+'24'!L24+'25'!L24+'26'!L24+'27'!L24+'28'!L24+'29'!L24+'30'!L24+'31'!L24+'32'!L24+'33'!L24+'34'!L24+'35'!L24+'36'!L24+'37'!L24+'7'!L24</f>
        <v>0</v>
      </c>
      <c r="K35" s="412">
        <f>'1'!M24+'3'!M29+'4'!M24+'5'!M24+'6'!M24+'8'!M24+'9'!M24+'10'!M24+'11'!M24+'12'!M24+'13'!M24+'14'!M24+'15'!M24+'16'!M27+'17'!M24+'18'!M25+'19'!M24+'20'!M24+'22'!M24+'23'!M24+'21'!M24+'24'!M24+'25'!M24+'26'!M24+'27'!M24+'28'!M24+'29'!M24+'30'!M24+'31'!M24+'32'!M24+'33'!M24+'34'!M24+'35'!M24+'36'!M24+'37'!M24+'7'!M24</f>
        <v>8806</v>
      </c>
      <c r="L35" s="226">
        <f t="shared" si="2"/>
        <v>21.219277108433733</v>
      </c>
    </row>
    <row r="36" spans="2:14" ht="15" customHeight="1">
      <c r="B36" s="10"/>
      <c r="C36" s="238">
        <v>613800</v>
      </c>
      <c r="D36" s="320"/>
      <c r="E36" s="225" t="s">
        <v>552</v>
      </c>
      <c r="F36" s="300">
        <f>'20'!H25</f>
        <v>0</v>
      </c>
      <c r="G36" s="300">
        <f>'20'!I25</f>
        <v>0</v>
      </c>
      <c r="H36" s="412">
        <f>'20'!J25</f>
        <v>0</v>
      </c>
      <c r="I36" s="300">
        <f>'20'!K25</f>
        <v>0</v>
      </c>
      <c r="J36" s="300">
        <f>'20'!L25</f>
        <v>0</v>
      </c>
      <c r="K36" s="412">
        <f>'20'!M25</f>
        <v>0</v>
      </c>
      <c r="L36" s="226" t="str">
        <f t="shared" si="2"/>
        <v/>
      </c>
    </row>
    <row r="37" spans="2:14" ht="15" customHeight="1">
      <c r="B37" s="10"/>
      <c r="C37" s="239">
        <v>613900</v>
      </c>
      <c r="D37" s="321"/>
      <c r="E37" s="69" t="s">
        <v>167</v>
      </c>
      <c r="F37" s="76">
        <f t="shared" ref="F37:K37" si="14">SUM(F38:F44)</f>
        <v>1741800</v>
      </c>
      <c r="G37" s="76">
        <f t="shared" si="14"/>
        <v>0</v>
      </c>
      <c r="H37" s="413">
        <f t="shared" si="14"/>
        <v>1741800</v>
      </c>
      <c r="I37" s="76">
        <f t="shared" si="14"/>
        <v>350032</v>
      </c>
      <c r="J37" s="76">
        <f t="shared" si="14"/>
        <v>0</v>
      </c>
      <c r="K37" s="413">
        <f t="shared" si="14"/>
        <v>350032</v>
      </c>
      <c r="L37" s="89">
        <f t="shared" si="2"/>
        <v>20.095992651280284</v>
      </c>
    </row>
    <row r="38" spans="2:14" ht="15" customHeight="1">
      <c r="B38" s="10"/>
      <c r="C38" s="240">
        <v>613900</v>
      </c>
      <c r="D38" s="322"/>
      <c r="E38" s="227" t="s">
        <v>553</v>
      </c>
      <c r="F38" s="303">
        <f>'1'!H25+'3'!H30+'4'!H25+'5'!H25+'6'!H25+'8'!H25+'9'!H25+'10'!H25+'11'!H25+'12'!H25+'13'!H25+'14'!H25+'15'!H25+'16'!H28+'17'!H25+'18'!H26+'19'!H25+'20'!H26+'22'!H25+'23'!H25+'21'!H25+'24'!H25+'25'!H25+'26'!H25+'27'!H25+'28'!H25+'29'!H25+'30'!H25+'31'!H25+'32'!H25+'33'!H25+'34'!H25+'35'!H25+'36'!H25+'37'!H25+'7'!H25</f>
        <v>1400700</v>
      </c>
      <c r="G38" s="303">
        <f>'1'!I25+'3'!I30+'4'!I25+'5'!I25+'6'!I25+'8'!I25+'9'!I25+'10'!I25+'11'!I25+'12'!I25+'13'!I25+'14'!I25+'15'!I25+'16'!I28+'17'!I25+'18'!I26+'19'!I25+'20'!I26+'22'!I25+'23'!I25+'21'!I25+'24'!I25+'25'!I25+'26'!I25+'27'!I25+'28'!I25+'29'!I25+'30'!I25+'31'!I25+'32'!I25+'33'!I25+'34'!I25+'35'!I25+'36'!I25+'37'!I25+'7'!I25</f>
        <v>0</v>
      </c>
      <c r="H38" s="414">
        <f>'1'!J25+'3'!J30+'4'!J25+'5'!J25+'6'!J25+'8'!J25+'9'!J25+'10'!J25+'11'!J25+'12'!J25+'13'!J25+'14'!J25+'15'!J25+'16'!J28+'17'!J25+'18'!J26+'19'!J25+'20'!J26+'22'!J25+'23'!J25+'21'!J25+'24'!J25+'25'!J25+'26'!J25+'27'!J25+'28'!J25+'29'!J25+'30'!J25+'31'!J25+'32'!J25+'33'!J25+'34'!J25+'35'!J25+'36'!J25+'37'!J25+'7'!J25</f>
        <v>1400700</v>
      </c>
      <c r="I38" s="303">
        <f>'1'!K25+'3'!K30+'4'!K25+'5'!K25+'6'!K25+'8'!K25+'9'!K25+'10'!K25+'11'!K25+'12'!K25+'13'!K25+'14'!K25+'15'!K25+'16'!K28+'17'!K25+'18'!K26+'19'!K25+'20'!K26+'22'!K25+'23'!K25+'21'!K25+'24'!K25+'25'!K25+'26'!K25+'27'!K25+'28'!K25+'29'!K25+'30'!K25+'31'!K25+'32'!K25+'33'!K25+'34'!K25+'35'!K25+'36'!K25+'37'!K25+'7'!K25</f>
        <v>290691</v>
      </c>
      <c r="J38" s="303">
        <f>'1'!L25+'3'!L30+'4'!L25+'5'!L25+'6'!L25+'8'!L25+'9'!L25+'10'!L25+'11'!L25+'12'!L25+'13'!L25+'14'!L25+'15'!L25+'16'!L28+'17'!L25+'18'!L26+'19'!L25+'20'!L26+'22'!L25+'23'!L25+'21'!L25+'24'!L25+'25'!L25+'26'!L25+'27'!L25+'28'!L25+'29'!L25+'30'!L25+'31'!L25+'32'!L25+'33'!L25+'34'!L25+'35'!L25+'36'!L25+'37'!L25+'7'!L25</f>
        <v>0</v>
      </c>
      <c r="K38" s="414">
        <f>'1'!M25+'3'!M30+'4'!M25+'5'!M25+'6'!M25+'8'!M25+'9'!M25+'10'!M25+'11'!M25+'12'!M25+'13'!M25+'14'!M25+'15'!M25+'16'!M28+'17'!M25+'18'!M26+'19'!M25+'20'!M26+'22'!M25+'23'!M25+'21'!M25+'24'!M25+'25'!M25+'26'!M25+'27'!M25+'28'!M25+'29'!M25+'30'!M25+'31'!M25+'32'!M25+'33'!M25+'34'!M25+'35'!M25+'36'!M25+'37'!M25+'7'!M25</f>
        <v>290691</v>
      </c>
      <c r="L38" s="226">
        <f t="shared" si="2"/>
        <v>20.753266224030842</v>
      </c>
    </row>
    <row r="39" spans="2:14" ht="15" customHeight="1">
      <c r="B39" s="10"/>
      <c r="C39" s="238">
        <v>613900</v>
      </c>
      <c r="D39" s="320" t="s">
        <v>655</v>
      </c>
      <c r="E39" s="225" t="s">
        <v>554</v>
      </c>
      <c r="F39" s="300">
        <f>'3'!H31</f>
        <v>44400</v>
      </c>
      <c r="G39" s="300">
        <f>'3'!I31</f>
        <v>0</v>
      </c>
      <c r="H39" s="412">
        <f>'3'!J31</f>
        <v>44400</v>
      </c>
      <c r="I39" s="300">
        <f>'3'!K31</f>
        <v>3326</v>
      </c>
      <c r="J39" s="300">
        <f>'3'!L31</f>
        <v>0</v>
      </c>
      <c r="K39" s="412">
        <f>'3'!M31</f>
        <v>3326</v>
      </c>
      <c r="L39" s="226">
        <f t="shared" si="2"/>
        <v>7.4909909909909906</v>
      </c>
    </row>
    <row r="40" spans="2:14" ht="15" customHeight="1">
      <c r="B40" s="10"/>
      <c r="C40" s="238">
        <v>613900</v>
      </c>
      <c r="D40" s="320" t="s">
        <v>670</v>
      </c>
      <c r="E40" s="225" t="s">
        <v>555</v>
      </c>
      <c r="F40" s="300">
        <f>'16'!H29</f>
        <v>64700</v>
      </c>
      <c r="G40" s="300">
        <f>'16'!I29</f>
        <v>0</v>
      </c>
      <c r="H40" s="412">
        <f>'16'!J29</f>
        <v>64700</v>
      </c>
      <c r="I40" s="300">
        <f>'16'!K29</f>
        <v>13543</v>
      </c>
      <c r="J40" s="300">
        <f>'16'!L29</f>
        <v>0</v>
      </c>
      <c r="K40" s="412">
        <f>'16'!M29</f>
        <v>13543</v>
      </c>
      <c r="L40" s="226">
        <f t="shared" si="2"/>
        <v>20.931993817619784</v>
      </c>
    </row>
    <row r="41" spans="2:14" ht="15" customHeight="1">
      <c r="B41" s="10"/>
      <c r="C41" s="238">
        <v>613900</v>
      </c>
      <c r="D41" s="320" t="s">
        <v>684</v>
      </c>
      <c r="E41" s="225" t="s">
        <v>556</v>
      </c>
      <c r="F41" s="300">
        <f>'20'!H27</f>
        <v>60000</v>
      </c>
      <c r="G41" s="300">
        <f>'20'!I27</f>
        <v>0</v>
      </c>
      <c r="H41" s="412">
        <f>'20'!J27</f>
        <v>60000</v>
      </c>
      <c r="I41" s="300">
        <f>'20'!K27</f>
        <v>8291</v>
      </c>
      <c r="J41" s="300">
        <f>'20'!L27</f>
        <v>0</v>
      </c>
      <c r="K41" s="412">
        <f>'20'!M27</f>
        <v>8291</v>
      </c>
      <c r="L41" s="226">
        <f t="shared" si="2"/>
        <v>13.818333333333332</v>
      </c>
    </row>
    <row r="42" spans="2:14" ht="15" customHeight="1">
      <c r="B42" s="10"/>
      <c r="C42" s="238">
        <v>613900</v>
      </c>
      <c r="D42" s="320" t="s">
        <v>654</v>
      </c>
      <c r="E42" s="299" t="s">
        <v>840</v>
      </c>
      <c r="F42" s="300">
        <f>'1'!H26+'3'!H32+'4'!H26+'5'!H26+'6'!H26+'8'!H26+'9'!H26+'10'!H26+'11'!H26+'12'!H26+'13'!H26+'14'!H26+'15'!H26+'16'!H30+'17'!H26+'18'!H27+'19'!H26+'20'!H28+'22'!H26+'23'!H26+'21'!H26+'24'!H26+'25'!H26+'26'!H26+'27'!H26+'28'!H26+'29'!H26+'30'!H26+'31'!H26+'32'!H26+'33'!H26+'34'!H26+'35'!H26+'36'!H26+'37'!H26+'7'!H26</f>
        <v>122000</v>
      </c>
      <c r="G42" s="300">
        <f>'1'!I26+'3'!I32+'4'!I26+'5'!I26+'6'!I26+'8'!I26+'9'!I26+'10'!I26+'11'!I26+'12'!I26+'13'!I26+'14'!I26+'15'!I26+'16'!I30+'17'!I26+'18'!I27+'19'!I26+'20'!I28+'22'!I26+'23'!I26+'21'!I26+'24'!I26+'25'!I26+'26'!I26+'27'!I26+'28'!I26+'29'!I26+'30'!I26+'31'!I26+'32'!I26+'33'!I26+'34'!I26+'35'!I26+'36'!I26+'37'!I26+'7'!I26</f>
        <v>0</v>
      </c>
      <c r="H42" s="412">
        <f>'1'!J26+'3'!J32+'4'!J26+'5'!J26+'6'!J26+'8'!J26+'9'!J26+'10'!J26+'11'!J26+'12'!J26+'13'!J26+'14'!J26+'15'!J26+'16'!J30+'17'!J26+'18'!J27+'19'!J26+'20'!J28+'22'!J26+'23'!J26+'21'!J26+'24'!J26+'25'!J26+'26'!J26+'27'!J26+'28'!J26+'29'!J26+'30'!J26+'31'!J26+'32'!J26+'33'!J26+'34'!J26+'35'!J26+'36'!J26+'37'!J26+'7'!J26</f>
        <v>122000</v>
      </c>
      <c r="I42" s="300">
        <f>'1'!K26+'3'!K32+'4'!K26+'5'!K26+'6'!K26+'8'!K26+'9'!K26+'10'!K26+'11'!K26+'12'!K26+'13'!K26+'14'!K26+'15'!K26+'16'!K30+'17'!K26+'18'!K27+'19'!K26+'20'!K28+'22'!K26+'23'!K26+'21'!K26+'24'!K26+'25'!K26+'26'!K26+'27'!K26+'28'!K26+'29'!K26+'30'!K26+'31'!K26+'32'!K26+'33'!K26+'34'!K26+'35'!K26+'36'!K26+'37'!K26+'7'!K26</f>
        <v>34181</v>
      </c>
      <c r="J42" s="300">
        <f>'1'!L26+'3'!L32+'4'!L26+'5'!L26+'6'!L26+'8'!L26+'9'!L26+'10'!L26+'11'!L26+'12'!L26+'13'!L26+'14'!L26+'15'!L26+'16'!L30+'17'!L26+'18'!L27+'19'!L26+'20'!L28+'22'!L26+'23'!L26+'21'!L26+'24'!L26+'25'!L26+'26'!L26+'27'!L26+'28'!L26+'29'!L26+'30'!L26+'31'!L26+'32'!L26+'33'!L26+'34'!L26+'35'!L26+'36'!L26+'37'!L26+'7'!L26</f>
        <v>0</v>
      </c>
      <c r="K42" s="412">
        <f>'1'!M26+'3'!M32+'4'!M26+'5'!M26+'6'!M26+'8'!M26+'9'!M26+'10'!M26+'11'!M26+'12'!M26+'13'!M26+'14'!M26+'15'!M26+'16'!M30+'17'!M26+'18'!M27+'19'!M26+'20'!M28+'22'!M26+'23'!M26+'21'!M26+'24'!M26+'25'!M26+'26'!M26+'27'!M26+'28'!M26+'29'!M26+'30'!M26+'31'!M26+'32'!M26+'33'!M26+'34'!M26+'35'!M26+'36'!M26+'37'!M26+'7'!M26</f>
        <v>34181</v>
      </c>
      <c r="L42" s="226">
        <f t="shared" si="2"/>
        <v>28.017213114754096</v>
      </c>
    </row>
    <row r="43" spans="2:14" ht="15" customHeight="1">
      <c r="B43" s="10"/>
      <c r="C43" s="238">
        <v>613900</v>
      </c>
      <c r="D43" s="320" t="s">
        <v>668</v>
      </c>
      <c r="E43" s="225" t="s">
        <v>557</v>
      </c>
      <c r="F43" s="300">
        <f>'15'!H27</f>
        <v>50000</v>
      </c>
      <c r="G43" s="300">
        <f>'15'!I27</f>
        <v>0</v>
      </c>
      <c r="H43" s="412">
        <f>'15'!J27</f>
        <v>50000</v>
      </c>
      <c r="I43" s="300">
        <f>'15'!K27</f>
        <v>0</v>
      </c>
      <c r="J43" s="300">
        <f>'15'!L27</f>
        <v>0</v>
      </c>
      <c r="K43" s="412">
        <f>'15'!M27</f>
        <v>0</v>
      </c>
      <c r="L43" s="226">
        <f t="shared" si="2"/>
        <v>0</v>
      </c>
    </row>
    <row r="44" spans="2:14" ht="15" customHeight="1">
      <c r="B44" s="10"/>
      <c r="C44" s="238">
        <v>613900</v>
      </c>
      <c r="D44" s="320" t="s">
        <v>693</v>
      </c>
      <c r="E44" s="225" t="s">
        <v>558</v>
      </c>
      <c r="F44" s="300">
        <f>'23'!H27</f>
        <v>0</v>
      </c>
      <c r="G44" s="300">
        <f>'23'!I27</f>
        <v>0</v>
      </c>
      <c r="H44" s="412">
        <f>'23'!J27</f>
        <v>0</v>
      </c>
      <c r="I44" s="300">
        <f>'23'!K27</f>
        <v>0</v>
      </c>
      <c r="J44" s="300">
        <f>'23'!L27</f>
        <v>0</v>
      </c>
      <c r="K44" s="412">
        <f>'23'!M27</f>
        <v>0</v>
      </c>
      <c r="L44" s="226" t="str">
        <f t="shared" si="2"/>
        <v/>
      </c>
    </row>
    <row r="45" spans="2:14" ht="11.25" customHeight="1">
      <c r="B45" s="10"/>
      <c r="C45" s="237"/>
      <c r="D45" s="319"/>
      <c r="E45" s="11"/>
      <c r="F45" s="280"/>
      <c r="G45" s="280"/>
      <c r="H45" s="386"/>
      <c r="I45" s="280"/>
      <c r="J45" s="280"/>
      <c r="K45" s="386"/>
      <c r="L45" s="89" t="str">
        <f t="shared" si="2"/>
        <v/>
      </c>
    </row>
    <row r="46" spans="2:14" ht="15" customHeight="1">
      <c r="B46" s="10"/>
      <c r="C46" s="420">
        <v>614000</v>
      </c>
      <c r="D46" s="421"/>
      <c r="E46" s="422" t="s">
        <v>202</v>
      </c>
      <c r="F46" s="423">
        <f t="shared" ref="F46:H46" si="15">F47+F60+F70+F82+F87</f>
        <v>9271220</v>
      </c>
      <c r="G46" s="423">
        <f t="shared" si="15"/>
        <v>1063780</v>
      </c>
      <c r="H46" s="387">
        <f t="shared" si="15"/>
        <v>10335000</v>
      </c>
      <c r="I46" s="423">
        <f t="shared" ref="I46:K46" si="16">I47+I60+I70+I82+I87</f>
        <v>1056766</v>
      </c>
      <c r="J46" s="423">
        <f t="shared" si="16"/>
        <v>65852</v>
      </c>
      <c r="K46" s="387">
        <f t="shared" si="16"/>
        <v>1122618</v>
      </c>
      <c r="L46" s="424">
        <f t="shared" si="2"/>
        <v>10.862293178519595</v>
      </c>
      <c r="N46" s="82"/>
    </row>
    <row r="47" spans="2:14" s="50" customFormat="1" ht="15" customHeight="1">
      <c r="B47" s="246"/>
      <c r="C47" s="247">
        <v>614100</v>
      </c>
      <c r="D47" s="319"/>
      <c r="E47" s="18" t="s">
        <v>589</v>
      </c>
      <c r="F47" s="277">
        <f t="shared" ref="F47:K47" si="17">SUM(F48:F59)</f>
        <v>1675000</v>
      </c>
      <c r="G47" s="277">
        <f t="shared" si="17"/>
        <v>330000</v>
      </c>
      <c r="H47" s="386">
        <f t="shared" si="17"/>
        <v>2005000</v>
      </c>
      <c r="I47" s="277">
        <f t="shared" si="17"/>
        <v>123846</v>
      </c>
      <c r="J47" s="277">
        <f t="shared" si="17"/>
        <v>0</v>
      </c>
      <c r="K47" s="386">
        <f t="shared" si="17"/>
        <v>123846</v>
      </c>
      <c r="L47" s="89">
        <f t="shared" si="2"/>
        <v>6.1768578553615967</v>
      </c>
      <c r="N47" s="59"/>
    </row>
    <row r="48" spans="2:14" s="60" customFormat="1" ht="15" customHeight="1">
      <c r="B48" s="61"/>
      <c r="C48" s="238">
        <v>614100</v>
      </c>
      <c r="D48" s="320" t="s">
        <v>656</v>
      </c>
      <c r="E48" s="225" t="s">
        <v>559</v>
      </c>
      <c r="F48" s="302">
        <f>'3'!H35</f>
        <v>0</v>
      </c>
      <c r="G48" s="302">
        <f>'3'!I35</f>
        <v>0</v>
      </c>
      <c r="H48" s="412">
        <f>'3'!J35</f>
        <v>0</v>
      </c>
      <c r="I48" s="302">
        <f>'3'!K35</f>
        <v>0</v>
      </c>
      <c r="J48" s="302">
        <f>'3'!L35</f>
        <v>0</v>
      </c>
      <c r="K48" s="412">
        <f>'3'!M35</f>
        <v>0</v>
      </c>
      <c r="L48" s="226" t="str">
        <f t="shared" si="2"/>
        <v/>
      </c>
      <c r="N48" s="90"/>
    </row>
    <row r="49" spans="2:12" s="60" customFormat="1" ht="15" customHeight="1">
      <c r="B49" s="61"/>
      <c r="C49" s="238">
        <v>614100</v>
      </c>
      <c r="D49" s="320" t="s">
        <v>657</v>
      </c>
      <c r="E49" s="227" t="s">
        <v>560</v>
      </c>
      <c r="F49" s="302">
        <f>'3'!H36</f>
        <v>200000</v>
      </c>
      <c r="G49" s="302">
        <f>'3'!I36</f>
        <v>0</v>
      </c>
      <c r="H49" s="412">
        <f>'3'!J36</f>
        <v>200000</v>
      </c>
      <c r="I49" s="302">
        <f>'3'!K36</f>
        <v>0</v>
      </c>
      <c r="J49" s="302">
        <f>'3'!L36</f>
        <v>0</v>
      </c>
      <c r="K49" s="412">
        <f>'3'!M36</f>
        <v>0</v>
      </c>
      <c r="L49" s="226">
        <f t="shared" si="2"/>
        <v>0</v>
      </c>
    </row>
    <row r="50" spans="2:12" s="1" customFormat="1" ht="15" customHeight="1">
      <c r="B50" s="12"/>
      <c r="C50" s="238">
        <v>614100</v>
      </c>
      <c r="D50" s="320" t="s">
        <v>671</v>
      </c>
      <c r="E50" s="228" t="s">
        <v>561</v>
      </c>
      <c r="F50" s="300">
        <f>'16'!H33</f>
        <v>200000</v>
      </c>
      <c r="G50" s="300">
        <f>'16'!I33</f>
        <v>0</v>
      </c>
      <c r="H50" s="412">
        <f>'16'!J33</f>
        <v>200000</v>
      </c>
      <c r="I50" s="300">
        <f>'16'!K33</f>
        <v>0</v>
      </c>
      <c r="J50" s="300">
        <f>'16'!L33</f>
        <v>0</v>
      </c>
      <c r="K50" s="412">
        <f>'16'!M33</f>
        <v>0</v>
      </c>
      <c r="L50" s="226">
        <f t="shared" si="2"/>
        <v>0</v>
      </c>
    </row>
    <row r="51" spans="2:12" s="1" customFormat="1" ht="15" customHeight="1">
      <c r="B51" s="12"/>
      <c r="C51" s="241">
        <v>614100</v>
      </c>
      <c r="D51" s="323" t="s">
        <v>688</v>
      </c>
      <c r="E51" s="225" t="s">
        <v>562</v>
      </c>
      <c r="F51" s="300">
        <f>'17'!H29</f>
        <v>420000</v>
      </c>
      <c r="G51" s="300">
        <f>'17'!I29</f>
        <v>0</v>
      </c>
      <c r="H51" s="412">
        <f>'17'!J29</f>
        <v>420000</v>
      </c>
      <c r="I51" s="300">
        <f>'17'!K29</f>
        <v>0</v>
      </c>
      <c r="J51" s="300">
        <f>'17'!L29</f>
        <v>0</v>
      </c>
      <c r="K51" s="412">
        <f>'17'!M29</f>
        <v>0</v>
      </c>
      <c r="L51" s="226">
        <f t="shared" si="2"/>
        <v>0</v>
      </c>
    </row>
    <row r="52" spans="2:12" s="1" customFormat="1" ht="15" customHeight="1">
      <c r="B52" s="12"/>
      <c r="C52" s="238">
        <v>614100</v>
      </c>
      <c r="D52" s="324" t="s">
        <v>678</v>
      </c>
      <c r="E52" s="229" t="s">
        <v>563</v>
      </c>
      <c r="F52" s="300">
        <f>'18'!H30</f>
        <v>0</v>
      </c>
      <c r="G52" s="300">
        <f>'18'!I30</f>
        <v>180000</v>
      </c>
      <c r="H52" s="412">
        <f>'18'!J30</f>
        <v>180000</v>
      </c>
      <c r="I52" s="300">
        <f>'18'!K30</f>
        <v>0</v>
      </c>
      <c r="J52" s="300">
        <f>'18'!L30</f>
        <v>0</v>
      </c>
      <c r="K52" s="412">
        <f>'18'!M30</f>
        <v>0</v>
      </c>
      <c r="L52" s="226">
        <f t="shared" si="2"/>
        <v>0</v>
      </c>
    </row>
    <row r="53" spans="2:12" s="1" customFormat="1" ht="15" customHeight="1">
      <c r="B53" s="12"/>
      <c r="C53" s="238">
        <v>614100</v>
      </c>
      <c r="D53" s="324" t="s">
        <v>679</v>
      </c>
      <c r="E53" s="229" t="s">
        <v>564</v>
      </c>
      <c r="F53" s="302">
        <f>'18'!H31</f>
        <v>30000</v>
      </c>
      <c r="G53" s="302">
        <f>'18'!I31</f>
        <v>0</v>
      </c>
      <c r="H53" s="412">
        <f>'18'!J31</f>
        <v>30000</v>
      </c>
      <c r="I53" s="302">
        <f>'18'!K31</f>
        <v>0</v>
      </c>
      <c r="J53" s="302">
        <f>'18'!L31</f>
        <v>0</v>
      </c>
      <c r="K53" s="412">
        <f>'18'!M31</f>
        <v>0</v>
      </c>
      <c r="L53" s="226">
        <f t="shared" si="2"/>
        <v>0</v>
      </c>
    </row>
    <row r="54" spans="2:12" s="1" customFormat="1" ht="15" customHeight="1">
      <c r="B54" s="12"/>
      <c r="C54" s="238">
        <v>614100</v>
      </c>
      <c r="D54" s="320" t="s">
        <v>681</v>
      </c>
      <c r="E54" s="227" t="s">
        <v>565</v>
      </c>
      <c r="F54" s="300">
        <f>'19'!H29</f>
        <v>0</v>
      </c>
      <c r="G54" s="300">
        <f>'19'!I29</f>
        <v>150000</v>
      </c>
      <c r="H54" s="412">
        <f>'19'!J29</f>
        <v>150000</v>
      </c>
      <c r="I54" s="300">
        <f>'19'!K29</f>
        <v>0</v>
      </c>
      <c r="J54" s="300">
        <f>'19'!L29</f>
        <v>0</v>
      </c>
      <c r="K54" s="412">
        <f>'19'!M29</f>
        <v>0</v>
      </c>
      <c r="L54" s="226">
        <f t="shared" si="2"/>
        <v>0</v>
      </c>
    </row>
    <row r="55" spans="2:12" s="1" customFormat="1" ht="24.75" customHeight="1">
      <c r="B55" s="12"/>
      <c r="C55" s="241">
        <v>614100</v>
      </c>
      <c r="D55" s="323" t="s">
        <v>685</v>
      </c>
      <c r="E55" s="230" t="s">
        <v>566</v>
      </c>
      <c r="F55" s="300">
        <f>'20'!H31</f>
        <v>150000</v>
      </c>
      <c r="G55" s="300">
        <f>'20'!I31</f>
        <v>0</v>
      </c>
      <c r="H55" s="412">
        <f>'20'!J31</f>
        <v>150000</v>
      </c>
      <c r="I55" s="300">
        <f>'20'!K31</f>
        <v>0</v>
      </c>
      <c r="J55" s="300">
        <f>'20'!L31</f>
        <v>0</v>
      </c>
      <c r="K55" s="412">
        <f>'20'!M31</f>
        <v>0</v>
      </c>
      <c r="L55" s="226">
        <f t="shared" si="2"/>
        <v>0</v>
      </c>
    </row>
    <row r="56" spans="2:12" s="1" customFormat="1" ht="15" customHeight="1">
      <c r="B56" s="12"/>
      <c r="C56" s="242" t="s">
        <v>108</v>
      </c>
      <c r="D56" s="325"/>
      <c r="E56" s="231" t="s">
        <v>567</v>
      </c>
      <c r="F56" s="302">
        <f>'20'!H32</f>
        <v>0</v>
      </c>
      <c r="G56" s="302">
        <f>'20'!I32</f>
        <v>0</v>
      </c>
      <c r="H56" s="412">
        <f>'20'!J32</f>
        <v>0</v>
      </c>
      <c r="I56" s="302">
        <f>'20'!K32</f>
        <v>0</v>
      </c>
      <c r="J56" s="302">
        <f>'20'!L32</f>
        <v>0</v>
      </c>
      <c r="K56" s="412">
        <f>'20'!M32</f>
        <v>0</v>
      </c>
      <c r="L56" s="226" t="str">
        <f t="shared" si="2"/>
        <v/>
      </c>
    </row>
    <row r="57" spans="2:12" s="281" customFormat="1" ht="15" customHeight="1">
      <c r="B57" s="287"/>
      <c r="C57" s="242" t="s">
        <v>108</v>
      </c>
      <c r="D57" s="325" t="s">
        <v>793</v>
      </c>
      <c r="E57" s="231" t="s">
        <v>701</v>
      </c>
      <c r="F57" s="302">
        <f>'20'!H33</f>
        <v>280000</v>
      </c>
      <c r="G57" s="302">
        <f>'20'!I33</f>
        <v>0</v>
      </c>
      <c r="H57" s="412">
        <f>'20'!J33</f>
        <v>280000</v>
      </c>
      <c r="I57" s="302">
        <f>'20'!K33</f>
        <v>56250</v>
      </c>
      <c r="J57" s="302">
        <f>'20'!L33</f>
        <v>0</v>
      </c>
      <c r="K57" s="412">
        <f>'20'!M33</f>
        <v>56250</v>
      </c>
      <c r="L57" s="301">
        <f t="shared" si="2"/>
        <v>20.089285714285715</v>
      </c>
    </row>
    <row r="58" spans="2:12" s="281" customFormat="1" ht="15" customHeight="1">
      <c r="B58" s="287"/>
      <c r="C58" s="242" t="s">
        <v>108</v>
      </c>
      <c r="D58" s="325" t="s">
        <v>794</v>
      </c>
      <c r="E58" s="231" t="s">
        <v>702</v>
      </c>
      <c r="F58" s="302">
        <f>'20'!H34</f>
        <v>60000</v>
      </c>
      <c r="G58" s="302">
        <f>'20'!I34</f>
        <v>0</v>
      </c>
      <c r="H58" s="412">
        <f>'20'!J34</f>
        <v>60000</v>
      </c>
      <c r="I58" s="302">
        <f>'20'!K34</f>
        <v>3100</v>
      </c>
      <c r="J58" s="302">
        <f>'20'!L34</f>
        <v>0</v>
      </c>
      <c r="K58" s="412">
        <f>'20'!M34</f>
        <v>3100</v>
      </c>
      <c r="L58" s="301">
        <f t="shared" si="2"/>
        <v>5.166666666666667</v>
      </c>
    </row>
    <row r="59" spans="2:12" s="1" customFormat="1" ht="15" customHeight="1">
      <c r="B59" s="12"/>
      <c r="C59" s="242" t="s">
        <v>108</v>
      </c>
      <c r="D59" s="325" t="s">
        <v>688</v>
      </c>
      <c r="E59" s="231" t="s">
        <v>568</v>
      </c>
      <c r="F59" s="302">
        <f>'20'!H35</f>
        <v>335000</v>
      </c>
      <c r="G59" s="302">
        <f>'20'!I35</f>
        <v>0</v>
      </c>
      <c r="H59" s="412">
        <f>'20'!J35</f>
        <v>335000</v>
      </c>
      <c r="I59" s="302">
        <f>'20'!K35</f>
        <v>64496</v>
      </c>
      <c r="J59" s="302">
        <f>'20'!L35</f>
        <v>0</v>
      </c>
      <c r="K59" s="412">
        <f>'20'!M35</f>
        <v>64496</v>
      </c>
      <c r="L59" s="226">
        <f t="shared" si="2"/>
        <v>19.252537313432835</v>
      </c>
    </row>
    <row r="60" spans="2:12" s="50" customFormat="1" ht="15" customHeight="1">
      <c r="B60" s="246"/>
      <c r="C60" s="248" t="s">
        <v>106</v>
      </c>
      <c r="D60" s="326"/>
      <c r="E60" s="249" t="s">
        <v>590</v>
      </c>
      <c r="F60" s="277">
        <f t="shared" ref="F60:K60" si="18">SUM(F61:F69)</f>
        <v>4749000</v>
      </c>
      <c r="G60" s="277">
        <f t="shared" si="18"/>
        <v>306000</v>
      </c>
      <c r="H60" s="386">
        <f t="shared" si="18"/>
        <v>5055000</v>
      </c>
      <c r="I60" s="277">
        <f t="shared" si="18"/>
        <v>793971</v>
      </c>
      <c r="J60" s="277">
        <f t="shared" si="18"/>
        <v>65852</v>
      </c>
      <c r="K60" s="386">
        <f t="shared" si="18"/>
        <v>859823</v>
      </c>
      <c r="L60" s="89">
        <f t="shared" si="2"/>
        <v>17.009357072205734</v>
      </c>
    </row>
    <row r="61" spans="2:12" s="1" customFormat="1" ht="15" customHeight="1">
      <c r="B61" s="12"/>
      <c r="C61" s="242" t="s">
        <v>106</v>
      </c>
      <c r="D61" s="325" t="s">
        <v>658</v>
      </c>
      <c r="E61" s="232" t="s">
        <v>569</v>
      </c>
      <c r="F61" s="302">
        <f>'3'!H37</f>
        <v>150000</v>
      </c>
      <c r="G61" s="302">
        <f>'3'!I37</f>
        <v>0</v>
      </c>
      <c r="H61" s="412">
        <f>'3'!J37</f>
        <v>150000</v>
      </c>
      <c r="I61" s="302">
        <f>'3'!K37</f>
        <v>0</v>
      </c>
      <c r="J61" s="302">
        <f>'3'!L37</f>
        <v>0</v>
      </c>
      <c r="K61" s="412">
        <f>'3'!M37</f>
        <v>0</v>
      </c>
      <c r="L61" s="226">
        <f t="shared" si="2"/>
        <v>0</v>
      </c>
    </row>
    <row r="62" spans="2:12" s="1" customFormat="1" ht="15" customHeight="1">
      <c r="B62" s="12"/>
      <c r="C62" s="241">
        <v>614200</v>
      </c>
      <c r="D62" s="325" t="s">
        <v>667</v>
      </c>
      <c r="E62" s="228" t="s">
        <v>570</v>
      </c>
      <c r="F62" s="300">
        <f>'4'!H29</f>
        <v>20000</v>
      </c>
      <c r="G62" s="300">
        <f>'4'!I29</f>
        <v>0</v>
      </c>
      <c r="H62" s="412">
        <f>'4'!J29</f>
        <v>20000</v>
      </c>
      <c r="I62" s="300">
        <f>'4'!K29</f>
        <v>0</v>
      </c>
      <c r="J62" s="300">
        <f>'4'!L29</f>
        <v>0</v>
      </c>
      <c r="K62" s="412">
        <f>'4'!M29</f>
        <v>0</v>
      </c>
      <c r="L62" s="226">
        <f t="shared" si="2"/>
        <v>0</v>
      </c>
    </row>
    <row r="63" spans="2:12" s="1" customFormat="1" ht="15" customHeight="1">
      <c r="B63" s="12"/>
      <c r="C63" s="241" t="s">
        <v>106</v>
      </c>
      <c r="D63" s="325"/>
      <c r="E63" s="225" t="s">
        <v>571</v>
      </c>
      <c r="F63" s="300">
        <f>'17'!H30</f>
        <v>0</v>
      </c>
      <c r="G63" s="300">
        <f>'17'!I30</f>
        <v>0</v>
      </c>
      <c r="H63" s="412">
        <f>'17'!J30</f>
        <v>0</v>
      </c>
      <c r="I63" s="300">
        <f>'17'!K30</f>
        <v>0</v>
      </c>
      <c r="J63" s="300">
        <f>'17'!L30</f>
        <v>0</v>
      </c>
      <c r="K63" s="412">
        <f>'17'!M30</f>
        <v>0</v>
      </c>
      <c r="L63" s="226" t="str">
        <f t="shared" si="2"/>
        <v/>
      </c>
    </row>
    <row r="64" spans="2:12" s="281" customFormat="1" ht="15" customHeight="1">
      <c r="B64" s="287"/>
      <c r="C64" s="241" t="s">
        <v>106</v>
      </c>
      <c r="D64" s="325" t="s">
        <v>795</v>
      </c>
      <c r="E64" s="299" t="s">
        <v>699</v>
      </c>
      <c r="F64" s="300">
        <f>'17'!H31</f>
        <v>60000</v>
      </c>
      <c r="G64" s="300">
        <f>'17'!I31</f>
        <v>0</v>
      </c>
      <c r="H64" s="412">
        <f>'17'!J31</f>
        <v>60000</v>
      </c>
      <c r="I64" s="300">
        <f>'17'!K31</f>
        <v>16950</v>
      </c>
      <c r="J64" s="300">
        <f>'17'!L31</f>
        <v>0</v>
      </c>
      <c r="K64" s="412">
        <f>'17'!M31</f>
        <v>16950</v>
      </c>
      <c r="L64" s="301">
        <f t="shared" si="2"/>
        <v>28.249999999999996</v>
      </c>
    </row>
    <row r="65" spans="2:12" s="281" customFormat="1" ht="15" customHeight="1">
      <c r="B65" s="287"/>
      <c r="C65" s="241" t="s">
        <v>106</v>
      </c>
      <c r="D65" s="325" t="s">
        <v>796</v>
      </c>
      <c r="E65" s="299" t="s">
        <v>700</v>
      </c>
      <c r="F65" s="300">
        <f>'17'!H32</f>
        <v>3254000</v>
      </c>
      <c r="G65" s="300">
        <f>'17'!I32</f>
        <v>266000</v>
      </c>
      <c r="H65" s="412">
        <f>'17'!J32</f>
        <v>3520000</v>
      </c>
      <c r="I65" s="300">
        <f>'17'!K32</f>
        <v>537899</v>
      </c>
      <c r="J65" s="300">
        <f>'17'!L32</f>
        <v>65852</v>
      </c>
      <c r="K65" s="412">
        <f>'17'!M32</f>
        <v>603751</v>
      </c>
      <c r="L65" s="301">
        <f t="shared" si="2"/>
        <v>17.152017045454546</v>
      </c>
    </row>
    <row r="66" spans="2:12" s="1" customFormat="1" ht="15" customHeight="1">
      <c r="B66" s="12"/>
      <c r="C66" s="241" t="s">
        <v>106</v>
      </c>
      <c r="D66" s="323" t="s">
        <v>689</v>
      </c>
      <c r="E66" s="228" t="s">
        <v>572</v>
      </c>
      <c r="F66" s="300">
        <f>'20'!H36</f>
        <v>150000</v>
      </c>
      <c r="G66" s="300">
        <f>'20'!I36</f>
        <v>0</v>
      </c>
      <c r="H66" s="412">
        <f>'20'!J36</f>
        <v>150000</v>
      </c>
      <c r="I66" s="300">
        <f>'20'!K36</f>
        <v>42750</v>
      </c>
      <c r="J66" s="300">
        <f>'20'!L36</f>
        <v>0</v>
      </c>
      <c r="K66" s="412">
        <f>'20'!M36</f>
        <v>42750</v>
      </c>
      <c r="L66" s="226">
        <f t="shared" si="2"/>
        <v>28.499999999999996</v>
      </c>
    </row>
    <row r="67" spans="2:12" s="1" customFormat="1" ht="24.75" customHeight="1">
      <c r="B67" s="12"/>
      <c r="C67" s="241" t="s">
        <v>106</v>
      </c>
      <c r="D67" s="323" t="s">
        <v>690</v>
      </c>
      <c r="E67" s="233" t="s">
        <v>573</v>
      </c>
      <c r="F67" s="300">
        <f>'20'!H37</f>
        <v>15000</v>
      </c>
      <c r="G67" s="300">
        <f>'20'!I37</f>
        <v>0</v>
      </c>
      <c r="H67" s="412">
        <f>'20'!J37</f>
        <v>15000</v>
      </c>
      <c r="I67" s="300">
        <f>'20'!K37</f>
        <v>0</v>
      </c>
      <c r="J67" s="300">
        <f>'20'!L37</f>
        <v>0</v>
      </c>
      <c r="K67" s="412">
        <f>'20'!M37</f>
        <v>0</v>
      </c>
      <c r="L67" s="226">
        <f t="shared" si="2"/>
        <v>0</v>
      </c>
    </row>
    <row r="68" spans="2:12" s="1" customFormat="1" ht="15" customHeight="1">
      <c r="B68" s="12"/>
      <c r="C68" s="241">
        <v>614200</v>
      </c>
      <c r="D68" s="323" t="s">
        <v>694</v>
      </c>
      <c r="E68" s="228" t="s">
        <v>574</v>
      </c>
      <c r="F68" s="300">
        <f>'31'!H29</f>
        <v>1100000</v>
      </c>
      <c r="G68" s="300">
        <f>'31'!I29</f>
        <v>0</v>
      </c>
      <c r="H68" s="412">
        <f>'31'!J29</f>
        <v>1100000</v>
      </c>
      <c r="I68" s="300">
        <f>'31'!K29</f>
        <v>196372</v>
      </c>
      <c r="J68" s="300">
        <f>'31'!L29</f>
        <v>0</v>
      </c>
      <c r="K68" s="412">
        <f>'31'!M29</f>
        <v>196372</v>
      </c>
      <c r="L68" s="226">
        <f t="shared" si="2"/>
        <v>17.852</v>
      </c>
    </row>
    <row r="69" spans="2:12" s="1" customFormat="1" ht="15" customHeight="1">
      <c r="B69" s="12"/>
      <c r="C69" s="241" t="s">
        <v>106</v>
      </c>
      <c r="D69" s="323" t="s">
        <v>695</v>
      </c>
      <c r="E69" s="225" t="s">
        <v>575</v>
      </c>
      <c r="F69" s="300">
        <f>'33'!H29</f>
        <v>0</v>
      </c>
      <c r="G69" s="300">
        <f>'33'!I29</f>
        <v>40000</v>
      </c>
      <c r="H69" s="412">
        <f>'33'!J29</f>
        <v>40000</v>
      </c>
      <c r="I69" s="300">
        <f>'33'!K29</f>
        <v>0</v>
      </c>
      <c r="J69" s="300">
        <f>'33'!L29</f>
        <v>0</v>
      </c>
      <c r="K69" s="412">
        <f>'33'!M29</f>
        <v>0</v>
      </c>
      <c r="L69" s="226">
        <f t="shared" si="2"/>
        <v>0</v>
      </c>
    </row>
    <row r="70" spans="2:12" s="50" customFormat="1" ht="15" customHeight="1">
      <c r="B70" s="246"/>
      <c r="C70" s="250" t="s">
        <v>107</v>
      </c>
      <c r="D70" s="327"/>
      <c r="E70" s="234" t="s">
        <v>591</v>
      </c>
      <c r="F70" s="276">
        <f t="shared" ref="F70:G70" si="19">SUM(F71:F81)</f>
        <v>595000</v>
      </c>
      <c r="G70" s="276">
        <f t="shared" si="19"/>
        <v>0</v>
      </c>
      <c r="H70" s="386">
        <f t="shared" ref="H70:J70" si="20">SUM(H71:H81)</f>
        <v>595000</v>
      </c>
      <c r="I70" s="276">
        <f t="shared" si="20"/>
        <v>58247</v>
      </c>
      <c r="J70" s="276">
        <f t="shared" si="20"/>
        <v>0</v>
      </c>
      <c r="K70" s="386">
        <f t="shared" ref="K70" si="21">SUM(K71:K81)</f>
        <v>58247</v>
      </c>
      <c r="L70" s="89">
        <f t="shared" si="2"/>
        <v>9.789411764705882</v>
      </c>
    </row>
    <row r="71" spans="2:12" s="1" customFormat="1" ht="15" customHeight="1">
      <c r="B71" s="12"/>
      <c r="C71" s="241" t="s">
        <v>107</v>
      </c>
      <c r="D71" s="323" t="s">
        <v>666</v>
      </c>
      <c r="E71" s="228" t="s">
        <v>576</v>
      </c>
      <c r="F71" s="300">
        <f>'3'!H45</f>
        <v>160000</v>
      </c>
      <c r="G71" s="300">
        <f>'3'!I45</f>
        <v>0</v>
      </c>
      <c r="H71" s="412">
        <f>'3'!J45</f>
        <v>160000</v>
      </c>
      <c r="I71" s="300">
        <f>'3'!K45</f>
        <v>26667</v>
      </c>
      <c r="J71" s="300">
        <f>'3'!L45</f>
        <v>0</v>
      </c>
      <c r="K71" s="412">
        <f>'3'!M45</f>
        <v>26667</v>
      </c>
      <c r="L71" s="226">
        <f t="shared" si="2"/>
        <v>16.666875000000001</v>
      </c>
    </row>
    <row r="72" spans="2:12" s="1" customFormat="1" ht="15" customHeight="1">
      <c r="B72" s="12"/>
      <c r="C72" s="241" t="s">
        <v>107</v>
      </c>
      <c r="D72" s="323" t="s">
        <v>659</v>
      </c>
      <c r="E72" s="227" t="s">
        <v>577</v>
      </c>
      <c r="F72" s="300">
        <f>'3'!H38</f>
        <v>70000</v>
      </c>
      <c r="G72" s="300">
        <f>'3'!I38</f>
        <v>0</v>
      </c>
      <c r="H72" s="412">
        <f>'3'!J38</f>
        <v>70000</v>
      </c>
      <c r="I72" s="300">
        <f>'3'!K38</f>
        <v>0</v>
      </c>
      <c r="J72" s="300">
        <f>'3'!L38</f>
        <v>0</v>
      </c>
      <c r="K72" s="412">
        <f>'3'!M38</f>
        <v>0</v>
      </c>
      <c r="L72" s="226">
        <f t="shared" ref="L72:L111" si="22">IF(H72=0,"",K72/H72*100)</f>
        <v>0</v>
      </c>
    </row>
    <row r="73" spans="2:12" ht="15" customHeight="1">
      <c r="B73" s="10"/>
      <c r="C73" s="241" t="s">
        <v>107</v>
      </c>
      <c r="D73" s="323" t="s">
        <v>660</v>
      </c>
      <c r="E73" s="227" t="s">
        <v>578</v>
      </c>
      <c r="F73" s="302">
        <f>'3'!H39</f>
        <v>35000</v>
      </c>
      <c r="G73" s="302">
        <f>'3'!I39</f>
        <v>0</v>
      </c>
      <c r="H73" s="412">
        <f>'3'!J39</f>
        <v>35000</v>
      </c>
      <c r="I73" s="302">
        <f>'3'!K39</f>
        <v>5840</v>
      </c>
      <c r="J73" s="302">
        <f>'3'!L39</f>
        <v>0</v>
      </c>
      <c r="K73" s="412">
        <f>'3'!M39</f>
        <v>5840</v>
      </c>
      <c r="L73" s="226">
        <f t="shared" si="22"/>
        <v>16.685714285714287</v>
      </c>
    </row>
    <row r="74" spans="2:12" s="1" customFormat="1" ht="15" customHeight="1">
      <c r="B74" s="12"/>
      <c r="C74" s="242" t="s">
        <v>107</v>
      </c>
      <c r="D74" s="325" t="s">
        <v>661</v>
      </c>
      <c r="E74" s="227" t="s">
        <v>579</v>
      </c>
      <c r="F74" s="302">
        <f>'3'!H40</f>
        <v>40000</v>
      </c>
      <c r="G74" s="302">
        <f>'3'!I40</f>
        <v>0</v>
      </c>
      <c r="H74" s="412">
        <f>'3'!J40</f>
        <v>40000</v>
      </c>
      <c r="I74" s="302">
        <f>'3'!K40</f>
        <v>6670</v>
      </c>
      <c r="J74" s="302">
        <f>'3'!L40</f>
        <v>0</v>
      </c>
      <c r="K74" s="412">
        <f>'3'!M40</f>
        <v>6670</v>
      </c>
      <c r="L74" s="226">
        <f t="shared" si="22"/>
        <v>16.675000000000001</v>
      </c>
    </row>
    <row r="75" spans="2:12" s="1" customFormat="1" ht="25.5" customHeight="1">
      <c r="B75" s="20"/>
      <c r="C75" s="242" t="s">
        <v>107</v>
      </c>
      <c r="D75" s="325" t="s">
        <v>662</v>
      </c>
      <c r="E75" s="232" t="s">
        <v>628</v>
      </c>
      <c r="F75" s="302">
        <f>'3'!H41</f>
        <v>40000</v>
      </c>
      <c r="G75" s="302">
        <f>'3'!I41</f>
        <v>0</v>
      </c>
      <c r="H75" s="412">
        <f>'3'!J41</f>
        <v>40000</v>
      </c>
      <c r="I75" s="302">
        <f>'3'!K41</f>
        <v>6670</v>
      </c>
      <c r="J75" s="302">
        <f>'3'!L41</f>
        <v>0</v>
      </c>
      <c r="K75" s="412">
        <f>'3'!M41</f>
        <v>6670</v>
      </c>
      <c r="L75" s="226">
        <f t="shared" si="22"/>
        <v>16.675000000000001</v>
      </c>
    </row>
    <row r="76" spans="2:12" s="1" customFormat="1" ht="26.25" customHeight="1">
      <c r="B76" s="20"/>
      <c r="C76" s="242" t="s">
        <v>107</v>
      </c>
      <c r="D76" s="325" t="s">
        <v>663</v>
      </c>
      <c r="E76" s="232" t="s">
        <v>580</v>
      </c>
      <c r="F76" s="302">
        <f>'3'!H42</f>
        <v>15000</v>
      </c>
      <c r="G76" s="302">
        <f>'3'!I42</f>
        <v>0</v>
      </c>
      <c r="H76" s="412">
        <f>'3'!J42</f>
        <v>15000</v>
      </c>
      <c r="I76" s="302">
        <f>'3'!K42</f>
        <v>2500</v>
      </c>
      <c r="J76" s="302">
        <f>'3'!L42</f>
        <v>0</v>
      </c>
      <c r="K76" s="412">
        <f>'3'!M42</f>
        <v>2500</v>
      </c>
      <c r="L76" s="226">
        <f t="shared" si="22"/>
        <v>16.666666666666664</v>
      </c>
    </row>
    <row r="77" spans="2:12" s="1" customFormat="1" ht="15" customHeight="1">
      <c r="B77" s="20"/>
      <c r="C77" s="242" t="s">
        <v>107</v>
      </c>
      <c r="D77" s="325" t="s">
        <v>664</v>
      </c>
      <c r="E77" s="227" t="s">
        <v>581</v>
      </c>
      <c r="F77" s="302">
        <f>'3'!H43</f>
        <v>30000</v>
      </c>
      <c r="G77" s="302">
        <f>'3'!I43</f>
        <v>0</v>
      </c>
      <c r="H77" s="412">
        <f>'3'!J43</f>
        <v>30000</v>
      </c>
      <c r="I77" s="302">
        <f>'3'!K43</f>
        <v>0</v>
      </c>
      <c r="J77" s="302">
        <f>'3'!L43</f>
        <v>0</v>
      </c>
      <c r="K77" s="412">
        <f>'3'!M43</f>
        <v>0</v>
      </c>
      <c r="L77" s="226">
        <f t="shared" si="22"/>
        <v>0</v>
      </c>
    </row>
    <row r="78" spans="2:12" s="1" customFormat="1" ht="15" customHeight="1">
      <c r="B78" s="20"/>
      <c r="C78" s="242" t="s">
        <v>107</v>
      </c>
      <c r="D78" s="325" t="s">
        <v>665</v>
      </c>
      <c r="E78" s="227" t="s">
        <v>626</v>
      </c>
      <c r="F78" s="302">
        <f>'3'!H44</f>
        <v>15000</v>
      </c>
      <c r="G78" s="302">
        <f>'3'!I44</f>
        <v>0</v>
      </c>
      <c r="H78" s="412">
        <f>'3'!J44</f>
        <v>15000</v>
      </c>
      <c r="I78" s="302">
        <f>'3'!K44</f>
        <v>0</v>
      </c>
      <c r="J78" s="302">
        <f>'3'!L44</f>
        <v>0</v>
      </c>
      <c r="K78" s="412">
        <f>'3'!M44</f>
        <v>0</v>
      </c>
      <c r="L78" s="226">
        <f t="shared" si="22"/>
        <v>0</v>
      </c>
    </row>
    <row r="79" spans="2:12" ht="15" customHeight="1" thickBot="1">
      <c r="B79" s="15"/>
      <c r="C79" s="242" t="s">
        <v>107</v>
      </c>
      <c r="D79" s="325" t="s">
        <v>691</v>
      </c>
      <c r="E79" s="231" t="s">
        <v>582</v>
      </c>
      <c r="F79" s="302">
        <f>'20'!H38</f>
        <v>40000</v>
      </c>
      <c r="G79" s="302">
        <f>'20'!I38</f>
        <v>0</v>
      </c>
      <c r="H79" s="412">
        <f>'20'!J38</f>
        <v>40000</v>
      </c>
      <c r="I79" s="302">
        <f>'20'!K38</f>
        <v>9900</v>
      </c>
      <c r="J79" s="302">
        <f>'20'!L38</f>
        <v>0</v>
      </c>
      <c r="K79" s="412">
        <f>'20'!M38</f>
        <v>9900</v>
      </c>
      <c r="L79" s="226">
        <f t="shared" si="22"/>
        <v>24.75</v>
      </c>
    </row>
    <row r="80" spans="2:12" ht="15" customHeight="1">
      <c r="C80" s="242" t="s">
        <v>107</v>
      </c>
      <c r="D80" s="325" t="s">
        <v>692</v>
      </c>
      <c r="E80" s="231" t="s">
        <v>583</v>
      </c>
      <c r="F80" s="302">
        <f>'20'!H39</f>
        <v>150000</v>
      </c>
      <c r="G80" s="302">
        <f>'20'!I39</f>
        <v>0</v>
      </c>
      <c r="H80" s="412">
        <f>'20'!J39</f>
        <v>150000</v>
      </c>
      <c r="I80" s="302">
        <f>'20'!K39</f>
        <v>0</v>
      </c>
      <c r="J80" s="302">
        <f>'20'!L39</f>
        <v>0</v>
      </c>
      <c r="K80" s="412">
        <f>'20'!M39</f>
        <v>0</v>
      </c>
      <c r="L80" s="226">
        <f t="shared" si="22"/>
        <v>0</v>
      </c>
    </row>
    <row r="81" spans="3:12" ht="15" customHeight="1">
      <c r="C81" s="242" t="s">
        <v>107</v>
      </c>
      <c r="D81" s="325" t="s">
        <v>696</v>
      </c>
      <c r="E81" s="231" t="s">
        <v>604</v>
      </c>
      <c r="F81" s="302">
        <f>'33'!H30</f>
        <v>0</v>
      </c>
      <c r="G81" s="302">
        <f>'33'!I30</f>
        <v>0</v>
      </c>
      <c r="H81" s="412">
        <f>'33'!J30</f>
        <v>0</v>
      </c>
      <c r="I81" s="302">
        <f>'33'!K30</f>
        <v>0</v>
      </c>
      <c r="J81" s="302">
        <f>'33'!L30</f>
        <v>0</v>
      </c>
      <c r="K81" s="412">
        <f>'33'!M30</f>
        <v>0</v>
      </c>
      <c r="L81" s="226" t="str">
        <f t="shared" si="22"/>
        <v/>
      </c>
    </row>
    <row r="82" spans="3:12" s="50" customFormat="1" ht="15" customHeight="1">
      <c r="C82" s="248" t="s">
        <v>206</v>
      </c>
      <c r="D82" s="326"/>
      <c r="E82" s="235" t="s">
        <v>592</v>
      </c>
      <c r="F82" s="277">
        <f t="shared" ref="F82:K82" si="23">SUM(F83:F86)</f>
        <v>2172220</v>
      </c>
      <c r="G82" s="277">
        <f t="shared" si="23"/>
        <v>427780</v>
      </c>
      <c r="H82" s="386">
        <f t="shared" si="23"/>
        <v>2600000</v>
      </c>
      <c r="I82" s="277">
        <f t="shared" si="23"/>
        <v>74617</v>
      </c>
      <c r="J82" s="277">
        <f t="shared" si="23"/>
        <v>0</v>
      </c>
      <c r="K82" s="386">
        <f t="shared" si="23"/>
        <v>74617</v>
      </c>
      <c r="L82" s="89">
        <f t="shared" si="22"/>
        <v>2.8698846153846156</v>
      </c>
    </row>
    <row r="83" spans="3:12" ht="15" customHeight="1">
      <c r="C83" s="242" t="s">
        <v>206</v>
      </c>
      <c r="D83" s="325" t="s">
        <v>669</v>
      </c>
      <c r="E83" s="231" t="s">
        <v>632</v>
      </c>
      <c r="F83" s="302">
        <f>'15'!H30</f>
        <v>1000000</v>
      </c>
      <c r="G83" s="302">
        <f>'15'!I30</f>
        <v>0</v>
      </c>
      <c r="H83" s="412">
        <f>'15'!J30</f>
        <v>1000000</v>
      </c>
      <c r="I83" s="302">
        <f>'15'!K30</f>
        <v>74617</v>
      </c>
      <c r="J83" s="302">
        <f>'15'!L30</f>
        <v>0</v>
      </c>
      <c r="K83" s="412">
        <f>'15'!M30</f>
        <v>74617</v>
      </c>
      <c r="L83" s="226">
        <f t="shared" si="22"/>
        <v>7.4617000000000004</v>
      </c>
    </row>
    <row r="84" spans="3:12" ht="15" customHeight="1">
      <c r="C84" s="241" t="s">
        <v>206</v>
      </c>
      <c r="D84" s="323" t="s">
        <v>680</v>
      </c>
      <c r="E84" s="228" t="s">
        <v>584</v>
      </c>
      <c r="F84" s="300">
        <f>'19'!H30</f>
        <v>1100000</v>
      </c>
      <c r="G84" s="300">
        <f>'19'!I30</f>
        <v>0</v>
      </c>
      <c r="H84" s="412">
        <f>'19'!J30</f>
        <v>1100000</v>
      </c>
      <c r="I84" s="300">
        <f>'19'!K30</f>
        <v>0</v>
      </c>
      <c r="J84" s="300">
        <f>'19'!L30</f>
        <v>0</v>
      </c>
      <c r="K84" s="412">
        <f>'19'!M30</f>
        <v>0</v>
      </c>
      <c r="L84" s="226">
        <f t="shared" si="22"/>
        <v>0</v>
      </c>
    </row>
    <row r="85" spans="3:12" ht="15" customHeight="1">
      <c r="C85" s="241" t="s">
        <v>206</v>
      </c>
      <c r="D85" s="323" t="s">
        <v>682</v>
      </c>
      <c r="E85" s="228" t="s">
        <v>585</v>
      </c>
      <c r="F85" s="300">
        <f>'19'!H31</f>
        <v>32220</v>
      </c>
      <c r="G85" s="300">
        <f>'19'!I31</f>
        <v>267780</v>
      </c>
      <c r="H85" s="412">
        <f>'19'!J31</f>
        <v>300000</v>
      </c>
      <c r="I85" s="300">
        <f>'19'!K31</f>
        <v>0</v>
      </c>
      <c r="J85" s="300">
        <f>'19'!L31</f>
        <v>0</v>
      </c>
      <c r="K85" s="412">
        <f>'19'!M31</f>
        <v>0</v>
      </c>
      <c r="L85" s="226">
        <f t="shared" si="22"/>
        <v>0</v>
      </c>
    </row>
    <row r="86" spans="3:12" ht="15" customHeight="1">
      <c r="C86" s="241" t="s">
        <v>206</v>
      </c>
      <c r="D86" s="323" t="s">
        <v>683</v>
      </c>
      <c r="E86" s="228" t="s">
        <v>586</v>
      </c>
      <c r="F86" s="300">
        <f>'19'!H32</f>
        <v>40000</v>
      </c>
      <c r="G86" s="300">
        <f>'19'!I32</f>
        <v>160000</v>
      </c>
      <c r="H86" s="412">
        <f>'19'!J32</f>
        <v>200000</v>
      </c>
      <c r="I86" s="300">
        <f>'19'!K32</f>
        <v>0</v>
      </c>
      <c r="J86" s="300">
        <f>'19'!L32</f>
        <v>0</v>
      </c>
      <c r="K86" s="412">
        <f>'19'!M32</f>
        <v>0</v>
      </c>
      <c r="L86" s="226">
        <f t="shared" si="22"/>
        <v>0</v>
      </c>
    </row>
    <row r="87" spans="3:12" s="50" customFormat="1" ht="15" customHeight="1">
      <c r="C87" s="250">
        <v>614800</v>
      </c>
      <c r="D87" s="327"/>
      <c r="E87" s="234" t="s">
        <v>593</v>
      </c>
      <c r="F87" s="276">
        <f t="shared" ref="F87:H87" si="24">SUM(F88:F89)</f>
        <v>80000</v>
      </c>
      <c r="G87" s="276">
        <f t="shared" si="24"/>
        <v>0</v>
      </c>
      <c r="H87" s="386">
        <f t="shared" si="24"/>
        <v>80000</v>
      </c>
      <c r="I87" s="276">
        <f t="shared" ref="I87:K87" si="25">SUM(I88:I89)</f>
        <v>6085</v>
      </c>
      <c r="J87" s="276">
        <f t="shared" si="25"/>
        <v>0</v>
      </c>
      <c r="K87" s="386">
        <f t="shared" si="25"/>
        <v>6085</v>
      </c>
      <c r="L87" s="89">
        <f t="shared" si="22"/>
        <v>7.6062500000000002</v>
      </c>
    </row>
    <row r="88" spans="3:12" ht="15" customHeight="1">
      <c r="C88" s="241">
        <v>614800</v>
      </c>
      <c r="D88" s="323" t="s">
        <v>672</v>
      </c>
      <c r="E88" s="228" t="s">
        <v>587</v>
      </c>
      <c r="F88" s="300">
        <f>'16'!H34</f>
        <v>60000</v>
      </c>
      <c r="G88" s="300">
        <f>'16'!I34</f>
        <v>0</v>
      </c>
      <c r="H88" s="412">
        <f>'16'!J34</f>
        <v>60000</v>
      </c>
      <c r="I88" s="300">
        <f>'16'!K34</f>
        <v>5170</v>
      </c>
      <c r="J88" s="300">
        <f>'16'!L34</f>
        <v>0</v>
      </c>
      <c r="K88" s="412">
        <f>'16'!M34</f>
        <v>5170</v>
      </c>
      <c r="L88" s="226">
        <f t="shared" si="22"/>
        <v>8.6166666666666671</v>
      </c>
    </row>
    <row r="89" spans="3:12" ht="27" customHeight="1">
      <c r="C89" s="241">
        <v>614800</v>
      </c>
      <c r="D89" s="323" t="s">
        <v>673</v>
      </c>
      <c r="E89" s="233" t="s">
        <v>588</v>
      </c>
      <c r="F89" s="300">
        <f>'16'!H35</f>
        <v>20000</v>
      </c>
      <c r="G89" s="300">
        <f>'16'!I35</f>
        <v>0</v>
      </c>
      <c r="H89" s="412">
        <f>'16'!J35</f>
        <v>20000</v>
      </c>
      <c r="I89" s="300">
        <f>'16'!K35</f>
        <v>915</v>
      </c>
      <c r="J89" s="300">
        <f>'16'!L35</f>
        <v>0</v>
      </c>
      <c r="K89" s="412">
        <f>'16'!M35</f>
        <v>915</v>
      </c>
      <c r="L89" s="226">
        <f t="shared" si="22"/>
        <v>4.5750000000000002</v>
      </c>
    </row>
    <row r="90" spans="3:12" ht="13.5" customHeight="1">
      <c r="C90" s="243"/>
      <c r="D90" s="318"/>
      <c r="E90" s="8"/>
      <c r="F90" s="288"/>
      <c r="G90" s="288"/>
      <c r="H90" s="387"/>
      <c r="I90" s="288"/>
      <c r="J90" s="288"/>
      <c r="K90" s="387"/>
      <c r="L90" s="89" t="str">
        <f t="shared" si="22"/>
        <v/>
      </c>
    </row>
    <row r="91" spans="3:12" ht="15" customHeight="1">
      <c r="C91" s="425">
        <v>615000</v>
      </c>
      <c r="D91" s="426"/>
      <c r="E91" s="427" t="s">
        <v>89</v>
      </c>
      <c r="F91" s="423">
        <f t="shared" ref="F91:K91" si="26">SUM(F92:F93)</f>
        <v>400000</v>
      </c>
      <c r="G91" s="423">
        <f t="shared" si="26"/>
        <v>0</v>
      </c>
      <c r="H91" s="387">
        <f t="shared" si="26"/>
        <v>400000</v>
      </c>
      <c r="I91" s="423">
        <f t="shared" si="26"/>
        <v>0</v>
      </c>
      <c r="J91" s="423">
        <f t="shared" si="26"/>
        <v>0</v>
      </c>
      <c r="K91" s="387">
        <f t="shared" si="26"/>
        <v>0</v>
      </c>
      <c r="L91" s="424">
        <f t="shared" si="22"/>
        <v>0</v>
      </c>
    </row>
    <row r="92" spans="3:12" ht="15" customHeight="1">
      <c r="C92" s="244" t="s">
        <v>208</v>
      </c>
      <c r="D92" s="327"/>
      <c r="E92" s="39" t="s">
        <v>89</v>
      </c>
      <c r="F92" s="291">
        <f>'3'!H48</f>
        <v>400000</v>
      </c>
      <c r="G92" s="291">
        <f>'3'!I48</f>
        <v>0</v>
      </c>
      <c r="H92" s="386">
        <f>'3'!J48</f>
        <v>400000</v>
      </c>
      <c r="I92" s="291">
        <f>'3'!K48</f>
        <v>0</v>
      </c>
      <c r="J92" s="291">
        <f>'3'!L48</f>
        <v>0</v>
      </c>
      <c r="K92" s="386">
        <f>'3'!M48</f>
        <v>0</v>
      </c>
      <c r="L92" s="89">
        <f t="shared" si="22"/>
        <v>0</v>
      </c>
    </row>
    <row r="93" spans="3:12" ht="12.75" customHeight="1">
      <c r="C93" s="245"/>
      <c r="D93" s="328"/>
      <c r="E93" s="21"/>
      <c r="F93" s="291"/>
      <c r="G93" s="291"/>
      <c r="H93" s="386"/>
      <c r="I93" s="291"/>
      <c r="J93" s="291"/>
      <c r="K93" s="386"/>
      <c r="L93" s="89" t="str">
        <f t="shared" si="22"/>
        <v/>
      </c>
    </row>
    <row r="94" spans="3:12" ht="15" customHeight="1">
      <c r="C94" s="428" t="s">
        <v>103</v>
      </c>
      <c r="D94" s="429"/>
      <c r="E94" s="427" t="s">
        <v>203</v>
      </c>
      <c r="F94" s="423">
        <f t="shared" ref="F94:K94" si="27">SUM(F95:F97)</f>
        <v>58860</v>
      </c>
      <c r="G94" s="423">
        <f t="shared" si="27"/>
        <v>0</v>
      </c>
      <c r="H94" s="387">
        <f t="shared" si="27"/>
        <v>58860</v>
      </c>
      <c r="I94" s="423">
        <f t="shared" si="27"/>
        <v>1615</v>
      </c>
      <c r="J94" s="423">
        <f t="shared" si="27"/>
        <v>0</v>
      </c>
      <c r="K94" s="387">
        <f t="shared" si="27"/>
        <v>1615</v>
      </c>
      <c r="L94" s="424">
        <f t="shared" si="22"/>
        <v>2.743798844716276</v>
      </c>
    </row>
    <row r="95" spans="3:12" ht="15" customHeight="1">
      <c r="C95" s="237">
        <v>616300</v>
      </c>
      <c r="D95" s="319"/>
      <c r="E95" s="39" t="s">
        <v>194</v>
      </c>
      <c r="F95" s="291">
        <f>'20'!H42</f>
        <v>2560</v>
      </c>
      <c r="G95" s="291">
        <f>'20'!I42</f>
        <v>0</v>
      </c>
      <c r="H95" s="386">
        <f>'20'!J42</f>
        <v>2560</v>
      </c>
      <c r="I95" s="291">
        <f>'20'!K42</f>
        <v>1615</v>
      </c>
      <c r="J95" s="291">
        <f>'20'!L42</f>
        <v>0</v>
      </c>
      <c r="K95" s="386">
        <f>'20'!M42</f>
        <v>1615</v>
      </c>
      <c r="L95" s="89">
        <f t="shared" si="22"/>
        <v>63.0859375</v>
      </c>
    </row>
    <row r="96" spans="3:12" ht="15" customHeight="1">
      <c r="C96" s="237">
        <v>616300</v>
      </c>
      <c r="D96" s="319" t="s">
        <v>674</v>
      </c>
      <c r="E96" s="39" t="s">
        <v>210</v>
      </c>
      <c r="F96" s="291">
        <f>'16'!H38</f>
        <v>23400</v>
      </c>
      <c r="G96" s="291">
        <f>'16'!I38</f>
        <v>0</v>
      </c>
      <c r="H96" s="386">
        <f>'16'!J38</f>
        <v>23400</v>
      </c>
      <c r="I96" s="291">
        <f>'16'!K38</f>
        <v>0</v>
      </c>
      <c r="J96" s="291">
        <f>'16'!L38</f>
        <v>0</v>
      </c>
      <c r="K96" s="386">
        <f>'16'!M38</f>
        <v>0</v>
      </c>
      <c r="L96" s="89">
        <f t="shared" si="22"/>
        <v>0</v>
      </c>
    </row>
    <row r="97" spans="3:12" ht="15" customHeight="1">
      <c r="C97" s="237">
        <v>616300</v>
      </c>
      <c r="D97" s="319" t="s">
        <v>675</v>
      </c>
      <c r="E97" s="39" t="s">
        <v>214</v>
      </c>
      <c r="F97" s="291">
        <f>'16'!H39</f>
        <v>32900</v>
      </c>
      <c r="G97" s="291">
        <f>'16'!I39</f>
        <v>0</v>
      </c>
      <c r="H97" s="386">
        <f>'16'!J39</f>
        <v>32900</v>
      </c>
      <c r="I97" s="291">
        <f>'16'!K39</f>
        <v>0</v>
      </c>
      <c r="J97" s="291">
        <f>'16'!L39</f>
        <v>0</v>
      </c>
      <c r="K97" s="386">
        <f>'16'!M39</f>
        <v>0</v>
      </c>
      <c r="L97" s="89">
        <f t="shared" si="22"/>
        <v>0</v>
      </c>
    </row>
    <row r="98" spans="3:12" ht="12" customHeight="1">
      <c r="C98" s="237"/>
      <c r="D98" s="319"/>
      <c r="E98" s="39"/>
      <c r="F98" s="291"/>
      <c r="G98" s="291"/>
      <c r="H98" s="386"/>
      <c r="I98" s="291"/>
      <c r="J98" s="291"/>
      <c r="K98" s="386"/>
      <c r="L98" s="89" t="str">
        <f t="shared" si="22"/>
        <v/>
      </c>
    </row>
    <row r="99" spans="3:12" ht="15" customHeight="1">
      <c r="C99" s="420">
        <v>821000</v>
      </c>
      <c r="D99" s="421"/>
      <c r="E99" s="422" t="s">
        <v>90</v>
      </c>
      <c r="F99" s="423">
        <f t="shared" ref="F99:K99" si="28">SUM(F100:F103)</f>
        <v>368940</v>
      </c>
      <c r="G99" s="423">
        <f t="shared" si="28"/>
        <v>979310</v>
      </c>
      <c r="H99" s="387">
        <f t="shared" si="28"/>
        <v>1348250</v>
      </c>
      <c r="I99" s="423">
        <f t="shared" si="28"/>
        <v>109184</v>
      </c>
      <c r="J99" s="423">
        <f t="shared" si="28"/>
        <v>39476</v>
      </c>
      <c r="K99" s="387">
        <f t="shared" si="28"/>
        <v>148660</v>
      </c>
      <c r="L99" s="424">
        <f t="shared" si="22"/>
        <v>11.026145002781384</v>
      </c>
    </row>
    <row r="100" spans="3:12" ht="15" customHeight="1">
      <c r="C100" s="239">
        <v>821200</v>
      </c>
      <c r="D100" s="321"/>
      <c r="E100" s="14" t="s">
        <v>91</v>
      </c>
      <c r="F100" s="296">
        <f>'1'!H29+'3'!H51+'4'!H32+'5'!H29+'6'!H29+'7'!H29+'8'!H29+'9'!H29+'10'!H29+'11'!H30+'12'!H29+'13'!H29+'14'!H29+'15'!H33+'16'!H42+'17'!H35+'18'!H34+'19'!H35+'20'!H45+'21'!H29+'22'!H29+'23'!H30+'24'!H29+'25'!H29+'26'!H29+'27'!H29+'28'!H29+'29'!H29+'30'!H29+'31'!H32+'32'!H29+'33'!H33+'34'!H29+'35'!H29+'36'!H29+'37'!H29</f>
        <v>46000</v>
      </c>
      <c r="G100" s="296">
        <f>'1'!I29+'3'!I51+'4'!I32+'5'!I29+'6'!I29+'7'!I29+'8'!I29+'9'!I29+'10'!I29+'11'!I30+'12'!I29+'13'!I29+'14'!I29+'15'!I33+'16'!I42+'17'!I35+'18'!I34+'19'!I35+'20'!I45+'21'!I29+'22'!I29+'23'!I30+'24'!I29+'25'!I29+'26'!I29+'27'!I29+'28'!I29+'29'!I29+'30'!I29+'31'!I32+'32'!I29+'33'!I33+'34'!I29+'35'!I29+'36'!I29+'37'!I29</f>
        <v>0</v>
      </c>
      <c r="H100" s="386">
        <f>'1'!J29+'3'!J51+'4'!J32+'5'!J29+'6'!J29+'7'!J29+'8'!J29+'9'!J29+'10'!J29+'11'!J30+'12'!J29+'13'!J29+'14'!J29+'15'!J33+'16'!J42+'17'!J35+'18'!J34+'19'!J35+'20'!J45+'21'!J29+'22'!J29+'23'!J30+'24'!J29+'25'!J29+'26'!J29+'27'!J29+'28'!J29+'29'!J29+'30'!J29+'31'!J32+'32'!J29+'33'!J33+'34'!J29+'35'!J29+'36'!J29+'37'!J29</f>
        <v>46000</v>
      </c>
      <c r="I100" s="296">
        <f>'1'!K29+'3'!K51+'4'!K32+'5'!K29+'6'!K29+'7'!K29+'8'!K29+'9'!K29+'10'!K29+'11'!K30+'12'!K29+'13'!K29+'14'!K29+'15'!K33+'16'!K42+'17'!K35+'18'!K34+'19'!K35+'20'!K45+'21'!K29+'22'!K29+'23'!K30+'24'!K29+'25'!K29+'26'!K29+'27'!K29+'28'!K29+'29'!K29+'30'!K29+'31'!K32+'32'!K29+'33'!K33+'34'!K29+'35'!K29+'36'!K29+'37'!K29</f>
        <v>0</v>
      </c>
      <c r="J100" s="296">
        <f>'1'!L29+'3'!L51+'4'!L32+'5'!L29+'6'!L29+'7'!L29+'8'!L29+'9'!L29+'10'!L29+'11'!L30+'12'!L29+'13'!L29+'14'!L29+'15'!L33+'16'!L42+'17'!L35+'18'!L34+'19'!L35+'20'!L45+'21'!L29+'22'!L29+'23'!L30+'24'!L29+'25'!L29+'26'!L29+'27'!L29+'28'!L29+'29'!L29+'30'!L29+'31'!L32+'32'!L29+'33'!L33+'34'!L29+'35'!L29+'36'!L29+'37'!L29</f>
        <v>0</v>
      </c>
      <c r="K100" s="386">
        <f>'1'!M29+'3'!M51+'4'!M32+'5'!M29+'6'!M29+'7'!M29+'8'!M29+'9'!M29+'10'!M29+'11'!M30+'12'!M29+'13'!M29+'14'!M29+'15'!M33+'16'!M42+'17'!M35+'18'!M34+'19'!M35+'20'!M45+'21'!M29+'22'!M29+'23'!M30+'24'!M29+'25'!M29+'26'!M29+'27'!M29+'28'!M29+'29'!M29+'30'!M29+'31'!M32+'32'!M29+'33'!M33+'34'!M29+'35'!M29+'36'!M29+'37'!M29</f>
        <v>0</v>
      </c>
      <c r="L100" s="89">
        <f t="shared" si="22"/>
        <v>0</v>
      </c>
    </row>
    <row r="101" spans="3:12" ht="15" customHeight="1">
      <c r="C101" s="239">
        <v>821300</v>
      </c>
      <c r="D101" s="321"/>
      <c r="E101" s="14" t="s">
        <v>92</v>
      </c>
      <c r="F101" s="296">
        <f>'1'!H30+'3'!H52+'4'!H33+'5'!H30+'6'!H30+'7'!H30+'8'!H30+'9'!H30+'10'!H30+'11'!H31+'12'!H30+'13'!H30+'14'!H30+'15'!H34+'16'!H43+'17'!H36+'18'!H35+'19'!H36+'20'!H46+'21'!H30+'22'!H30+'23'!H31+'24'!H30+'25'!H30+'26'!H30+'27'!H30+'28'!H30+'29'!H30+'30'!H30+'31'!H33+'32'!H30+'33'!H34+'34'!H30+'35'!H30+'36'!H30+'37'!H30</f>
        <v>272940</v>
      </c>
      <c r="G101" s="296">
        <f>'1'!I30+'3'!I52+'4'!I33+'5'!I30+'6'!I30+'7'!I30+'8'!I30+'9'!I30+'10'!I30+'11'!I31+'12'!I30+'13'!I30+'14'!I30+'15'!I34+'16'!I43+'17'!I36+'18'!I35+'19'!I36+'20'!I46+'21'!I30+'22'!I30+'23'!I31+'24'!I30+'25'!I30+'26'!I30+'27'!I30+'28'!I30+'29'!I30+'30'!I30+'31'!I33+'32'!I30+'33'!I34+'34'!I30+'35'!I30+'36'!I30+'37'!I30</f>
        <v>87310</v>
      </c>
      <c r="H101" s="386">
        <f>'1'!J30+'3'!J52+'4'!J33+'5'!J30+'6'!J30+'7'!J30+'8'!J30+'9'!J30+'10'!J30+'11'!J31+'12'!J30+'13'!J30+'14'!J30+'15'!J34+'16'!J43+'17'!J36+'18'!J35+'19'!J36+'20'!J46+'21'!J30+'22'!J30+'23'!J31+'24'!J30+'25'!J30+'26'!J30+'27'!J30+'28'!J30+'29'!J30+'30'!J30+'31'!J33+'32'!J30+'33'!J34+'34'!J30+'35'!J30+'36'!J30+'37'!J30</f>
        <v>360250</v>
      </c>
      <c r="I101" s="296">
        <f>'1'!K30+'3'!K52+'4'!K33+'5'!K30+'6'!K30+'7'!K30+'8'!K30+'9'!K30+'10'!K30+'11'!K31+'12'!K30+'13'!K30+'14'!K30+'15'!K34+'16'!K43+'17'!K36+'18'!K35+'19'!K36+'20'!K46+'21'!K30+'22'!K30+'23'!K31+'24'!K30+'25'!K30+'26'!K30+'27'!K30+'28'!K30+'29'!K30+'30'!K30+'31'!K33+'32'!K30+'33'!K34+'34'!K30+'35'!K30+'36'!K30+'37'!K30</f>
        <v>109184</v>
      </c>
      <c r="J101" s="296">
        <f>'1'!L30+'3'!L52+'4'!L33+'5'!L30+'6'!L30+'7'!L30+'8'!L30+'9'!L30+'10'!L30+'11'!L31+'12'!L30+'13'!L30+'14'!L30+'15'!L34+'16'!L43+'17'!L36+'18'!L35+'19'!L36+'20'!L46+'21'!L30+'22'!L30+'23'!L31+'24'!L30+'25'!L30+'26'!L30+'27'!L30+'28'!L30+'29'!L30+'30'!L30+'31'!L33+'32'!L30+'33'!L34+'34'!L30+'35'!L30+'36'!L30+'37'!L30</f>
        <v>39476</v>
      </c>
      <c r="K101" s="386">
        <f>'1'!M30+'3'!M52+'4'!M33+'5'!M30+'6'!M30+'7'!M30+'8'!M30+'9'!M30+'10'!M30+'11'!M31+'12'!M30+'13'!M30+'14'!M30+'15'!M34+'16'!M43+'17'!M36+'18'!M35+'19'!M36+'20'!M46+'21'!M30+'22'!M30+'23'!M31+'24'!M30+'25'!M30+'26'!M30+'27'!M30+'28'!M30+'29'!M30+'30'!M30+'31'!M33+'32'!M30+'33'!M34+'34'!M30+'35'!M30+'36'!M30+'37'!M30</f>
        <v>148660</v>
      </c>
      <c r="L101" s="89">
        <f t="shared" si="22"/>
        <v>41.265787647467036</v>
      </c>
    </row>
    <row r="102" spans="3:12" ht="15" customHeight="1">
      <c r="C102" s="239">
        <v>821500</v>
      </c>
      <c r="D102" s="321"/>
      <c r="E102" s="162" t="s">
        <v>521</v>
      </c>
      <c r="F102" s="296">
        <f>'3'!H53</f>
        <v>50000</v>
      </c>
      <c r="G102" s="296">
        <f>'3'!I53</f>
        <v>0</v>
      </c>
      <c r="H102" s="386">
        <f>'3'!J53</f>
        <v>50000</v>
      </c>
      <c r="I102" s="296">
        <f>'3'!K53</f>
        <v>0</v>
      </c>
      <c r="J102" s="296">
        <f>'3'!L53</f>
        <v>0</v>
      </c>
      <c r="K102" s="386">
        <f>'3'!M53</f>
        <v>0</v>
      </c>
      <c r="L102" s="89">
        <f t="shared" si="22"/>
        <v>0</v>
      </c>
    </row>
    <row r="103" spans="3:12" ht="15" customHeight="1">
      <c r="C103" s="239">
        <v>821600</v>
      </c>
      <c r="D103" s="321"/>
      <c r="E103" s="69" t="s">
        <v>104</v>
      </c>
      <c r="F103" s="296">
        <f>'18'!H36</f>
        <v>0</v>
      </c>
      <c r="G103" s="296">
        <f>'18'!I36</f>
        <v>892000</v>
      </c>
      <c r="H103" s="386">
        <f>'18'!J36</f>
        <v>892000</v>
      </c>
      <c r="I103" s="296">
        <f>'18'!K36</f>
        <v>0</v>
      </c>
      <c r="J103" s="296">
        <f>'18'!L36</f>
        <v>0</v>
      </c>
      <c r="K103" s="386">
        <f>'18'!M36</f>
        <v>0</v>
      </c>
      <c r="L103" s="89">
        <f t="shared" si="22"/>
        <v>0</v>
      </c>
    </row>
    <row r="104" spans="3:12" ht="11.25" customHeight="1">
      <c r="C104" s="237"/>
      <c r="D104" s="319"/>
      <c r="E104" s="11"/>
      <c r="F104" s="279"/>
      <c r="G104" s="279"/>
      <c r="H104" s="386"/>
      <c r="I104" s="279"/>
      <c r="J104" s="279"/>
      <c r="K104" s="386"/>
      <c r="L104" s="89" t="str">
        <f t="shared" si="22"/>
        <v/>
      </c>
    </row>
    <row r="105" spans="3:12" ht="15" customHeight="1">
      <c r="C105" s="420">
        <v>823000</v>
      </c>
      <c r="D105" s="421"/>
      <c r="E105" s="422" t="s">
        <v>204</v>
      </c>
      <c r="F105" s="423">
        <f t="shared" ref="F105:G105" si="29">SUM(F106:F108)</f>
        <v>598890</v>
      </c>
      <c r="G105" s="423">
        <f t="shared" si="29"/>
        <v>0</v>
      </c>
      <c r="H105" s="387">
        <f t="shared" ref="H105:J105" si="30">SUM(H106:H108)</f>
        <v>598890</v>
      </c>
      <c r="I105" s="423">
        <f t="shared" si="30"/>
        <v>250727</v>
      </c>
      <c r="J105" s="423">
        <f t="shared" si="30"/>
        <v>0</v>
      </c>
      <c r="K105" s="387">
        <f t="shared" ref="K105" si="31">SUM(K106:K108)</f>
        <v>250727</v>
      </c>
      <c r="L105" s="424">
        <f t="shared" si="22"/>
        <v>41.865284108934866</v>
      </c>
    </row>
    <row r="106" spans="3:12" ht="15" customHeight="1">
      <c r="C106" s="237">
        <v>823300</v>
      </c>
      <c r="D106" s="319"/>
      <c r="E106" s="18" t="s">
        <v>213</v>
      </c>
      <c r="F106" s="279">
        <f>'20'!H49</f>
        <v>75000</v>
      </c>
      <c r="G106" s="279">
        <f>'20'!I49</f>
        <v>0</v>
      </c>
      <c r="H106" s="386">
        <f>'20'!J49</f>
        <v>75000</v>
      </c>
      <c r="I106" s="279">
        <f>'20'!K49</f>
        <v>35586</v>
      </c>
      <c r="J106" s="279">
        <f>'20'!L49</f>
        <v>0</v>
      </c>
      <c r="K106" s="386">
        <f>'20'!M49</f>
        <v>35586</v>
      </c>
      <c r="L106" s="89">
        <f t="shared" si="22"/>
        <v>47.448</v>
      </c>
    </row>
    <row r="107" spans="3:12" ht="15" customHeight="1">
      <c r="C107" s="237">
        <v>823300</v>
      </c>
      <c r="D107" s="319" t="s">
        <v>674</v>
      </c>
      <c r="E107" s="18" t="s">
        <v>601</v>
      </c>
      <c r="F107" s="291">
        <f>'16'!H46</f>
        <v>93600</v>
      </c>
      <c r="G107" s="291">
        <f>'16'!I46</f>
        <v>0</v>
      </c>
      <c r="H107" s="386">
        <f>'16'!J46</f>
        <v>93600</v>
      </c>
      <c r="I107" s="291">
        <f>'16'!K46</f>
        <v>0</v>
      </c>
      <c r="J107" s="291">
        <f>'16'!L46</f>
        <v>0</v>
      </c>
      <c r="K107" s="386">
        <f>'16'!M46</f>
        <v>0</v>
      </c>
      <c r="L107" s="89">
        <f t="shared" si="22"/>
        <v>0</v>
      </c>
    </row>
    <row r="108" spans="3:12" ht="15" customHeight="1">
      <c r="C108" s="237">
        <v>823300</v>
      </c>
      <c r="D108" s="319" t="s">
        <v>675</v>
      </c>
      <c r="E108" s="18" t="s">
        <v>600</v>
      </c>
      <c r="F108" s="291">
        <f>'16'!H47</f>
        <v>430290</v>
      </c>
      <c r="G108" s="291">
        <f>'16'!I47</f>
        <v>0</v>
      </c>
      <c r="H108" s="386">
        <f>'16'!J47</f>
        <v>430290</v>
      </c>
      <c r="I108" s="291">
        <f>'16'!K47</f>
        <v>215141</v>
      </c>
      <c r="J108" s="291">
        <f>'16'!L47</f>
        <v>0</v>
      </c>
      <c r="K108" s="386">
        <f>'16'!M47</f>
        <v>215141</v>
      </c>
      <c r="L108" s="89">
        <f t="shared" si="22"/>
        <v>49.999070394385178</v>
      </c>
    </row>
    <row r="109" spans="3:12" ht="15" customHeight="1">
      <c r="C109" s="25"/>
      <c r="D109" s="329"/>
      <c r="E109" s="11"/>
      <c r="F109" s="279"/>
      <c r="G109" s="279"/>
      <c r="H109" s="386"/>
      <c r="I109" s="279"/>
      <c r="J109" s="279"/>
      <c r="K109" s="386"/>
      <c r="L109" s="89" t="str">
        <f t="shared" si="22"/>
        <v/>
      </c>
    </row>
    <row r="110" spans="3:12" ht="15" customHeight="1">
      <c r="C110" s="4"/>
      <c r="D110" s="317"/>
      <c r="E110" s="8" t="s">
        <v>93</v>
      </c>
      <c r="F110" s="297" t="s">
        <v>798</v>
      </c>
      <c r="G110" s="297"/>
      <c r="H110" s="389" t="s">
        <v>798</v>
      </c>
      <c r="I110" s="297" t="s">
        <v>838</v>
      </c>
      <c r="J110" s="297"/>
      <c r="K110" s="389" t="s">
        <v>838</v>
      </c>
      <c r="L110" s="89"/>
    </row>
    <row r="111" spans="3:12" ht="15" customHeight="1">
      <c r="C111" s="4"/>
      <c r="D111" s="317"/>
      <c r="E111" s="8" t="s">
        <v>113</v>
      </c>
      <c r="F111" s="288">
        <f>'1'!H33+'3'!H56+'4'!H36+'5'!H33+'6'!H33+'7'!H33+'8'!H33+'9'!H33+'10'!H33+'11'!H34+'12'!H33+'13'!H33+'14'!H33+'15'!H37+'16'!H50+'17'!H39+'18'!H39+'19'!H39+'20'!H52+'21'!H33+'22'!H33+'23'!H34+'24'!H33+'25'!H33+'26'!H33+'27'!H33+'28'!H33+'29'!H33+'30'!H33+'31'!H36+'32'!H33+'33'!H37+'34'!H33+'35'!H33+'36'!H33+'37'!H33</f>
        <v>38977250</v>
      </c>
      <c r="G111" s="288">
        <f>'1'!I33+'3'!I56+'4'!I36+'5'!I33+'6'!I33+'7'!I33+'8'!I33+'9'!I33+'10'!I33+'11'!I34+'12'!I33+'13'!I33+'14'!I33+'15'!I37+'16'!I50+'17'!I39+'18'!I39+'19'!I39+'20'!I52+'21'!I33+'22'!I33+'23'!I34+'24'!I33+'25'!I33+'26'!I33+'27'!I33+'28'!I33+'29'!I33+'30'!I33+'31'!I36+'32'!I33+'33'!I37+'34'!I33+'35'!I33+'36'!I33+'37'!I33</f>
        <v>2243090</v>
      </c>
      <c r="H111" s="387">
        <f>'1'!J33+'3'!J56+'4'!J36+'5'!J33+'6'!J33+'7'!J33+'8'!J33+'9'!J33+'10'!J33+'11'!J34+'12'!J33+'13'!J33+'14'!J33+'15'!J37+'16'!J50+'17'!J39+'18'!J39+'19'!J39+'20'!J52+'21'!J33+'22'!J33+'23'!J34+'24'!J33+'25'!J33+'26'!J33+'27'!J33+'28'!J33+'29'!J33+'30'!J33+'31'!J36+'32'!J33+'33'!J37+'34'!J33+'35'!J33+'36'!J33+'37'!J33</f>
        <v>41220340</v>
      </c>
      <c r="I111" s="288">
        <f>'1'!K33+'3'!K56+'4'!K36+'5'!K33+'6'!K33+'7'!K33+'8'!K33+'9'!K33+'10'!K33+'11'!K34+'12'!K33+'13'!K33+'14'!K33+'15'!K37+'16'!K50+'17'!K39+'18'!K39+'19'!K39+'20'!K52+'21'!K33+'22'!K33+'23'!K34+'24'!K33+'25'!K33+'26'!K33+'27'!K33+'28'!K33+'29'!K33+'30'!K33+'31'!K36+'32'!K33+'33'!K37+'34'!K33+'35'!K33+'36'!K33+'37'!K33</f>
        <v>8125472</v>
      </c>
      <c r="J111" s="288">
        <f>'1'!L33+'3'!L56+'4'!L36+'5'!L33+'6'!L33+'7'!L33+'8'!L33+'9'!L33+'10'!L33+'11'!L34+'12'!L33+'13'!L33+'14'!L33+'15'!L37+'16'!L50+'17'!L39+'18'!L39+'19'!L39+'20'!L52+'21'!L33+'22'!L33+'23'!L34+'24'!L33+'25'!L33+'26'!L33+'27'!L33+'28'!L33+'29'!L33+'30'!L33+'31'!L36+'32'!L33+'33'!L37+'34'!L33+'35'!L33+'36'!L33+'37'!L33</f>
        <v>145335</v>
      </c>
      <c r="K111" s="387">
        <f>'1'!M33+'3'!M56+'4'!M36+'5'!M33+'6'!M33+'7'!M33+'8'!M33+'9'!M33+'10'!M33+'11'!M34+'12'!M33+'13'!M33+'14'!M33+'15'!M37+'16'!M50+'17'!M39+'18'!M39+'19'!M39+'20'!M52+'21'!M33+'22'!M33+'23'!M34+'24'!M33+'25'!M33+'26'!M33+'27'!M33+'28'!M33+'29'!M33+'30'!M33+'31'!M36+'32'!M33+'33'!M37+'34'!M33+'35'!M33+'36'!M33+'37'!M33</f>
        <v>8270807</v>
      </c>
      <c r="L111" s="262">
        <f t="shared" si="22"/>
        <v>20.064868460570679</v>
      </c>
    </row>
    <row r="112" spans="3:12" ht="15" customHeight="1" thickBot="1">
      <c r="C112" s="26"/>
      <c r="D112" s="330"/>
      <c r="E112" s="16"/>
      <c r="F112" s="16"/>
      <c r="G112" s="16"/>
      <c r="H112" s="394"/>
      <c r="I112" s="16"/>
      <c r="J112" s="16"/>
      <c r="K112" s="394"/>
      <c r="L112" s="85"/>
    </row>
    <row r="113" spans="3:12" ht="15" customHeight="1" thickBot="1">
      <c r="C113" s="48"/>
      <c r="D113" s="304"/>
      <c r="E113" s="49"/>
      <c r="F113" s="49"/>
      <c r="G113" s="49"/>
      <c r="H113" s="49"/>
      <c r="I113" s="49"/>
      <c r="J113" s="49"/>
      <c r="K113" s="49"/>
      <c r="L113" s="83"/>
    </row>
    <row r="114" spans="3:12" ht="7.5" customHeight="1"/>
    <row r="115" spans="3:12" ht="8.25" customHeight="1">
      <c r="C115" s="28"/>
      <c r="D115" s="292"/>
    </row>
    <row r="116" spans="3:12" ht="12" customHeight="1">
      <c r="C116" s="66"/>
      <c r="D116" s="294"/>
    </row>
    <row r="117" spans="3:12" ht="6.75" customHeight="1">
      <c r="C117" s="67"/>
      <c r="D117" s="67"/>
    </row>
    <row r="118" spans="3:12" ht="12" customHeight="1">
      <c r="C118" s="577"/>
      <c r="D118" s="577"/>
      <c r="E118" s="577"/>
      <c r="F118" s="370"/>
      <c r="G118" s="370"/>
      <c r="H118" s="29"/>
      <c r="I118" s="529"/>
      <c r="J118" s="529"/>
      <c r="K118" s="529"/>
      <c r="L118" s="84"/>
    </row>
    <row r="119" spans="3:12" ht="18" customHeight="1">
      <c r="C119" s="578"/>
      <c r="D119" s="578"/>
      <c r="E119" s="578"/>
      <c r="F119" s="578"/>
      <c r="G119" s="578"/>
      <c r="H119" s="578"/>
      <c r="I119" s="578"/>
      <c r="J119" s="578"/>
      <c r="K119" s="578"/>
      <c r="L119" s="578"/>
    </row>
  </sheetData>
  <mergeCells count="10">
    <mergeCell ref="H3:L3"/>
    <mergeCell ref="C3:E3"/>
    <mergeCell ref="C118:E118"/>
    <mergeCell ref="C119:L119"/>
    <mergeCell ref="F4:H4"/>
    <mergeCell ref="C4:C5"/>
    <mergeCell ref="D4:D5"/>
    <mergeCell ref="E4:E5"/>
    <mergeCell ref="L4:L5"/>
    <mergeCell ref="I4:K4"/>
  </mergeCells>
  <phoneticPr fontId="2" type="noConversion"/>
  <pageMargins left="0.78740157480314965" right="0.31496062992125984" top="0.35433070866141736" bottom="0.51181102362204722" header="0.39370078740157483" footer="0.31496062992125984"/>
  <pageSetup paperSize="9" scale="86" firstPageNumber="7" orientation="landscape" r:id="rId1"/>
  <headerFooter alignWithMargins="0">
    <oddFooter>&amp;R&amp;P</oddFooter>
  </headerFooter>
  <rowBreaks count="2" manualBreakCount="2">
    <brk id="40" min="2" max="11" man="1"/>
    <brk id="119" min="2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R96"/>
  <sheetViews>
    <sheetView zoomScaleNormal="100" workbookViewId="0">
      <selection activeCell="I43" sqref="I43"/>
    </sheetView>
  </sheetViews>
  <sheetFormatPr defaultRowHeight="12.75"/>
  <cols>
    <col min="1" max="1" width="9.140625" style="284"/>
    <col min="2" max="2" width="4.7109375" style="9" customWidth="1"/>
    <col min="3" max="3" width="5.140625" style="9" customWidth="1"/>
    <col min="4" max="4" width="5" style="9" customWidth="1"/>
    <col min="5" max="5" width="8.7109375" style="17" customWidth="1"/>
    <col min="6" max="6" width="8.7109375" style="289" customWidth="1"/>
    <col min="7" max="7" width="50.7109375" style="9" customWidth="1"/>
    <col min="8" max="9" width="14.7109375" style="284" customWidth="1"/>
    <col min="10" max="10" width="15.7109375" style="9" customWidth="1"/>
    <col min="11" max="12" width="14.7109375" style="284" customWidth="1"/>
    <col min="13" max="13" width="15.7109375" style="284" customWidth="1"/>
    <col min="14" max="14" width="7.7109375" style="350" customWidth="1"/>
    <col min="15" max="15" width="9.140625" style="9"/>
    <col min="16" max="16" width="9.5703125" style="9" bestFit="1" customWidth="1"/>
    <col min="17" max="16384" width="9.140625" style="9"/>
  </cols>
  <sheetData>
    <row r="1" spans="1:18" ht="13.5" thickBot="1"/>
    <row r="2" spans="1:18" s="98" customFormat="1" ht="20.100000000000001" customHeight="1" thickTop="1" thickBot="1">
      <c r="A2" s="376"/>
      <c r="B2" s="590" t="s">
        <v>116</v>
      </c>
      <c r="C2" s="591"/>
      <c r="D2" s="591"/>
      <c r="E2" s="591"/>
      <c r="F2" s="591"/>
      <c r="G2" s="591"/>
      <c r="H2" s="591"/>
      <c r="I2" s="591"/>
      <c r="J2" s="591"/>
      <c r="K2" s="591"/>
      <c r="L2" s="591"/>
      <c r="M2" s="591"/>
      <c r="N2" s="592"/>
    </row>
    <row r="3" spans="1:18" s="1" customFormat="1" ht="8.1" customHeight="1" thickTop="1" thickBot="1">
      <c r="A3" s="281"/>
      <c r="E3" s="2"/>
      <c r="F3" s="282"/>
      <c r="G3" s="531"/>
      <c r="H3" s="92"/>
      <c r="I3" s="92"/>
      <c r="J3" s="92"/>
      <c r="K3" s="92"/>
      <c r="L3" s="92"/>
      <c r="M3" s="92"/>
      <c r="N3" s="344"/>
    </row>
    <row r="4" spans="1:18" s="1" customFormat="1" ht="39" customHeight="1">
      <c r="A4" s="281"/>
      <c r="B4" s="596" t="s">
        <v>78</v>
      </c>
      <c r="C4" s="598" t="s">
        <v>79</v>
      </c>
      <c r="D4" s="600" t="s">
        <v>110</v>
      </c>
      <c r="E4" s="602" t="s">
        <v>594</v>
      </c>
      <c r="F4" s="601" t="s">
        <v>653</v>
      </c>
      <c r="G4" s="602" t="s">
        <v>80</v>
      </c>
      <c r="H4" s="593" t="s">
        <v>647</v>
      </c>
      <c r="I4" s="594"/>
      <c r="J4" s="595"/>
      <c r="K4" s="593" t="s">
        <v>801</v>
      </c>
      <c r="L4" s="594"/>
      <c r="M4" s="595"/>
      <c r="N4" s="604" t="s">
        <v>805</v>
      </c>
    </row>
    <row r="5" spans="1:18" s="281" customFormat="1" ht="27" customHeight="1">
      <c r="B5" s="597"/>
      <c r="C5" s="599"/>
      <c r="D5" s="599"/>
      <c r="E5" s="603"/>
      <c r="F5" s="599"/>
      <c r="G5" s="603"/>
      <c r="H5" s="371" t="s">
        <v>705</v>
      </c>
      <c r="I5" s="371" t="s">
        <v>706</v>
      </c>
      <c r="J5" s="382" t="s">
        <v>413</v>
      </c>
      <c r="K5" s="371" t="s">
        <v>705</v>
      </c>
      <c r="L5" s="371" t="s">
        <v>706</v>
      </c>
      <c r="M5" s="382" t="s">
        <v>413</v>
      </c>
      <c r="N5" s="605"/>
    </row>
    <row r="6" spans="1:18" s="2" customFormat="1" ht="12.75" customHeight="1">
      <c r="A6" s="282"/>
      <c r="B6" s="504">
        <v>1</v>
      </c>
      <c r="C6" s="331">
        <v>2</v>
      </c>
      <c r="D6" s="331">
        <v>3</v>
      </c>
      <c r="E6" s="331">
        <v>4</v>
      </c>
      <c r="F6" s="331">
        <v>5</v>
      </c>
      <c r="G6" s="331">
        <v>6</v>
      </c>
      <c r="H6" s="331">
        <v>7</v>
      </c>
      <c r="I6" s="331">
        <v>8</v>
      </c>
      <c r="J6" s="523" t="s">
        <v>804</v>
      </c>
      <c r="K6" s="331">
        <v>10</v>
      </c>
      <c r="L6" s="331">
        <v>11</v>
      </c>
      <c r="M6" s="523" t="s">
        <v>707</v>
      </c>
      <c r="N6" s="505">
        <v>13</v>
      </c>
    </row>
    <row r="7" spans="1:18" s="2" customFormat="1" ht="12.95" customHeight="1">
      <c r="A7" s="282"/>
      <c r="B7" s="6">
        <v>10</v>
      </c>
      <c r="C7" s="7" t="s">
        <v>81</v>
      </c>
      <c r="D7" s="7" t="s">
        <v>82</v>
      </c>
      <c r="E7" s="5"/>
      <c r="F7" s="283"/>
      <c r="G7" s="5"/>
      <c r="H7" s="283"/>
      <c r="I7" s="283"/>
      <c r="J7" s="383"/>
      <c r="K7" s="283"/>
      <c r="L7" s="283"/>
      <c r="M7" s="383"/>
      <c r="N7" s="345"/>
    </row>
    <row r="8" spans="1:18" s="1" customFormat="1" ht="12.95" customHeight="1">
      <c r="A8" s="281"/>
      <c r="B8" s="12"/>
      <c r="C8" s="8"/>
      <c r="D8" s="8"/>
      <c r="E8" s="305">
        <v>611000</v>
      </c>
      <c r="F8" s="331"/>
      <c r="G8" s="8" t="s">
        <v>163</v>
      </c>
      <c r="H8" s="210">
        <f t="shared" ref="H8:M8" si="0">SUM(H9:H11)</f>
        <v>552600</v>
      </c>
      <c r="I8" s="210">
        <f t="shared" si="0"/>
        <v>0</v>
      </c>
      <c r="J8" s="384">
        <f t="shared" si="0"/>
        <v>552600</v>
      </c>
      <c r="K8" s="210">
        <f t="shared" si="0"/>
        <v>129224</v>
      </c>
      <c r="L8" s="210">
        <f t="shared" si="0"/>
        <v>0</v>
      </c>
      <c r="M8" s="384">
        <f t="shared" si="0"/>
        <v>129224</v>
      </c>
      <c r="N8" s="346">
        <f>IF(J8=0,"",M8/J8*100)</f>
        <v>23.384726746290262</v>
      </c>
      <c r="P8" s="56"/>
    </row>
    <row r="9" spans="1:18" ht="12.95" customHeight="1">
      <c r="B9" s="10"/>
      <c r="C9" s="11"/>
      <c r="D9" s="11"/>
      <c r="E9" s="306">
        <v>611100</v>
      </c>
      <c r="F9" s="332"/>
      <c r="G9" s="18" t="s">
        <v>198</v>
      </c>
      <c r="H9" s="209">
        <f>356700+2500+2*500+111100</f>
        <v>471300</v>
      </c>
      <c r="I9" s="209">
        <v>0</v>
      </c>
      <c r="J9" s="385">
        <f>SUM(H9:I9)</f>
        <v>471300</v>
      </c>
      <c r="K9" s="209">
        <v>114323</v>
      </c>
      <c r="L9" s="209">
        <v>0</v>
      </c>
      <c r="M9" s="385">
        <f>SUM(K9:L9)</f>
        <v>114323</v>
      </c>
      <c r="N9" s="347">
        <f t="shared" ref="N9:N35" si="1">IF(J9=0,"",M9/J9*100)</f>
        <v>24.256948864841927</v>
      </c>
      <c r="O9" s="50"/>
      <c r="P9" s="56"/>
      <c r="Q9" s="57"/>
      <c r="R9" s="57"/>
    </row>
    <row r="10" spans="1:18" ht="12.95" customHeight="1">
      <c r="B10" s="10"/>
      <c r="C10" s="11"/>
      <c r="D10" s="11"/>
      <c r="E10" s="306">
        <v>611200</v>
      </c>
      <c r="F10" s="332"/>
      <c r="G10" s="18" t="s">
        <v>199</v>
      </c>
      <c r="H10" s="209">
        <f>73700+1500+2*900+4300</f>
        <v>81300</v>
      </c>
      <c r="I10" s="209">
        <v>0</v>
      </c>
      <c r="J10" s="385">
        <f t="shared" ref="J10:J11" si="2">SUM(H10:I10)</f>
        <v>81300</v>
      </c>
      <c r="K10" s="209">
        <v>14901</v>
      </c>
      <c r="L10" s="209">
        <v>0</v>
      </c>
      <c r="M10" s="385">
        <f t="shared" ref="M10:M11" si="3">SUM(K10:L10)</f>
        <v>14901</v>
      </c>
      <c r="N10" s="347">
        <f t="shared" si="1"/>
        <v>18.328413284132843</v>
      </c>
      <c r="P10" s="56"/>
    </row>
    <row r="11" spans="1:18" ht="12.95" customHeight="1">
      <c r="B11" s="10"/>
      <c r="C11" s="11"/>
      <c r="D11" s="11"/>
      <c r="E11" s="306">
        <v>611200</v>
      </c>
      <c r="F11" s="332"/>
      <c r="G11" s="189" t="s">
        <v>534</v>
      </c>
      <c r="H11" s="209">
        <v>0</v>
      </c>
      <c r="I11" s="209">
        <v>0</v>
      </c>
      <c r="J11" s="385">
        <f t="shared" si="2"/>
        <v>0</v>
      </c>
      <c r="K11" s="209">
        <v>0</v>
      </c>
      <c r="L11" s="209">
        <v>0</v>
      </c>
      <c r="M11" s="385">
        <f t="shared" si="3"/>
        <v>0</v>
      </c>
      <c r="N11" s="347" t="str">
        <f t="shared" si="1"/>
        <v/>
      </c>
      <c r="P11" s="56"/>
    </row>
    <row r="12" spans="1:18" ht="8.1" customHeight="1">
      <c r="B12" s="10"/>
      <c r="C12" s="11"/>
      <c r="D12" s="11"/>
      <c r="E12" s="306"/>
      <c r="F12" s="332"/>
      <c r="G12" s="189"/>
      <c r="H12" s="209"/>
      <c r="I12" s="209"/>
      <c r="J12" s="385"/>
      <c r="K12" s="209"/>
      <c r="L12" s="209"/>
      <c r="M12" s="385"/>
      <c r="N12" s="347" t="str">
        <f t="shared" si="1"/>
        <v/>
      </c>
      <c r="P12" s="56"/>
    </row>
    <row r="13" spans="1:18" ht="12.95" customHeight="1">
      <c r="B13" s="12"/>
      <c r="C13" s="8"/>
      <c r="D13" s="8"/>
      <c r="E13" s="305">
        <v>612000</v>
      </c>
      <c r="F13" s="331"/>
      <c r="G13" s="8" t="s">
        <v>162</v>
      </c>
      <c r="H13" s="210">
        <f t="shared" ref="H13:M13" si="4">H14+H15</f>
        <v>51900</v>
      </c>
      <c r="I13" s="210">
        <f t="shared" si="4"/>
        <v>0</v>
      </c>
      <c r="J13" s="384">
        <f t="shared" si="4"/>
        <v>51900</v>
      </c>
      <c r="K13" s="210">
        <f t="shared" si="4"/>
        <v>12083</v>
      </c>
      <c r="L13" s="210">
        <f t="shared" si="4"/>
        <v>0</v>
      </c>
      <c r="M13" s="384">
        <f t="shared" si="4"/>
        <v>12083</v>
      </c>
      <c r="N13" s="346">
        <f t="shared" si="1"/>
        <v>23.28131021194605</v>
      </c>
      <c r="P13" s="56"/>
    </row>
    <row r="14" spans="1:18" s="1" customFormat="1" ht="12.95" customHeight="1">
      <c r="A14" s="281"/>
      <c r="B14" s="10"/>
      <c r="C14" s="11"/>
      <c r="D14" s="11"/>
      <c r="E14" s="306">
        <v>612100</v>
      </c>
      <c r="F14" s="332"/>
      <c r="G14" s="13" t="s">
        <v>83</v>
      </c>
      <c r="H14" s="209">
        <f>37900+300+2*70+13560</f>
        <v>51900</v>
      </c>
      <c r="I14" s="209">
        <v>0</v>
      </c>
      <c r="J14" s="385">
        <f>SUM(H14:I14)</f>
        <v>51900</v>
      </c>
      <c r="K14" s="209">
        <v>12083</v>
      </c>
      <c r="L14" s="209">
        <v>0</v>
      </c>
      <c r="M14" s="385">
        <f>SUM(K14:L14)</f>
        <v>12083</v>
      </c>
      <c r="N14" s="347">
        <f t="shared" si="1"/>
        <v>23.28131021194605</v>
      </c>
      <c r="P14" s="56"/>
    </row>
    <row r="15" spans="1:18" ht="8.1" customHeight="1">
      <c r="B15" s="10"/>
      <c r="C15" s="11"/>
      <c r="D15" s="11"/>
      <c r="E15" s="306"/>
      <c r="F15" s="332"/>
      <c r="G15" s="11"/>
      <c r="H15" s="279"/>
      <c r="I15" s="279"/>
      <c r="J15" s="386"/>
      <c r="K15" s="279"/>
      <c r="L15" s="279"/>
      <c r="M15" s="386"/>
      <c r="N15" s="347" t="str">
        <f t="shared" si="1"/>
        <v/>
      </c>
      <c r="P15" s="56"/>
    </row>
    <row r="16" spans="1:18" ht="12.95" customHeight="1">
      <c r="B16" s="12"/>
      <c r="C16" s="8"/>
      <c r="D16" s="8"/>
      <c r="E16" s="305">
        <v>613000</v>
      </c>
      <c r="F16" s="331"/>
      <c r="G16" s="8" t="s">
        <v>164</v>
      </c>
      <c r="H16" s="293">
        <f t="shared" ref="H16:M16" si="5">SUM(H17:H26)</f>
        <v>276720</v>
      </c>
      <c r="I16" s="293">
        <f t="shared" si="5"/>
        <v>0</v>
      </c>
      <c r="J16" s="387">
        <f t="shared" si="5"/>
        <v>276720</v>
      </c>
      <c r="K16" s="293">
        <f t="shared" si="5"/>
        <v>60094</v>
      </c>
      <c r="L16" s="293">
        <f t="shared" si="5"/>
        <v>0</v>
      </c>
      <c r="M16" s="387">
        <f t="shared" si="5"/>
        <v>60094</v>
      </c>
      <c r="N16" s="346">
        <f t="shared" si="1"/>
        <v>21.716536571263369</v>
      </c>
      <c r="P16" s="56"/>
    </row>
    <row r="17" spans="1:17" s="1" customFormat="1" ht="12.95" customHeight="1">
      <c r="A17" s="281"/>
      <c r="B17" s="10"/>
      <c r="C17" s="11"/>
      <c r="D17" s="11"/>
      <c r="E17" s="306">
        <v>613100</v>
      </c>
      <c r="F17" s="332"/>
      <c r="G17" s="11" t="s">
        <v>84</v>
      </c>
      <c r="H17" s="362">
        <v>6500</v>
      </c>
      <c r="I17" s="362">
        <v>0</v>
      </c>
      <c r="J17" s="385">
        <f t="shared" ref="J17:J26" si="6">SUM(H17:I17)</f>
        <v>6500</v>
      </c>
      <c r="K17" s="362">
        <v>1136</v>
      </c>
      <c r="L17" s="362">
        <v>0</v>
      </c>
      <c r="M17" s="385">
        <f t="shared" ref="M17:M26" si="7">SUM(K17:L17)</f>
        <v>1136</v>
      </c>
      <c r="N17" s="347">
        <f t="shared" si="1"/>
        <v>17.476923076923075</v>
      </c>
      <c r="P17" s="56"/>
    </row>
    <row r="18" spans="1:17" ht="12.95" customHeight="1">
      <c r="B18" s="10"/>
      <c r="C18" s="11"/>
      <c r="D18" s="11"/>
      <c r="E18" s="306">
        <v>613200</v>
      </c>
      <c r="F18" s="332"/>
      <c r="G18" s="11" t="s">
        <v>85</v>
      </c>
      <c r="H18" s="362">
        <v>12800</v>
      </c>
      <c r="I18" s="362">
        <v>0</v>
      </c>
      <c r="J18" s="385">
        <f t="shared" si="6"/>
        <v>12800</v>
      </c>
      <c r="K18" s="362">
        <v>2167</v>
      </c>
      <c r="L18" s="362">
        <v>0</v>
      </c>
      <c r="M18" s="385">
        <f t="shared" si="7"/>
        <v>2167</v>
      </c>
      <c r="N18" s="347">
        <f t="shared" si="1"/>
        <v>16.9296875</v>
      </c>
      <c r="P18" s="56"/>
    </row>
    <row r="19" spans="1:17" ht="12.95" customHeight="1">
      <c r="B19" s="10"/>
      <c r="C19" s="11"/>
      <c r="D19" s="11"/>
      <c r="E19" s="306">
        <v>613300</v>
      </c>
      <c r="F19" s="332"/>
      <c r="G19" s="18" t="s">
        <v>200</v>
      </c>
      <c r="H19" s="362">
        <v>8600</v>
      </c>
      <c r="I19" s="362">
        <v>0</v>
      </c>
      <c r="J19" s="385">
        <f t="shared" si="6"/>
        <v>8600</v>
      </c>
      <c r="K19" s="362">
        <v>1665</v>
      </c>
      <c r="L19" s="362">
        <v>0</v>
      </c>
      <c r="M19" s="385">
        <f t="shared" si="7"/>
        <v>1665</v>
      </c>
      <c r="N19" s="347">
        <f t="shared" si="1"/>
        <v>19.36046511627907</v>
      </c>
      <c r="P19" s="56"/>
    </row>
    <row r="20" spans="1:17" ht="12.95" customHeight="1">
      <c r="B20" s="10"/>
      <c r="C20" s="11"/>
      <c r="D20" s="11"/>
      <c r="E20" s="306">
        <v>613400</v>
      </c>
      <c r="F20" s="332"/>
      <c r="G20" s="18" t="s">
        <v>165</v>
      </c>
      <c r="H20" s="364">
        <v>5500</v>
      </c>
      <c r="I20" s="364">
        <v>0</v>
      </c>
      <c r="J20" s="385">
        <f t="shared" si="6"/>
        <v>5500</v>
      </c>
      <c r="K20" s="364">
        <v>1505</v>
      </c>
      <c r="L20" s="364">
        <v>0</v>
      </c>
      <c r="M20" s="385">
        <f t="shared" si="7"/>
        <v>1505</v>
      </c>
      <c r="N20" s="347">
        <f t="shared" si="1"/>
        <v>27.363636363636363</v>
      </c>
      <c r="P20" s="56"/>
    </row>
    <row r="21" spans="1:17" ht="12.95" customHeight="1">
      <c r="B21" s="10"/>
      <c r="C21" s="11"/>
      <c r="D21" s="11"/>
      <c r="E21" s="306">
        <v>613500</v>
      </c>
      <c r="F21" s="332"/>
      <c r="G21" s="11" t="s">
        <v>86</v>
      </c>
      <c r="H21" s="364">
        <v>10000</v>
      </c>
      <c r="I21" s="364">
        <v>0</v>
      </c>
      <c r="J21" s="385">
        <f t="shared" si="6"/>
        <v>10000</v>
      </c>
      <c r="K21" s="364">
        <v>1451</v>
      </c>
      <c r="L21" s="364">
        <v>0</v>
      </c>
      <c r="M21" s="385">
        <f t="shared" si="7"/>
        <v>1451</v>
      </c>
      <c r="N21" s="347">
        <f t="shared" si="1"/>
        <v>14.510000000000002</v>
      </c>
      <c r="P21" s="56"/>
    </row>
    <row r="22" spans="1:17" ht="12.95" customHeight="1">
      <c r="B22" s="10"/>
      <c r="C22" s="11"/>
      <c r="D22" s="11"/>
      <c r="E22" s="306">
        <v>613600</v>
      </c>
      <c r="F22" s="332"/>
      <c r="G22" s="18" t="s">
        <v>201</v>
      </c>
      <c r="H22" s="362">
        <v>0</v>
      </c>
      <c r="I22" s="362">
        <v>0</v>
      </c>
      <c r="J22" s="385">
        <f t="shared" si="6"/>
        <v>0</v>
      </c>
      <c r="K22" s="362">
        <v>0</v>
      </c>
      <c r="L22" s="362">
        <v>0</v>
      </c>
      <c r="M22" s="385">
        <f t="shared" si="7"/>
        <v>0</v>
      </c>
      <c r="N22" s="347" t="str">
        <f t="shared" si="1"/>
        <v/>
      </c>
      <c r="P22" s="56"/>
    </row>
    <row r="23" spans="1:17" ht="12.95" customHeight="1">
      <c r="B23" s="10"/>
      <c r="C23" s="11"/>
      <c r="D23" s="11"/>
      <c r="E23" s="306">
        <v>613700</v>
      </c>
      <c r="F23" s="332"/>
      <c r="G23" s="11" t="s">
        <v>87</v>
      </c>
      <c r="H23" s="362">
        <v>6000</v>
      </c>
      <c r="I23" s="362">
        <v>0</v>
      </c>
      <c r="J23" s="385">
        <f t="shared" si="6"/>
        <v>6000</v>
      </c>
      <c r="K23" s="362">
        <v>1380</v>
      </c>
      <c r="L23" s="362">
        <v>0</v>
      </c>
      <c r="M23" s="385">
        <f t="shared" si="7"/>
        <v>1380</v>
      </c>
      <c r="N23" s="347">
        <f t="shared" si="1"/>
        <v>23</v>
      </c>
      <c r="P23" s="56"/>
    </row>
    <row r="24" spans="1:17" ht="12.95" customHeight="1">
      <c r="B24" s="10"/>
      <c r="C24" s="11"/>
      <c r="D24" s="11"/>
      <c r="E24" s="306">
        <v>613800</v>
      </c>
      <c r="F24" s="332"/>
      <c r="G24" s="18" t="s">
        <v>166</v>
      </c>
      <c r="H24" s="362">
        <v>2320</v>
      </c>
      <c r="I24" s="362">
        <v>0</v>
      </c>
      <c r="J24" s="385">
        <f t="shared" si="6"/>
        <v>2320</v>
      </c>
      <c r="K24" s="362">
        <v>0</v>
      </c>
      <c r="L24" s="362">
        <v>0</v>
      </c>
      <c r="M24" s="385">
        <f t="shared" si="7"/>
        <v>0</v>
      </c>
      <c r="N24" s="347">
        <f t="shared" si="1"/>
        <v>0</v>
      </c>
      <c r="P24" s="56"/>
    </row>
    <row r="25" spans="1:17" ht="12.95" customHeight="1">
      <c r="B25" s="10"/>
      <c r="C25" s="11"/>
      <c r="D25" s="11"/>
      <c r="E25" s="306">
        <v>613900</v>
      </c>
      <c r="F25" s="332"/>
      <c r="G25" s="18" t="s">
        <v>167</v>
      </c>
      <c r="H25" s="364">
        <v>225000</v>
      </c>
      <c r="I25" s="364">
        <v>0</v>
      </c>
      <c r="J25" s="385">
        <f t="shared" si="6"/>
        <v>225000</v>
      </c>
      <c r="K25" s="364">
        <v>50790</v>
      </c>
      <c r="L25" s="364">
        <v>0</v>
      </c>
      <c r="M25" s="385">
        <f t="shared" si="7"/>
        <v>50790</v>
      </c>
      <c r="N25" s="347">
        <f t="shared" si="1"/>
        <v>22.573333333333334</v>
      </c>
      <c r="O25" s="68"/>
      <c r="P25" s="56"/>
    </row>
    <row r="26" spans="1:17" ht="12.95" customHeight="1">
      <c r="B26" s="10"/>
      <c r="C26" s="11"/>
      <c r="D26" s="11"/>
      <c r="E26" s="306">
        <v>613900</v>
      </c>
      <c r="F26" s="332"/>
      <c r="G26" s="189" t="s">
        <v>535</v>
      </c>
      <c r="H26" s="362">
        <v>0</v>
      </c>
      <c r="I26" s="362">
        <v>0</v>
      </c>
      <c r="J26" s="385">
        <f t="shared" si="6"/>
        <v>0</v>
      </c>
      <c r="K26" s="362">
        <v>0</v>
      </c>
      <c r="L26" s="362">
        <v>0</v>
      </c>
      <c r="M26" s="385">
        <f t="shared" si="7"/>
        <v>0</v>
      </c>
      <c r="N26" s="347" t="str">
        <f t="shared" si="1"/>
        <v/>
      </c>
      <c r="P26" s="56"/>
      <c r="Q26" s="50"/>
    </row>
    <row r="27" spans="1:17" ht="8.1" customHeight="1">
      <c r="B27" s="10"/>
      <c r="C27" s="11"/>
      <c r="D27" s="11"/>
      <c r="E27" s="306"/>
      <c r="F27" s="332"/>
      <c r="G27" s="11"/>
      <c r="H27" s="279"/>
      <c r="I27" s="279"/>
      <c r="J27" s="386"/>
      <c r="K27" s="279"/>
      <c r="L27" s="279"/>
      <c r="M27" s="386"/>
      <c r="N27" s="347" t="str">
        <f t="shared" si="1"/>
        <v/>
      </c>
      <c r="P27" s="56"/>
    </row>
    <row r="28" spans="1:17" ht="12.95" customHeight="1">
      <c r="B28" s="12"/>
      <c r="C28" s="8"/>
      <c r="D28" s="8"/>
      <c r="E28" s="305">
        <v>821000</v>
      </c>
      <c r="F28" s="331"/>
      <c r="G28" s="8" t="s">
        <v>90</v>
      </c>
      <c r="H28" s="288">
        <f t="shared" ref="H28:M28" si="8">SUM(H29:H30)</f>
        <v>10000</v>
      </c>
      <c r="I28" s="288">
        <f t="shared" si="8"/>
        <v>0</v>
      </c>
      <c r="J28" s="387">
        <f t="shared" si="8"/>
        <v>10000</v>
      </c>
      <c r="K28" s="288">
        <f t="shared" si="8"/>
        <v>0</v>
      </c>
      <c r="L28" s="288">
        <f t="shared" si="8"/>
        <v>0</v>
      </c>
      <c r="M28" s="387">
        <f t="shared" si="8"/>
        <v>0</v>
      </c>
      <c r="N28" s="346">
        <f t="shared" si="1"/>
        <v>0</v>
      </c>
      <c r="P28" s="56"/>
    </row>
    <row r="29" spans="1:17" s="1" customFormat="1" ht="12.95" customHeight="1">
      <c r="A29" s="281"/>
      <c r="B29" s="10"/>
      <c r="C29" s="11"/>
      <c r="D29" s="11"/>
      <c r="E29" s="306">
        <v>821200</v>
      </c>
      <c r="F29" s="332"/>
      <c r="G29" s="11" t="s">
        <v>91</v>
      </c>
      <c r="H29" s="280">
        <v>5000</v>
      </c>
      <c r="I29" s="280">
        <v>0</v>
      </c>
      <c r="J29" s="385">
        <f t="shared" ref="J29:J30" si="9">SUM(H29:I29)</f>
        <v>5000</v>
      </c>
      <c r="K29" s="280">
        <v>0</v>
      </c>
      <c r="L29" s="280">
        <v>0</v>
      </c>
      <c r="M29" s="385">
        <f t="shared" ref="M29:M30" si="10">SUM(K29:L29)</f>
        <v>0</v>
      </c>
      <c r="N29" s="347">
        <f t="shared" si="1"/>
        <v>0</v>
      </c>
      <c r="P29" s="56"/>
    </row>
    <row r="30" spans="1:17" ht="12.95" customHeight="1">
      <c r="B30" s="10"/>
      <c r="C30" s="11"/>
      <c r="D30" s="11"/>
      <c r="E30" s="306">
        <v>821300</v>
      </c>
      <c r="F30" s="332"/>
      <c r="G30" s="11" t="s">
        <v>92</v>
      </c>
      <c r="H30" s="280">
        <v>5000</v>
      </c>
      <c r="I30" s="280">
        <v>0</v>
      </c>
      <c r="J30" s="385">
        <f t="shared" si="9"/>
        <v>5000</v>
      </c>
      <c r="K30" s="280">
        <v>0</v>
      </c>
      <c r="L30" s="280">
        <v>0</v>
      </c>
      <c r="M30" s="385">
        <f t="shared" si="10"/>
        <v>0</v>
      </c>
      <c r="N30" s="347">
        <f t="shared" si="1"/>
        <v>0</v>
      </c>
      <c r="O30" s="50"/>
      <c r="P30" s="56"/>
    </row>
    <row r="31" spans="1:17" ht="8.1" customHeight="1">
      <c r="B31" s="10"/>
      <c r="C31" s="11"/>
      <c r="D31" s="11"/>
      <c r="E31" s="306"/>
      <c r="F31" s="332"/>
      <c r="G31" s="11"/>
      <c r="H31" s="279"/>
      <c r="I31" s="279"/>
      <c r="J31" s="386"/>
      <c r="K31" s="279"/>
      <c r="L31" s="279"/>
      <c r="M31" s="386"/>
      <c r="N31" s="347" t="str">
        <f t="shared" si="1"/>
        <v/>
      </c>
      <c r="P31" s="56"/>
    </row>
    <row r="32" spans="1:17" ht="12.95" customHeight="1">
      <c r="B32" s="12"/>
      <c r="C32" s="8"/>
      <c r="D32" s="8"/>
      <c r="E32" s="305"/>
      <c r="F32" s="331"/>
      <c r="G32" s="8" t="s">
        <v>93</v>
      </c>
      <c r="H32" s="297">
        <v>23</v>
      </c>
      <c r="I32" s="297"/>
      <c r="J32" s="389">
        <v>23</v>
      </c>
      <c r="K32" s="297">
        <v>21</v>
      </c>
      <c r="L32" s="297"/>
      <c r="M32" s="389">
        <v>21</v>
      </c>
      <c r="N32" s="347"/>
      <c r="P32" s="56"/>
    </row>
    <row r="33" spans="1:16" s="1" customFormat="1" ht="12.95" customHeight="1">
      <c r="A33" s="281"/>
      <c r="B33" s="12"/>
      <c r="C33" s="8"/>
      <c r="D33" s="8"/>
      <c r="E33" s="305"/>
      <c r="F33" s="331"/>
      <c r="G33" s="8" t="s">
        <v>113</v>
      </c>
      <c r="H33" s="288">
        <f t="shared" ref="H33:J33" si="11">H8+H13+H16+H28</f>
        <v>891220</v>
      </c>
      <c r="I33" s="288">
        <f t="shared" si="11"/>
        <v>0</v>
      </c>
      <c r="J33" s="387">
        <f t="shared" si="11"/>
        <v>891220</v>
      </c>
      <c r="K33" s="288">
        <f t="shared" ref="K33:M33" si="12">K8+K13+K16+K28</f>
        <v>201401</v>
      </c>
      <c r="L33" s="288">
        <f t="shared" si="12"/>
        <v>0</v>
      </c>
      <c r="M33" s="387">
        <f t="shared" si="12"/>
        <v>201401</v>
      </c>
      <c r="N33" s="346">
        <f t="shared" si="1"/>
        <v>22.598348331500638</v>
      </c>
      <c r="P33" s="56"/>
    </row>
    <row r="34" spans="1:16" s="1" customFormat="1" ht="12.95" customHeight="1">
      <c r="A34" s="281"/>
      <c r="B34" s="12"/>
      <c r="C34" s="8"/>
      <c r="D34" s="8"/>
      <c r="E34" s="305"/>
      <c r="F34" s="331"/>
      <c r="G34" s="8" t="s">
        <v>94</v>
      </c>
      <c r="H34" s="288">
        <f t="shared" ref="H34:H35" si="13">H33</f>
        <v>891220</v>
      </c>
      <c r="I34" s="288">
        <f>I33</f>
        <v>0</v>
      </c>
      <c r="J34" s="387">
        <f>J33</f>
        <v>891220</v>
      </c>
      <c r="K34" s="288">
        <f t="shared" ref="K34:K35" si="14">K33</f>
        <v>201401</v>
      </c>
      <c r="L34" s="288">
        <f>L33</f>
        <v>0</v>
      </c>
      <c r="M34" s="387">
        <f>M33</f>
        <v>201401</v>
      </c>
      <c r="N34" s="347">
        <f t="shared" si="1"/>
        <v>22.598348331500638</v>
      </c>
    </row>
    <row r="35" spans="1:16" s="1" customFormat="1" ht="12.95" customHeight="1">
      <c r="A35" s="281"/>
      <c r="B35" s="12"/>
      <c r="C35" s="8"/>
      <c r="D35" s="8"/>
      <c r="E35" s="305"/>
      <c r="F35" s="331"/>
      <c r="G35" s="8" t="s">
        <v>95</v>
      </c>
      <c r="H35" s="288">
        <f t="shared" si="13"/>
        <v>891220</v>
      </c>
      <c r="I35" s="288">
        <f>I34</f>
        <v>0</v>
      </c>
      <c r="J35" s="387">
        <f>J34</f>
        <v>891220</v>
      </c>
      <c r="K35" s="288">
        <f t="shared" si="14"/>
        <v>201401</v>
      </c>
      <c r="L35" s="288">
        <f>L34</f>
        <v>0</v>
      </c>
      <c r="M35" s="387">
        <f>M34</f>
        <v>201401</v>
      </c>
      <c r="N35" s="347">
        <f t="shared" si="1"/>
        <v>22.598348331500638</v>
      </c>
    </row>
    <row r="36" spans="1:16" s="1" customFormat="1" ht="8.1" customHeight="1" thickBot="1">
      <c r="A36" s="281"/>
      <c r="B36" s="15"/>
      <c r="C36" s="16"/>
      <c r="D36" s="16"/>
      <c r="E36" s="307"/>
      <c r="F36" s="333"/>
      <c r="G36" s="16"/>
      <c r="H36" s="27"/>
      <c r="I36" s="27"/>
      <c r="J36" s="390"/>
      <c r="K36" s="27"/>
      <c r="L36" s="27"/>
      <c r="M36" s="390"/>
      <c r="N36" s="349"/>
    </row>
    <row r="37" spans="1:16" ht="12.95" customHeight="1">
      <c r="E37" s="308"/>
      <c r="F37" s="334"/>
      <c r="J37" s="391"/>
      <c r="M37" s="391"/>
    </row>
    <row r="38" spans="1:16" ht="12.95" customHeight="1">
      <c r="B38" s="50"/>
      <c r="E38" s="308"/>
      <c r="F38" s="334"/>
      <c r="J38" s="391"/>
      <c r="M38" s="391"/>
    </row>
    <row r="39" spans="1:16" ht="12.95" customHeight="1">
      <c r="E39" s="308"/>
      <c r="F39" s="334"/>
      <c r="J39" s="391"/>
      <c r="M39" s="391"/>
    </row>
    <row r="40" spans="1:16" ht="12.95" customHeight="1">
      <c r="E40" s="308"/>
      <c r="F40" s="334"/>
      <c r="J40" s="391"/>
      <c r="M40" s="391"/>
    </row>
    <row r="41" spans="1:16" ht="12.95" customHeight="1">
      <c r="E41" s="308"/>
      <c r="F41" s="334"/>
      <c r="J41" s="391"/>
      <c r="M41" s="391"/>
    </row>
    <row r="42" spans="1:16" ht="12.95" customHeight="1">
      <c r="E42" s="308"/>
      <c r="F42" s="334"/>
      <c r="J42" s="391"/>
      <c r="M42" s="391"/>
    </row>
    <row r="43" spans="1:16" ht="12.95" customHeight="1">
      <c r="E43" s="308"/>
      <c r="F43" s="334"/>
      <c r="J43" s="391"/>
      <c r="M43" s="391"/>
    </row>
    <row r="44" spans="1:16" ht="12.95" customHeight="1">
      <c r="E44" s="308"/>
      <c r="F44" s="334"/>
      <c r="J44" s="391"/>
      <c r="M44" s="391"/>
    </row>
    <row r="45" spans="1:16" ht="12.95" customHeight="1">
      <c r="E45" s="308"/>
      <c r="F45" s="334"/>
      <c r="J45" s="391"/>
      <c r="M45" s="391"/>
    </row>
    <row r="46" spans="1:16" ht="12.95" customHeight="1">
      <c r="E46" s="308"/>
      <c r="F46" s="334"/>
      <c r="J46" s="391"/>
      <c r="M46" s="391"/>
    </row>
    <row r="47" spans="1:16" ht="12.95" customHeight="1">
      <c r="E47" s="308"/>
      <c r="F47" s="334"/>
      <c r="J47" s="391"/>
      <c r="M47" s="391"/>
    </row>
    <row r="48" spans="1:16" ht="12.95" customHeight="1">
      <c r="E48" s="308"/>
      <c r="F48" s="334"/>
      <c r="J48" s="391"/>
      <c r="M48" s="391"/>
    </row>
    <row r="49" spans="5:13" ht="12.95" customHeight="1">
      <c r="E49" s="308"/>
      <c r="F49" s="334"/>
      <c r="J49" s="391"/>
      <c r="M49" s="391"/>
    </row>
    <row r="50" spans="5:13" ht="12.95" customHeight="1">
      <c r="E50" s="308"/>
      <c r="F50" s="334"/>
      <c r="J50" s="391"/>
      <c r="M50" s="391"/>
    </row>
    <row r="51" spans="5:13" ht="12.95" customHeight="1">
      <c r="E51" s="308"/>
      <c r="F51" s="334"/>
      <c r="J51" s="391"/>
      <c r="M51" s="391"/>
    </row>
    <row r="52" spans="5:13" ht="12.95" customHeight="1">
      <c r="E52" s="308"/>
      <c r="F52" s="334"/>
      <c r="J52" s="391"/>
      <c r="M52" s="391"/>
    </row>
    <row r="53" spans="5:13" ht="12.95" customHeight="1">
      <c r="E53" s="308"/>
      <c r="F53" s="334"/>
      <c r="J53" s="391"/>
      <c r="M53" s="391"/>
    </row>
    <row r="54" spans="5:13" ht="12.95" customHeight="1">
      <c r="E54" s="308"/>
      <c r="F54" s="334"/>
      <c r="J54" s="391"/>
      <c r="M54" s="391"/>
    </row>
    <row r="55" spans="5:13" ht="12.95" customHeight="1">
      <c r="E55" s="308"/>
      <c r="F55" s="334"/>
      <c r="J55" s="391"/>
      <c r="M55" s="391"/>
    </row>
    <row r="56" spans="5:13" ht="12.95" customHeight="1">
      <c r="E56" s="308"/>
      <c r="F56" s="334"/>
      <c r="J56" s="391"/>
      <c r="M56" s="391"/>
    </row>
    <row r="57" spans="5:13" ht="12.95" customHeight="1">
      <c r="E57" s="308"/>
      <c r="F57" s="334"/>
      <c r="J57" s="391"/>
      <c r="M57" s="391"/>
    </row>
    <row r="58" spans="5:13" ht="12.95" customHeight="1">
      <c r="E58" s="308"/>
      <c r="F58" s="334"/>
      <c r="J58" s="391"/>
      <c r="M58" s="391"/>
    </row>
    <row r="59" spans="5:13" ht="12.95" customHeight="1">
      <c r="E59" s="308"/>
      <c r="F59" s="334"/>
      <c r="J59" s="391"/>
      <c r="M59" s="391"/>
    </row>
    <row r="60" spans="5:13" ht="17.100000000000001" customHeight="1">
      <c r="E60" s="308"/>
      <c r="F60" s="334"/>
      <c r="J60" s="391"/>
      <c r="M60" s="391"/>
    </row>
    <row r="61" spans="5:13" ht="14.25">
      <c r="E61" s="308"/>
      <c r="F61" s="334"/>
      <c r="J61" s="391"/>
      <c r="M61" s="391"/>
    </row>
    <row r="62" spans="5:13" ht="14.25">
      <c r="E62" s="308"/>
      <c r="F62" s="334"/>
      <c r="J62" s="391"/>
      <c r="M62" s="391"/>
    </row>
    <row r="63" spans="5:13" ht="14.25">
      <c r="E63" s="308"/>
      <c r="F63" s="334"/>
      <c r="J63" s="391"/>
      <c r="M63" s="391"/>
    </row>
    <row r="64" spans="5:13" ht="14.25">
      <c r="E64" s="308"/>
      <c r="F64" s="334"/>
      <c r="J64" s="391"/>
      <c r="M64" s="391"/>
    </row>
    <row r="65" spans="5:13" ht="14.25">
      <c r="E65" s="308"/>
      <c r="F65" s="334"/>
      <c r="J65" s="391"/>
      <c r="M65" s="391"/>
    </row>
    <row r="66" spans="5:13" ht="14.25">
      <c r="E66" s="308"/>
      <c r="F66" s="334"/>
      <c r="J66" s="391"/>
      <c r="M66" s="391"/>
    </row>
    <row r="67" spans="5:13" ht="14.25">
      <c r="E67" s="308"/>
      <c r="F67" s="334"/>
      <c r="J67" s="391"/>
      <c r="M67" s="391"/>
    </row>
    <row r="68" spans="5:13" ht="14.25">
      <c r="E68" s="308"/>
      <c r="F68" s="334"/>
      <c r="J68" s="391"/>
      <c r="M68" s="391"/>
    </row>
    <row r="69" spans="5:13" ht="14.25">
      <c r="E69" s="308"/>
      <c r="F69" s="334"/>
      <c r="J69" s="391"/>
      <c r="M69" s="391"/>
    </row>
    <row r="70" spans="5:13" ht="14.25">
      <c r="E70" s="308"/>
      <c r="F70" s="334"/>
      <c r="J70" s="391"/>
      <c r="M70" s="391"/>
    </row>
    <row r="71" spans="5:13" ht="14.25">
      <c r="E71" s="308"/>
      <c r="F71" s="334"/>
      <c r="J71" s="391"/>
      <c r="M71" s="391"/>
    </row>
    <row r="72" spans="5:13" ht="14.25">
      <c r="E72" s="308"/>
      <c r="F72" s="334"/>
      <c r="J72" s="391"/>
      <c r="M72" s="391"/>
    </row>
    <row r="73" spans="5:13" ht="14.25">
      <c r="E73" s="308"/>
      <c r="F73" s="334"/>
      <c r="J73" s="391"/>
      <c r="M73" s="391"/>
    </row>
    <row r="74" spans="5:13" ht="14.25">
      <c r="E74" s="308"/>
      <c r="F74" s="308"/>
      <c r="J74" s="391"/>
      <c r="M74" s="391"/>
    </row>
    <row r="75" spans="5:13" ht="14.25">
      <c r="E75" s="308"/>
      <c r="F75" s="308"/>
      <c r="J75" s="391"/>
      <c r="M75" s="391"/>
    </row>
    <row r="76" spans="5:13" ht="14.25">
      <c r="E76" s="308"/>
      <c r="F76" s="308"/>
      <c r="J76" s="391"/>
      <c r="M76" s="391"/>
    </row>
    <row r="77" spans="5:13" ht="14.25">
      <c r="E77" s="308"/>
      <c r="F77" s="308"/>
      <c r="J77" s="391"/>
      <c r="M77" s="391"/>
    </row>
    <row r="78" spans="5:13" ht="14.25">
      <c r="E78" s="308"/>
      <c r="F78" s="308"/>
      <c r="J78" s="391"/>
      <c r="M78" s="391"/>
    </row>
    <row r="79" spans="5:13" ht="14.25">
      <c r="E79" s="308"/>
      <c r="F79" s="308"/>
      <c r="J79" s="391"/>
      <c r="M79" s="391"/>
    </row>
    <row r="80" spans="5:13" ht="14.25">
      <c r="E80" s="308"/>
      <c r="F80" s="308"/>
      <c r="J80" s="391"/>
      <c r="M80" s="391"/>
    </row>
    <row r="81" spans="5:13" ht="14.25">
      <c r="E81" s="308"/>
      <c r="F81" s="308"/>
      <c r="J81" s="391"/>
      <c r="M81" s="391"/>
    </row>
    <row r="82" spans="5:13" ht="14.25">
      <c r="E82" s="308"/>
      <c r="F82" s="308"/>
      <c r="J82" s="391"/>
      <c r="M82" s="391"/>
    </row>
    <row r="83" spans="5:13" ht="14.25">
      <c r="E83" s="308"/>
      <c r="F83" s="308"/>
      <c r="J83" s="391"/>
      <c r="M83" s="391"/>
    </row>
    <row r="84" spans="5:13" ht="14.25">
      <c r="E84" s="308"/>
      <c r="F84" s="308"/>
      <c r="J84" s="391"/>
      <c r="M84" s="391"/>
    </row>
    <row r="85" spans="5:13" ht="14.25">
      <c r="E85" s="308"/>
      <c r="F85" s="308"/>
      <c r="J85" s="391"/>
      <c r="M85" s="391"/>
    </row>
    <row r="86" spans="5:13" ht="14.25">
      <c r="E86" s="308"/>
      <c r="F86" s="308"/>
      <c r="J86" s="391"/>
      <c r="M86" s="391"/>
    </row>
    <row r="87" spans="5:13" ht="14.25">
      <c r="E87" s="308"/>
      <c r="F87" s="308"/>
      <c r="J87" s="391"/>
      <c r="M87" s="391"/>
    </row>
    <row r="88" spans="5:13" ht="14.25">
      <c r="E88" s="308"/>
      <c r="F88" s="308"/>
      <c r="J88" s="391"/>
      <c r="M88" s="391"/>
    </row>
    <row r="89" spans="5:13" ht="14.25">
      <c r="E89" s="308"/>
      <c r="F89" s="308"/>
      <c r="J89" s="391"/>
      <c r="M89" s="391"/>
    </row>
    <row r="90" spans="5:13" ht="14.25">
      <c r="E90" s="308"/>
      <c r="F90" s="308"/>
      <c r="J90" s="391"/>
      <c r="M90" s="391"/>
    </row>
    <row r="91" spans="5:13">
      <c r="F91" s="308"/>
    </row>
    <row r="92" spans="5:13">
      <c r="F92" s="308"/>
    </row>
    <row r="93" spans="5:13">
      <c r="F93" s="308"/>
    </row>
    <row r="94" spans="5:13">
      <c r="F94" s="308"/>
    </row>
    <row r="95" spans="5:13">
      <c r="F95" s="308"/>
    </row>
    <row r="96" spans="5:13">
      <c r="F96" s="308"/>
    </row>
  </sheetData>
  <mergeCells count="10">
    <mergeCell ref="B2:N2"/>
    <mergeCell ref="H4:J4"/>
    <mergeCell ref="B4:B5"/>
    <mergeCell ref="C4:C5"/>
    <mergeCell ref="D4:D5"/>
    <mergeCell ref="F4:F5"/>
    <mergeCell ref="E4:E5"/>
    <mergeCell ref="N4:N5"/>
    <mergeCell ref="G4:G5"/>
    <mergeCell ref="K4:M4"/>
  </mergeCells>
  <phoneticPr fontId="2" type="noConversion"/>
  <pageMargins left="0.78740157480314965" right="0.31496062992125984" top="0.35433070866141736" bottom="0.51181102362204722" header="0.39370078740157483" footer="0.31496062992125984"/>
  <pageSetup paperSize="9" scale="70" orientation="landscape" r:id="rId1"/>
  <headerFooter alignWithMargins="0">
    <oddFooter>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R96"/>
  <sheetViews>
    <sheetView topLeftCell="A7" zoomScaleNormal="100" workbookViewId="0">
      <selection activeCell="G35" sqref="G35"/>
    </sheetView>
  </sheetViews>
  <sheetFormatPr defaultRowHeight="12.75"/>
  <cols>
    <col min="1" max="1" width="9.140625" style="284"/>
    <col min="2" max="2" width="4.7109375" style="9" customWidth="1"/>
    <col min="3" max="3" width="5.140625" style="9" customWidth="1"/>
    <col min="4" max="4" width="5" style="9" customWidth="1"/>
    <col min="5" max="5" width="8.7109375" style="17" customWidth="1"/>
    <col min="6" max="6" width="8.7109375" style="289" customWidth="1"/>
    <col min="7" max="7" width="50.7109375" style="9" customWidth="1"/>
    <col min="8" max="9" width="14.7109375" style="284" customWidth="1"/>
    <col min="10" max="10" width="15.7109375" style="9" customWidth="1"/>
    <col min="11" max="12" width="14.7109375" style="284" customWidth="1"/>
    <col min="13" max="13" width="15.7109375" style="284" customWidth="1"/>
    <col min="14" max="14" width="7.7109375" style="350" customWidth="1"/>
    <col min="15" max="16384" width="9.140625" style="9"/>
  </cols>
  <sheetData>
    <row r="1" spans="1:16" ht="13.5" thickBot="1"/>
    <row r="2" spans="1:16" s="98" customFormat="1" ht="20.100000000000001" customHeight="1" thickTop="1" thickBot="1">
      <c r="A2" s="376"/>
      <c r="B2" s="590" t="s">
        <v>118</v>
      </c>
      <c r="C2" s="591"/>
      <c r="D2" s="591"/>
      <c r="E2" s="591"/>
      <c r="F2" s="591"/>
      <c r="G2" s="591"/>
      <c r="H2" s="591"/>
      <c r="I2" s="591"/>
      <c r="J2" s="591"/>
      <c r="K2" s="530"/>
      <c r="L2" s="530"/>
      <c r="M2" s="530"/>
      <c r="N2" s="379"/>
    </row>
    <row r="3" spans="1:16" s="1" customFormat="1" ht="8.1" customHeight="1" thickTop="1" thickBot="1">
      <c r="A3" s="281"/>
      <c r="E3" s="2"/>
      <c r="F3" s="282"/>
      <c r="G3" s="531"/>
      <c r="H3" s="92"/>
      <c r="I3" s="92"/>
      <c r="J3" s="92"/>
      <c r="K3" s="92"/>
      <c r="L3" s="92"/>
      <c r="M3" s="92"/>
      <c r="N3" s="344"/>
    </row>
    <row r="4" spans="1:16" s="1" customFormat="1" ht="39" customHeight="1">
      <c r="A4" s="281"/>
      <c r="B4" s="596" t="s">
        <v>78</v>
      </c>
      <c r="C4" s="606" t="s">
        <v>79</v>
      </c>
      <c r="D4" s="607" t="s">
        <v>110</v>
      </c>
      <c r="E4" s="608" t="s">
        <v>594</v>
      </c>
      <c r="F4" s="601" t="s">
        <v>653</v>
      </c>
      <c r="G4" s="602" t="s">
        <v>80</v>
      </c>
      <c r="H4" s="593" t="s">
        <v>647</v>
      </c>
      <c r="I4" s="594"/>
      <c r="J4" s="595"/>
      <c r="K4" s="593" t="s">
        <v>801</v>
      </c>
      <c r="L4" s="594"/>
      <c r="M4" s="595"/>
      <c r="N4" s="604" t="s">
        <v>805</v>
      </c>
    </row>
    <row r="5" spans="1:16" s="281" customFormat="1" ht="27" customHeight="1">
      <c r="B5" s="597"/>
      <c r="C5" s="599"/>
      <c r="D5" s="599"/>
      <c r="E5" s="603"/>
      <c r="F5" s="599"/>
      <c r="G5" s="603"/>
      <c r="H5" s="372" t="s">
        <v>705</v>
      </c>
      <c r="I5" s="372" t="s">
        <v>706</v>
      </c>
      <c r="J5" s="382" t="s">
        <v>413</v>
      </c>
      <c r="K5" s="372" t="s">
        <v>705</v>
      </c>
      <c r="L5" s="372" t="s">
        <v>706</v>
      </c>
      <c r="M5" s="382" t="s">
        <v>413</v>
      </c>
      <c r="N5" s="605"/>
    </row>
    <row r="6" spans="1:16" s="2" customFormat="1" ht="12.95" customHeight="1">
      <c r="A6" s="282"/>
      <c r="B6" s="504">
        <v>1</v>
      </c>
      <c r="C6" s="331">
        <v>2</v>
      </c>
      <c r="D6" s="331">
        <v>3</v>
      </c>
      <c r="E6" s="331">
        <v>4</v>
      </c>
      <c r="F6" s="331">
        <v>5</v>
      </c>
      <c r="G6" s="331">
        <v>6</v>
      </c>
      <c r="H6" s="331">
        <v>7</v>
      </c>
      <c r="I6" s="331">
        <v>8</v>
      </c>
      <c r="J6" s="523" t="s">
        <v>804</v>
      </c>
      <c r="K6" s="331">
        <v>10</v>
      </c>
      <c r="L6" s="331">
        <v>11</v>
      </c>
      <c r="M6" s="523" t="s">
        <v>707</v>
      </c>
      <c r="N6" s="505">
        <v>13</v>
      </c>
    </row>
    <row r="7" spans="1:16" s="2" customFormat="1" ht="12.95" customHeight="1">
      <c r="A7" s="282"/>
      <c r="B7" s="6" t="s">
        <v>119</v>
      </c>
      <c r="C7" s="7" t="s">
        <v>81</v>
      </c>
      <c r="D7" s="7" t="s">
        <v>82</v>
      </c>
      <c r="E7" s="5"/>
      <c r="F7" s="283"/>
      <c r="G7" s="5"/>
      <c r="H7" s="298"/>
      <c r="I7" s="298"/>
      <c r="J7" s="399"/>
      <c r="K7" s="298"/>
      <c r="L7" s="298"/>
      <c r="M7" s="399"/>
      <c r="N7" s="345"/>
    </row>
    <row r="8" spans="1:16" s="2" customFormat="1" ht="12.95" customHeight="1">
      <c r="A8" s="282"/>
      <c r="B8" s="6"/>
      <c r="C8" s="7"/>
      <c r="D8" s="7"/>
      <c r="E8" s="305">
        <v>600000</v>
      </c>
      <c r="F8" s="331"/>
      <c r="G8" s="19" t="s">
        <v>120</v>
      </c>
      <c r="H8" s="270">
        <f t="shared" ref="H8:M8" si="0">H9+H10+H11</f>
        <v>445000</v>
      </c>
      <c r="I8" s="270">
        <f t="shared" si="0"/>
        <v>0</v>
      </c>
      <c r="J8" s="400">
        <f t="shared" si="0"/>
        <v>445000</v>
      </c>
      <c r="K8" s="270">
        <f t="shared" si="0"/>
        <v>79050</v>
      </c>
      <c r="L8" s="270">
        <f t="shared" si="0"/>
        <v>0</v>
      </c>
      <c r="M8" s="400">
        <f t="shared" si="0"/>
        <v>79050</v>
      </c>
      <c r="N8" s="346">
        <f>IF(J8=0,"",M8/J8*100)</f>
        <v>17.764044943820227</v>
      </c>
    </row>
    <row r="9" spans="1:16" s="2" customFormat="1" ht="12.95" customHeight="1">
      <c r="A9" s="282"/>
      <c r="B9" s="6"/>
      <c r="C9" s="7"/>
      <c r="D9" s="7"/>
      <c r="E9" s="306">
        <v>600000</v>
      </c>
      <c r="F9" s="332"/>
      <c r="G9" s="35" t="s">
        <v>97</v>
      </c>
      <c r="H9" s="269">
        <v>400000</v>
      </c>
      <c r="I9" s="269">
        <v>0</v>
      </c>
      <c r="J9" s="401">
        <f t="shared" ref="J9:J11" si="1">SUM(H9:I9)</f>
        <v>400000</v>
      </c>
      <c r="K9" s="269">
        <v>74500</v>
      </c>
      <c r="L9" s="269">
        <v>0</v>
      </c>
      <c r="M9" s="401">
        <f t="shared" ref="M9:M11" si="2">SUM(K9:L9)</f>
        <v>74500</v>
      </c>
      <c r="N9" s="347">
        <f t="shared" ref="N9:N56" si="3">IF(J9=0,"",M9/J9*100)</f>
        <v>18.625</v>
      </c>
    </row>
    <row r="10" spans="1:16" s="2" customFormat="1" ht="12.95" customHeight="1">
      <c r="A10" s="282"/>
      <c r="B10" s="6"/>
      <c r="C10" s="7"/>
      <c r="D10" s="7"/>
      <c r="E10" s="306">
        <v>600000</v>
      </c>
      <c r="F10" s="332"/>
      <c r="G10" s="35" t="s">
        <v>98</v>
      </c>
      <c r="H10" s="269">
        <v>30000</v>
      </c>
      <c r="I10" s="269">
        <v>0</v>
      </c>
      <c r="J10" s="401">
        <f t="shared" si="1"/>
        <v>30000</v>
      </c>
      <c r="K10" s="269">
        <v>4550</v>
      </c>
      <c r="L10" s="269">
        <v>0</v>
      </c>
      <c r="M10" s="401">
        <f t="shared" si="2"/>
        <v>4550</v>
      </c>
      <c r="N10" s="347">
        <f t="shared" si="3"/>
        <v>15.166666666666668</v>
      </c>
    </row>
    <row r="11" spans="1:16" s="2" customFormat="1" ht="12.95" customHeight="1">
      <c r="A11" s="282"/>
      <c r="B11" s="6"/>
      <c r="C11" s="7"/>
      <c r="D11" s="7"/>
      <c r="E11" s="306">
        <v>600000</v>
      </c>
      <c r="F11" s="332"/>
      <c r="G11" s="35" t="s">
        <v>121</v>
      </c>
      <c r="H11" s="269">
        <v>15000</v>
      </c>
      <c r="I11" s="269">
        <v>0</v>
      </c>
      <c r="J11" s="401">
        <f t="shared" si="1"/>
        <v>15000</v>
      </c>
      <c r="K11" s="269">
        <v>0</v>
      </c>
      <c r="L11" s="269">
        <v>0</v>
      </c>
      <c r="M11" s="401">
        <f t="shared" si="2"/>
        <v>0</v>
      </c>
      <c r="N11" s="347">
        <f t="shared" si="3"/>
        <v>0</v>
      </c>
    </row>
    <row r="12" spans="1:16" s="2" customFormat="1" ht="8.1" customHeight="1">
      <c r="A12" s="282"/>
      <c r="B12" s="6"/>
      <c r="C12" s="7"/>
      <c r="D12" s="7"/>
      <c r="E12" s="305"/>
      <c r="F12" s="332"/>
      <c r="G12" s="5"/>
      <c r="H12" s="271"/>
      <c r="I12" s="271"/>
      <c r="J12" s="402"/>
      <c r="K12" s="271"/>
      <c r="L12" s="271"/>
      <c r="M12" s="402"/>
      <c r="N12" s="347" t="str">
        <f t="shared" si="3"/>
        <v/>
      </c>
    </row>
    <row r="13" spans="1:16" s="1" customFormat="1" ht="12.95" customHeight="1">
      <c r="A13" s="281"/>
      <c r="B13" s="12"/>
      <c r="C13" s="8"/>
      <c r="D13" s="8"/>
      <c r="E13" s="305">
        <v>611000</v>
      </c>
      <c r="F13" s="331"/>
      <c r="G13" s="8" t="s">
        <v>163</v>
      </c>
      <c r="H13" s="214">
        <f t="shared" ref="H13:M13" si="4">SUM(H14:H17)</f>
        <v>273760</v>
      </c>
      <c r="I13" s="214">
        <f t="shared" si="4"/>
        <v>0</v>
      </c>
      <c r="J13" s="403">
        <f t="shared" si="4"/>
        <v>273760</v>
      </c>
      <c r="K13" s="214">
        <f t="shared" si="4"/>
        <v>67407</v>
      </c>
      <c r="L13" s="214">
        <f t="shared" si="4"/>
        <v>0</v>
      </c>
      <c r="M13" s="403">
        <f t="shared" si="4"/>
        <v>67407</v>
      </c>
      <c r="N13" s="346">
        <f t="shared" si="3"/>
        <v>24.622662185856225</v>
      </c>
    </row>
    <row r="14" spans="1:16" ht="12.95" customHeight="1">
      <c r="B14" s="10"/>
      <c r="C14" s="11"/>
      <c r="D14" s="11"/>
      <c r="E14" s="306">
        <v>611100</v>
      </c>
      <c r="F14" s="332"/>
      <c r="G14" s="18" t="s">
        <v>198</v>
      </c>
      <c r="H14" s="211">
        <f>129600+500</f>
        <v>130100</v>
      </c>
      <c r="I14" s="211">
        <v>0</v>
      </c>
      <c r="J14" s="401">
        <f t="shared" ref="J14:J16" si="5">SUM(H14:I14)</f>
        <v>130100</v>
      </c>
      <c r="K14" s="211">
        <v>31904</v>
      </c>
      <c r="L14" s="211">
        <v>0</v>
      </c>
      <c r="M14" s="401">
        <f t="shared" ref="M14:M16" si="6">SUM(K14:L14)</f>
        <v>31904</v>
      </c>
      <c r="N14" s="347">
        <f t="shared" si="3"/>
        <v>24.522674865488085</v>
      </c>
    </row>
    <row r="15" spans="1:16" ht="12.95" customHeight="1">
      <c r="B15" s="10"/>
      <c r="C15" s="11"/>
      <c r="D15" s="11"/>
      <c r="E15" s="306">
        <v>611200</v>
      </c>
      <c r="F15" s="332"/>
      <c r="G15" s="11" t="s">
        <v>199</v>
      </c>
      <c r="H15" s="211">
        <f>25100+300</f>
        <v>25400</v>
      </c>
      <c r="I15" s="211">
        <v>0</v>
      </c>
      <c r="J15" s="401">
        <f t="shared" si="5"/>
        <v>25400</v>
      </c>
      <c r="K15" s="211">
        <v>5559</v>
      </c>
      <c r="L15" s="211">
        <v>0</v>
      </c>
      <c r="M15" s="401">
        <f t="shared" si="6"/>
        <v>5559</v>
      </c>
      <c r="N15" s="347">
        <f t="shared" si="3"/>
        <v>21.885826771653544</v>
      </c>
    </row>
    <row r="16" spans="1:16" ht="12.95" customHeight="1">
      <c r="B16" s="10"/>
      <c r="C16" s="11"/>
      <c r="D16" s="11"/>
      <c r="E16" s="306">
        <v>611200</v>
      </c>
      <c r="F16" s="332" t="s">
        <v>654</v>
      </c>
      <c r="G16" s="356" t="s">
        <v>839</v>
      </c>
      <c r="H16" s="211">
        <v>118260</v>
      </c>
      <c r="I16" s="211">
        <v>0</v>
      </c>
      <c r="J16" s="401">
        <f t="shared" si="5"/>
        <v>118260</v>
      </c>
      <c r="K16" s="211">
        <v>29944</v>
      </c>
      <c r="L16" s="211">
        <v>0</v>
      </c>
      <c r="M16" s="401">
        <f t="shared" si="6"/>
        <v>29944</v>
      </c>
      <c r="N16" s="347">
        <f t="shared" si="3"/>
        <v>25.320480297649244</v>
      </c>
      <c r="P16" s="56"/>
    </row>
    <row r="17" spans="1:15" ht="8.1" customHeight="1">
      <c r="B17" s="10"/>
      <c r="C17" s="11"/>
      <c r="D17" s="11"/>
      <c r="E17" s="306"/>
      <c r="F17" s="332"/>
      <c r="G17" s="18"/>
      <c r="H17" s="214"/>
      <c r="I17" s="214"/>
      <c r="J17" s="403"/>
      <c r="K17" s="214"/>
      <c r="L17" s="214"/>
      <c r="M17" s="403"/>
      <c r="N17" s="347" t="str">
        <f t="shared" si="3"/>
        <v/>
      </c>
    </row>
    <row r="18" spans="1:15" s="1" customFormat="1" ht="12.95" customHeight="1">
      <c r="A18" s="281"/>
      <c r="B18" s="12"/>
      <c r="C18" s="8"/>
      <c r="D18" s="8"/>
      <c r="E18" s="305">
        <v>612000</v>
      </c>
      <c r="F18" s="332"/>
      <c r="G18" s="8" t="s">
        <v>162</v>
      </c>
      <c r="H18" s="214">
        <f t="shared" ref="H18:M18" si="7">H19+H20</f>
        <v>13850</v>
      </c>
      <c r="I18" s="214">
        <f t="shared" si="7"/>
        <v>0</v>
      </c>
      <c r="J18" s="403">
        <f t="shared" si="7"/>
        <v>13850</v>
      </c>
      <c r="K18" s="214">
        <f t="shared" si="7"/>
        <v>3380</v>
      </c>
      <c r="L18" s="214">
        <f t="shared" si="7"/>
        <v>0</v>
      </c>
      <c r="M18" s="403">
        <f t="shared" si="7"/>
        <v>3380</v>
      </c>
      <c r="N18" s="346">
        <f t="shared" si="3"/>
        <v>24.404332129963898</v>
      </c>
    </row>
    <row r="19" spans="1:15" ht="12.95" customHeight="1">
      <c r="B19" s="10"/>
      <c r="C19" s="11"/>
      <c r="D19" s="11"/>
      <c r="E19" s="306">
        <v>612100</v>
      </c>
      <c r="F19" s="332"/>
      <c r="G19" s="13" t="s">
        <v>83</v>
      </c>
      <c r="H19" s="211">
        <f>13790+60</f>
        <v>13850</v>
      </c>
      <c r="I19" s="211">
        <v>0</v>
      </c>
      <c r="J19" s="401">
        <f>SUM(H19:I19)</f>
        <v>13850</v>
      </c>
      <c r="K19" s="211">
        <v>3380</v>
      </c>
      <c r="L19" s="211">
        <v>0</v>
      </c>
      <c r="M19" s="401">
        <f>SUM(K19:L19)</f>
        <v>3380</v>
      </c>
      <c r="N19" s="347">
        <f t="shared" si="3"/>
        <v>24.404332129963898</v>
      </c>
    </row>
    <row r="20" spans="1:15" ht="8.1" customHeight="1">
      <c r="B20" s="10"/>
      <c r="C20" s="11"/>
      <c r="D20" s="11"/>
      <c r="E20" s="306"/>
      <c r="F20" s="332"/>
      <c r="G20" s="11"/>
      <c r="H20" s="266"/>
      <c r="I20" s="266"/>
      <c r="J20" s="401"/>
      <c r="K20" s="266"/>
      <c r="L20" s="266"/>
      <c r="M20" s="401"/>
      <c r="N20" s="347" t="str">
        <f t="shared" si="3"/>
        <v/>
      </c>
    </row>
    <row r="21" spans="1:15" s="1" customFormat="1" ht="12.95" customHeight="1">
      <c r="A21" s="281"/>
      <c r="B21" s="12"/>
      <c r="C21" s="8"/>
      <c r="D21" s="8"/>
      <c r="E21" s="305">
        <v>613000</v>
      </c>
      <c r="F21" s="332"/>
      <c r="G21" s="8" t="s">
        <v>164</v>
      </c>
      <c r="H21" s="267">
        <f t="shared" ref="H21:M21" si="8">SUM(H22:H32)</f>
        <v>344400</v>
      </c>
      <c r="I21" s="267">
        <f t="shared" si="8"/>
        <v>0</v>
      </c>
      <c r="J21" s="402">
        <f t="shared" si="8"/>
        <v>344400</v>
      </c>
      <c r="K21" s="267">
        <f t="shared" si="8"/>
        <v>73799</v>
      </c>
      <c r="L21" s="267">
        <f t="shared" si="8"/>
        <v>0</v>
      </c>
      <c r="M21" s="402">
        <f t="shared" si="8"/>
        <v>73799</v>
      </c>
      <c r="N21" s="346">
        <f t="shared" si="3"/>
        <v>21.428281068524971</v>
      </c>
    </row>
    <row r="22" spans="1:15" ht="12.95" customHeight="1">
      <c r="B22" s="10"/>
      <c r="C22" s="11"/>
      <c r="D22" s="11"/>
      <c r="E22" s="306">
        <v>613100</v>
      </c>
      <c r="F22" s="332"/>
      <c r="G22" s="11" t="s">
        <v>84</v>
      </c>
      <c r="H22" s="266">
        <v>14000</v>
      </c>
      <c r="I22" s="266">
        <v>0</v>
      </c>
      <c r="J22" s="401">
        <f t="shared" ref="J22:J32" si="9">SUM(H22:I22)</f>
        <v>14000</v>
      </c>
      <c r="K22" s="266">
        <v>1091</v>
      </c>
      <c r="L22" s="266">
        <v>0</v>
      </c>
      <c r="M22" s="401">
        <f t="shared" ref="M22:M32" si="10">SUM(K22:L22)</f>
        <v>1091</v>
      </c>
      <c r="N22" s="347">
        <f t="shared" si="3"/>
        <v>7.7928571428571427</v>
      </c>
    </row>
    <row r="23" spans="1:15" ht="12.95" customHeight="1">
      <c r="B23" s="10"/>
      <c r="C23" s="11"/>
      <c r="D23" s="11"/>
      <c r="E23" s="306">
        <v>613200</v>
      </c>
      <c r="F23" s="332"/>
      <c r="G23" s="11" t="s">
        <v>85</v>
      </c>
      <c r="H23" s="266">
        <v>0</v>
      </c>
      <c r="I23" s="266">
        <v>0</v>
      </c>
      <c r="J23" s="401">
        <f t="shared" si="9"/>
        <v>0</v>
      </c>
      <c r="K23" s="266">
        <v>0</v>
      </c>
      <c r="L23" s="266">
        <v>0</v>
      </c>
      <c r="M23" s="401">
        <f t="shared" si="10"/>
        <v>0</v>
      </c>
      <c r="N23" s="347" t="str">
        <f t="shared" si="3"/>
        <v/>
      </c>
    </row>
    <row r="24" spans="1:15" ht="12.95" customHeight="1">
      <c r="B24" s="10"/>
      <c r="C24" s="11"/>
      <c r="D24" s="11"/>
      <c r="E24" s="306">
        <v>613300</v>
      </c>
      <c r="F24" s="332"/>
      <c r="G24" s="18" t="s">
        <v>200</v>
      </c>
      <c r="H24" s="266">
        <v>5500</v>
      </c>
      <c r="I24" s="266">
        <v>0</v>
      </c>
      <c r="J24" s="401">
        <f t="shared" si="9"/>
        <v>5500</v>
      </c>
      <c r="K24" s="266">
        <v>1156</v>
      </c>
      <c r="L24" s="266">
        <v>0</v>
      </c>
      <c r="M24" s="401">
        <f t="shared" si="10"/>
        <v>1156</v>
      </c>
      <c r="N24" s="347">
        <f t="shared" si="3"/>
        <v>21.018181818181819</v>
      </c>
    </row>
    <row r="25" spans="1:15" ht="12.95" customHeight="1">
      <c r="B25" s="10"/>
      <c r="C25" s="11"/>
      <c r="D25" s="11"/>
      <c r="E25" s="306">
        <v>613400</v>
      </c>
      <c r="F25" s="332"/>
      <c r="G25" s="11" t="s">
        <v>165</v>
      </c>
      <c r="H25" s="266">
        <v>1500</v>
      </c>
      <c r="I25" s="266">
        <v>0</v>
      </c>
      <c r="J25" s="401">
        <f t="shared" si="9"/>
        <v>1500</v>
      </c>
      <c r="K25" s="266">
        <v>275</v>
      </c>
      <c r="L25" s="266">
        <v>0</v>
      </c>
      <c r="M25" s="401">
        <f t="shared" si="10"/>
        <v>275</v>
      </c>
      <c r="N25" s="347">
        <f t="shared" si="3"/>
        <v>18.333333333333332</v>
      </c>
    </row>
    <row r="26" spans="1:15" ht="12.95" customHeight="1">
      <c r="B26" s="10"/>
      <c r="C26" s="11"/>
      <c r="D26" s="11"/>
      <c r="E26" s="306">
        <v>613500</v>
      </c>
      <c r="F26" s="332"/>
      <c r="G26" s="11" t="s">
        <v>86</v>
      </c>
      <c r="H26" s="268">
        <v>500</v>
      </c>
      <c r="I26" s="268">
        <v>0</v>
      </c>
      <c r="J26" s="401">
        <f t="shared" si="9"/>
        <v>500</v>
      </c>
      <c r="K26" s="268">
        <v>40</v>
      </c>
      <c r="L26" s="268">
        <v>0</v>
      </c>
      <c r="M26" s="401">
        <f t="shared" si="10"/>
        <v>40</v>
      </c>
      <c r="N26" s="347">
        <f t="shared" si="3"/>
        <v>8</v>
      </c>
    </row>
    <row r="27" spans="1:15" ht="12.95" customHeight="1">
      <c r="B27" s="10"/>
      <c r="C27" s="11"/>
      <c r="D27" s="11"/>
      <c r="E27" s="306">
        <v>613600</v>
      </c>
      <c r="F27" s="332"/>
      <c r="G27" s="18" t="s">
        <v>201</v>
      </c>
      <c r="H27" s="266">
        <v>0</v>
      </c>
      <c r="I27" s="266">
        <v>0</v>
      </c>
      <c r="J27" s="401">
        <f t="shared" si="9"/>
        <v>0</v>
      </c>
      <c r="K27" s="266">
        <v>0</v>
      </c>
      <c r="L27" s="266">
        <v>0</v>
      </c>
      <c r="M27" s="401">
        <f t="shared" si="10"/>
        <v>0</v>
      </c>
      <c r="N27" s="347" t="str">
        <f t="shared" si="3"/>
        <v/>
      </c>
    </row>
    <row r="28" spans="1:15" ht="12.95" customHeight="1">
      <c r="B28" s="10"/>
      <c r="C28" s="11"/>
      <c r="D28" s="11"/>
      <c r="E28" s="306">
        <v>613700</v>
      </c>
      <c r="F28" s="332"/>
      <c r="G28" s="11" t="s">
        <v>87</v>
      </c>
      <c r="H28" s="266">
        <v>4000</v>
      </c>
      <c r="I28" s="266">
        <v>0</v>
      </c>
      <c r="J28" s="401">
        <f t="shared" si="9"/>
        <v>4000</v>
      </c>
      <c r="K28" s="266">
        <v>549</v>
      </c>
      <c r="L28" s="266">
        <v>0</v>
      </c>
      <c r="M28" s="401">
        <f t="shared" si="10"/>
        <v>549</v>
      </c>
      <c r="N28" s="347">
        <f t="shared" si="3"/>
        <v>13.725000000000001</v>
      </c>
    </row>
    <row r="29" spans="1:15" ht="12.95" customHeight="1">
      <c r="B29" s="10"/>
      <c r="C29" s="11"/>
      <c r="D29" s="11"/>
      <c r="E29" s="306">
        <v>613800</v>
      </c>
      <c r="F29" s="332"/>
      <c r="G29" s="11" t="s">
        <v>166</v>
      </c>
      <c r="H29" s="269">
        <v>2500</v>
      </c>
      <c r="I29" s="269">
        <v>0</v>
      </c>
      <c r="J29" s="401">
        <f t="shared" si="9"/>
        <v>2500</v>
      </c>
      <c r="K29" s="269">
        <v>0</v>
      </c>
      <c r="L29" s="269">
        <v>0</v>
      </c>
      <c r="M29" s="401">
        <f t="shared" si="10"/>
        <v>0</v>
      </c>
      <c r="N29" s="347">
        <f t="shared" si="3"/>
        <v>0</v>
      </c>
    </row>
    <row r="30" spans="1:15" ht="12.95" customHeight="1">
      <c r="B30" s="10"/>
      <c r="C30" s="11"/>
      <c r="D30" s="11"/>
      <c r="E30" s="309">
        <v>613900</v>
      </c>
      <c r="F30" s="332"/>
      <c r="G30" s="14" t="s">
        <v>167</v>
      </c>
      <c r="H30" s="269">
        <v>150000</v>
      </c>
      <c r="I30" s="269">
        <v>0</v>
      </c>
      <c r="J30" s="401">
        <f t="shared" si="9"/>
        <v>150000</v>
      </c>
      <c r="K30" s="269">
        <v>33181</v>
      </c>
      <c r="L30" s="269">
        <v>0</v>
      </c>
      <c r="M30" s="401">
        <f t="shared" si="10"/>
        <v>33181</v>
      </c>
      <c r="N30" s="347">
        <f t="shared" si="3"/>
        <v>22.120666666666665</v>
      </c>
      <c r="O30" s="50"/>
    </row>
    <row r="31" spans="1:15" ht="12.95" customHeight="1">
      <c r="B31" s="10"/>
      <c r="C31" s="11"/>
      <c r="D31" s="11"/>
      <c r="E31" s="306">
        <v>613900</v>
      </c>
      <c r="F31" s="332" t="s">
        <v>655</v>
      </c>
      <c r="G31" s="18" t="s">
        <v>207</v>
      </c>
      <c r="H31" s="269">
        <v>44400</v>
      </c>
      <c r="I31" s="269">
        <v>0</v>
      </c>
      <c r="J31" s="401">
        <f t="shared" si="9"/>
        <v>44400</v>
      </c>
      <c r="K31" s="269">
        <v>3326</v>
      </c>
      <c r="L31" s="269">
        <v>0</v>
      </c>
      <c r="M31" s="401">
        <f t="shared" si="10"/>
        <v>3326</v>
      </c>
      <c r="N31" s="347">
        <f t="shared" si="3"/>
        <v>7.4909909909909906</v>
      </c>
    </row>
    <row r="32" spans="1:15" ht="12.95" customHeight="1">
      <c r="B32" s="10"/>
      <c r="C32" s="11"/>
      <c r="D32" s="11"/>
      <c r="E32" s="306">
        <v>613900</v>
      </c>
      <c r="F32" s="332" t="s">
        <v>654</v>
      </c>
      <c r="G32" s="356" t="s">
        <v>841</v>
      </c>
      <c r="H32" s="269">
        <v>122000</v>
      </c>
      <c r="I32" s="269">
        <v>0</v>
      </c>
      <c r="J32" s="401">
        <f t="shared" si="9"/>
        <v>122000</v>
      </c>
      <c r="K32" s="269">
        <v>34181</v>
      </c>
      <c r="L32" s="269">
        <v>0</v>
      </c>
      <c r="M32" s="401">
        <f t="shared" si="10"/>
        <v>34181</v>
      </c>
      <c r="N32" s="347">
        <f t="shared" si="3"/>
        <v>28.017213114754096</v>
      </c>
    </row>
    <row r="33" spans="1:18" ht="8.1" customHeight="1">
      <c r="B33" s="10"/>
      <c r="C33" s="11"/>
      <c r="D33" s="11"/>
      <c r="E33" s="306"/>
      <c r="F33" s="332"/>
      <c r="G33" s="11"/>
      <c r="H33" s="266"/>
      <c r="I33" s="266"/>
      <c r="J33" s="401"/>
      <c r="K33" s="266"/>
      <c r="L33" s="266"/>
      <c r="M33" s="401"/>
      <c r="N33" s="347" t="str">
        <f t="shared" si="3"/>
        <v/>
      </c>
    </row>
    <row r="34" spans="1:18" s="1" customFormat="1" ht="12.95" customHeight="1">
      <c r="A34" s="281"/>
      <c r="B34" s="12"/>
      <c r="C34" s="8"/>
      <c r="D34" s="8"/>
      <c r="E34" s="305">
        <v>614000</v>
      </c>
      <c r="F34" s="332"/>
      <c r="G34" s="8" t="s">
        <v>202</v>
      </c>
      <c r="H34" s="271">
        <f t="shared" ref="H34:M34" si="11">SUM(H35:H45)</f>
        <v>755000</v>
      </c>
      <c r="I34" s="271">
        <f t="shared" si="11"/>
        <v>0</v>
      </c>
      <c r="J34" s="402">
        <f t="shared" si="11"/>
        <v>755000</v>
      </c>
      <c r="K34" s="271">
        <f t="shared" si="11"/>
        <v>48347</v>
      </c>
      <c r="L34" s="271">
        <f t="shared" si="11"/>
        <v>0</v>
      </c>
      <c r="M34" s="402">
        <f t="shared" si="11"/>
        <v>48347</v>
      </c>
      <c r="N34" s="346">
        <f t="shared" si="3"/>
        <v>6.403576158940397</v>
      </c>
    </row>
    <row r="35" spans="1:18" s="60" customFormat="1" ht="12.95" customHeight="1">
      <c r="B35" s="61"/>
      <c r="C35" s="13"/>
      <c r="D35" s="13"/>
      <c r="E35" s="306">
        <v>614100</v>
      </c>
      <c r="F35" s="332" t="s">
        <v>656</v>
      </c>
      <c r="G35" s="13" t="s">
        <v>272</v>
      </c>
      <c r="H35" s="357">
        <v>0</v>
      </c>
      <c r="I35" s="357">
        <v>0</v>
      </c>
      <c r="J35" s="401">
        <f t="shared" ref="J35:J45" si="12">SUM(H35:I35)</f>
        <v>0</v>
      </c>
      <c r="K35" s="357">
        <v>0</v>
      </c>
      <c r="L35" s="357">
        <v>0</v>
      </c>
      <c r="M35" s="401">
        <f t="shared" ref="M35:M45" si="13">SUM(K35:L35)</f>
        <v>0</v>
      </c>
      <c r="N35" s="347" t="str">
        <f t="shared" si="3"/>
        <v/>
      </c>
    </row>
    <row r="36" spans="1:18" s="60" customFormat="1" ht="12.95" customHeight="1">
      <c r="B36" s="61"/>
      <c r="C36" s="13"/>
      <c r="D36" s="13"/>
      <c r="E36" s="306">
        <v>614100</v>
      </c>
      <c r="F36" s="332" t="s">
        <v>657</v>
      </c>
      <c r="G36" s="75" t="s">
        <v>273</v>
      </c>
      <c r="H36" s="357">
        <v>200000</v>
      </c>
      <c r="I36" s="357">
        <v>0</v>
      </c>
      <c r="J36" s="401">
        <f t="shared" si="12"/>
        <v>200000</v>
      </c>
      <c r="K36" s="357">
        <v>0</v>
      </c>
      <c r="L36" s="357">
        <v>0</v>
      </c>
      <c r="M36" s="401">
        <f t="shared" si="13"/>
        <v>0</v>
      </c>
      <c r="N36" s="347">
        <f t="shared" si="3"/>
        <v>0</v>
      </c>
    </row>
    <row r="37" spans="1:18" s="103" customFormat="1" ht="12.95" customHeight="1">
      <c r="B37" s="100"/>
      <c r="C37" s="101"/>
      <c r="D37" s="101"/>
      <c r="E37" s="310">
        <v>614200</v>
      </c>
      <c r="F37" s="332" t="s">
        <v>658</v>
      </c>
      <c r="G37" s="102" t="s">
        <v>627</v>
      </c>
      <c r="H37" s="381">
        <v>150000</v>
      </c>
      <c r="I37" s="381">
        <v>0</v>
      </c>
      <c r="J37" s="401">
        <f t="shared" si="12"/>
        <v>150000</v>
      </c>
      <c r="K37" s="381">
        <v>0</v>
      </c>
      <c r="L37" s="381">
        <v>0</v>
      </c>
      <c r="M37" s="401">
        <f t="shared" si="13"/>
        <v>0</v>
      </c>
      <c r="N37" s="347">
        <f t="shared" si="3"/>
        <v>0</v>
      </c>
      <c r="R37" s="104"/>
    </row>
    <row r="38" spans="1:18" ht="12.95" customHeight="1">
      <c r="B38" s="10"/>
      <c r="C38" s="11"/>
      <c r="D38" s="11"/>
      <c r="E38" s="306">
        <v>614300</v>
      </c>
      <c r="F38" s="332" t="s">
        <v>659</v>
      </c>
      <c r="G38" s="375" t="s">
        <v>709</v>
      </c>
      <c r="H38" s="358">
        <v>70000</v>
      </c>
      <c r="I38" s="358">
        <v>0</v>
      </c>
      <c r="J38" s="401">
        <f t="shared" si="12"/>
        <v>70000</v>
      </c>
      <c r="K38" s="358">
        <v>0</v>
      </c>
      <c r="L38" s="358">
        <v>0</v>
      </c>
      <c r="M38" s="401">
        <f t="shared" si="13"/>
        <v>0</v>
      </c>
      <c r="N38" s="347">
        <f t="shared" si="3"/>
        <v>0</v>
      </c>
    </row>
    <row r="39" spans="1:18" ht="12.95" customHeight="1">
      <c r="B39" s="10"/>
      <c r="C39" s="11"/>
      <c r="D39" s="11"/>
      <c r="E39" s="306">
        <v>614300</v>
      </c>
      <c r="F39" s="332" t="s">
        <v>660</v>
      </c>
      <c r="G39" s="69" t="s">
        <v>219</v>
      </c>
      <c r="H39" s="358">
        <v>35000</v>
      </c>
      <c r="I39" s="358">
        <v>0</v>
      </c>
      <c r="J39" s="401">
        <f t="shared" si="12"/>
        <v>35000</v>
      </c>
      <c r="K39" s="358">
        <v>5840</v>
      </c>
      <c r="L39" s="358">
        <v>0</v>
      </c>
      <c r="M39" s="401">
        <f t="shared" si="13"/>
        <v>5840</v>
      </c>
      <c r="N39" s="347">
        <f t="shared" si="3"/>
        <v>16.685714285714287</v>
      </c>
    </row>
    <row r="40" spans="1:18" ht="12.95" customHeight="1">
      <c r="B40" s="10"/>
      <c r="C40" s="11"/>
      <c r="D40" s="11"/>
      <c r="E40" s="306">
        <v>614300</v>
      </c>
      <c r="F40" s="332" t="s">
        <v>661</v>
      </c>
      <c r="G40" s="69" t="s">
        <v>267</v>
      </c>
      <c r="H40" s="358">
        <v>40000</v>
      </c>
      <c r="I40" s="358">
        <v>0</v>
      </c>
      <c r="J40" s="401">
        <f t="shared" si="12"/>
        <v>40000</v>
      </c>
      <c r="K40" s="358">
        <v>6670</v>
      </c>
      <c r="L40" s="358">
        <v>0</v>
      </c>
      <c r="M40" s="401">
        <f t="shared" si="13"/>
        <v>6670</v>
      </c>
      <c r="N40" s="347">
        <f t="shared" si="3"/>
        <v>16.675000000000001</v>
      </c>
    </row>
    <row r="41" spans="1:18" ht="12.95" customHeight="1">
      <c r="B41" s="10"/>
      <c r="C41" s="11"/>
      <c r="D41" s="11"/>
      <c r="E41" s="306">
        <v>614300</v>
      </c>
      <c r="F41" s="332" t="s">
        <v>662</v>
      </c>
      <c r="G41" s="374" t="s">
        <v>791</v>
      </c>
      <c r="H41" s="358">
        <v>40000</v>
      </c>
      <c r="I41" s="358">
        <v>0</v>
      </c>
      <c r="J41" s="401">
        <f t="shared" si="12"/>
        <v>40000</v>
      </c>
      <c r="K41" s="358">
        <v>6670</v>
      </c>
      <c r="L41" s="358">
        <v>0</v>
      </c>
      <c r="M41" s="401">
        <f t="shared" si="13"/>
        <v>6670</v>
      </c>
      <c r="N41" s="347">
        <f t="shared" si="3"/>
        <v>16.675000000000001</v>
      </c>
    </row>
    <row r="42" spans="1:18" ht="12.95" customHeight="1">
      <c r="B42" s="10"/>
      <c r="C42" s="11"/>
      <c r="D42" s="11"/>
      <c r="E42" s="306">
        <v>614300</v>
      </c>
      <c r="F42" s="332" t="s">
        <v>663</v>
      </c>
      <c r="G42" s="374" t="s">
        <v>790</v>
      </c>
      <c r="H42" s="358">
        <v>15000</v>
      </c>
      <c r="I42" s="358">
        <v>0</v>
      </c>
      <c r="J42" s="401">
        <f t="shared" si="12"/>
        <v>15000</v>
      </c>
      <c r="K42" s="358">
        <v>2500</v>
      </c>
      <c r="L42" s="358">
        <v>0</v>
      </c>
      <c r="M42" s="401">
        <f t="shared" si="13"/>
        <v>2500</v>
      </c>
      <c r="N42" s="347">
        <f t="shared" si="3"/>
        <v>16.666666666666664</v>
      </c>
    </row>
    <row r="43" spans="1:18" ht="12.95" customHeight="1">
      <c r="B43" s="10"/>
      <c r="C43" s="11"/>
      <c r="D43" s="11"/>
      <c r="E43" s="306">
        <v>614300</v>
      </c>
      <c r="F43" s="332" t="s">
        <v>664</v>
      </c>
      <c r="G43" s="69" t="s">
        <v>221</v>
      </c>
      <c r="H43" s="358">
        <v>30000</v>
      </c>
      <c r="I43" s="358">
        <v>0</v>
      </c>
      <c r="J43" s="401">
        <f t="shared" si="12"/>
        <v>30000</v>
      </c>
      <c r="K43" s="358">
        <v>0</v>
      </c>
      <c r="L43" s="358">
        <v>0</v>
      </c>
      <c r="M43" s="401">
        <f t="shared" si="13"/>
        <v>0</v>
      </c>
      <c r="N43" s="347">
        <f t="shared" si="3"/>
        <v>0</v>
      </c>
    </row>
    <row r="44" spans="1:18" ht="12.95" customHeight="1">
      <c r="B44" s="10"/>
      <c r="C44" s="11"/>
      <c r="D44" s="11"/>
      <c r="E44" s="306">
        <v>614300</v>
      </c>
      <c r="F44" s="332" t="s">
        <v>665</v>
      </c>
      <c r="G44" s="69" t="s">
        <v>625</v>
      </c>
      <c r="H44" s="358">
        <v>15000</v>
      </c>
      <c r="I44" s="358">
        <v>0</v>
      </c>
      <c r="J44" s="401">
        <f t="shared" si="12"/>
        <v>15000</v>
      </c>
      <c r="K44" s="358">
        <v>0</v>
      </c>
      <c r="L44" s="358">
        <v>0</v>
      </c>
      <c r="M44" s="401">
        <f t="shared" si="13"/>
        <v>0</v>
      </c>
      <c r="N44" s="347">
        <f t="shared" si="3"/>
        <v>0</v>
      </c>
    </row>
    <row r="45" spans="1:18" ht="12.95" customHeight="1">
      <c r="B45" s="10"/>
      <c r="C45" s="11"/>
      <c r="D45" s="11"/>
      <c r="E45" s="306">
        <v>614300</v>
      </c>
      <c r="F45" s="332" t="s">
        <v>666</v>
      </c>
      <c r="G45" s="162" t="s">
        <v>96</v>
      </c>
      <c r="H45" s="358">
        <v>160000</v>
      </c>
      <c r="I45" s="358">
        <v>0</v>
      </c>
      <c r="J45" s="401">
        <f t="shared" si="12"/>
        <v>160000</v>
      </c>
      <c r="K45" s="358">
        <v>26667</v>
      </c>
      <c r="L45" s="358">
        <v>0</v>
      </c>
      <c r="M45" s="401">
        <f t="shared" si="13"/>
        <v>26667</v>
      </c>
      <c r="N45" s="347">
        <f t="shared" si="3"/>
        <v>16.666875000000001</v>
      </c>
    </row>
    <row r="46" spans="1:18" ht="8.1" customHeight="1">
      <c r="B46" s="10"/>
      <c r="C46" s="11"/>
      <c r="D46" s="11"/>
      <c r="E46" s="306"/>
      <c r="F46" s="332"/>
      <c r="G46" s="69"/>
      <c r="H46" s="272"/>
      <c r="I46" s="272"/>
      <c r="J46" s="401"/>
      <c r="K46" s="272"/>
      <c r="L46" s="272"/>
      <c r="M46" s="401"/>
      <c r="N46" s="347" t="str">
        <f t="shared" si="3"/>
        <v/>
      </c>
    </row>
    <row r="47" spans="1:18" ht="12.95" customHeight="1">
      <c r="B47" s="10"/>
      <c r="C47" s="11"/>
      <c r="D47" s="11"/>
      <c r="E47" s="305">
        <v>615000</v>
      </c>
      <c r="F47" s="332"/>
      <c r="G47" s="8" t="s">
        <v>89</v>
      </c>
      <c r="H47" s="271">
        <f t="shared" ref="H47:M47" si="14">H48</f>
        <v>400000</v>
      </c>
      <c r="I47" s="271">
        <f t="shared" si="14"/>
        <v>0</v>
      </c>
      <c r="J47" s="402">
        <f t="shared" si="14"/>
        <v>400000</v>
      </c>
      <c r="K47" s="271">
        <f t="shared" si="14"/>
        <v>0</v>
      </c>
      <c r="L47" s="271">
        <f t="shared" si="14"/>
        <v>0</v>
      </c>
      <c r="M47" s="402">
        <f t="shared" si="14"/>
        <v>0</v>
      </c>
      <c r="N47" s="346">
        <f t="shared" si="3"/>
        <v>0</v>
      </c>
    </row>
    <row r="48" spans="1:18" ht="12.95" customHeight="1">
      <c r="B48" s="10"/>
      <c r="C48" s="11"/>
      <c r="D48" s="11"/>
      <c r="E48" s="306">
        <v>615100</v>
      </c>
      <c r="F48" s="332"/>
      <c r="G48" s="13" t="s">
        <v>89</v>
      </c>
      <c r="H48" s="268">
        <v>400000</v>
      </c>
      <c r="I48" s="268">
        <v>0</v>
      </c>
      <c r="J48" s="401">
        <f>SUM(H48:I48)</f>
        <v>400000</v>
      </c>
      <c r="K48" s="268">
        <v>0</v>
      </c>
      <c r="L48" s="268">
        <v>0</v>
      </c>
      <c r="M48" s="401">
        <f>SUM(K48:L48)</f>
        <v>0</v>
      </c>
      <c r="N48" s="347">
        <f t="shared" si="3"/>
        <v>0</v>
      </c>
    </row>
    <row r="49" spans="1:14" ht="8.1" customHeight="1">
      <c r="B49" s="10"/>
      <c r="C49" s="11"/>
      <c r="D49" s="11"/>
      <c r="E49" s="306"/>
      <c r="F49" s="332"/>
      <c r="G49" s="14"/>
      <c r="H49" s="269"/>
      <c r="I49" s="269"/>
      <c r="J49" s="401"/>
      <c r="K49" s="269"/>
      <c r="L49" s="269"/>
      <c r="M49" s="401"/>
      <c r="N49" s="347" t="str">
        <f t="shared" si="3"/>
        <v/>
      </c>
    </row>
    <row r="50" spans="1:14" ht="12.95" customHeight="1">
      <c r="B50" s="12"/>
      <c r="C50" s="8"/>
      <c r="D50" s="8"/>
      <c r="E50" s="305">
        <v>821000</v>
      </c>
      <c r="F50" s="332"/>
      <c r="G50" s="8" t="s">
        <v>90</v>
      </c>
      <c r="H50" s="288">
        <f t="shared" ref="H50:M50" si="15">SUM(H51:H53)</f>
        <v>55000</v>
      </c>
      <c r="I50" s="288">
        <f t="shared" si="15"/>
        <v>0</v>
      </c>
      <c r="J50" s="387">
        <f t="shared" si="15"/>
        <v>55000</v>
      </c>
      <c r="K50" s="288">
        <f t="shared" si="15"/>
        <v>1520</v>
      </c>
      <c r="L50" s="288">
        <f t="shared" si="15"/>
        <v>0</v>
      </c>
      <c r="M50" s="387">
        <f t="shared" si="15"/>
        <v>1520</v>
      </c>
      <c r="N50" s="346">
        <f t="shared" si="3"/>
        <v>2.7636363636363637</v>
      </c>
    </row>
    <row r="51" spans="1:14" ht="12.95" customHeight="1">
      <c r="B51" s="10"/>
      <c r="C51" s="11"/>
      <c r="D51" s="11"/>
      <c r="E51" s="306">
        <v>821200</v>
      </c>
      <c r="F51" s="332"/>
      <c r="G51" s="11" t="s">
        <v>91</v>
      </c>
      <c r="H51" s="280">
        <v>0</v>
      </c>
      <c r="I51" s="280">
        <v>0</v>
      </c>
      <c r="J51" s="401">
        <f t="shared" ref="J51:J53" si="16">SUM(H51:I51)</f>
        <v>0</v>
      </c>
      <c r="K51" s="280">
        <v>0</v>
      </c>
      <c r="L51" s="280">
        <v>0</v>
      </c>
      <c r="M51" s="401">
        <f t="shared" ref="M51:M53" si="17">SUM(K51:L51)</f>
        <v>0</v>
      </c>
      <c r="N51" s="347" t="str">
        <f t="shared" si="3"/>
        <v/>
      </c>
    </row>
    <row r="52" spans="1:14" ht="12.95" customHeight="1">
      <c r="B52" s="10"/>
      <c r="C52" s="11"/>
      <c r="D52" s="11"/>
      <c r="E52" s="306">
        <v>821300</v>
      </c>
      <c r="F52" s="332"/>
      <c r="G52" s="11" t="s">
        <v>92</v>
      </c>
      <c r="H52" s="296">
        <v>5000</v>
      </c>
      <c r="I52" s="296">
        <v>0</v>
      </c>
      <c r="J52" s="401">
        <f t="shared" si="16"/>
        <v>5000</v>
      </c>
      <c r="K52" s="296">
        <v>1520</v>
      </c>
      <c r="L52" s="296">
        <v>0</v>
      </c>
      <c r="M52" s="401">
        <f t="shared" si="17"/>
        <v>1520</v>
      </c>
      <c r="N52" s="347">
        <f t="shared" si="3"/>
        <v>30.4</v>
      </c>
    </row>
    <row r="53" spans="1:14" ht="12.95" customHeight="1">
      <c r="B53" s="10"/>
      <c r="C53" s="11"/>
      <c r="D53" s="11"/>
      <c r="E53" s="306">
        <v>821500</v>
      </c>
      <c r="F53" s="332"/>
      <c r="G53" s="11" t="s">
        <v>521</v>
      </c>
      <c r="H53" s="87">
        <v>50000</v>
      </c>
      <c r="I53" s="87">
        <v>0</v>
      </c>
      <c r="J53" s="401">
        <f t="shared" si="16"/>
        <v>50000</v>
      </c>
      <c r="K53" s="87">
        <v>0</v>
      </c>
      <c r="L53" s="87">
        <v>0</v>
      </c>
      <c r="M53" s="401">
        <f t="shared" si="17"/>
        <v>0</v>
      </c>
      <c r="N53" s="347">
        <f t="shared" si="3"/>
        <v>0</v>
      </c>
    </row>
    <row r="54" spans="1:14" s="1" customFormat="1" ht="8.1" customHeight="1">
      <c r="A54" s="281"/>
      <c r="B54" s="10"/>
      <c r="C54" s="11"/>
      <c r="D54" s="11"/>
      <c r="E54" s="306"/>
      <c r="F54" s="332"/>
      <c r="G54" s="11"/>
      <c r="H54" s="288"/>
      <c r="I54" s="288"/>
      <c r="J54" s="387"/>
      <c r="K54" s="288"/>
      <c r="L54" s="288"/>
      <c r="M54" s="387"/>
      <c r="N54" s="347" t="str">
        <f t="shared" si="3"/>
        <v/>
      </c>
    </row>
    <row r="55" spans="1:14" ht="12.95" customHeight="1">
      <c r="B55" s="12"/>
      <c r="C55" s="8"/>
      <c r="D55" s="8"/>
      <c r="E55" s="305"/>
      <c r="F55" s="332"/>
      <c r="G55" s="8" t="s">
        <v>93</v>
      </c>
      <c r="H55" s="288">
        <v>6</v>
      </c>
      <c r="I55" s="288"/>
      <c r="J55" s="387">
        <v>6</v>
      </c>
      <c r="K55" s="288">
        <v>6</v>
      </c>
      <c r="L55" s="288"/>
      <c r="M55" s="387">
        <v>6</v>
      </c>
      <c r="N55" s="347"/>
    </row>
    <row r="56" spans="1:14" ht="12.95" customHeight="1">
      <c r="B56" s="12"/>
      <c r="C56" s="8"/>
      <c r="D56" s="8"/>
      <c r="E56" s="305"/>
      <c r="F56" s="332"/>
      <c r="G56" s="8" t="s">
        <v>113</v>
      </c>
      <c r="H56" s="288">
        <f t="shared" ref="H56:J56" si="18">H8+H13+H18+H21+H34+H47+H50</f>
        <v>2287010</v>
      </c>
      <c r="I56" s="288">
        <f t="shared" si="18"/>
        <v>0</v>
      </c>
      <c r="J56" s="387">
        <f t="shared" si="18"/>
        <v>2287010</v>
      </c>
      <c r="K56" s="288">
        <f t="shared" ref="K56:M56" si="19">K8+K13+K18+K21+K34+K47+K50</f>
        <v>273503</v>
      </c>
      <c r="L56" s="288">
        <f t="shared" si="19"/>
        <v>0</v>
      </c>
      <c r="M56" s="387">
        <f t="shared" si="19"/>
        <v>273503</v>
      </c>
      <c r="N56" s="346">
        <f t="shared" si="3"/>
        <v>11.958977004910341</v>
      </c>
    </row>
    <row r="57" spans="1:14" ht="12.95" customHeight="1">
      <c r="B57" s="12"/>
      <c r="C57" s="8"/>
      <c r="D57" s="8"/>
      <c r="E57" s="305"/>
      <c r="F57" s="332"/>
      <c r="G57" s="8" t="s">
        <v>94</v>
      </c>
      <c r="H57" s="286"/>
      <c r="I57" s="286"/>
      <c r="J57" s="397"/>
      <c r="K57" s="286"/>
      <c r="L57" s="286"/>
      <c r="M57" s="397"/>
      <c r="N57" s="348"/>
    </row>
    <row r="58" spans="1:14" ht="12.95" customHeight="1">
      <c r="B58" s="12"/>
      <c r="C58" s="8"/>
      <c r="D58" s="8"/>
      <c r="E58" s="305"/>
      <c r="F58" s="332"/>
      <c r="G58" s="8" t="s">
        <v>95</v>
      </c>
      <c r="H58" s="286"/>
      <c r="I58" s="286"/>
      <c r="J58" s="397"/>
      <c r="K58" s="286"/>
      <c r="L58" s="286"/>
      <c r="M58" s="397"/>
      <c r="N58" s="348"/>
    </row>
    <row r="59" spans="1:14" s="1" customFormat="1" ht="8.1" customHeight="1" thickBot="1">
      <c r="A59" s="281"/>
      <c r="B59" s="15"/>
      <c r="C59" s="16"/>
      <c r="D59" s="16"/>
      <c r="E59" s="307"/>
      <c r="F59" s="333"/>
      <c r="G59" s="16"/>
      <c r="H59" s="16"/>
      <c r="I59" s="16"/>
      <c r="J59" s="394"/>
      <c r="K59" s="16"/>
      <c r="L59" s="16"/>
      <c r="M59" s="394"/>
      <c r="N59" s="349"/>
    </row>
    <row r="60" spans="1:14" s="1" customFormat="1" ht="15.95" customHeight="1">
      <c r="A60" s="281"/>
      <c r="B60" s="9"/>
      <c r="C60" s="9"/>
      <c r="D60" s="9"/>
      <c r="E60" s="308"/>
      <c r="F60" s="334"/>
      <c r="G60" s="9"/>
      <c r="H60" s="284"/>
      <c r="I60" s="284"/>
      <c r="J60" s="391"/>
      <c r="K60" s="284"/>
      <c r="L60" s="284"/>
      <c r="M60" s="391"/>
      <c r="N60" s="350"/>
    </row>
    <row r="61" spans="1:14" s="1" customFormat="1" ht="15.95" customHeight="1">
      <c r="A61" s="281"/>
      <c r="B61" s="9"/>
      <c r="C61" s="9"/>
      <c r="D61" s="9"/>
      <c r="E61" s="308"/>
      <c r="F61" s="334"/>
      <c r="G61" s="9"/>
      <c r="H61" s="284"/>
      <c r="I61" s="284"/>
      <c r="J61" s="391"/>
      <c r="K61" s="284"/>
      <c r="L61" s="284"/>
      <c r="M61" s="391"/>
      <c r="N61" s="350"/>
    </row>
    <row r="62" spans="1:14" s="1" customFormat="1" ht="12.95" customHeight="1">
      <c r="A62" s="281"/>
      <c r="B62" s="9"/>
      <c r="C62" s="9"/>
      <c r="D62" s="9"/>
      <c r="E62" s="308"/>
      <c r="F62" s="334"/>
      <c r="G62" s="9"/>
      <c r="H62" s="284"/>
      <c r="I62" s="284"/>
      <c r="J62" s="391"/>
      <c r="K62" s="284"/>
      <c r="L62" s="284"/>
      <c r="M62" s="391"/>
      <c r="N62" s="350"/>
    </row>
    <row r="63" spans="1:14" ht="12.95" customHeight="1">
      <c r="E63" s="308"/>
      <c r="F63" s="334"/>
      <c r="J63" s="391"/>
      <c r="M63" s="391"/>
    </row>
    <row r="64" spans="1:14" ht="14.25">
      <c r="E64" s="308"/>
      <c r="F64" s="334"/>
      <c r="J64" s="391"/>
      <c r="M64" s="391"/>
    </row>
    <row r="65" spans="5:13" ht="14.25">
      <c r="E65" s="308"/>
      <c r="F65" s="334"/>
      <c r="J65" s="391"/>
      <c r="M65" s="391"/>
    </row>
    <row r="66" spans="5:13" ht="14.25">
      <c r="E66" s="308"/>
      <c r="F66" s="334"/>
      <c r="J66" s="391"/>
      <c r="M66" s="391"/>
    </row>
    <row r="67" spans="5:13" ht="14.25">
      <c r="E67" s="308"/>
      <c r="F67" s="334"/>
      <c r="J67" s="391"/>
      <c r="M67" s="391"/>
    </row>
    <row r="68" spans="5:13" ht="14.25">
      <c r="E68" s="308"/>
      <c r="F68" s="334"/>
      <c r="J68" s="391"/>
      <c r="M68" s="391"/>
    </row>
    <row r="69" spans="5:13" ht="14.25">
      <c r="E69" s="308"/>
      <c r="F69" s="334"/>
      <c r="J69" s="391"/>
      <c r="M69" s="391"/>
    </row>
    <row r="70" spans="5:13" ht="14.25">
      <c r="E70" s="308"/>
      <c r="F70" s="334"/>
      <c r="J70" s="391"/>
      <c r="M70" s="391"/>
    </row>
    <row r="71" spans="5:13" ht="14.25">
      <c r="E71" s="308"/>
      <c r="F71" s="334"/>
      <c r="J71" s="391"/>
      <c r="M71" s="391"/>
    </row>
    <row r="72" spans="5:13" ht="14.25">
      <c r="E72" s="308"/>
      <c r="F72" s="334"/>
      <c r="J72" s="391"/>
      <c r="M72" s="391"/>
    </row>
    <row r="73" spans="5:13" ht="14.25">
      <c r="E73" s="308"/>
      <c r="F73" s="334"/>
      <c r="J73" s="391"/>
      <c r="M73" s="391"/>
    </row>
    <row r="74" spans="5:13" ht="14.25">
      <c r="E74" s="308"/>
      <c r="F74" s="308"/>
      <c r="J74" s="391"/>
      <c r="M74" s="391"/>
    </row>
    <row r="75" spans="5:13" ht="14.25">
      <c r="E75" s="308"/>
      <c r="F75" s="308"/>
      <c r="J75" s="391"/>
      <c r="M75" s="391"/>
    </row>
    <row r="76" spans="5:13" ht="14.25">
      <c r="E76" s="308"/>
      <c r="F76" s="308"/>
      <c r="J76" s="391"/>
      <c r="M76" s="391"/>
    </row>
    <row r="77" spans="5:13" ht="14.25">
      <c r="E77" s="308"/>
      <c r="F77" s="308"/>
      <c r="J77" s="391"/>
      <c r="M77" s="391"/>
    </row>
    <row r="78" spans="5:13" ht="14.25">
      <c r="E78" s="308"/>
      <c r="F78" s="308"/>
      <c r="J78" s="391"/>
      <c r="M78" s="391"/>
    </row>
    <row r="79" spans="5:13" ht="14.25">
      <c r="E79" s="308"/>
      <c r="F79" s="308"/>
      <c r="J79" s="391"/>
      <c r="M79" s="391"/>
    </row>
    <row r="80" spans="5:13" ht="14.25">
      <c r="E80" s="308"/>
      <c r="F80" s="308"/>
      <c r="J80" s="391"/>
      <c r="M80" s="391"/>
    </row>
    <row r="81" spans="5:13" ht="14.25">
      <c r="E81" s="308"/>
      <c r="F81" s="308"/>
      <c r="J81" s="391"/>
      <c r="M81" s="391"/>
    </row>
    <row r="82" spans="5:13" ht="14.25">
      <c r="E82" s="308"/>
      <c r="F82" s="308"/>
      <c r="J82" s="391"/>
      <c r="M82" s="391"/>
    </row>
    <row r="83" spans="5:13" ht="14.25">
      <c r="E83" s="308"/>
      <c r="F83" s="308"/>
      <c r="J83" s="391"/>
      <c r="M83" s="391"/>
    </row>
    <row r="84" spans="5:13" ht="14.25">
      <c r="E84" s="308"/>
      <c r="F84" s="308"/>
      <c r="J84" s="391"/>
      <c r="M84" s="391"/>
    </row>
    <row r="85" spans="5:13" ht="14.25">
      <c r="E85" s="308"/>
      <c r="F85" s="308"/>
      <c r="J85" s="391"/>
      <c r="M85" s="391"/>
    </row>
    <row r="86" spans="5:13" ht="14.25">
      <c r="E86" s="308"/>
      <c r="F86" s="308"/>
      <c r="J86" s="391"/>
      <c r="M86" s="391"/>
    </row>
    <row r="87" spans="5:13" ht="14.25">
      <c r="E87" s="308"/>
      <c r="F87" s="308"/>
      <c r="J87" s="391"/>
      <c r="M87" s="391"/>
    </row>
    <row r="88" spans="5:13" ht="14.25">
      <c r="E88" s="308"/>
      <c r="F88" s="308"/>
      <c r="J88" s="391"/>
      <c r="M88" s="391"/>
    </row>
    <row r="89" spans="5:13" ht="14.25">
      <c r="E89" s="308"/>
      <c r="F89" s="308"/>
      <c r="J89" s="391"/>
      <c r="M89" s="391"/>
    </row>
    <row r="90" spans="5:13" ht="14.25">
      <c r="E90" s="308"/>
      <c r="F90" s="308"/>
      <c r="J90" s="391"/>
      <c r="M90" s="391"/>
    </row>
    <row r="91" spans="5:13">
      <c r="F91" s="308"/>
    </row>
    <row r="92" spans="5:13">
      <c r="F92" s="308"/>
    </row>
    <row r="93" spans="5:13">
      <c r="F93" s="308"/>
    </row>
    <row r="94" spans="5:13">
      <c r="F94" s="308"/>
    </row>
    <row r="95" spans="5:13">
      <c r="F95" s="308"/>
    </row>
    <row r="96" spans="5:13">
      <c r="F96" s="308"/>
    </row>
  </sheetData>
  <mergeCells count="10">
    <mergeCell ref="N4:N5"/>
    <mergeCell ref="G4:G5"/>
    <mergeCell ref="B2:J2"/>
    <mergeCell ref="H4:J4"/>
    <mergeCell ref="B4:B5"/>
    <mergeCell ref="C4:C5"/>
    <mergeCell ref="D4:D5"/>
    <mergeCell ref="F4:F5"/>
    <mergeCell ref="E4:E5"/>
    <mergeCell ref="K4:M4"/>
  </mergeCells>
  <phoneticPr fontId="2" type="noConversion"/>
  <pageMargins left="0.78740157480314965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Q96"/>
  <sheetViews>
    <sheetView zoomScaleNormal="100" workbookViewId="0">
      <selection activeCell="K45" sqref="K45"/>
    </sheetView>
  </sheetViews>
  <sheetFormatPr defaultRowHeight="12.75"/>
  <cols>
    <col min="1" max="1" width="9.140625" style="284"/>
    <col min="2" max="2" width="4.7109375" style="9" customWidth="1"/>
    <col min="3" max="3" width="5.140625" style="9" customWidth="1"/>
    <col min="4" max="4" width="5" style="9" customWidth="1"/>
    <col min="5" max="5" width="8.7109375" style="17" customWidth="1"/>
    <col min="6" max="6" width="8.7109375" style="289" customWidth="1"/>
    <col min="7" max="7" width="50.7109375" style="9" customWidth="1"/>
    <col min="8" max="9" width="14.7109375" style="284" customWidth="1"/>
    <col min="10" max="10" width="15.7109375" style="9" customWidth="1"/>
    <col min="11" max="12" width="14.7109375" style="284" customWidth="1"/>
    <col min="13" max="13" width="15.7109375" style="284" customWidth="1"/>
    <col min="14" max="14" width="7.7109375" style="350" customWidth="1"/>
    <col min="15" max="16384" width="9.140625" style="9"/>
  </cols>
  <sheetData>
    <row r="1" spans="1:17" ht="13.5" thickBot="1"/>
    <row r="2" spans="1:17" s="376" customFormat="1" ht="20.100000000000001" customHeight="1" thickTop="1" thickBot="1">
      <c r="B2" s="590" t="s">
        <v>122</v>
      </c>
      <c r="C2" s="591"/>
      <c r="D2" s="591"/>
      <c r="E2" s="591"/>
      <c r="F2" s="591"/>
      <c r="G2" s="591"/>
      <c r="H2" s="591"/>
      <c r="I2" s="591"/>
      <c r="J2" s="591"/>
      <c r="K2" s="530"/>
      <c r="L2" s="530"/>
      <c r="M2" s="530"/>
      <c r="N2" s="379"/>
    </row>
    <row r="3" spans="1:17" s="1" customFormat="1" ht="8.1" customHeight="1" thickTop="1" thickBot="1">
      <c r="A3" s="281"/>
      <c r="E3" s="2"/>
      <c r="F3" s="282"/>
      <c r="G3" s="531"/>
      <c r="H3" s="92"/>
      <c r="I3" s="92"/>
      <c r="J3" s="92"/>
      <c r="K3" s="92"/>
      <c r="L3" s="92"/>
      <c r="M3" s="92"/>
      <c r="N3" s="344"/>
    </row>
    <row r="4" spans="1:17" s="1" customFormat="1" ht="39" customHeight="1">
      <c r="A4" s="281"/>
      <c r="B4" s="596" t="s">
        <v>78</v>
      </c>
      <c r="C4" s="606" t="s">
        <v>79</v>
      </c>
      <c r="D4" s="607" t="s">
        <v>110</v>
      </c>
      <c r="E4" s="608" t="s">
        <v>594</v>
      </c>
      <c r="F4" s="601" t="s">
        <v>653</v>
      </c>
      <c r="G4" s="602" t="s">
        <v>80</v>
      </c>
      <c r="H4" s="593" t="s">
        <v>647</v>
      </c>
      <c r="I4" s="594"/>
      <c r="J4" s="595"/>
      <c r="K4" s="593" t="s">
        <v>801</v>
      </c>
      <c r="L4" s="594"/>
      <c r="M4" s="595"/>
      <c r="N4" s="604" t="s">
        <v>805</v>
      </c>
    </row>
    <row r="5" spans="1:17" s="281" customFormat="1" ht="27" customHeight="1">
      <c r="B5" s="597"/>
      <c r="C5" s="599"/>
      <c r="D5" s="599"/>
      <c r="E5" s="603"/>
      <c r="F5" s="599"/>
      <c r="G5" s="603"/>
      <c r="H5" s="372" t="s">
        <v>705</v>
      </c>
      <c r="I5" s="372" t="s">
        <v>706</v>
      </c>
      <c r="J5" s="382" t="s">
        <v>413</v>
      </c>
      <c r="K5" s="372" t="s">
        <v>705</v>
      </c>
      <c r="L5" s="372" t="s">
        <v>706</v>
      </c>
      <c r="M5" s="382" t="s">
        <v>413</v>
      </c>
      <c r="N5" s="605"/>
    </row>
    <row r="6" spans="1:17" s="2" customFormat="1" ht="12.95" customHeight="1">
      <c r="A6" s="282"/>
      <c r="B6" s="504">
        <v>1</v>
      </c>
      <c r="C6" s="331">
        <v>2</v>
      </c>
      <c r="D6" s="331">
        <v>3</v>
      </c>
      <c r="E6" s="331">
        <v>4</v>
      </c>
      <c r="F6" s="331">
        <v>5</v>
      </c>
      <c r="G6" s="331">
        <v>6</v>
      </c>
      <c r="H6" s="331">
        <v>7</v>
      </c>
      <c r="I6" s="331">
        <v>8</v>
      </c>
      <c r="J6" s="523" t="s">
        <v>804</v>
      </c>
      <c r="K6" s="331">
        <v>10</v>
      </c>
      <c r="L6" s="331">
        <v>11</v>
      </c>
      <c r="M6" s="523" t="s">
        <v>707</v>
      </c>
      <c r="N6" s="505">
        <v>13</v>
      </c>
    </row>
    <row r="7" spans="1:17" s="2" customFormat="1" ht="12.95" customHeight="1">
      <c r="A7" s="282"/>
      <c r="B7" s="6" t="s">
        <v>119</v>
      </c>
      <c r="C7" s="7" t="s">
        <v>81</v>
      </c>
      <c r="D7" s="7" t="s">
        <v>117</v>
      </c>
      <c r="E7" s="5"/>
      <c r="F7" s="283"/>
      <c r="G7" s="5"/>
      <c r="H7" s="283"/>
      <c r="I7" s="283"/>
      <c r="J7" s="383"/>
      <c r="K7" s="283"/>
      <c r="L7" s="283"/>
      <c r="M7" s="383"/>
      <c r="N7" s="345"/>
    </row>
    <row r="8" spans="1:17" s="1" customFormat="1" ht="12.95" customHeight="1">
      <c r="A8" s="281"/>
      <c r="B8" s="12"/>
      <c r="C8" s="8"/>
      <c r="D8" s="8"/>
      <c r="E8" s="305">
        <v>611000</v>
      </c>
      <c r="F8" s="331"/>
      <c r="G8" s="8" t="s">
        <v>163</v>
      </c>
      <c r="H8" s="210">
        <f t="shared" ref="H8:M8" si="0">SUM(H9:H12)</f>
        <v>54300</v>
      </c>
      <c r="I8" s="210">
        <f t="shared" si="0"/>
        <v>0</v>
      </c>
      <c r="J8" s="384">
        <f t="shared" si="0"/>
        <v>54300</v>
      </c>
      <c r="K8" s="210">
        <f t="shared" si="0"/>
        <v>13459</v>
      </c>
      <c r="L8" s="210">
        <f t="shared" si="0"/>
        <v>0</v>
      </c>
      <c r="M8" s="384">
        <f t="shared" si="0"/>
        <v>13459</v>
      </c>
      <c r="N8" s="346">
        <f>IF(J8=0,"",M8/J8*100)</f>
        <v>24.786372007366484</v>
      </c>
    </row>
    <row r="9" spans="1:17" ht="12.95" customHeight="1">
      <c r="B9" s="10"/>
      <c r="C9" s="11"/>
      <c r="D9" s="11"/>
      <c r="E9" s="306">
        <v>611100</v>
      </c>
      <c r="F9" s="332"/>
      <c r="G9" s="18" t="s">
        <v>198</v>
      </c>
      <c r="H9" s="209">
        <f>17550+200+25500</f>
        <v>43250</v>
      </c>
      <c r="I9" s="209">
        <v>0</v>
      </c>
      <c r="J9" s="385">
        <f>SUM(H9:I9)</f>
        <v>43250</v>
      </c>
      <c r="K9" s="209">
        <v>10972</v>
      </c>
      <c r="L9" s="209">
        <v>0</v>
      </c>
      <c r="M9" s="385">
        <f>SUM(K9:L9)</f>
        <v>10972</v>
      </c>
      <c r="N9" s="347">
        <f t="shared" ref="N9:N66" si="1">IF(J9=0,"",M9/J9*100)</f>
        <v>25.368786127167631</v>
      </c>
    </row>
    <row r="10" spans="1:17" ht="12.95" customHeight="1">
      <c r="B10" s="10"/>
      <c r="C10" s="11"/>
      <c r="D10" s="11"/>
      <c r="E10" s="306">
        <v>611200</v>
      </c>
      <c r="F10" s="332"/>
      <c r="G10" s="11" t="s">
        <v>199</v>
      </c>
      <c r="H10" s="209">
        <f>3650+7400</f>
        <v>11050</v>
      </c>
      <c r="I10" s="209">
        <v>0</v>
      </c>
      <c r="J10" s="385">
        <f t="shared" ref="J10:J11" si="2">SUM(H10:I10)</f>
        <v>11050</v>
      </c>
      <c r="K10" s="209">
        <v>2487</v>
      </c>
      <c r="L10" s="209">
        <v>0</v>
      </c>
      <c r="M10" s="385">
        <f t="shared" ref="M10:M11" si="3">SUM(K10:L10)</f>
        <v>2487</v>
      </c>
      <c r="N10" s="347">
        <f t="shared" si="1"/>
        <v>22.50678733031674</v>
      </c>
    </row>
    <row r="11" spans="1:17" ht="12.95" customHeight="1">
      <c r="B11" s="10"/>
      <c r="C11" s="11"/>
      <c r="D11" s="11"/>
      <c r="E11" s="306">
        <v>611200</v>
      </c>
      <c r="F11" s="332"/>
      <c r="G11" s="189" t="s">
        <v>534</v>
      </c>
      <c r="H11" s="209">
        <v>0</v>
      </c>
      <c r="I11" s="209">
        <v>0</v>
      </c>
      <c r="J11" s="385">
        <f t="shared" si="2"/>
        <v>0</v>
      </c>
      <c r="K11" s="209">
        <v>0</v>
      </c>
      <c r="L11" s="209">
        <v>0</v>
      </c>
      <c r="M11" s="385">
        <f t="shared" si="3"/>
        <v>0</v>
      </c>
      <c r="N11" s="347" t="str">
        <f t="shared" si="1"/>
        <v/>
      </c>
      <c r="P11" s="56"/>
    </row>
    <row r="12" spans="1:17" ht="8.1" customHeight="1">
      <c r="B12" s="10"/>
      <c r="C12" s="11"/>
      <c r="D12" s="11"/>
      <c r="E12" s="306"/>
      <c r="F12" s="332"/>
      <c r="G12" s="18"/>
      <c r="H12" s="209"/>
      <c r="I12" s="209"/>
      <c r="J12" s="385"/>
      <c r="K12" s="209"/>
      <c r="L12" s="209"/>
      <c r="M12" s="385"/>
      <c r="N12" s="347" t="str">
        <f t="shared" si="1"/>
        <v/>
      </c>
    </row>
    <row r="13" spans="1:17" s="1" customFormat="1" ht="12.95" customHeight="1">
      <c r="A13" s="281"/>
      <c r="B13" s="12"/>
      <c r="C13" s="8"/>
      <c r="D13" s="8"/>
      <c r="E13" s="305">
        <v>612000</v>
      </c>
      <c r="F13" s="331"/>
      <c r="G13" s="8" t="s">
        <v>162</v>
      </c>
      <c r="H13" s="210">
        <f t="shared" ref="H13:M13" si="4">H14</f>
        <v>4800</v>
      </c>
      <c r="I13" s="210">
        <f t="shared" si="4"/>
        <v>0</v>
      </c>
      <c r="J13" s="384">
        <f t="shared" si="4"/>
        <v>4800</v>
      </c>
      <c r="K13" s="210">
        <f t="shared" si="4"/>
        <v>1163</v>
      </c>
      <c r="L13" s="210">
        <f t="shared" si="4"/>
        <v>0</v>
      </c>
      <c r="M13" s="384">
        <f t="shared" si="4"/>
        <v>1163</v>
      </c>
      <c r="N13" s="346">
        <f t="shared" si="1"/>
        <v>24.229166666666664</v>
      </c>
      <c r="Q13" s="60"/>
    </row>
    <row r="14" spans="1:17" ht="12.95" customHeight="1">
      <c r="B14" s="10"/>
      <c r="C14" s="11"/>
      <c r="D14" s="11"/>
      <c r="E14" s="306">
        <v>612100</v>
      </c>
      <c r="F14" s="332"/>
      <c r="G14" s="13" t="s">
        <v>83</v>
      </c>
      <c r="H14" s="209">
        <f>1900+100+2800</f>
        <v>4800</v>
      </c>
      <c r="I14" s="209">
        <v>0</v>
      </c>
      <c r="J14" s="385">
        <f>SUM(H14:I14)</f>
        <v>4800</v>
      </c>
      <c r="K14" s="209">
        <v>1163</v>
      </c>
      <c r="L14" s="209">
        <v>0</v>
      </c>
      <c r="M14" s="385">
        <f>SUM(K14:L14)</f>
        <v>1163</v>
      </c>
      <c r="N14" s="347">
        <f t="shared" si="1"/>
        <v>24.229166666666664</v>
      </c>
      <c r="Q14" s="50"/>
    </row>
    <row r="15" spans="1:17" ht="8.1" customHeight="1">
      <c r="B15" s="10"/>
      <c r="C15" s="11"/>
      <c r="D15" s="11"/>
      <c r="E15" s="306"/>
      <c r="F15" s="332"/>
      <c r="G15" s="11"/>
      <c r="H15" s="279"/>
      <c r="I15" s="279"/>
      <c r="J15" s="386"/>
      <c r="K15" s="279"/>
      <c r="L15" s="279"/>
      <c r="M15" s="386"/>
      <c r="N15" s="347" t="str">
        <f t="shared" si="1"/>
        <v/>
      </c>
    </row>
    <row r="16" spans="1:17" s="1" customFormat="1" ht="12.95" customHeight="1">
      <c r="A16" s="281"/>
      <c r="B16" s="12"/>
      <c r="C16" s="8"/>
      <c r="D16" s="8"/>
      <c r="E16" s="305">
        <v>613000</v>
      </c>
      <c r="F16" s="331"/>
      <c r="G16" s="8" t="s">
        <v>164</v>
      </c>
      <c r="H16" s="293">
        <f t="shared" ref="H16:M16" si="5">SUM(H17:H26)</f>
        <v>4600</v>
      </c>
      <c r="I16" s="293">
        <f t="shared" si="5"/>
        <v>0</v>
      </c>
      <c r="J16" s="387">
        <f t="shared" si="5"/>
        <v>4600</v>
      </c>
      <c r="K16" s="293">
        <f t="shared" si="5"/>
        <v>515</v>
      </c>
      <c r="L16" s="293">
        <f t="shared" si="5"/>
        <v>0</v>
      </c>
      <c r="M16" s="387">
        <f t="shared" si="5"/>
        <v>515</v>
      </c>
      <c r="N16" s="346">
        <f t="shared" si="1"/>
        <v>11.195652173913045</v>
      </c>
    </row>
    <row r="17" spans="1:15" ht="12.95" customHeight="1">
      <c r="B17" s="10"/>
      <c r="C17" s="11"/>
      <c r="D17" s="11"/>
      <c r="E17" s="306">
        <v>613100</v>
      </c>
      <c r="F17" s="332"/>
      <c r="G17" s="11" t="s">
        <v>84</v>
      </c>
      <c r="H17" s="362">
        <v>1500</v>
      </c>
      <c r="I17" s="362">
        <v>0</v>
      </c>
      <c r="J17" s="385">
        <f t="shared" ref="J17:J26" si="6">SUM(H17:I17)</f>
        <v>1500</v>
      </c>
      <c r="K17" s="362">
        <v>203</v>
      </c>
      <c r="L17" s="362">
        <v>0</v>
      </c>
      <c r="M17" s="385">
        <f t="shared" ref="M17:M26" si="7">SUM(K17:L17)</f>
        <v>203</v>
      </c>
      <c r="N17" s="347">
        <f t="shared" si="1"/>
        <v>13.533333333333333</v>
      </c>
    </row>
    <row r="18" spans="1:15" ht="12.95" customHeight="1">
      <c r="B18" s="10"/>
      <c r="C18" s="11"/>
      <c r="D18" s="11"/>
      <c r="E18" s="306">
        <v>613200</v>
      </c>
      <c r="F18" s="332"/>
      <c r="G18" s="11" t="s">
        <v>85</v>
      </c>
      <c r="H18" s="362">
        <v>0</v>
      </c>
      <c r="I18" s="362">
        <v>0</v>
      </c>
      <c r="J18" s="385">
        <f t="shared" si="6"/>
        <v>0</v>
      </c>
      <c r="K18" s="362">
        <v>0</v>
      </c>
      <c r="L18" s="362">
        <v>0</v>
      </c>
      <c r="M18" s="385">
        <f t="shared" si="7"/>
        <v>0</v>
      </c>
      <c r="N18" s="347" t="str">
        <f t="shared" si="1"/>
        <v/>
      </c>
    </row>
    <row r="19" spans="1:15" ht="12.95" customHeight="1">
      <c r="B19" s="10"/>
      <c r="C19" s="11"/>
      <c r="D19" s="11"/>
      <c r="E19" s="306">
        <v>613300</v>
      </c>
      <c r="F19" s="332"/>
      <c r="G19" s="18" t="s">
        <v>200</v>
      </c>
      <c r="H19" s="362">
        <v>1700</v>
      </c>
      <c r="I19" s="362">
        <v>0</v>
      </c>
      <c r="J19" s="385">
        <f t="shared" si="6"/>
        <v>1700</v>
      </c>
      <c r="K19" s="362">
        <v>160</v>
      </c>
      <c r="L19" s="362">
        <v>0</v>
      </c>
      <c r="M19" s="385">
        <f t="shared" si="7"/>
        <v>160</v>
      </c>
      <c r="N19" s="347">
        <f t="shared" si="1"/>
        <v>9.4117647058823533</v>
      </c>
    </row>
    <row r="20" spans="1:15" ht="12.95" customHeight="1">
      <c r="B20" s="10"/>
      <c r="C20" s="11"/>
      <c r="D20" s="11"/>
      <c r="E20" s="306">
        <v>613400</v>
      </c>
      <c r="F20" s="332"/>
      <c r="G20" s="11" t="s">
        <v>165</v>
      </c>
      <c r="H20" s="362">
        <v>0</v>
      </c>
      <c r="I20" s="362">
        <v>0</v>
      </c>
      <c r="J20" s="385">
        <f t="shared" si="6"/>
        <v>0</v>
      </c>
      <c r="K20" s="362">
        <v>0</v>
      </c>
      <c r="L20" s="362">
        <v>0</v>
      </c>
      <c r="M20" s="385">
        <f t="shared" si="7"/>
        <v>0</v>
      </c>
      <c r="N20" s="347" t="str">
        <f t="shared" si="1"/>
        <v/>
      </c>
    </row>
    <row r="21" spans="1:15" ht="12.95" customHeight="1">
      <c r="B21" s="10"/>
      <c r="C21" s="11"/>
      <c r="D21" s="11"/>
      <c r="E21" s="306">
        <v>613500</v>
      </c>
      <c r="F21" s="332"/>
      <c r="G21" s="11" t="s">
        <v>86</v>
      </c>
      <c r="H21" s="362">
        <v>0</v>
      </c>
      <c r="I21" s="362">
        <v>0</v>
      </c>
      <c r="J21" s="385">
        <f t="shared" si="6"/>
        <v>0</v>
      </c>
      <c r="K21" s="362">
        <v>0</v>
      </c>
      <c r="L21" s="362">
        <v>0</v>
      </c>
      <c r="M21" s="385">
        <f t="shared" si="7"/>
        <v>0</v>
      </c>
      <c r="N21" s="347" t="str">
        <f t="shared" si="1"/>
        <v/>
      </c>
    </row>
    <row r="22" spans="1:15" ht="12.95" customHeight="1">
      <c r="B22" s="10"/>
      <c r="C22" s="11"/>
      <c r="D22" s="11"/>
      <c r="E22" s="306">
        <v>613600</v>
      </c>
      <c r="F22" s="332"/>
      <c r="G22" s="18" t="s">
        <v>201</v>
      </c>
      <c r="H22" s="362">
        <v>0</v>
      </c>
      <c r="I22" s="362">
        <v>0</v>
      </c>
      <c r="J22" s="385">
        <f t="shared" si="6"/>
        <v>0</v>
      </c>
      <c r="K22" s="362">
        <v>0</v>
      </c>
      <c r="L22" s="362">
        <v>0</v>
      </c>
      <c r="M22" s="385">
        <f t="shared" si="7"/>
        <v>0</v>
      </c>
      <c r="N22" s="347" t="str">
        <f t="shared" si="1"/>
        <v/>
      </c>
    </row>
    <row r="23" spans="1:15" ht="12.95" customHeight="1">
      <c r="B23" s="10"/>
      <c r="C23" s="11"/>
      <c r="D23" s="11"/>
      <c r="E23" s="306">
        <v>613700</v>
      </c>
      <c r="F23" s="332"/>
      <c r="G23" s="11" t="s">
        <v>87</v>
      </c>
      <c r="H23" s="362">
        <v>400</v>
      </c>
      <c r="I23" s="362">
        <v>0</v>
      </c>
      <c r="J23" s="385">
        <f t="shared" si="6"/>
        <v>400</v>
      </c>
      <c r="K23" s="362">
        <v>0</v>
      </c>
      <c r="L23" s="362">
        <v>0</v>
      </c>
      <c r="M23" s="385">
        <f t="shared" si="7"/>
        <v>0</v>
      </c>
      <c r="N23" s="347">
        <f t="shared" si="1"/>
        <v>0</v>
      </c>
    </row>
    <row r="24" spans="1:15" ht="12.95" customHeight="1">
      <c r="B24" s="10"/>
      <c r="C24" s="11"/>
      <c r="D24" s="11"/>
      <c r="E24" s="306">
        <v>613800</v>
      </c>
      <c r="F24" s="332"/>
      <c r="G24" s="11" t="s">
        <v>166</v>
      </c>
      <c r="H24" s="362">
        <v>0</v>
      </c>
      <c r="I24" s="362">
        <v>0</v>
      </c>
      <c r="J24" s="385">
        <f t="shared" si="6"/>
        <v>0</v>
      </c>
      <c r="K24" s="362">
        <v>0</v>
      </c>
      <c r="L24" s="362">
        <v>0</v>
      </c>
      <c r="M24" s="385">
        <f t="shared" si="7"/>
        <v>0</v>
      </c>
      <c r="N24" s="347" t="str">
        <f t="shared" si="1"/>
        <v/>
      </c>
      <c r="O24" s="50"/>
    </row>
    <row r="25" spans="1:15" ht="12.95" customHeight="1">
      <c r="B25" s="10"/>
      <c r="C25" s="11"/>
      <c r="D25" s="11"/>
      <c r="E25" s="306">
        <v>613900</v>
      </c>
      <c r="F25" s="332"/>
      <c r="G25" s="11" t="s">
        <v>167</v>
      </c>
      <c r="H25" s="364">
        <v>1000</v>
      </c>
      <c r="I25" s="364">
        <v>0</v>
      </c>
      <c r="J25" s="385">
        <f t="shared" si="6"/>
        <v>1000</v>
      </c>
      <c r="K25" s="364">
        <v>152</v>
      </c>
      <c r="L25" s="364">
        <v>0</v>
      </c>
      <c r="M25" s="385">
        <f t="shared" si="7"/>
        <v>152</v>
      </c>
      <c r="N25" s="347">
        <f t="shared" si="1"/>
        <v>15.2</v>
      </c>
    </row>
    <row r="26" spans="1:15" ht="12.95" customHeight="1">
      <c r="B26" s="10"/>
      <c r="C26" s="11"/>
      <c r="D26" s="11"/>
      <c r="E26" s="306">
        <v>613900</v>
      </c>
      <c r="F26" s="332"/>
      <c r="G26" s="189" t="s">
        <v>535</v>
      </c>
      <c r="H26" s="362">
        <v>0</v>
      </c>
      <c r="I26" s="362">
        <v>0</v>
      </c>
      <c r="J26" s="385">
        <f t="shared" si="6"/>
        <v>0</v>
      </c>
      <c r="K26" s="362">
        <v>0</v>
      </c>
      <c r="L26" s="362">
        <v>0</v>
      </c>
      <c r="M26" s="385">
        <f t="shared" si="7"/>
        <v>0</v>
      </c>
      <c r="N26" s="347" t="str">
        <f t="shared" si="1"/>
        <v/>
      </c>
    </row>
    <row r="27" spans="1:15" ht="8.1" customHeight="1">
      <c r="B27" s="10"/>
      <c r="C27" s="11"/>
      <c r="D27" s="11"/>
      <c r="E27" s="306"/>
      <c r="F27" s="332"/>
      <c r="G27" s="11"/>
      <c r="H27" s="288"/>
      <c r="I27" s="288"/>
      <c r="J27" s="387"/>
      <c r="K27" s="288"/>
      <c r="L27" s="288"/>
      <c r="M27" s="387"/>
      <c r="N27" s="347" t="str">
        <f t="shared" si="1"/>
        <v/>
      </c>
    </row>
    <row r="28" spans="1:15" s="1" customFormat="1" ht="12.95" customHeight="1">
      <c r="A28" s="281"/>
      <c r="B28" s="12"/>
      <c r="C28" s="8"/>
      <c r="D28" s="8"/>
      <c r="E28" s="316">
        <v>614000</v>
      </c>
      <c r="F28" s="343"/>
      <c r="G28" s="8" t="s">
        <v>202</v>
      </c>
      <c r="H28" s="288">
        <f t="shared" ref="H28:M28" si="8">H29</f>
        <v>20000</v>
      </c>
      <c r="I28" s="288">
        <f t="shared" si="8"/>
        <v>0</v>
      </c>
      <c r="J28" s="387">
        <f t="shared" si="8"/>
        <v>20000</v>
      </c>
      <c r="K28" s="288">
        <f t="shared" si="8"/>
        <v>0</v>
      </c>
      <c r="L28" s="288">
        <f t="shared" si="8"/>
        <v>0</v>
      </c>
      <c r="M28" s="387">
        <f t="shared" si="8"/>
        <v>0</v>
      </c>
      <c r="N28" s="346">
        <f t="shared" si="1"/>
        <v>0</v>
      </c>
    </row>
    <row r="29" spans="1:15" ht="12.95" customHeight="1">
      <c r="B29" s="10"/>
      <c r="C29" s="11"/>
      <c r="D29" s="22"/>
      <c r="E29" s="354">
        <v>614200</v>
      </c>
      <c r="F29" s="340" t="s">
        <v>667</v>
      </c>
      <c r="G29" s="36" t="s">
        <v>99</v>
      </c>
      <c r="H29" s="280">
        <v>20000</v>
      </c>
      <c r="I29" s="280"/>
      <c r="J29" s="385">
        <f>SUM(H29:I29)</f>
        <v>20000</v>
      </c>
      <c r="K29" s="280">
        <v>0</v>
      </c>
      <c r="L29" s="280">
        <v>0</v>
      </c>
      <c r="M29" s="385">
        <f>SUM(K29:L29)</f>
        <v>0</v>
      </c>
      <c r="N29" s="347">
        <f t="shared" si="1"/>
        <v>0</v>
      </c>
    </row>
    <row r="30" spans="1:15" ht="8.1" customHeight="1">
      <c r="B30" s="10"/>
      <c r="C30" s="11"/>
      <c r="D30" s="11"/>
      <c r="E30" s="314"/>
      <c r="F30" s="339"/>
      <c r="G30" s="11"/>
      <c r="H30" s="279"/>
      <c r="I30" s="279"/>
      <c r="J30" s="386"/>
      <c r="K30" s="279"/>
      <c r="L30" s="279"/>
      <c r="M30" s="386"/>
      <c r="N30" s="347" t="str">
        <f t="shared" si="1"/>
        <v/>
      </c>
    </row>
    <row r="31" spans="1:15" s="1" customFormat="1" ht="12.95" customHeight="1">
      <c r="A31" s="281"/>
      <c r="B31" s="12"/>
      <c r="C31" s="8"/>
      <c r="D31" s="8"/>
      <c r="E31" s="305">
        <v>821000</v>
      </c>
      <c r="F31" s="331"/>
      <c r="G31" s="8" t="s">
        <v>90</v>
      </c>
      <c r="H31" s="288">
        <f t="shared" ref="H31:M31" si="9">SUM(H32:H33)</f>
        <v>1000</v>
      </c>
      <c r="I31" s="288">
        <f t="shared" si="9"/>
        <v>0</v>
      </c>
      <c r="J31" s="387">
        <f t="shared" si="9"/>
        <v>1000</v>
      </c>
      <c r="K31" s="288">
        <f t="shared" si="9"/>
        <v>403</v>
      </c>
      <c r="L31" s="288">
        <f t="shared" si="9"/>
        <v>0</v>
      </c>
      <c r="M31" s="387">
        <f t="shared" si="9"/>
        <v>403</v>
      </c>
      <c r="N31" s="346">
        <f t="shared" si="1"/>
        <v>40.300000000000004</v>
      </c>
    </row>
    <row r="32" spans="1:15" ht="12.95" customHeight="1">
      <c r="B32" s="10"/>
      <c r="C32" s="11"/>
      <c r="D32" s="11"/>
      <c r="E32" s="306">
        <v>821200</v>
      </c>
      <c r="F32" s="332"/>
      <c r="G32" s="11" t="s">
        <v>91</v>
      </c>
      <c r="H32" s="280">
        <v>0</v>
      </c>
      <c r="I32" s="280">
        <v>0</v>
      </c>
      <c r="J32" s="385">
        <f t="shared" ref="J32:J33" si="10">SUM(H32:I32)</f>
        <v>0</v>
      </c>
      <c r="K32" s="280">
        <v>0</v>
      </c>
      <c r="L32" s="280">
        <v>0</v>
      </c>
      <c r="M32" s="385">
        <f t="shared" ref="M32:M33" si="11">SUM(K32:L32)</f>
        <v>0</v>
      </c>
      <c r="N32" s="347" t="str">
        <f t="shared" si="1"/>
        <v/>
      </c>
    </row>
    <row r="33" spans="1:14" ht="12.95" customHeight="1">
      <c r="B33" s="10"/>
      <c r="C33" s="11"/>
      <c r="D33" s="11"/>
      <c r="E33" s="306">
        <v>821300</v>
      </c>
      <c r="F33" s="332"/>
      <c r="G33" s="11" t="s">
        <v>92</v>
      </c>
      <c r="H33" s="279">
        <v>1000</v>
      </c>
      <c r="I33" s="279">
        <v>0</v>
      </c>
      <c r="J33" s="385">
        <f t="shared" si="10"/>
        <v>1000</v>
      </c>
      <c r="K33" s="279">
        <v>403</v>
      </c>
      <c r="L33" s="279">
        <v>0</v>
      </c>
      <c r="M33" s="385">
        <f t="shared" si="11"/>
        <v>403</v>
      </c>
      <c r="N33" s="347">
        <f t="shared" si="1"/>
        <v>40.300000000000004</v>
      </c>
    </row>
    <row r="34" spans="1:14" ht="8.1" customHeight="1">
      <c r="B34" s="10"/>
      <c r="C34" s="11"/>
      <c r="D34" s="11"/>
      <c r="E34" s="306"/>
      <c r="F34" s="332"/>
      <c r="G34" s="11"/>
      <c r="H34" s="279"/>
      <c r="I34" s="279"/>
      <c r="J34" s="386"/>
      <c r="K34" s="279"/>
      <c r="L34" s="279"/>
      <c r="M34" s="386"/>
      <c r="N34" s="347" t="str">
        <f t="shared" si="1"/>
        <v/>
      </c>
    </row>
    <row r="35" spans="1:14" s="1" customFormat="1" ht="12.95" customHeight="1">
      <c r="A35" s="281"/>
      <c r="B35" s="12"/>
      <c r="C35" s="8"/>
      <c r="D35" s="8"/>
      <c r="E35" s="305"/>
      <c r="F35" s="331"/>
      <c r="G35" s="8" t="s">
        <v>93</v>
      </c>
      <c r="H35" s="295">
        <v>2</v>
      </c>
      <c r="I35" s="295"/>
      <c r="J35" s="387">
        <v>2</v>
      </c>
      <c r="K35" s="295">
        <v>2</v>
      </c>
      <c r="L35" s="295"/>
      <c r="M35" s="387">
        <v>2</v>
      </c>
      <c r="N35" s="347"/>
    </row>
    <row r="36" spans="1:14" s="1" customFormat="1" ht="12.95" customHeight="1">
      <c r="A36" s="281"/>
      <c r="B36" s="12"/>
      <c r="C36" s="8"/>
      <c r="D36" s="8"/>
      <c r="E36" s="305"/>
      <c r="F36" s="331"/>
      <c r="G36" s="8" t="s">
        <v>113</v>
      </c>
      <c r="H36" s="288">
        <f t="shared" ref="H36:M36" si="12">H31+H28+H16+H13+H8</f>
        <v>84700</v>
      </c>
      <c r="I36" s="288">
        <f t="shared" si="12"/>
        <v>0</v>
      </c>
      <c r="J36" s="387">
        <f t="shared" si="12"/>
        <v>84700</v>
      </c>
      <c r="K36" s="288">
        <f t="shared" si="12"/>
        <v>15540</v>
      </c>
      <c r="L36" s="288">
        <f t="shared" si="12"/>
        <v>0</v>
      </c>
      <c r="M36" s="387">
        <f t="shared" si="12"/>
        <v>15540</v>
      </c>
      <c r="N36" s="346">
        <f t="shared" si="1"/>
        <v>18.347107438016529</v>
      </c>
    </row>
    <row r="37" spans="1:14" s="1" customFormat="1" ht="12.95" customHeight="1">
      <c r="A37" s="281"/>
      <c r="B37" s="12"/>
      <c r="C37" s="8"/>
      <c r="D37" s="8"/>
      <c r="E37" s="305"/>
      <c r="F37" s="331"/>
      <c r="G37" s="8" t="s">
        <v>94</v>
      </c>
      <c r="H37" s="288"/>
      <c r="I37" s="288"/>
      <c r="J37" s="387"/>
      <c r="K37" s="288"/>
      <c r="L37" s="288"/>
      <c r="M37" s="387"/>
      <c r="N37" s="353" t="str">
        <f t="shared" si="1"/>
        <v/>
      </c>
    </row>
    <row r="38" spans="1:14" s="1" customFormat="1" ht="12.95" customHeight="1">
      <c r="A38" s="281"/>
      <c r="B38" s="12"/>
      <c r="C38" s="8"/>
      <c r="D38" s="8"/>
      <c r="E38" s="305"/>
      <c r="F38" s="331"/>
      <c r="G38" s="8" t="s">
        <v>95</v>
      </c>
      <c r="H38" s="279"/>
      <c r="I38" s="279"/>
      <c r="J38" s="386"/>
      <c r="K38" s="279"/>
      <c r="L38" s="279"/>
      <c r="M38" s="386"/>
      <c r="N38" s="348" t="str">
        <f t="shared" si="1"/>
        <v/>
      </c>
    </row>
    <row r="39" spans="1:14" ht="8.1" customHeight="1" thickBot="1">
      <c r="B39" s="15"/>
      <c r="C39" s="16"/>
      <c r="D39" s="16"/>
      <c r="E39" s="307"/>
      <c r="F39" s="333"/>
      <c r="G39" s="16"/>
      <c r="H39" s="16"/>
      <c r="I39" s="16"/>
      <c r="J39" s="394"/>
      <c r="K39" s="16"/>
      <c r="L39" s="16"/>
      <c r="M39" s="394"/>
      <c r="N39" s="349" t="str">
        <f t="shared" si="1"/>
        <v/>
      </c>
    </row>
    <row r="40" spans="1:14" ht="12.95" customHeight="1">
      <c r="E40" s="308"/>
      <c r="F40" s="334"/>
      <c r="J40" s="391"/>
      <c r="M40" s="391"/>
      <c r="N40" s="350" t="str">
        <f t="shared" si="1"/>
        <v/>
      </c>
    </row>
    <row r="41" spans="1:14" ht="12.95" customHeight="1">
      <c r="B41" s="50"/>
      <c r="E41" s="308"/>
      <c r="F41" s="334"/>
      <c r="J41" s="391"/>
      <c r="M41" s="391"/>
      <c r="N41" s="350" t="str">
        <f t="shared" si="1"/>
        <v/>
      </c>
    </row>
    <row r="42" spans="1:14" ht="12.95" customHeight="1">
      <c r="E42" s="308"/>
      <c r="F42" s="334"/>
      <c r="J42" s="391"/>
      <c r="M42" s="391"/>
      <c r="N42" s="350" t="str">
        <f t="shared" si="1"/>
        <v/>
      </c>
    </row>
    <row r="43" spans="1:14" ht="12.95" customHeight="1">
      <c r="E43" s="308"/>
      <c r="F43" s="334"/>
      <c r="J43" s="391"/>
      <c r="M43" s="391"/>
      <c r="N43" s="350" t="str">
        <f t="shared" si="1"/>
        <v/>
      </c>
    </row>
    <row r="44" spans="1:14" ht="12.95" customHeight="1">
      <c r="E44" s="308"/>
      <c r="F44" s="334"/>
      <c r="J44" s="391"/>
      <c r="M44" s="391"/>
      <c r="N44" s="350" t="str">
        <f t="shared" si="1"/>
        <v/>
      </c>
    </row>
    <row r="45" spans="1:14" ht="12.95" customHeight="1">
      <c r="E45" s="308"/>
      <c r="F45" s="334"/>
      <c r="J45" s="391"/>
      <c r="M45" s="391"/>
      <c r="N45" s="350" t="str">
        <f t="shared" si="1"/>
        <v/>
      </c>
    </row>
    <row r="46" spans="1:14" ht="12.95" customHeight="1">
      <c r="E46" s="308"/>
      <c r="F46" s="334"/>
      <c r="J46" s="391"/>
      <c r="M46" s="391"/>
      <c r="N46" s="350" t="str">
        <f t="shared" si="1"/>
        <v/>
      </c>
    </row>
    <row r="47" spans="1:14" ht="12.95" customHeight="1">
      <c r="E47" s="308"/>
      <c r="F47" s="334"/>
      <c r="J47" s="391"/>
      <c r="M47" s="391"/>
      <c r="N47" s="350" t="str">
        <f t="shared" si="1"/>
        <v/>
      </c>
    </row>
    <row r="48" spans="1:14" ht="12.95" customHeight="1">
      <c r="E48" s="308"/>
      <c r="F48" s="334"/>
      <c r="J48" s="391"/>
      <c r="M48" s="391"/>
      <c r="N48" s="350" t="str">
        <f t="shared" si="1"/>
        <v/>
      </c>
    </row>
    <row r="49" spans="5:14" ht="12.95" customHeight="1">
      <c r="E49" s="308"/>
      <c r="F49" s="334"/>
      <c r="J49" s="391"/>
      <c r="M49" s="391"/>
      <c r="N49" s="350" t="str">
        <f t="shared" si="1"/>
        <v/>
      </c>
    </row>
    <row r="50" spans="5:14" ht="12.95" customHeight="1">
      <c r="E50" s="308"/>
      <c r="F50" s="334"/>
      <c r="J50" s="391"/>
      <c r="M50" s="391"/>
      <c r="N50" s="350" t="str">
        <f t="shared" si="1"/>
        <v/>
      </c>
    </row>
    <row r="51" spans="5:14" ht="12.95" customHeight="1">
      <c r="E51" s="308"/>
      <c r="F51" s="334"/>
      <c r="J51" s="391"/>
      <c r="M51" s="391"/>
      <c r="N51" s="350" t="str">
        <f t="shared" si="1"/>
        <v/>
      </c>
    </row>
    <row r="52" spans="5:14" ht="12.95" customHeight="1">
      <c r="E52" s="308"/>
      <c r="F52" s="334"/>
      <c r="J52" s="391"/>
      <c r="M52" s="391"/>
      <c r="N52" s="350" t="str">
        <f t="shared" si="1"/>
        <v/>
      </c>
    </row>
    <row r="53" spans="5:14" ht="12.95" customHeight="1">
      <c r="E53" s="308"/>
      <c r="F53" s="334"/>
      <c r="J53" s="391"/>
      <c r="M53" s="391"/>
      <c r="N53" s="350" t="str">
        <f t="shared" si="1"/>
        <v/>
      </c>
    </row>
    <row r="54" spans="5:14" ht="12.95" customHeight="1">
      <c r="E54" s="308"/>
      <c r="F54" s="334"/>
      <c r="J54" s="391"/>
      <c r="M54" s="391"/>
      <c r="N54" s="350" t="str">
        <f t="shared" si="1"/>
        <v/>
      </c>
    </row>
    <row r="55" spans="5:14" ht="12.95" customHeight="1">
      <c r="E55" s="308"/>
      <c r="F55" s="334"/>
      <c r="J55" s="391"/>
      <c r="M55" s="391"/>
      <c r="N55" s="350" t="str">
        <f t="shared" si="1"/>
        <v/>
      </c>
    </row>
    <row r="56" spans="5:14" ht="12.95" customHeight="1">
      <c r="E56" s="308"/>
      <c r="F56" s="334"/>
      <c r="J56" s="391"/>
      <c r="M56" s="391"/>
      <c r="N56" s="350" t="str">
        <f t="shared" si="1"/>
        <v/>
      </c>
    </row>
    <row r="57" spans="5:14" ht="12.95" customHeight="1">
      <c r="E57" s="308"/>
      <c r="F57" s="334"/>
      <c r="J57" s="391"/>
      <c r="M57" s="391"/>
      <c r="N57" s="350" t="str">
        <f t="shared" si="1"/>
        <v/>
      </c>
    </row>
    <row r="58" spans="5:14" ht="12.95" customHeight="1">
      <c r="E58" s="308"/>
      <c r="F58" s="334"/>
      <c r="J58" s="391"/>
      <c r="M58" s="391"/>
      <c r="N58" s="350" t="str">
        <f t="shared" si="1"/>
        <v/>
      </c>
    </row>
    <row r="59" spans="5:14" ht="12.95" customHeight="1">
      <c r="E59" s="308"/>
      <c r="F59" s="334"/>
      <c r="J59" s="391"/>
      <c r="M59" s="391"/>
      <c r="N59" s="350" t="str">
        <f t="shared" si="1"/>
        <v/>
      </c>
    </row>
    <row r="60" spans="5:14" ht="17.100000000000001" customHeight="1">
      <c r="E60" s="308"/>
      <c r="F60" s="334"/>
      <c r="J60" s="391"/>
      <c r="M60" s="391"/>
      <c r="N60" s="350" t="str">
        <f t="shared" si="1"/>
        <v/>
      </c>
    </row>
    <row r="61" spans="5:14" ht="14.25">
      <c r="E61" s="308"/>
      <c r="F61" s="334"/>
      <c r="J61" s="391"/>
      <c r="M61" s="391"/>
      <c r="N61" s="350" t="str">
        <f t="shared" si="1"/>
        <v/>
      </c>
    </row>
    <row r="62" spans="5:14" ht="14.25">
      <c r="E62" s="308"/>
      <c r="F62" s="334"/>
      <c r="J62" s="391"/>
      <c r="M62" s="391"/>
      <c r="N62" s="350" t="str">
        <f t="shared" si="1"/>
        <v/>
      </c>
    </row>
    <row r="63" spans="5:14" ht="14.25">
      <c r="E63" s="308"/>
      <c r="F63" s="334"/>
      <c r="J63" s="391"/>
      <c r="M63" s="391"/>
      <c r="N63" s="350" t="str">
        <f t="shared" si="1"/>
        <v/>
      </c>
    </row>
    <row r="64" spans="5:14" ht="14.25">
      <c r="E64" s="308"/>
      <c r="F64" s="334"/>
      <c r="J64" s="391"/>
      <c r="M64" s="391"/>
      <c r="N64" s="350" t="str">
        <f t="shared" si="1"/>
        <v/>
      </c>
    </row>
    <row r="65" spans="5:14" ht="14.25">
      <c r="E65" s="308"/>
      <c r="F65" s="334"/>
      <c r="J65" s="391"/>
      <c r="M65" s="391"/>
      <c r="N65" s="350" t="str">
        <f t="shared" si="1"/>
        <v/>
      </c>
    </row>
    <row r="66" spans="5:14" ht="14.25">
      <c r="E66" s="308"/>
      <c r="F66" s="334"/>
      <c r="J66" s="391"/>
      <c r="M66" s="391"/>
      <c r="N66" s="350" t="str">
        <f t="shared" si="1"/>
        <v/>
      </c>
    </row>
    <row r="67" spans="5:14" ht="14.25">
      <c r="E67" s="308"/>
      <c r="F67" s="334"/>
      <c r="J67" s="391"/>
      <c r="M67" s="391"/>
    </row>
    <row r="68" spans="5:14" ht="14.25">
      <c r="E68" s="308"/>
      <c r="F68" s="334"/>
      <c r="J68" s="391"/>
      <c r="M68" s="391"/>
    </row>
    <row r="69" spans="5:14" ht="14.25">
      <c r="E69" s="308"/>
      <c r="F69" s="334"/>
      <c r="J69" s="391"/>
      <c r="M69" s="391"/>
    </row>
    <row r="70" spans="5:14" ht="14.25">
      <c r="E70" s="308"/>
      <c r="F70" s="334"/>
      <c r="J70" s="391"/>
      <c r="M70" s="391"/>
    </row>
    <row r="71" spans="5:14" ht="14.25">
      <c r="E71" s="308"/>
      <c r="F71" s="334"/>
      <c r="J71" s="391"/>
      <c r="M71" s="391"/>
    </row>
    <row r="72" spans="5:14" ht="14.25">
      <c r="E72" s="308"/>
      <c r="F72" s="334"/>
      <c r="J72" s="391"/>
      <c r="M72" s="391"/>
    </row>
    <row r="73" spans="5:14" ht="14.25">
      <c r="E73" s="308"/>
      <c r="F73" s="334"/>
      <c r="J73" s="391"/>
      <c r="M73" s="391"/>
    </row>
    <row r="74" spans="5:14" ht="14.25">
      <c r="E74" s="308"/>
      <c r="F74" s="308"/>
      <c r="J74" s="391"/>
      <c r="M74" s="391"/>
    </row>
    <row r="75" spans="5:14" ht="14.25">
      <c r="E75" s="308"/>
      <c r="F75" s="308"/>
      <c r="J75" s="391"/>
      <c r="M75" s="391"/>
    </row>
    <row r="76" spans="5:14" ht="14.25">
      <c r="E76" s="308"/>
      <c r="F76" s="308"/>
      <c r="J76" s="391"/>
      <c r="M76" s="391"/>
    </row>
    <row r="77" spans="5:14" ht="14.25">
      <c r="E77" s="308"/>
      <c r="F77" s="308"/>
      <c r="J77" s="391"/>
      <c r="M77" s="391"/>
    </row>
    <row r="78" spans="5:14" ht="14.25">
      <c r="E78" s="308"/>
      <c r="F78" s="308"/>
      <c r="J78" s="391"/>
      <c r="M78" s="391"/>
    </row>
    <row r="79" spans="5:14" ht="14.25">
      <c r="E79" s="308"/>
      <c r="F79" s="308"/>
      <c r="J79" s="391"/>
      <c r="M79" s="391"/>
    </row>
    <row r="80" spans="5:14" ht="14.25">
      <c r="E80" s="308"/>
      <c r="F80" s="308"/>
      <c r="J80" s="391"/>
      <c r="M80" s="391"/>
    </row>
    <row r="81" spans="5:13" ht="14.25">
      <c r="E81" s="308"/>
      <c r="F81" s="308"/>
      <c r="J81" s="391"/>
      <c r="M81" s="391"/>
    </row>
    <row r="82" spans="5:13" ht="14.25">
      <c r="E82" s="308"/>
      <c r="F82" s="308"/>
      <c r="J82" s="391"/>
      <c r="M82" s="391"/>
    </row>
    <row r="83" spans="5:13" ht="14.25">
      <c r="E83" s="308"/>
      <c r="F83" s="308"/>
      <c r="J83" s="391"/>
      <c r="M83" s="391"/>
    </row>
    <row r="84" spans="5:13" ht="14.25">
      <c r="E84" s="308"/>
      <c r="F84" s="308"/>
      <c r="J84" s="391"/>
      <c r="M84" s="391"/>
    </row>
    <row r="85" spans="5:13" ht="14.25">
      <c r="E85" s="308"/>
      <c r="F85" s="308"/>
      <c r="J85" s="391"/>
      <c r="M85" s="391"/>
    </row>
    <row r="86" spans="5:13" ht="14.25">
      <c r="E86" s="308"/>
      <c r="F86" s="308"/>
      <c r="J86" s="391"/>
      <c r="M86" s="391"/>
    </row>
    <row r="87" spans="5:13" ht="14.25">
      <c r="E87" s="308"/>
      <c r="F87" s="308"/>
      <c r="J87" s="391"/>
      <c r="M87" s="391"/>
    </row>
    <row r="88" spans="5:13" ht="14.25">
      <c r="E88" s="308"/>
      <c r="F88" s="308"/>
      <c r="J88" s="391"/>
      <c r="M88" s="391"/>
    </row>
    <row r="89" spans="5:13" ht="14.25">
      <c r="E89" s="308"/>
      <c r="F89" s="308"/>
      <c r="J89" s="391"/>
      <c r="M89" s="391"/>
    </row>
    <row r="90" spans="5:13" ht="14.25">
      <c r="E90" s="308"/>
      <c r="F90" s="308"/>
      <c r="J90" s="391"/>
      <c r="M90" s="391"/>
    </row>
    <row r="91" spans="5:13">
      <c r="F91" s="308"/>
    </row>
    <row r="92" spans="5:13">
      <c r="F92" s="308"/>
    </row>
    <row r="93" spans="5:13">
      <c r="F93" s="308"/>
    </row>
    <row r="94" spans="5:13">
      <c r="F94" s="308"/>
    </row>
    <row r="95" spans="5:13">
      <c r="F95" s="308"/>
    </row>
    <row r="96" spans="5:13">
      <c r="F96" s="308"/>
    </row>
  </sheetData>
  <mergeCells count="10">
    <mergeCell ref="N4:N5"/>
    <mergeCell ref="G4:G5"/>
    <mergeCell ref="B2:J2"/>
    <mergeCell ref="H4:J4"/>
    <mergeCell ref="B4:B5"/>
    <mergeCell ref="C4:C5"/>
    <mergeCell ref="D4:D5"/>
    <mergeCell ref="F4:F5"/>
    <mergeCell ref="E4:E5"/>
    <mergeCell ref="K4:M4"/>
  </mergeCells>
  <phoneticPr fontId="2" type="noConversion"/>
  <pageMargins left="0.78740157480314965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45</vt:i4>
      </vt:variant>
      <vt:variant>
        <vt:lpstr>Imenovani rasponi</vt:lpstr>
      </vt:variant>
      <vt:variant>
        <vt:i4>43</vt:i4>
      </vt:variant>
    </vt:vector>
  </HeadingPairs>
  <TitlesOfParts>
    <vt:vector size="88" baseType="lpstr">
      <vt:lpstr>Naslovnica</vt:lpstr>
      <vt:lpstr>Sadrzaj</vt:lpstr>
      <vt:lpstr>Uvod</vt:lpstr>
      <vt:lpstr>Prihodi</vt:lpstr>
      <vt:lpstr>Rashodi</vt:lpstr>
      <vt:lpstr>1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36</vt:lpstr>
      <vt:lpstr>37</vt:lpstr>
      <vt:lpstr>Sumarno</vt:lpstr>
      <vt:lpstr>Funkcijska</vt:lpstr>
      <vt:lpstr>Kap.pror.</vt:lpstr>
      <vt:lpstr>Kraj</vt:lpstr>
      <vt:lpstr>Funkcijska!Ispis_naslova</vt:lpstr>
      <vt:lpstr>Prihodi!Ispis_naslova</vt:lpstr>
      <vt:lpstr>Rashodi!Ispis_naslova</vt:lpstr>
      <vt:lpstr>'10'!Podrucje_ispisa</vt:lpstr>
      <vt:lpstr>'11'!Podrucje_ispisa</vt:lpstr>
      <vt:lpstr>'12'!Podrucje_ispisa</vt:lpstr>
      <vt:lpstr>'13'!Podrucje_ispisa</vt:lpstr>
      <vt:lpstr>'14'!Podrucje_ispisa</vt:lpstr>
      <vt:lpstr>'15'!Podrucje_ispisa</vt:lpstr>
      <vt:lpstr>'16'!Podrucje_ispisa</vt:lpstr>
      <vt:lpstr>'17'!Podrucje_ispisa</vt:lpstr>
      <vt:lpstr>'18'!Podrucje_ispisa</vt:lpstr>
      <vt:lpstr>'19'!Podrucje_ispisa</vt:lpstr>
      <vt:lpstr>'20'!Podrucje_ispisa</vt:lpstr>
      <vt:lpstr>'21'!Podrucje_ispisa</vt:lpstr>
      <vt:lpstr>'22'!Podrucje_ispisa</vt:lpstr>
      <vt:lpstr>'23'!Podrucje_ispisa</vt:lpstr>
      <vt:lpstr>'24'!Podrucje_ispisa</vt:lpstr>
      <vt:lpstr>'25'!Podrucje_ispisa</vt:lpstr>
      <vt:lpstr>'26'!Podrucje_ispisa</vt:lpstr>
      <vt:lpstr>'27'!Podrucje_ispisa</vt:lpstr>
      <vt:lpstr>'28'!Podrucje_ispisa</vt:lpstr>
      <vt:lpstr>'29'!Podrucje_ispisa</vt:lpstr>
      <vt:lpstr>'30'!Podrucje_ispisa</vt:lpstr>
      <vt:lpstr>'31'!Podrucje_ispisa</vt:lpstr>
      <vt:lpstr>'32'!Podrucje_ispisa</vt:lpstr>
      <vt:lpstr>'33'!Podrucje_ispisa</vt:lpstr>
      <vt:lpstr>'34'!Podrucje_ispisa</vt:lpstr>
      <vt:lpstr>'35'!Podrucje_ispisa</vt:lpstr>
      <vt:lpstr>'36'!Podrucje_ispisa</vt:lpstr>
      <vt:lpstr>'37'!Podrucje_ispisa</vt:lpstr>
      <vt:lpstr>'4'!Podrucje_ispisa</vt:lpstr>
      <vt:lpstr>'5'!Podrucje_ispisa</vt:lpstr>
      <vt:lpstr>'6'!Podrucje_ispisa</vt:lpstr>
      <vt:lpstr>'7'!Podrucje_ispisa</vt:lpstr>
      <vt:lpstr>'8'!Podrucje_ispisa</vt:lpstr>
      <vt:lpstr>'9'!Podrucje_ispisa</vt:lpstr>
      <vt:lpstr>Funkcijska!Podrucje_ispisa</vt:lpstr>
      <vt:lpstr>Kraj!Podrucje_ispisa</vt:lpstr>
      <vt:lpstr>Prihodi!Podrucje_ispisa</vt:lpstr>
      <vt:lpstr>Rashodi!Podrucje_ispisa</vt:lpstr>
      <vt:lpstr>Sadrzaj!Podrucje_ispisa</vt:lpstr>
      <vt:lpstr>Uvod!Podrucje_ispisa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operater</dc:creator>
  <cp:lastModifiedBy>Ružica Živković</cp:lastModifiedBy>
  <cp:lastPrinted>2019-05-07T11:55:57Z</cp:lastPrinted>
  <dcterms:created xsi:type="dcterms:W3CDTF">2004-07-23T11:14:23Z</dcterms:created>
  <dcterms:modified xsi:type="dcterms:W3CDTF">2019-09-23T12:55:12Z</dcterms:modified>
</cp:coreProperties>
</file>