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-15" windowWidth="28845" windowHeight="6450" tabRatio="964" activeTab="27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" sheetId="65066" r:id="rId9"/>
    <sheet name="5" sheetId="65067" r:id="rId10"/>
    <sheet name="6" sheetId="65099" r:id="rId11"/>
    <sheet name="7" sheetId="65123" r:id="rId12"/>
    <sheet name="8" sheetId="65068" r:id="rId13"/>
    <sheet name="9" sheetId="65069" r:id="rId14"/>
    <sheet name="10" sheetId="65070" r:id="rId15"/>
    <sheet name="11" sheetId="65071" r:id="rId16"/>
    <sheet name="12" sheetId="65074" r:id="rId17"/>
    <sheet name="13" sheetId="65100" r:id="rId18"/>
    <sheet name="14" sheetId="65115" r:id="rId19"/>
    <sheet name="15" sheetId="65075" r:id="rId20"/>
    <sheet name="16" sheetId="65076" r:id="rId21"/>
    <sheet name="17" sheetId="65077" r:id="rId22"/>
    <sheet name="18" sheetId="65078" r:id="rId23"/>
    <sheet name="19" sheetId="65079" r:id="rId24"/>
    <sheet name="20" sheetId="65080" r:id="rId25"/>
    <sheet name="21" sheetId="65082" r:id="rId26"/>
    <sheet name="22" sheetId="65081" r:id="rId27"/>
    <sheet name="23" sheetId="65122" r:id="rId28"/>
    <sheet name="24" sheetId="65083" r:id="rId29"/>
    <sheet name="25" sheetId="65084" r:id="rId30"/>
    <sheet name="26" sheetId="65085" r:id="rId31"/>
    <sheet name="27" sheetId="65086" r:id="rId32"/>
    <sheet name="28" sheetId="65087" r:id="rId33"/>
    <sheet name="29" sheetId="65088" r:id="rId34"/>
    <sheet name="30" sheetId="65089" r:id="rId35"/>
    <sheet name="31" sheetId="65093" r:id="rId36"/>
    <sheet name="32" sheetId="65094" r:id="rId37"/>
    <sheet name="33" sheetId="65095" r:id="rId38"/>
    <sheet name="34" sheetId="65096" r:id="rId39"/>
    <sheet name="35" sheetId="65097" r:id="rId40"/>
    <sheet name="36" sheetId="65098" r:id="rId41"/>
    <sheet name="37" sheetId="65105" r:id="rId42"/>
    <sheet name="Sumarno" sheetId="65124" r:id="rId43"/>
    <sheet name="Funkcijska" sheetId="65137" r:id="rId44"/>
    <sheet name="Kap.pror." sheetId="65125" r:id="rId45"/>
    <sheet name="Kraj" sheetId="65061" r:id="rId4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43">Funkcijska!$1:$6</definedName>
    <definedName name="_xlnm.Print_Titles" localSheetId="4">Prihodi!$2:$4</definedName>
    <definedName name="_xlnm.Print_Titles" localSheetId="5">Rashodi!$1:$6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14">'10'!$A$1:$N$57</definedName>
    <definedName name="_xlnm.Print_Area" localSheetId="15">'11'!$A$1:$N$57</definedName>
    <definedName name="_xlnm.Print_Area" localSheetId="16">'12'!$A$1:$N$57</definedName>
    <definedName name="_xlnm.Print_Area" localSheetId="17">'13'!$A$1:$N$57</definedName>
    <definedName name="_xlnm.Print_Area" localSheetId="18">'14'!$A$1:$N$57</definedName>
    <definedName name="_xlnm.Print_Area" localSheetId="19">'15'!$A$1:$N$42</definedName>
    <definedName name="_xlnm.Print_Area" localSheetId="20">'16'!$A$1:$N$54</definedName>
    <definedName name="_xlnm.Print_Area" localSheetId="21">'17'!$A$1:$N$44</definedName>
    <definedName name="_xlnm.Print_Area" localSheetId="22">'18'!$A$1:$N$57</definedName>
    <definedName name="_xlnm.Print_Area" localSheetId="23">'19'!$A$1:$N$57</definedName>
    <definedName name="_xlnm.Print_Area" localSheetId="24">'20'!$A$1:$N$57</definedName>
    <definedName name="_xlnm.Print_Area" localSheetId="25">'21'!$A$1:$N$36</definedName>
    <definedName name="_xlnm.Print_Area" localSheetId="26">'22'!$A$1:$N$57</definedName>
    <definedName name="_xlnm.Print_Area" localSheetId="27">'23'!$A$1:$N$57</definedName>
    <definedName name="_xlnm.Print_Area" localSheetId="28">'24'!$A$1:$N$57</definedName>
    <definedName name="_xlnm.Print_Area" localSheetId="29">'25'!$A$1:$N$57</definedName>
    <definedName name="_xlnm.Print_Area" localSheetId="30">'26'!$A$1:$N$57</definedName>
    <definedName name="_xlnm.Print_Area" localSheetId="31">'27'!$A$1:$N$57</definedName>
    <definedName name="_xlnm.Print_Area" localSheetId="32">'28'!$A$1:$N$57</definedName>
    <definedName name="_xlnm.Print_Area" localSheetId="33">'29'!$A$1:$N$57</definedName>
    <definedName name="_xlnm.Print_Area" localSheetId="34">'30'!$A$1:$N$57</definedName>
    <definedName name="_xlnm.Print_Area" localSheetId="35">'31'!$A$1:$N$57</definedName>
    <definedName name="_xlnm.Print_Area" localSheetId="36">'32'!$A$1:$N$57</definedName>
    <definedName name="_xlnm.Print_Area" localSheetId="37">'33'!$A$1:$N$57</definedName>
    <definedName name="_xlnm.Print_Area" localSheetId="38">'34'!$A$1:$N$57</definedName>
    <definedName name="_xlnm.Print_Area" localSheetId="39">'35'!$A$1:$N$57</definedName>
    <definedName name="_xlnm.Print_Area" localSheetId="40">'36'!$A$1:$N$57</definedName>
    <definedName name="_xlnm.Print_Area" localSheetId="41">'37'!$A$1:$N$57</definedName>
    <definedName name="_xlnm.Print_Area" localSheetId="8">'4'!$A$1:$N$59</definedName>
    <definedName name="_xlnm.Print_Area" localSheetId="9">'5'!$A$1:$N$59</definedName>
    <definedName name="_xlnm.Print_Area" localSheetId="10">'6'!$A$1:$N$59</definedName>
    <definedName name="_xlnm.Print_Area" localSheetId="11">'7'!$A$1:$N$57</definedName>
    <definedName name="_xlnm.Print_Area" localSheetId="12">'8'!$A$1:$N$57</definedName>
    <definedName name="_xlnm.Print_Area" localSheetId="13">'9'!$A$1:$N$57</definedName>
    <definedName name="_xlnm.Print_Area" localSheetId="43">Funkcijska!$A$7:$G$106</definedName>
    <definedName name="_xlnm.Print_Area" localSheetId="45">Kraj!$A$1:$H$23</definedName>
    <definedName name="_xlnm.Print_Area" localSheetId="4">Prihodi!$B$4:$F$226</definedName>
    <definedName name="_xlnm.Print_Area" localSheetId="5">Rashodi!$C$7:$L$119</definedName>
    <definedName name="_xlnm.Print_Area" localSheetId="1">Sadrzaj!$A$1:$U$33</definedName>
    <definedName name="_xlnm.Print_Area" localSheetId="2">Uvod!$B$1:$F$45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I31" i="65122"/>
  <c r="D31" i="65125"/>
  <c r="K30" i="65084"/>
  <c r="K31" i="65122"/>
  <c r="K30" i="65088"/>
  <c r="E86" i="65137"/>
  <c r="M24" i="65078" l="1"/>
  <c r="M18" i="65074"/>
  <c r="M19"/>
  <c r="M20"/>
  <c r="M21"/>
  <c r="M22"/>
  <c r="M23"/>
  <c r="M24"/>
  <c r="M25"/>
  <c r="M26"/>
  <c r="M17"/>
  <c r="K108" i="300"/>
  <c r="K107"/>
  <c r="K106"/>
  <c r="H108"/>
  <c r="H107"/>
  <c r="H106"/>
  <c r="J103"/>
  <c r="I103"/>
  <c r="J102"/>
  <c r="I102"/>
  <c r="J101"/>
  <c r="I101"/>
  <c r="J100"/>
  <c r="I100"/>
  <c r="K103"/>
  <c r="K102"/>
  <c r="K100"/>
  <c r="H103"/>
  <c r="H102"/>
  <c r="J97"/>
  <c r="I97"/>
  <c r="K97" s="1"/>
  <c r="J96"/>
  <c r="I96"/>
  <c r="K96" s="1"/>
  <c r="J95"/>
  <c r="I95"/>
  <c r="K95" s="1"/>
  <c r="H97"/>
  <c r="H96"/>
  <c r="H95"/>
  <c r="K44"/>
  <c r="K43"/>
  <c r="K41"/>
  <c r="K40"/>
  <c r="K39"/>
  <c r="H44"/>
  <c r="H43"/>
  <c r="H41"/>
  <c r="H40"/>
  <c r="H39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4"/>
  <c r="I44"/>
  <c r="J43"/>
  <c r="I43"/>
  <c r="J42"/>
  <c r="I42"/>
  <c r="K42" s="1"/>
  <c r="J41"/>
  <c r="I41"/>
  <c r="J40"/>
  <c r="I40"/>
  <c r="J39"/>
  <c r="I39"/>
  <c r="J38"/>
  <c r="I38"/>
  <c r="K38" s="1"/>
  <c r="J37"/>
  <c r="I37"/>
  <c r="K37" s="1"/>
  <c r="J36"/>
  <c r="I36"/>
  <c r="K36" s="1"/>
  <c r="J35"/>
  <c r="I35"/>
  <c r="K35" s="1"/>
  <c r="J34"/>
  <c r="I34"/>
  <c r="K34" s="1"/>
  <c r="J33"/>
  <c r="I33"/>
  <c r="K33" s="1"/>
  <c r="J32"/>
  <c r="I32"/>
  <c r="K32" s="1"/>
  <c r="J31"/>
  <c r="I31"/>
  <c r="K31" s="1"/>
  <c r="J30"/>
  <c r="I30"/>
  <c r="K30" s="1"/>
  <c r="J29"/>
  <c r="I29"/>
  <c r="K29" s="1"/>
  <c r="J28"/>
  <c r="I28"/>
  <c r="K28" s="1"/>
  <c r="J27"/>
  <c r="I27"/>
  <c r="K27" s="1"/>
  <c r="J26"/>
  <c r="I26"/>
  <c r="K26" s="1"/>
  <c r="J25"/>
  <c r="I25"/>
  <c r="K25" s="1"/>
  <c r="J24"/>
  <c r="J22"/>
  <c r="I22"/>
  <c r="J21"/>
  <c r="I21"/>
  <c r="J19"/>
  <c r="I19"/>
  <c r="J18"/>
  <c r="I18"/>
  <c r="J17"/>
  <c r="I17"/>
  <c r="J16"/>
  <c r="I16"/>
  <c r="J15"/>
  <c r="I15"/>
  <c r="J13"/>
  <c r="I13"/>
  <c r="J12"/>
  <c r="I12"/>
  <c r="J11"/>
  <c r="I11"/>
  <c r="J10"/>
  <c r="I10"/>
  <c r="J9"/>
  <c r="I9"/>
  <c r="F32"/>
  <c r="F38"/>
  <c r="G26"/>
  <c r="G27"/>
  <c r="G28"/>
  <c r="G29"/>
  <c r="G30"/>
  <c r="F26"/>
  <c r="H26" s="1"/>
  <c r="F27"/>
  <c r="H27" s="1"/>
  <c r="F28"/>
  <c r="H28" s="1"/>
  <c r="F29"/>
  <c r="H29" s="1"/>
  <c r="F30"/>
  <c r="H30" s="1"/>
  <c r="K20" i="65080"/>
  <c r="J108" i="300"/>
  <c r="J107"/>
  <c r="J106"/>
  <c r="J105"/>
  <c r="J94"/>
  <c r="J92"/>
  <c r="J91"/>
  <c r="I108"/>
  <c r="I107"/>
  <c r="I106"/>
  <c r="I105"/>
  <c r="I99"/>
  <c r="I94"/>
  <c r="I92"/>
  <c r="I91"/>
  <c r="K101" l="1"/>
  <c r="K99" s="1"/>
  <c r="J99"/>
  <c r="I24"/>
  <c r="I7" l="1"/>
  <c r="J7"/>
  <c r="F101" l="1"/>
  <c r="H101" s="1"/>
  <c r="G101"/>
  <c r="G100"/>
  <c r="F100"/>
  <c r="G92"/>
  <c r="F92"/>
  <c r="G88"/>
  <c r="G89"/>
  <c r="F89"/>
  <c r="F88"/>
  <c r="G61"/>
  <c r="F61"/>
  <c r="H100" l="1"/>
  <c r="H31" i="65122"/>
  <c r="K32" i="65077" l="1"/>
  <c r="K13" i="65071"/>
  <c r="K22" i="300" l="1"/>
  <c r="K92"/>
  <c r="K11"/>
  <c r="K12"/>
  <c r="K13"/>
  <c r="K10"/>
  <c r="K17"/>
  <c r="K18"/>
  <c r="K19"/>
  <c r="K16"/>
  <c r="D163" i="65139"/>
  <c r="D170"/>
  <c r="E170"/>
  <c r="F171"/>
  <c r="E221"/>
  <c r="F222"/>
  <c r="D202"/>
  <c r="E202"/>
  <c r="E205"/>
  <c r="E204" s="1"/>
  <c r="D205"/>
  <c r="D204" s="1"/>
  <c r="F203"/>
  <c r="F197"/>
  <c r="F210" l="1"/>
  <c r="F209"/>
  <c r="F208"/>
  <c r="E131"/>
  <c r="D131"/>
  <c r="F138"/>
  <c r="F119"/>
  <c r="E118"/>
  <c r="D118"/>
  <c r="F118" s="1"/>
  <c r="K30" i="65086"/>
  <c r="N32" i="65093"/>
  <c r="N32" i="65122"/>
  <c r="N32" i="65080"/>
  <c r="N32" i="65079"/>
  <c r="N32" i="65078"/>
  <c r="N32" i="65071"/>
  <c r="N32" i="65066"/>
  <c r="D66" i="65139" l="1"/>
  <c r="E66"/>
  <c r="F67"/>
  <c r="K28" i="65083"/>
  <c r="K16"/>
  <c r="K13"/>
  <c r="K8"/>
  <c r="L8" i="65099"/>
  <c r="F225" i="65139" l="1"/>
  <c r="F224"/>
  <c r="F223"/>
  <c r="F221"/>
  <c r="F217"/>
  <c r="F215"/>
  <c r="F214"/>
  <c r="F213"/>
  <c r="F211"/>
  <c r="F207"/>
  <c r="F206"/>
  <c r="F205"/>
  <c r="F201"/>
  <c r="F200"/>
  <c r="F199"/>
  <c r="F198"/>
  <c r="F196"/>
  <c r="F195"/>
  <c r="F193"/>
  <c r="F190"/>
  <c r="F189"/>
  <c r="F188"/>
  <c r="F187"/>
  <c r="F186"/>
  <c r="F181"/>
  <c r="F180"/>
  <c r="F179"/>
  <c r="F176"/>
  <c r="F175"/>
  <c r="F173"/>
  <c r="F170"/>
  <c r="F169"/>
  <c r="F168"/>
  <c r="F167"/>
  <c r="F166"/>
  <c r="F165"/>
  <c r="F160"/>
  <c r="F159"/>
  <c r="F158"/>
  <c r="F156"/>
  <c r="F152"/>
  <c r="F150"/>
  <c r="F149"/>
  <c r="F147"/>
  <c r="F146"/>
  <c r="F143"/>
  <c r="F142"/>
  <c r="F141"/>
  <c r="F140"/>
  <c r="F137"/>
  <c r="F136"/>
  <c r="F135"/>
  <c r="F134"/>
  <c r="F133"/>
  <c r="F132"/>
  <c r="F130"/>
  <c r="F129"/>
  <c r="F128"/>
  <c r="F127"/>
  <c r="F126"/>
  <c r="F117"/>
  <c r="F114"/>
  <c r="F112"/>
  <c r="F111"/>
  <c r="F110"/>
  <c r="F109"/>
  <c r="F107"/>
  <c r="F106"/>
  <c r="F105"/>
  <c r="F104"/>
  <c r="F103"/>
  <c r="F102"/>
  <c r="F101"/>
  <c r="F100"/>
  <c r="F99"/>
  <c r="F96"/>
  <c r="F95"/>
  <c r="F94"/>
  <c r="F93"/>
  <c r="F90"/>
  <c r="F89"/>
  <c r="F85"/>
  <c r="F84"/>
  <c r="F82"/>
  <c r="F81"/>
  <c r="F80"/>
  <c r="F78"/>
  <c r="F75"/>
  <c r="F73"/>
  <c r="F70"/>
  <c r="F68"/>
  <c r="F66"/>
  <c r="F65"/>
  <c r="F64"/>
  <c r="F63"/>
  <c r="F61"/>
  <c r="F60"/>
  <c r="F56"/>
  <c r="F55"/>
  <c r="F54"/>
  <c r="F53"/>
  <c r="F50"/>
  <c r="F49"/>
  <c r="F48"/>
  <c r="F45"/>
  <c r="F44"/>
  <c r="F43"/>
  <c r="F42"/>
  <c r="F41"/>
  <c r="F40"/>
  <c r="F39"/>
  <c r="F36"/>
  <c r="F32"/>
  <c r="F31"/>
  <c r="F30"/>
  <c r="F29"/>
  <c r="F26"/>
  <c r="F25"/>
  <c r="F24"/>
  <c r="F23"/>
  <c r="F22"/>
  <c r="F21"/>
  <c r="F18"/>
  <c r="F14"/>
  <c r="F13"/>
  <c r="F11"/>
  <c r="F10"/>
  <c r="F9"/>
  <c r="F8"/>
  <c r="D220"/>
  <c r="D219" s="1"/>
  <c r="D212"/>
  <c r="D19" i="304" s="1"/>
  <c r="D194" i="65139"/>
  <c r="D192" s="1"/>
  <c r="D185"/>
  <c r="D184" s="1"/>
  <c r="D183" s="1"/>
  <c r="D178"/>
  <c r="D177" s="1"/>
  <c r="F177" s="1"/>
  <c r="D174"/>
  <c r="D172"/>
  <c r="F172" s="1"/>
  <c r="D164"/>
  <c r="D157"/>
  <c r="D155" s="1"/>
  <c r="D154" s="1"/>
  <c r="D148"/>
  <c r="F148" s="1"/>
  <c r="D145"/>
  <c r="D144" s="1"/>
  <c r="D139"/>
  <c r="D125"/>
  <c r="D124" s="1"/>
  <c r="D123"/>
  <c r="D122" s="1"/>
  <c r="D121"/>
  <c r="D120" s="1"/>
  <c r="D116"/>
  <c r="D113"/>
  <c r="D108"/>
  <c r="D98"/>
  <c r="D97" s="1"/>
  <c r="D92"/>
  <c r="D88"/>
  <c r="D87" s="1"/>
  <c r="D86" s="1"/>
  <c r="D83"/>
  <c r="D79"/>
  <c r="D77" s="1"/>
  <c r="D76" s="1"/>
  <c r="D74"/>
  <c r="D72"/>
  <c r="D69"/>
  <c r="D62"/>
  <c r="D59"/>
  <c r="D58"/>
  <c r="D52"/>
  <c r="D51" s="1"/>
  <c r="D47"/>
  <c r="D46" s="1"/>
  <c r="D38"/>
  <c r="D37" s="1"/>
  <c r="D35"/>
  <c r="D34"/>
  <c r="F34" s="1"/>
  <c r="D33"/>
  <c r="D28"/>
  <c r="D27"/>
  <c r="D20"/>
  <c r="D19"/>
  <c r="D17"/>
  <c r="F17" s="1"/>
  <c r="D16"/>
  <c r="D15" s="1"/>
  <c r="D12"/>
  <c r="D7"/>
  <c r="D6" s="1"/>
  <c r="L109" i="300"/>
  <c r="L104"/>
  <c r="L98"/>
  <c r="L93"/>
  <c r="L90"/>
  <c r="L45"/>
  <c r="L23"/>
  <c r="L20"/>
  <c r="L14"/>
  <c r="L8"/>
  <c r="N66" i="6506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20"/>
  <c r="N19"/>
  <c r="N18"/>
  <c r="N15"/>
  <c r="N12"/>
  <c r="N11"/>
  <c r="N66" i="6509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18"/>
  <c r="N15"/>
  <c r="N12"/>
  <c r="N11"/>
  <c r="N66" i="6512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6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06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15"/>
  <c r="N12"/>
  <c r="N11"/>
  <c r="N66" i="6507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30"/>
  <c r="N29"/>
  <c r="N28"/>
  <c r="N27"/>
  <c r="N26"/>
  <c r="N24"/>
  <c r="N22"/>
  <c r="N21"/>
  <c r="N18"/>
  <c r="N15"/>
  <c r="N12"/>
  <c r="N11"/>
  <c r="N66" i="6507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0"/>
  <c r="N28"/>
  <c r="N27"/>
  <c r="N26"/>
  <c r="N22"/>
  <c r="N15"/>
  <c r="N12"/>
  <c r="N11"/>
  <c r="N66" i="6507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15"/>
  <c r="N12"/>
  <c r="N66" i="6510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1"/>
  <c r="N29"/>
  <c r="N27"/>
  <c r="N26"/>
  <c r="N24"/>
  <c r="N22"/>
  <c r="N21"/>
  <c r="N18"/>
  <c r="N15"/>
  <c r="N12"/>
  <c r="N11"/>
  <c r="N66" i="6511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7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5"/>
  <c r="N33"/>
  <c r="N31"/>
  <c r="N28"/>
  <c r="N26"/>
  <c r="N24"/>
  <c r="N22"/>
  <c r="N21"/>
  <c r="N18"/>
  <c r="N15"/>
  <c r="N12"/>
  <c r="N11"/>
  <c r="N66" i="65076"/>
  <c r="N65"/>
  <c r="N64"/>
  <c r="N63"/>
  <c r="N62"/>
  <c r="N61"/>
  <c r="N60"/>
  <c r="N59"/>
  <c r="N58"/>
  <c r="N57"/>
  <c r="N56"/>
  <c r="N55"/>
  <c r="N54"/>
  <c r="N53"/>
  <c r="N48"/>
  <c r="N44"/>
  <c r="N42"/>
  <c r="N40"/>
  <c r="N36"/>
  <c r="N31"/>
  <c r="N30"/>
  <c r="N25"/>
  <c r="N24"/>
  <c r="N21"/>
  <c r="N18"/>
  <c r="N15"/>
  <c r="N14"/>
  <c r="N10"/>
  <c r="N66" i="6507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5"/>
  <c r="N33"/>
  <c r="N30"/>
  <c r="N27"/>
  <c r="N26"/>
  <c r="N24"/>
  <c r="N22"/>
  <c r="N21"/>
  <c r="N18"/>
  <c r="N15"/>
  <c r="N12"/>
  <c r="N11"/>
  <c r="N66" i="6507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4"/>
  <c r="N28"/>
  <c r="N27"/>
  <c r="N25"/>
  <c r="N22"/>
  <c r="N21"/>
  <c r="N20"/>
  <c r="N18"/>
  <c r="N15"/>
  <c r="N12"/>
  <c r="N11"/>
  <c r="N66" i="6507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5"/>
  <c r="N33"/>
  <c r="N27"/>
  <c r="N26"/>
  <c r="N18"/>
  <c r="N15"/>
  <c r="N12"/>
  <c r="N11"/>
  <c r="N66" i="65080"/>
  <c r="N65"/>
  <c r="N64"/>
  <c r="N63"/>
  <c r="N62"/>
  <c r="N61"/>
  <c r="N60"/>
  <c r="N59"/>
  <c r="N58"/>
  <c r="N57"/>
  <c r="N56"/>
  <c r="N55"/>
  <c r="N54"/>
  <c r="N53"/>
  <c r="N50"/>
  <c r="N47"/>
  <c r="N45"/>
  <c r="N43"/>
  <c r="N40"/>
  <c r="N29"/>
  <c r="N28"/>
  <c r="N25"/>
  <c r="N24"/>
  <c r="N22"/>
  <c r="N21"/>
  <c r="N18"/>
  <c r="N15"/>
  <c r="N12"/>
  <c r="N11"/>
  <c r="N66" i="65082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122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28"/>
  <c r="N27"/>
  <c r="N26"/>
  <c r="N24"/>
  <c r="N22"/>
  <c r="N15"/>
  <c r="N12"/>
  <c r="N11"/>
  <c r="N66" i="6508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66" i="6508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21"/>
  <c r="N15"/>
  <c r="N12"/>
  <c r="N11"/>
  <c r="N66" i="6508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2"/>
  <c r="N15"/>
  <c r="N12"/>
  <c r="N11"/>
  <c r="N66" i="6508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66" i="6508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15"/>
  <c r="N12"/>
  <c r="N11"/>
  <c r="N66" i="6509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4"/>
  <c r="N30"/>
  <c r="N27"/>
  <c r="N26"/>
  <c r="N24"/>
  <c r="N22"/>
  <c r="N21"/>
  <c r="N18"/>
  <c r="N15"/>
  <c r="N12"/>
  <c r="N11"/>
  <c r="N66" i="6509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30"/>
  <c r="N29"/>
  <c r="N28"/>
  <c r="N27"/>
  <c r="N26"/>
  <c r="N24"/>
  <c r="N22"/>
  <c r="N21"/>
  <c r="N15"/>
  <c r="N12"/>
  <c r="N11"/>
  <c r="N66" i="6509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5"/>
  <c r="N33"/>
  <c r="N31"/>
  <c r="N30"/>
  <c r="N27"/>
  <c r="N26"/>
  <c r="N22"/>
  <c r="N15"/>
  <c r="N12"/>
  <c r="N11"/>
  <c r="N66" i="6509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7"/>
  <c r="N26"/>
  <c r="N22"/>
  <c r="N15"/>
  <c r="N12"/>
  <c r="N11"/>
  <c r="N66" i="6509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9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10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0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4"/>
  <c r="N30"/>
  <c r="N27"/>
  <c r="N26"/>
  <c r="N24"/>
  <c r="N22"/>
  <c r="N21"/>
  <c r="N20"/>
  <c r="N18"/>
  <c r="N15"/>
  <c r="N12"/>
  <c r="N11"/>
  <c r="N54" i="65065"/>
  <c r="N51"/>
  <c r="N49"/>
  <c r="N46"/>
  <c r="N35"/>
  <c r="N33"/>
  <c r="N27"/>
  <c r="N23"/>
  <c r="N20"/>
  <c r="N17"/>
  <c r="N12"/>
  <c r="E77" i="65137"/>
  <c r="E68"/>
  <c r="E61"/>
  <c r="E54"/>
  <c r="E47"/>
  <c r="E40"/>
  <c r="E30"/>
  <c r="E23"/>
  <c r="E17"/>
  <c r="E8"/>
  <c r="M34" i="65075"/>
  <c r="N34" s="1"/>
  <c r="M33"/>
  <c r="L32"/>
  <c r="K32"/>
  <c r="D20" i="65125" s="1"/>
  <c r="M30" i="65075"/>
  <c r="M29" s="1"/>
  <c r="N29" s="1"/>
  <c r="L29"/>
  <c r="K29"/>
  <c r="M27"/>
  <c r="N27" s="1"/>
  <c r="M26"/>
  <c r="M25"/>
  <c r="N25" s="1"/>
  <c r="M24"/>
  <c r="M23"/>
  <c r="N23" s="1"/>
  <c r="M22"/>
  <c r="M21"/>
  <c r="M20"/>
  <c r="M19"/>
  <c r="M18"/>
  <c r="M17"/>
  <c r="L16"/>
  <c r="K16"/>
  <c r="M14"/>
  <c r="N14" s="1"/>
  <c r="L13"/>
  <c r="K13"/>
  <c r="M11"/>
  <c r="M10"/>
  <c r="N10" s="1"/>
  <c r="M9"/>
  <c r="C18" i="65124" s="1"/>
  <c r="L8" i="65075"/>
  <c r="K8"/>
  <c r="M47" i="65076"/>
  <c r="N47" s="1"/>
  <c r="M46"/>
  <c r="N46" s="1"/>
  <c r="L45"/>
  <c r="K45"/>
  <c r="M43"/>
  <c r="N43" s="1"/>
  <c r="M42"/>
  <c r="L41"/>
  <c r="K41"/>
  <c r="D21" i="65125" s="1"/>
  <c r="M39" i="65076"/>
  <c r="M38"/>
  <c r="N38" s="1"/>
  <c r="L37"/>
  <c r="K37"/>
  <c r="M35"/>
  <c r="M34"/>
  <c r="M33"/>
  <c r="L32"/>
  <c r="K32"/>
  <c r="M30"/>
  <c r="M29"/>
  <c r="M28"/>
  <c r="N28" s="1"/>
  <c r="M27"/>
  <c r="N27" s="1"/>
  <c r="M26"/>
  <c r="N26" s="1"/>
  <c r="M25"/>
  <c r="M24"/>
  <c r="M23"/>
  <c r="N23" s="1"/>
  <c r="M22"/>
  <c r="N22" s="1"/>
  <c r="M21"/>
  <c r="M20"/>
  <c r="L19"/>
  <c r="M17"/>
  <c r="M16" s="1"/>
  <c r="L16"/>
  <c r="K16"/>
  <c r="M14"/>
  <c r="M13"/>
  <c r="M12"/>
  <c r="N12" s="1"/>
  <c r="L11"/>
  <c r="K11"/>
  <c r="M9"/>
  <c r="N9" s="1"/>
  <c r="L8"/>
  <c r="K8"/>
  <c r="M36" i="65077"/>
  <c r="N36" s="1"/>
  <c r="M35"/>
  <c r="L34"/>
  <c r="K34"/>
  <c r="D22" i="65125" s="1"/>
  <c r="M32" i="65077"/>
  <c r="M31"/>
  <c r="M30"/>
  <c r="M29"/>
  <c r="N29" s="1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N14" s="1"/>
  <c r="L13"/>
  <c r="K13"/>
  <c r="M11"/>
  <c r="M10"/>
  <c r="M9"/>
  <c r="N9" s="1"/>
  <c r="L8"/>
  <c r="K8"/>
  <c r="M36" i="65078"/>
  <c r="N36" s="1"/>
  <c r="M35"/>
  <c r="N35" s="1"/>
  <c r="M34"/>
  <c r="L33"/>
  <c r="K33"/>
  <c r="D23" i="65125" s="1"/>
  <c r="M31" i="65078"/>
  <c r="M30"/>
  <c r="N30" s="1"/>
  <c r="L29"/>
  <c r="K29"/>
  <c r="M27"/>
  <c r="M26"/>
  <c r="N26" s="1"/>
  <c r="M25"/>
  <c r="N24"/>
  <c r="M23"/>
  <c r="N23" s="1"/>
  <c r="M22"/>
  <c r="M21"/>
  <c r="M20"/>
  <c r="M19"/>
  <c r="N19" s="1"/>
  <c r="M18"/>
  <c r="M17"/>
  <c r="N17" s="1"/>
  <c r="L16"/>
  <c r="K16"/>
  <c r="M14"/>
  <c r="M13" s="1"/>
  <c r="E21" i="65124" s="1"/>
  <c r="L13" i="65078"/>
  <c r="M11"/>
  <c r="M10"/>
  <c r="N10" s="1"/>
  <c r="M9"/>
  <c r="N9" s="1"/>
  <c r="L8"/>
  <c r="M36" i="65079"/>
  <c r="N36" s="1"/>
  <c r="M35"/>
  <c r="L34"/>
  <c r="K34"/>
  <c r="D24" i="65125" s="1"/>
  <c r="M32" i="65079"/>
  <c r="M31"/>
  <c r="N31" s="1"/>
  <c r="M30"/>
  <c r="N30" s="1"/>
  <c r="M29"/>
  <c r="N29" s="1"/>
  <c r="L28"/>
  <c r="K28"/>
  <c r="M26"/>
  <c r="M25"/>
  <c r="N25" s="1"/>
  <c r="M24"/>
  <c r="N24" s="1"/>
  <c r="M23"/>
  <c r="N23" s="1"/>
  <c r="M22"/>
  <c r="N22" s="1"/>
  <c r="M21"/>
  <c r="N21" s="1"/>
  <c r="M20"/>
  <c r="N20" s="1"/>
  <c r="M19"/>
  <c r="N19" s="1"/>
  <c r="M18"/>
  <c r="M17"/>
  <c r="L16"/>
  <c r="K16"/>
  <c r="M14"/>
  <c r="M13" s="1"/>
  <c r="L13"/>
  <c r="K13"/>
  <c r="M11"/>
  <c r="M10"/>
  <c r="N10" s="1"/>
  <c r="M9"/>
  <c r="C22" i="65124" s="1"/>
  <c r="L8" i="65079"/>
  <c r="K8"/>
  <c r="M49" i="65080"/>
  <c r="M48" s="1"/>
  <c r="K23" i="65124" s="1"/>
  <c r="L48" i="65080"/>
  <c r="K48"/>
  <c r="M46"/>
  <c r="N46" s="1"/>
  <c r="M45"/>
  <c r="L44"/>
  <c r="K44"/>
  <c r="D25" i="65125" s="1"/>
  <c r="M42" i="65080"/>
  <c r="N42" s="1"/>
  <c r="L41"/>
  <c r="K41"/>
  <c r="M39"/>
  <c r="N39" s="1"/>
  <c r="M38"/>
  <c r="N38" s="1"/>
  <c r="M37"/>
  <c r="N37" s="1"/>
  <c r="M36"/>
  <c r="M35"/>
  <c r="N35" s="1"/>
  <c r="M34"/>
  <c r="M33"/>
  <c r="N33" s="1"/>
  <c r="M32"/>
  <c r="M31"/>
  <c r="N31" s="1"/>
  <c r="L30"/>
  <c r="K30"/>
  <c r="M28"/>
  <c r="M27"/>
  <c r="N27" s="1"/>
  <c r="M26"/>
  <c r="N26" s="1"/>
  <c r="M25"/>
  <c r="M24"/>
  <c r="M23"/>
  <c r="N23" s="1"/>
  <c r="M22"/>
  <c r="M21"/>
  <c r="M20"/>
  <c r="M19"/>
  <c r="N19" s="1"/>
  <c r="M18"/>
  <c r="M17"/>
  <c r="L16"/>
  <c r="K16"/>
  <c r="M14"/>
  <c r="M13" s="1"/>
  <c r="L13"/>
  <c r="K13"/>
  <c r="M11"/>
  <c r="M10"/>
  <c r="N10" s="1"/>
  <c r="M9"/>
  <c r="N9" s="1"/>
  <c r="L8"/>
  <c r="K8"/>
  <c r="M30" i="65082"/>
  <c r="N30" s="1"/>
  <c r="M29"/>
  <c r="N29" s="1"/>
  <c r="L28"/>
  <c r="K28"/>
  <c r="D26" i="65125" s="1"/>
  <c r="M26" i="65082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N10" s="1"/>
  <c r="M9"/>
  <c r="C24" i="65124" s="1"/>
  <c r="L8" i="65082"/>
  <c r="K8"/>
  <c r="M30" i="65081"/>
  <c r="N30" s="1"/>
  <c r="M29"/>
  <c r="N29" s="1"/>
  <c r="L28"/>
  <c r="K28"/>
  <c r="D27" i="65125" s="1"/>
  <c r="M26" i="65081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D25" i="65124" s="1"/>
  <c r="M9" i="65081"/>
  <c r="N9" s="1"/>
  <c r="L8"/>
  <c r="K8"/>
  <c r="M30" i="65122"/>
  <c r="K29"/>
  <c r="D28" i="65125" s="1"/>
  <c r="M27" i="65122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L13"/>
  <c r="M11"/>
  <c r="M10"/>
  <c r="N10" s="1"/>
  <c r="L8"/>
  <c r="M30" i="65083"/>
  <c r="N30" s="1"/>
  <c r="M29"/>
  <c r="L28"/>
  <c r="D29" i="65125"/>
  <c r="M26" i="65083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L13"/>
  <c r="M11"/>
  <c r="M10"/>
  <c r="L8"/>
  <c r="M30" i="65084"/>
  <c r="N30" s="1"/>
  <c r="M29"/>
  <c r="L28"/>
  <c r="K28"/>
  <c r="D30" i="65125" s="1"/>
  <c r="M26" i="65084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5"/>
  <c r="M29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6"/>
  <c r="M29"/>
  <c r="L28"/>
  <c r="K28"/>
  <c r="D32" i="65125" s="1"/>
  <c r="M26" i="65086"/>
  <c r="M25"/>
  <c r="N25" s="1"/>
  <c r="M24"/>
  <c r="M23"/>
  <c r="N23" s="1"/>
  <c r="M22"/>
  <c r="M21"/>
  <c r="M20"/>
  <c r="N20" s="1"/>
  <c r="M19"/>
  <c r="N19" s="1"/>
  <c r="M18"/>
  <c r="N18" s="1"/>
  <c r="M17"/>
  <c r="N17" s="1"/>
  <c r="L16"/>
  <c r="K16"/>
  <c r="L13"/>
  <c r="M11"/>
  <c r="M10"/>
  <c r="D30" i="65124" s="1"/>
  <c r="L8" i="65086"/>
  <c r="M30" i="65087"/>
  <c r="N30" s="1"/>
  <c r="M29"/>
  <c r="L28"/>
  <c r="K28"/>
  <c r="D33" i="65125" s="1"/>
  <c r="M26" i="65087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D31" i="65124" s="1"/>
  <c r="L8" i="65087"/>
  <c r="M30" i="65088"/>
  <c r="M29"/>
  <c r="L28"/>
  <c r="K28"/>
  <c r="D34" i="65125" s="1"/>
  <c r="M26" i="65088"/>
  <c r="M25"/>
  <c r="M24"/>
  <c r="M23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D32" i="65124" s="1"/>
  <c r="L8" i="65088"/>
  <c r="M30" i="65089"/>
  <c r="M29"/>
  <c r="L28"/>
  <c r="K28"/>
  <c r="D35" i="65125" s="1"/>
  <c r="M26" i="65089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D33" i="65124" s="1"/>
  <c r="L8" i="65089"/>
  <c r="M33" i="65093"/>
  <c r="N33" s="1"/>
  <c r="M32"/>
  <c r="L31"/>
  <c r="K31"/>
  <c r="D36" i="65125" s="1"/>
  <c r="M29" i="65093"/>
  <c r="M28" s="1"/>
  <c r="N28" s="1"/>
  <c r="L28"/>
  <c r="K28"/>
  <c r="M26"/>
  <c r="M25"/>
  <c r="N25" s="1"/>
  <c r="M24"/>
  <c r="M23"/>
  <c r="N23" s="1"/>
  <c r="M22"/>
  <c r="M21"/>
  <c r="M20"/>
  <c r="N20" s="1"/>
  <c r="M19"/>
  <c r="N19" s="1"/>
  <c r="M18"/>
  <c r="M17"/>
  <c r="L16"/>
  <c r="K16"/>
  <c r="L13"/>
  <c r="M11"/>
  <c r="M10"/>
  <c r="L8"/>
  <c r="M30" i="65094"/>
  <c r="M29"/>
  <c r="L28"/>
  <c r="K28"/>
  <c r="D37" i="65125" s="1"/>
  <c r="M26" i="65094"/>
  <c r="M25"/>
  <c r="M24"/>
  <c r="M23"/>
  <c r="M22"/>
  <c r="M21"/>
  <c r="M20"/>
  <c r="N20" s="1"/>
  <c r="M19"/>
  <c r="N19" s="1"/>
  <c r="M18"/>
  <c r="N18" s="1"/>
  <c r="M17"/>
  <c r="N17" s="1"/>
  <c r="L16"/>
  <c r="K16"/>
  <c r="L13"/>
  <c r="M11"/>
  <c r="M10"/>
  <c r="N10" s="1"/>
  <c r="L8"/>
  <c r="M34" i="65095"/>
  <c r="M33"/>
  <c r="L32"/>
  <c r="K32"/>
  <c r="D38" i="65125" s="1"/>
  <c r="M30" i="65095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96"/>
  <c r="N30" s="1"/>
  <c r="M29"/>
  <c r="L28"/>
  <c r="K28"/>
  <c r="D39" i="65125" s="1"/>
  <c r="M26" i="6509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L13"/>
  <c r="M11"/>
  <c r="M10"/>
  <c r="D37" i="65124" s="1"/>
  <c r="L8" i="65096"/>
  <c r="M30" i="65097"/>
  <c r="N30" s="1"/>
  <c r="M29"/>
  <c r="L28"/>
  <c r="K28"/>
  <c r="D40" i="65125" s="1"/>
  <c r="M26" i="65097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L8"/>
  <c r="M30" i="65098"/>
  <c r="N30" s="1"/>
  <c r="M29"/>
  <c r="L28"/>
  <c r="K28"/>
  <c r="D41" i="65125" s="1"/>
  <c r="M26" i="65098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0" i="65105"/>
  <c r="N30" s="1"/>
  <c r="M29"/>
  <c r="L28"/>
  <c r="K28"/>
  <c r="D42" i="65125" s="1"/>
  <c r="M26" i="65105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115"/>
  <c r="N30" s="1"/>
  <c r="M29"/>
  <c r="L28"/>
  <c r="K28"/>
  <c r="D19" i="65125" s="1"/>
  <c r="M26" i="65115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D17" i="65124" s="1"/>
  <c r="L8" i="65115"/>
  <c r="M30" i="65100"/>
  <c r="N30" s="1"/>
  <c r="M29"/>
  <c r="L28"/>
  <c r="K28"/>
  <c r="D18" i="65125" s="1"/>
  <c r="M26" i="65100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M13" s="1"/>
  <c r="N13" s="1"/>
  <c r="L13"/>
  <c r="K13"/>
  <c r="M11"/>
  <c r="M10"/>
  <c r="N10" s="1"/>
  <c r="M9"/>
  <c r="L8"/>
  <c r="K8"/>
  <c r="M30" i="65074"/>
  <c r="M29"/>
  <c r="L28"/>
  <c r="K28"/>
  <c r="D17" i="65125" s="1"/>
  <c r="L16" i="65074"/>
  <c r="K16"/>
  <c r="M14"/>
  <c r="L13"/>
  <c r="K13"/>
  <c r="M11"/>
  <c r="M10"/>
  <c r="M9"/>
  <c r="L8"/>
  <c r="L33" s="1"/>
  <c r="K8"/>
  <c r="M31" i="65071"/>
  <c r="N31" s="1"/>
  <c r="M30"/>
  <c r="L29"/>
  <c r="K29"/>
  <c r="D16" i="65125" s="1"/>
  <c r="M26" i="65071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M14"/>
  <c r="M13" s="1"/>
  <c r="E14" i="65124" s="1"/>
  <c r="L13" i="65071"/>
  <c r="M11"/>
  <c r="M10"/>
  <c r="N10" s="1"/>
  <c r="M9"/>
  <c r="L8"/>
  <c r="M30" i="65070"/>
  <c r="M29"/>
  <c r="L28"/>
  <c r="K28"/>
  <c r="D15" i="65125" s="1"/>
  <c r="M26" i="65070"/>
  <c r="M25"/>
  <c r="M24"/>
  <c r="M23"/>
  <c r="N23" s="1"/>
  <c r="M22"/>
  <c r="M21"/>
  <c r="M20"/>
  <c r="M19"/>
  <c r="N19" s="1"/>
  <c r="M18"/>
  <c r="M17"/>
  <c r="L16"/>
  <c r="K16"/>
  <c r="M14"/>
  <c r="M13" s="1"/>
  <c r="L13"/>
  <c r="K13"/>
  <c r="M11"/>
  <c r="M10"/>
  <c r="N10" s="1"/>
  <c r="M9"/>
  <c r="C13" i="65124" s="1"/>
  <c r="L8" i="65070"/>
  <c r="K8"/>
  <c r="M30" i="65069"/>
  <c r="N30" s="1"/>
  <c r="M29"/>
  <c r="L28"/>
  <c r="K28"/>
  <c r="D14" i="65125" s="1"/>
  <c r="M26" i="65069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N10" s="1"/>
  <c r="M9"/>
  <c r="C12" i="65124" s="1"/>
  <c r="L8" i="65069"/>
  <c r="K8"/>
  <c r="M30" i="65068"/>
  <c r="N30" s="1"/>
  <c r="M29"/>
  <c r="L28"/>
  <c r="K28"/>
  <c r="D13" i="65125" s="1"/>
  <c r="M26" i="65068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M14"/>
  <c r="M13" s="1"/>
  <c r="N13" s="1"/>
  <c r="L13"/>
  <c r="K13"/>
  <c r="M11"/>
  <c r="M10"/>
  <c r="M9"/>
  <c r="L8"/>
  <c r="L33" s="1"/>
  <c r="L34" s="1"/>
  <c r="L35" s="1"/>
  <c r="K8"/>
  <c r="M30" i="65123"/>
  <c r="N30" s="1"/>
  <c r="M29"/>
  <c r="L28"/>
  <c r="K28"/>
  <c r="D12" i="65125" s="1"/>
  <c r="M26" i="65123"/>
  <c r="M25"/>
  <c r="N25" s="1"/>
  <c r="M24"/>
  <c r="M23"/>
  <c r="N23" s="1"/>
  <c r="M22"/>
  <c r="M21"/>
  <c r="M20"/>
  <c r="N20" s="1"/>
  <c r="M19"/>
  <c r="N19" s="1"/>
  <c r="M18"/>
  <c r="M17"/>
  <c r="L16"/>
  <c r="K16"/>
  <c r="M14"/>
  <c r="M13" s="1"/>
  <c r="N13" s="1"/>
  <c r="L13"/>
  <c r="K13"/>
  <c r="M11"/>
  <c r="M10"/>
  <c r="M9"/>
  <c r="L8"/>
  <c r="L33" s="1"/>
  <c r="K8"/>
  <c r="M30" i="65099"/>
  <c r="N30" s="1"/>
  <c r="M29"/>
  <c r="L28"/>
  <c r="K28"/>
  <c r="D11" i="65125" s="1"/>
  <c r="M26" i="65099"/>
  <c r="M25"/>
  <c r="N25" s="1"/>
  <c r="M24"/>
  <c r="M23"/>
  <c r="M22"/>
  <c r="M21"/>
  <c r="M20"/>
  <c r="N20" s="1"/>
  <c r="M19"/>
  <c r="N19" s="1"/>
  <c r="M18"/>
  <c r="M17"/>
  <c r="L16"/>
  <c r="K16"/>
  <c r="M14"/>
  <c r="M13" s="1"/>
  <c r="E9" i="65124" s="1"/>
  <c r="L13" i="65099"/>
  <c r="K13"/>
  <c r="M11"/>
  <c r="M10"/>
  <c r="N10" s="1"/>
  <c r="M9"/>
  <c r="L33"/>
  <c r="K8"/>
  <c r="M30" i="65067"/>
  <c r="N30" s="1"/>
  <c r="M29"/>
  <c r="L28"/>
  <c r="K28"/>
  <c r="D10" i="65125" s="1"/>
  <c r="M26" i="65067"/>
  <c r="M25"/>
  <c r="N25" s="1"/>
  <c r="M24"/>
  <c r="M23"/>
  <c r="M22"/>
  <c r="M21"/>
  <c r="M20"/>
  <c r="M19"/>
  <c r="M18"/>
  <c r="M17"/>
  <c r="N17" s="1"/>
  <c r="L16"/>
  <c r="K16"/>
  <c r="M14"/>
  <c r="M13" s="1"/>
  <c r="E8" i="65124" s="1"/>
  <c r="L13" i="65067"/>
  <c r="M11"/>
  <c r="M10"/>
  <c r="M9"/>
  <c r="C8" i="65124" s="1"/>
  <c r="L8" i="65067"/>
  <c r="M33" i="65066"/>
  <c r="N33" s="1"/>
  <c r="M32"/>
  <c r="L31"/>
  <c r="K31"/>
  <c r="D9" i="65125" s="1"/>
  <c r="M29" i="65066"/>
  <c r="L28"/>
  <c r="K28"/>
  <c r="M26"/>
  <c r="M25"/>
  <c r="N25" s="1"/>
  <c r="M24"/>
  <c r="M23"/>
  <c r="N23" s="1"/>
  <c r="M22"/>
  <c r="M21"/>
  <c r="M20"/>
  <c r="M19"/>
  <c r="N19" s="1"/>
  <c r="M18"/>
  <c r="M17"/>
  <c r="N17" s="1"/>
  <c r="L16"/>
  <c r="K16"/>
  <c r="M14"/>
  <c r="M13" s="1"/>
  <c r="E7" i="65124" s="1"/>
  <c r="L13" i="65066"/>
  <c r="K13"/>
  <c r="M11"/>
  <c r="M10"/>
  <c r="N10" s="1"/>
  <c r="M9"/>
  <c r="C7" i="65124" s="1"/>
  <c r="L8" i="65066"/>
  <c r="K8"/>
  <c r="M53" i="65065"/>
  <c r="M52"/>
  <c r="N52" s="1"/>
  <c r="M51"/>
  <c r="L50"/>
  <c r="K50"/>
  <c r="D8" i="65125" s="1"/>
  <c r="M48" i="65065"/>
  <c r="M47" s="1"/>
  <c r="H6" i="65124" s="1"/>
  <c r="L47" i="65065"/>
  <c r="K47"/>
  <c r="M45"/>
  <c r="M44"/>
  <c r="M43"/>
  <c r="M42"/>
  <c r="M41"/>
  <c r="M40"/>
  <c r="M39"/>
  <c r="M38"/>
  <c r="M37"/>
  <c r="M36"/>
  <c r="M35"/>
  <c r="L34"/>
  <c r="K34"/>
  <c r="M32"/>
  <c r="N32" s="1"/>
  <c r="M31"/>
  <c r="M30"/>
  <c r="N30" s="1"/>
  <c r="M29"/>
  <c r="N29" s="1"/>
  <c r="M28"/>
  <c r="N28" s="1"/>
  <c r="M27"/>
  <c r="M26"/>
  <c r="N26" s="1"/>
  <c r="M25"/>
  <c r="N25" s="1"/>
  <c r="M24"/>
  <c r="N24" s="1"/>
  <c r="M23"/>
  <c r="M22"/>
  <c r="L21"/>
  <c r="K21"/>
  <c r="M19"/>
  <c r="N19" s="1"/>
  <c r="L18"/>
  <c r="K18"/>
  <c r="M16"/>
  <c r="N16" s="1"/>
  <c r="M15"/>
  <c r="N15" s="1"/>
  <c r="M14"/>
  <c r="C6" i="65124" s="1"/>
  <c r="L13" i="65065"/>
  <c r="K13"/>
  <c r="M11"/>
  <c r="M10"/>
  <c r="M9"/>
  <c r="L8"/>
  <c r="K8"/>
  <c r="N31" i="16"/>
  <c r="N29"/>
  <c r="N27"/>
  <c r="N26"/>
  <c r="N22"/>
  <c r="N15"/>
  <c r="N12"/>
  <c r="N11"/>
  <c r="M30"/>
  <c r="N30" s="1"/>
  <c r="M29"/>
  <c r="L28"/>
  <c r="K28"/>
  <c r="D7" i="65125" s="1"/>
  <c r="M26" i="1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M14"/>
  <c r="M13" s="1"/>
  <c r="E5" i="65124" s="1"/>
  <c r="L13" i="16"/>
  <c r="M11"/>
  <c r="M10"/>
  <c r="M9"/>
  <c r="N9" s="1"/>
  <c r="L8"/>
  <c r="L33" s="1"/>
  <c r="L34" s="1"/>
  <c r="L35" s="1"/>
  <c r="E7" i="65137" l="1"/>
  <c r="D162" i="65139"/>
  <c r="D161" s="1"/>
  <c r="D218"/>
  <c r="F218" s="1"/>
  <c r="D29" i="304"/>
  <c r="F123" i="65139"/>
  <c r="F220"/>
  <c r="D91"/>
  <c r="D115"/>
  <c r="F88"/>
  <c r="F121"/>
  <c r="F178"/>
  <c r="F219"/>
  <c r="D153"/>
  <c r="D17" i="304" s="1"/>
  <c r="D34" i="65124"/>
  <c r="K39" i="65079"/>
  <c r="K40" s="1"/>
  <c r="K41" s="1"/>
  <c r="M34" i="65077"/>
  <c r="N34" s="1"/>
  <c r="K39"/>
  <c r="K40" s="1"/>
  <c r="K41" s="1"/>
  <c r="N32"/>
  <c r="K33" i="65070"/>
  <c r="M28" i="65105"/>
  <c r="N28" s="1"/>
  <c r="M16"/>
  <c r="N16" s="1"/>
  <c r="M28" i="65098"/>
  <c r="N28" s="1"/>
  <c r="M16"/>
  <c r="N16" s="1"/>
  <c r="D39" i="65124"/>
  <c r="M16" i="65097"/>
  <c r="N16" s="1"/>
  <c r="D38" i="65124"/>
  <c r="M28" i="65096"/>
  <c r="N28" s="1"/>
  <c r="M16"/>
  <c r="M32" i="65095"/>
  <c r="M28"/>
  <c r="G36" i="65124" s="1"/>
  <c r="M16" i="65095"/>
  <c r="F36" i="65124" s="1"/>
  <c r="M28" i="65094"/>
  <c r="J35" i="65124" s="1"/>
  <c r="M16" i="65094"/>
  <c r="M31" i="65093"/>
  <c r="J34" i="65124" s="1"/>
  <c r="M16" i="65093"/>
  <c r="M16" i="65089"/>
  <c r="N16" s="1"/>
  <c r="M28" i="65088"/>
  <c r="M16"/>
  <c r="M28" i="65087"/>
  <c r="N28" s="1"/>
  <c r="M16"/>
  <c r="N16" s="1"/>
  <c r="M28" i="65086"/>
  <c r="M16"/>
  <c r="N16" s="1"/>
  <c r="M28" i="65085"/>
  <c r="J29" i="65124" s="1"/>
  <c r="M16" i="65085"/>
  <c r="N16" s="1"/>
  <c r="M28" i="65084"/>
  <c r="J28" i="65124" s="1"/>
  <c r="M16" i="65084"/>
  <c r="N16" s="1"/>
  <c r="M16" i="65122"/>
  <c r="D27" i="65124"/>
  <c r="M16" i="65083"/>
  <c r="M28"/>
  <c r="N28" s="1"/>
  <c r="M28" i="65081"/>
  <c r="N28" s="1"/>
  <c r="M16"/>
  <c r="N16" s="1"/>
  <c r="M8"/>
  <c r="N8" s="1"/>
  <c r="M28" i="65082"/>
  <c r="J24" i="65124" s="1"/>
  <c r="M16" i="65082"/>
  <c r="N16" s="1"/>
  <c r="K33"/>
  <c r="M44" i="65080"/>
  <c r="N44" s="1"/>
  <c r="K52"/>
  <c r="M8"/>
  <c r="N8" s="1"/>
  <c r="L39" i="65079"/>
  <c r="L40" s="1"/>
  <c r="L41" s="1"/>
  <c r="M8"/>
  <c r="M28"/>
  <c r="N28" s="1"/>
  <c r="M29" i="65078"/>
  <c r="G21" i="65124" s="1"/>
  <c r="L39" i="65078"/>
  <c r="L40" s="1"/>
  <c r="L41" s="1"/>
  <c r="M8" i="65077"/>
  <c r="D20" i="65124"/>
  <c r="M45" i="65076"/>
  <c r="K19" i="65124" s="1"/>
  <c r="M37" i="65076"/>
  <c r="N37" s="1"/>
  <c r="M32"/>
  <c r="M19"/>
  <c r="N19" s="1"/>
  <c r="D19" i="65124"/>
  <c r="M32" i="65075"/>
  <c r="M16"/>
  <c r="K37"/>
  <c r="K38" s="1"/>
  <c r="K39" s="1"/>
  <c r="M28" i="65115"/>
  <c r="J17" i="65124" s="1"/>
  <c r="M16" i="65115"/>
  <c r="N16" s="1"/>
  <c r="L33" i="65100"/>
  <c r="M28"/>
  <c r="N28" s="1"/>
  <c r="M16"/>
  <c r="F16" i="65124" s="1"/>
  <c r="M8" i="65100"/>
  <c r="M28" i="65074"/>
  <c r="K33"/>
  <c r="L34" i="65071"/>
  <c r="L35" s="1"/>
  <c r="M8"/>
  <c r="M29"/>
  <c r="N29" s="1"/>
  <c r="M16"/>
  <c r="N16" s="1"/>
  <c r="M28" i="65070"/>
  <c r="J13" i="65124" s="1"/>
  <c r="M16" i="65070"/>
  <c r="F13" i="65124" s="1"/>
  <c r="M28" i="65069"/>
  <c r="J12" i="65124" s="1"/>
  <c r="M16" i="65069"/>
  <c r="N16" s="1"/>
  <c r="K33"/>
  <c r="K34" s="1"/>
  <c r="K35" s="1"/>
  <c r="M28" i="65068"/>
  <c r="M16"/>
  <c r="K33"/>
  <c r="K34" s="1"/>
  <c r="K35" s="1"/>
  <c r="D11" i="65124"/>
  <c r="M8" i="65068"/>
  <c r="M28" i="65123"/>
  <c r="N28" s="1"/>
  <c r="M16"/>
  <c r="K33"/>
  <c r="D10" i="65124"/>
  <c r="M8" i="65123"/>
  <c r="M28" i="65099"/>
  <c r="K33"/>
  <c r="M8"/>
  <c r="L33" i="65067"/>
  <c r="M28"/>
  <c r="J8" i="65124" s="1"/>
  <c r="M16" i="65067"/>
  <c r="N14"/>
  <c r="N13"/>
  <c r="D8" i="65124"/>
  <c r="N10" i="65067"/>
  <c r="N9"/>
  <c r="N40" i="65065"/>
  <c r="L56"/>
  <c r="M31" i="65066"/>
  <c r="J7" i="65124" s="1"/>
  <c r="N29" i="65066"/>
  <c r="M16"/>
  <c r="N14"/>
  <c r="N13"/>
  <c r="N9"/>
  <c r="N53" i="65065"/>
  <c r="M50"/>
  <c r="J6" i="65124" s="1"/>
  <c r="N45" i="65065"/>
  <c r="N44"/>
  <c r="N43"/>
  <c r="N42"/>
  <c r="N41"/>
  <c r="N39"/>
  <c r="N38"/>
  <c r="M34"/>
  <c r="G6" i="65124" s="1"/>
  <c r="N36" i="65065"/>
  <c r="N31"/>
  <c r="M21"/>
  <c r="F6" i="65124" s="1"/>
  <c r="N22" i="65065"/>
  <c r="N21"/>
  <c r="N14"/>
  <c r="K56"/>
  <c r="N11"/>
  <c r="N10"/>
  <c r="N9"/>
  <c r="M28" i="16"/>
  <c r="J5" i="65124" s="1"/>
  <c r="N28" i="16"/>
  <c r="M16"/>
  <c r="F5" i="65124" s="1"/>
  <c r="N17" i="16"/>
  <c r="N14"/>
  <c r="N13"/>
  <c r="D5" i="65124"/>
  <c r="N10" i="16"/>
  <c r="C5" i="65124"/>
  <c r="D5" i="65139"/>
  <c r="D15" i="304" s="1"/>
  <c r="D71" i="65139"/>
  <c r="D57" s="1"/>
  <c r="D16" i="304" s="1"/>
  <c r="J40" i="65124"/>
  <c r="F40"/>
  <c r="L33" i="65105"/>
  <c r="L34" s="1"/>
  <c r="L35" s="1"/>
  <c r="D40" i="65124"/>
  <c r="J39"/>
  <c r="F39"/>
  <c r="L33" i="65098"/>
  <c r="L34" s="1"/>
  <c r="L35" s="1"/>
  <c r="N10"/>
  <c r="M28" i="65097"/>
  <c r="F38" i="65124"/>
  <c r="L33" i="65097"/>
  <c r="L34" s="1"/>
  <c r="L35" s="1"/>
  <c r="N10"/>
  <c r="N29" i="65096"/>
  <c r="J37" i="65124"/>
  <c r="N16" i="65096"/>
  <c r="F37" i="65124"/>
  <c r="N17" i="65096"/>
  <c r="L33"/>
  <c r="L34" s="1"/>
  <c r="L35" s="1"/>
  <c r="N10"/>
  <c r="J36" i="65124"/>
  <c r="N28" i="65095"/>
  <c r="N29"/>
  <c r="N16"/>
  <c r="L37"/>
  <c r="L38" s="1"/>
  <c r="L39" s="1"/>
  <c r="D36" i="65124"/>
  <c r="F35"/>
  <c r="L33" i="65094"/>
  <c r="L34" s="1"/>
  <c r="L35" s="1"/>
  <c r="D35" i="65124"/>
  <c r="G34"/>
  <c r="N29" i="65093"/>
  <c r="N16"/>
  <c r="F34" i="65124"/>
  <c r="N17" i="65093"/>
  <c r="L36"/>
  <c r="L37" s="1"/>
  <c r="L38" s="1"/>
  <c r="N10"/>
  <c r="M28" i="65089"/>
  <c r="F33" i="65124"/>
  <c r="L33" i="65089"/>
  <c r="L34" s="1"/>
  <c r="L35" s="1"/>
  <c r="N10"/>
  <c r="J32" i="65124"/>
  <c r="F32"/>
  <c r="L33" i="65088"/>
  <c r="N10"/>
  <c r="N29" i="65087"/>
  <c r="J31" i="65124"/>
  <c r="F31"/>
  <c r="L33" i="65087"/>
  <c r="N10"/>
  <c r="J30" i="65124"/>
  <c r="F30"/>
  <c r="L33" i="65086"/>
  <c r="N10"/>
  <c r="F29" i="65124"/>
  <c r="L33" i="65085"/>
  <c r="D29" i="65124"/>
  <c r="N28" i="65084"/>
  <c r="F28" i="65124"/>
  <c r="L33" i="65084"/>
  <c r="D28" i="65124"/>
  <c r="J27"/>
  <c r="N29" i="65083"/>
  <c r="N16"/>
  <c r="F27" i="65124"/>
  <c r="N17" i="65083"/>
  <c r="L33"/>
  <c r="N10"/>
  <c r="N16" i="65122"/>
  <c r="F26" i="65124"/>
  <c r="N17" i="65122"/>
  <c r="D26" i="65124"/>
  <c r="J25"/>
  <c r="N17" i="65081"/>
  <c r="K33"/>
  <c r="F25" i="65124"/>
  <c r="M13" i="65081"/>
  <c r="L33"/>
  <c r="C25" i="65124"/>
  <c r="N10" i="65081"/>
  <c r="N28" i="65082"/>
  <c r="F24" i="65124"/>
  <c r="N17" i="65082"/>
  <c r="M13"/>
  <c r="M8"/>
  <c r="N8" s="1"/>
  <c r="L33"/>
  <c r="D24" i="65124"/>
  <c r="N9" i="65082"/>
  <c r="N48" i="65080"/>
  <c r="N49"/>
  <c r="J23" i="65124"/>
  <c r="M41" i="65080"/>
  <c r="M30"/>
  <c r="N34"/>
  <c r="N36"/>
  <c r="M16"/>
  <c r="N17"/>
  <c r="N13"/>
  <c r="E23" i="65124"/>
  <c r="N14" i="65080"/>
  <c r="C23" i="65124"/>
  <c r="L52" i="65080"/>
  <c r="D23" i="65124"/>
  <c r="M34" i="65079"/>
  <c r="G22" i="65124"/>
  <c r="M16" i="65079"/>
  <c r="M39" s="1"/>
  <c r="M40" s="1"/>
  <c r="M41" s="1"/>
  <c r="N41" s="1"/>
  <c r="N17"/>
  <c r="N13"/>
  <c r="E22" i="65124"/>
  <c r="N14" i="65079"/>
  <c r="D22" i="65124"/>
  <c r="N9" i="65079"/>
  <c r="N8"/>
  <c r="M33" i="65078"/>
  <c r="N29"/>
  <c r="N31"/>
  <c r="M16"/>
  <c r="N13"/>
  <c r="N14"/>
  <c r="D21" i="65124"/>
  <c r="C21"/>
  <c r="J20"/>
  <c r="F54" i="65137"/>
  <c r="N31" i="65077"/>
  <c r="M28"/>
  <c r="M16"/>
  <c r="M13"/>
  <c r="L39"/>
  <c r="L40" s="1"/>
  <c r="L41" s="1"/>
  <c r="C20" i="65124"/>
  <c r="N8" i="65077"/>
  <c r="N10"/>
  <c r="N45" i="65076"/>
  <c r="M41"/>
  <c r="I19" i="65124"/>
  <c r="N39" i="65076"/>
  <c r="K94" i="300"/>
  <c r="G19" i="65124"/>
  <c r="N33" i="65076"/>
  <c r="F19" i="65124"/>
  <c r="N29" i="65076"/>
  <c r="N20"/>
  <c r="N16"/>
  <c r="E19" i="65124"/>
  <c r="N17" i="65076"/>
  <c r="C19" i="65124"/>
  <c r="N13" i="65076"/>
  <c r="M11"/>
  <c r="N11" s="1"/>
  <c r="L50"/>
  <c r="L51" s="1"/>
  <c r="L52" s="1"/>
  <c r="M8"/>
  <c r="G18" i="65124"/>
  <c r="N30" i="65075"/>
  <c r="F18" i="65124"/>
  <c r="N17" i="65075"/>
  <c r="L37"/>
  <c r="L38" s="1"/>
  <c r="L39" s="1"/>
  <c r="M13"/>
  <c r="M8"/>
  <c r="D18" i="65124"/>
  <c r="N9" i="65075"/>
  <c r="N28" i="65115"/>
  <c r="F17" i="65124"/>
  <c r="L33" i="65115"/>
  <c r="L34" s="1"/>
  <c r="N10"/>
  <c r="J16" i="65124"/>
  <c r="E16"/>
  <c r="N14" i="65100"/>
  <c r="K33"/>
  <c r="K34" s="1"/>
  <c r="C16" i="65124"/>
  <c r="N8" i="65100"/>
  <c r="N9"/>
  <c r="D16" i="65124"/>
  <c r="J15"/>
  <c r="M16" i="65074"/>
  <c r="M33" s="1"/>
  <c r="M13"/>
  <c r="M8"/>
  <c r="C15" i="65124"/>
  <c r="L34" i="65100"/>
  <c r="L35" i="65115" s="1"/>
  <c r="D15" i="65124"/>
  <c r="J14"/>
  <c r="F14"/>
  <c r="N13" i="65071"/>
  <c r="N14"/>
  <c r="C14" i="65124"/>
  <c r="N8" i="65071"/>
  <c r="N9"/>
  <c r="D14" i="65124"/>
  <c r="N13" i="65070"/>
  <c r="E13" i="65124"/>
  <c r="N14" i="65070"/>
  <c r="L33"/>
  <c r="M8"/>
  <c r="N8" s="1"/>
  <c r="D13" i="65124"/>
  <c r="N9" i="65070"/>
  <c r="F12" i="65124"/>
  <c r="N17" i="65069"/>
  <c r="M13"/>
  <c r="M8"/>
  <c r="L33"/>
  <c r="L34" s="1"/>
  <c r="L35" s="1"/>
  <c r="D12" i="65124"/>
  <c r="N9" i="65069"/>
  <c r="N28" i="65068"/>
  <c r="J11" i="65124"/>
  <c r="N16" i="65068"/>
  <c r="F11" i="65124"/>
  <c r="N17" i="65068"/>
  <c r="M33"/>
  <c r="M34" s="1"/>
  <c r="M35" s="1"/>
  <c r="N35" s="1"/>
  <c r="E11" i="65124"/>
  <c r="N14" i="65068"/>
  <c r="C11" i="65124"/>
  <c r="N8" i="65068"/>
  <c r="N10"/>
  <c r="N34"/>
  <c r="N9"/>
  <c r="J10" i="65124"/>
  <c r="N16" i="65123"/>
  <c r="F10" i="65124"/>
  <c r="N17" i="65123"/>
  <c r="M33"/>
  <c r="N33" s="1"/>
  <c r="E10" i="65124"/>
  <c r="N14" i="65123"/>
  <c r="C10" i="65124"/>
  <c r="N8" i="65123"/>
  <c r="N10"/>
  <c r="N9"/>
  <c r="N28" i="65099"/>
  <c r="J9" i="65124"/>
  <c r="M16" i="65099"/>
  <c r="M33" s="1"/>
  <c r="N33" s="1"/>
  <c r="N17"/>
  <c r="N13"/>
  <c r="N14"/>
  <c r="D9" i="65124"/>
  <c r="C9"/>
  <c r="N8" i="65099"/>
  <c r="N9"/>
  <c r="M28" i="65066"/>
  <c r="M8"/>
  <c r="N8" s="1"/>
  <c r="K36"/>
  <c r="L36"/>
  <c r="D7" i="65124"/>
  <c r="M18" i="65065"/>
  <c r="M13"/>
  <c r="N13" s="1"/>
  <c r="D6" i="65124"/>
  <c r="K9" i="300"/>
  <c r="L42" i="65124" s="1"/>
  <c r="M8" i="65065"/>
  <c r="M9" i="65115"/>
  <c r="K8"/>
  <c r="M14"/>
  <c r="K13"/>
  <c r="M9" i="65105"/>
  <c r="K8"/>
  <c r="M14"/>
  <c r="K13"/>
  <c r="M9" i="65098"/>
  <c r="K8"/>
  <c r="M14"/>
  <c r="K13"/>
  <c r="M9" i="65097"/>
  <c r="K8"/>
  <c r="M14"/>
  <c r="K13"/>
  <c r="M9" i="65096"/>
  <c r="K8"/>
  <c r="M14"/>
  <c r="K13"/>
  <c r="M9" i="65095"/>
  <c r="K8"/>
  <c r="M14"/>
  <c r="K13"/>
  <c r="M9" i="65089"/>
  <c r="K8"/>
  <c r="M14"/>
  <c r="K13"/>
  <c r="M9" i="65088"/>
  <c r="K8"/>
  <c r="M14"/>
  <c r="K13"/>
  <c r="M9" i="65086"/>
  <c r="K8"/>
  <c r="M14"/>
  <c r="K13"/>
  <c r="M9" i="65084"/>
  <c r="K8"/>
  <c r="M14"/>
  <c r="K13"/>
  <c r="M9" i="65122"/>
  <c r="K8"/>
  <c r="M14"/>
  <c r="K13"/>
  <c r="M31"/>
  <c r="L29"/>
  <c r="L34" s="1"/>
  <c r="L35" s="1"/>
  <c r="M9" i="65094"/>
  <c r="K8"/>
  <c r="M14"/>
  <c r="K13"/>
  <c r="M9" i="65093"/>
  <c r="K8"/>
  <c r="M14"/>
  <c r="K13"/>
  <c r="M9" i="65087"/>
  <c r="K8"/>
  <c r="M14"/>
  <c r="K13"/>
  <c r="M9" i="65085"/>
  <c r="K8"/>
  <c r="M14"/>
  <c r="K13"/>
  <c r="M9" i="65083"/>
  <c r="M14"/>
  <c r="M33" i="65081"/>
  <c r="N33" s="1"/>
  <c r="M33" i="65082"/>
  <c r="M8" i="65078"/>
  <c r="K8"/>
  <c r="K13"/>
  <c r="K19" i="65076"/>
  <c r="K50" s="1"/>
  <c r="K51" s="1"/>
  <c r="K52" s="1"/>
  <c r="K8" i="65071"/>
  <c r="M33" i="65070"/>
  <c r="M8" i="65067"/>
  <c r="K8"/>
  <c r="K13"/>
  <c r="M36" i="65066"/>
  <c r="N36" s="1"/>
  <c r="M8" i="16"/>
  <c r="K8"/>
  <c r="K13"/>
  <c r="H14" i="65078"/>
  <c r="H10"/>
  <c r="H9"/>
  <c r="J111" i="300" l="1"/>
  <c r="N16" i="16"/>
  <c r="N31" i="65093"/>
  <c r="M52" i="65080"/>
  <c r="J18" i="65124"/>
  <c r="N32" i="65075"/>
  <c r="M33" i="65100"/>
  <c r="N33" s="1"/>
  <c r="N16"/>
  <c r="K105" i="300"/>
  <c r="E27" i="304"/>
  <c r="M34" i="65071"/>
  <c r="N28" i="65069"/>
  <c r="N28" i="65067"/>
  <c r="F8" i="65124"/>
  <c r="N16" i="65067"/>
  <c r="M33"/>
  <c r="N33" s="1"/>
  <c r="N8"/>
  <c r="N31" i="65066"/>
  <c r="G7" i="65124"/>
  <c r="N28" i="65066"/>
  <c r="F7" i="65124"/>
  <c r="N16" i="65066"/>
  <c r="N50" i="65065"/>
  <c r="K91" i="300"/>
  <c r="E6" i="65124"/>
  <c r="N18" i="65065"/>
  <c r="M56"/>
  <c r="N8"/>
  <c r="E21" i="304"/>
  <c r="M33" i="16"/>
  <c r="N8"/>
  <c r="D151" i="65139"/>
  <c r="M13" i="65105"/>
  <c r="N14"/>
  <c r="M8"/>
  <c r="N8" s="1"/>
  <c r="C40" i="65124"/>
  <c r="N9" i="65105"/>
  <c r="M13" i="65098"/>
  <c r="N14"/>
  <c r="M8"/>
  <c r="N8" s="1"/>
  <c r="N9"/>
  <c r="C39" i="65124"/>
  <c r="N28" i="65097"/>
  <c r="J38" i="65124"/>
  <c r="M13" i="65097"/>
  <c r="N14"/>
  <c r="M8"/>
  <c r="N8" s="1"/>
  <c r="N9"/>
  <c r="C38" i="65124"/>
  <c r="M13" i="65096"/>
  <c r="N14"/>
  <c r="M8"/>
  <c r="N8" s="1"/>
  <c r="N9"/>
  <c r="C37" i="65124"/>
  <c r="M13" i="65095"/>
  <c r="N14"/>
  <c r="M8"/>
  <c r="N8" s="1"/>
  <c r="N9"/>
  <c r="C36" i="65124"/>
  <c r="M13" i="65094"/>
  <c r="N14"/>
  <c r="M8"/>
  <c r="N8" s="1"/>
  <c r="N9"/>
  <c r="C35" i="65124"/>
  <c r="M13" i="65093"/>
  <c r="N14"/>
  <c r="M8"/>
  <c r="N8" s="1"/>
  <c r="N9"/>
  <c r="C34" i="65124"/>
  <c r="J33"/>
  <c r="M13" i="65089"/>
  <c r="N14"/>
  <c r="M8"/>
  <c r="N8" s="1"/>
  <c r="N9"/>
  <c r="C33" i="65124"/>
  <c r="M13" i="65088"/>
  <c r="N14"/>
  <c r="M8"/>
  <c r="N8" s="1"/>
  <c r="N9"/>
  <c r="C32" i="65124"/>
  <c r="M13" i="65087"/>
  <c r="N14"/>
  <c r="M8"/>
  <c r="N8" s="1"/>
  <c r="N9"/>
  <c r="C31" i="65124"/>
  <c r="M13" i="65086"/>
  <c r="N14"/>
  <c r="M8"/>
  <c r="N8" s="1"/>
  <c r="N9"/>
  <c r="C30" i="65124"/>
  <c r="M13" i="65085"/>
  <c r="N14"/>
  <c r="M8"/>
  <c r="N8" s="1"/>
  <c r="C29" i="65124"/>
  <c r="N9" i="65085"/>
  <c r="M13" i="65084"/>
  <c r="N14"/>
  <c r="M8"/>
  <c r="N8" s="1"/>
  <c r="C28" i="65124"/>
  <c r="N9" i="65084"/>
  <c r="M13" i="65083"/>
  <c r="N14"/>
  <c r="M8"/>
  <c r="N8" s="1"/>
  <c r="N9"/>
  <c r="C27" i="65124"/>
  <c r="M29" i="65122"/>
  <c r="M13"/>
  <c r="N14"/>
  <c r="M8"/>
  <c r="N8" s="1"/>
  <c r="C26" i="65124"/>
  <c r="N9" i="65122"/>
  <c r="N13" i="65081"/>
  <c r="E25" i="65124"/>
  <c r="N13" i="65082"/>
  <c r="E24" i="65124"/>
  <c r="N33" i="65082"/>
  <c r="N41" i="65080"/>
  <c r="I23" i="65124"/>
  <c r="G23"/>
  <c r="N30" i="65080"/>
  <c r="F23" i="65124"/>
  <c r="N34" i="65079"/>
  <c r="J22" i="65124"/>
  <c r="N16" i="65079"/>
  <c r="F22" i="65124"/>
  <c r="N40" i="65079"/>
  <c r="N39"/>
  <c r="J21" i="65124"/>
  <c r="N33" i="65078"/>
  <c r="N16"/>
  <c r="F21" i="65124"/>
  <c r="M39" i="65078"/>
  <c r="N8"/>
  <c r="M39" i="65077"/>
  <c r="M40" s="1"/>
  <c r="N28"/>
  <c r="G20" i="65124"/>
  <c r="N16" i="65077"/>
  <c r="F20" i="65124"/>
  <c r="N13" i="65077"/>
  <c r="E20" i="65124"/>
  <c r="N41" i="65076"/>
  <c r="J19" i="65124"/>
  <c r="M50" i="65076"/>
  <c r="N8"/>
  <c r="K24" i="300"/>
  <c r="N13" i="65075"/>
  <c r="E18" i="65124"/>
  <c r="M37" i="65075"/>
  <c r="N8"/>
  <c r="M13" i="65115"/>
  <c r="N14"/>
  <c r="M8"/>
  <c r="N8" s="1"/>
  <c r="N9"/>
  <c r="C17" i="65124"/>
  <c r="F15"/>
  <c r="E15"/>
  <c r="N13" i="65069"/>
  <c r="E12" i="65124"/>
  <c r="M33" i="65069"/>
  <c r="N8"/>
  <c r="N33" i="65068"/>
  <c r="N16" i="65099"/>
  <c r="F9" i="65124"/>
  <c r="L34" i="65123"/>
  <c r="L35" s="1"/>
  <c r="K39" i="65078"/>
  <c r="K40" s="1"/>
  <c r="K41" s="1"/>
  <c r="M36" i="65093"/>
  <c r="M33" i="65094"/>
  <c r="M33" i="65089"/>
  <c r="M37" i="65095"/>
  <c r="M33" i="65097"/>
  <c r="M33" i="65098"/>
  <c r="M33" i="65105"/>
  <c r="M33" i="65115"/>
  <c r="K33" i="65083"/>
  <c r="K33" i="65085"/>
  <c r="K33" i="65087"/>
  <c r="K36" i="65093"/>
  <c r="K37" s="1"/>
  <c r="K38" s="1"/>
  <c r="K33" i="65094"/>
  <c r="K34" s="1"/>
  <c r="K35" s="1"/>
  <c r="K34" i="65122"/>
  <c r="K33" i="65084"/>
  <c r="K33" i="65086"/>
  <c r="K33" i="65088"/>
  <c r="I111" i="300" s="1"/>
  <c r="K33" i="65089"/>
  <c r="K37" i="65095"/>
  <c r="K33" i="65096"/>
  <c r="K34" s="1"/>
  <c r="K35" s="1"/>
  <c r="K33" i="65097"/>
  <c r="K34" s="1"/>
  <c r="K35" s="1"/>
  <c r="K33" i="65098"/>
  <c r="K34" s="1"/>
  <c r="K35" s="1"/>
  <c r="K33" i="65105"/>
  <c r="K34" s="1"/>
  <c r="K35" s="1"/>
  <c r="K33" i="65115"/>
  <c r="K34" s="1"/>
  <c r="K34" i="65071"/>
  <c r="K35" s="1"/>
  <c r="K33" i="65067"/>
  <c r="K34" i="65123" s="1"/>
  <c r="K35" s="1"/>
  <c r="K33" i="16"/>
  <c r="K34" s="1"/>
  <c r="K35" s="1"/>
  <c r="J9" i="65065"/>
  <c r="H14" i="16"/>
  <c r="H10"/>
  <c r="H9"/>
  <c r="K38" i="65095" l="1"/>
  <c r="K39" s="1"/>
  <c r="M33" i="65096"/>
  <c r="M34" s="1"/>
  <c r="M33" i="65088"/>
  <c r="M33" i="65084"/>
  <c r="N33" s="1"/>
  <c r="M33" i="65086"/>
  <c r="M34" i="65100"/>
  <c r="M34" i="65123"/>
  <c r="M35" s="1"/>
  <c r="M33" i="65087"/>
  <c r="N33" s="1"/>
  <c r="M33" i="65085"/>
  <c r="M34" i="65122"/>
  <c r="M35" s="1"/>
  <c r="M33" i="65083"/>
  <c r="K35" i="65122"/>
  <c r="N39" i="65077"/>
  <c r="E36" i="304"/>
  <c r="K46" i="300"/>
  <c r="E25" i="304" s="1"/>
  <c r="M35" i="65071"/>
  <c r="N35" s="1"/>
  <c r="N34"/>
  <c r="E26" i="304"/>
  <c r="E31"/>
  <c r="E24"/>
  <c r="K21" i="300"/>
  <c r="K15"/>
  <c r="M34" i="16"/>
  <c r="N33"/>
  <c r="N13" i="65105"/>
  <c r="E40" i="65124"/>
  <c r="M34" i="65105"/>
  <c r="N33"/>
  <c r="N13" i="65098"/>
  <c r="E39" i="65124"/>
  <c r="M34" i="65098"/>
  <c r="N33"/>
  <c r="N13" i="65097"/>
  <c r="E38" i="65124"/>
  <c r="M34" i="65097"/>
  <c r="N33"/>
  <c r="N13" i="65096"/>
  <c r="E37" i="65124"/>
  <c r="N33" i="65096"/>
  <c r="N13" i="65095"/>
  <c r="E36" i="65124"/>
  <c r="M38" i="65095"/>
  <c r="E35" i="65124"/>
  <c r="N13" i="65094"/>
  <c r="M34"/>
  <c r="N13" i="65093"/>
  <c r="E34" i="65124"/>
  <c r="M37" i="65093"/>
  <c r="N36"/>
  <c r="N13" i="65089"/>
  <c r="E33" i="65124"/>
  <c r="M34" i="65089"/>
  <c r="N13" i="65088"/>
  <c r="E32" i="65124"/>
  <c r="N13" i="65087"/>
  <c r="E31" i="65124"/>
  <c r="N13" i="65086"/>
  <c r="E30" i="65124"/>
  <c r="N13" i="65085"/>
  <c r="E29" i="65124"/>
  <c r="N13" i="65084"/>
  <c r="E28" i="65124"/>
  <c r="N13" i="65083"/>
  <c r="E27" i="65124"/>
  <c r="N33" i="65083"/>
  <c r="J26" i="65124"/>
  <c r="N13" i="65122"/>
  <c r="E26" i="65124"/>
  <c r="M40" i="65078"/>
  <c r="N39"/>
  <c r="M41" i="65077"/>
  <c r="N40"/>
  <c r="M51" i="65076"/>
  <c r="M38" i="65075"/>
  <c r="N13" i="65115"/>
  <c r="E17" i="65124"/>
  <c r="M34" i="65115"/>
  <c r="N34" s="1"/>
  <c r="N33"/>
  <c r="K35"/>
  <c r="M34" i="65069"/>
  <c r="N33"/>
  <c r="H10" i="65079"/>
  <c r="H28" i="65074"/>
  <c r="I28"/>
  <c r="K111" i="300" l="1"/>
  <c r="K7"/>
  <c r="M35" i="65115"/>
  <c r="E23" i="304"/>
  <c r="M35" i="16"/>
  <c r="N35" s="1"/>
  <c r="N34"/>
  <c r="E22" i="304"/>
  <c r="M35" i="65105"/>
  <c r="N35" s="1"/>
  <c r="N34"/>
  <c r="M35" i="65098"/>
  <c r="N35" s="1"/>
  <c r="N34"/>
  <c r="M35" i="65097"/>
  <c r="N35" s="1"/>
  <c r="N34"/>
  <c r="M35" i="65096"/>
  <c r="N35" s="1"/>
  <c r="N34"/>
  <c r="M39" i="65095"/>
  <c r="M35" i="65094"/>
  <c r="M38" i="65093"/>
  <c r="N38" s="1"/>
  <c r="N37"/>
  <c r="M35" i="65089"/>
  <c r="M41" i="65078"/>
  <c r="N41" s="1"/>
  <c r="N40"/>
  <c r="N41" i="65077"/>
  <c r="M52" i="65076"/>
  <c r="M39" i="65075"/>
  <c r="M35" i="65069"/>
  <c r="N35" s="1"/>
  <c r="N34"/>
  <c r="H32" i="65077"/>
  <c r="H10" i="65067" l="1"/>
  <c r="H14"/>
  <c r="H9"/>
  <c r="H13" i="65076"/>
  <c r="H17"/>
  <c r="H12"/>
  <c r="H10" i="65094"/>
  <c r="H14"/>
  <c r="H9"/>
  <c r="H10" i="65074"/>
  <c r="H14"/>
  <c r="H9"/>
  <c r="F16" i="300" s="1"/>
  <c r="H10" i="65093"/>
  <c r="H14"/>
  <c r="H9"/>
  <c r="H10" i="65075" l="1"/>
  <c r="H14"/>
  <c r="H9"/>
  <c r="H10" i="65070"/>
  <c r="H14"/>
  <c r="H9"/>
  <c r="H14" i="65098"/>
  <c r="H9"/>
  <c r="H10" i="65080"/>
  <c r="H14"/>
  <c r="H9"/>
  <c r="H9" i="65082"/>
  <c r="H10"/>
  <c r="H14" i="65084"/>
  <c r="H9"/>
  <c r="H10"/>
  <c r="H14" i="65079"/>
  <c r="H9"/>
  <c r="H10" i="65069"/>
  <c r="H14"/>
  <c r="H9"/>
  <c r="H10" i="65077" l="1"/>
  <c r="H14"/>
  <c r="H9"/>
  <c r="H14" i="65096"/>
  <c r="H9"/>
  <c r="H14" i="65089"/>
  <c r="H9"/>
  <c r="H14" i="65088"/>
  <c r="H9"/>
  <c r="H14" i="65086"/>
  <c r="H9"/>
  <c r="H14" i="65085"/>
  <c r="H9"/>
  <c r="H14" i="65083"/>
  <c r="H9"/>
  <c r="H14" i="65122"/>
  <c r="H9"/>
  <c r="H14" i="65081"/>
  <c r="H9"/>
  <c r="H14" i="65082"/>
  <c r="H14" i="65071"/>
  <c r="H9"/>
  <c r="H19" i="65065"/>
  <c r="I31" i="65079"/>
  <c r="H34" i="65095"/>
  <c r="I32" i="65079"/>
  <c r="E194" i="65139"/>
  <c r="E192" s="1"/>
  <c r="E191" s="1"/>
  <c r="F192" l="1"/>
  <c r="F194"/>
  <c r="J30" i="65077"/>
  <c r="F91" i="300" l="1"/>
  <c r="J30" i="16"/>
  <c r="J29"/>
  <c r="J26"/>
  <c r="J25"/>
  <c r="J24"/>
  <c r="J23"/>
  <c r="J22"/>
  <c r="J21"/>
  <c r="J20"/>
  <c r="J19"/>
  <c r="J18"/>
  <c r="J17"/>
  <c r="J11"/>
  <c r="J53" i="65065"/>
  <c r="J52"/>
  <c r="J51"/>
  <c r="J48"/>
  <c r="J45"/>
  <c r="J44"/>
  <c r="J43"/>
  <c r="J42"/>
  <c r="J41"/>
  <c r="J40"/>
  <c r="J39"/>
  <c r="J38"/>
  <c r="J37"/>
  <c r="N37" s="1"/>
  <c r="J36"/>
  <c r="J35"/>
  <c r="J32"/>
  <c r="J31"/>
  <c r="J30"/>
  <c r="J29"/>
  <c r="J28"/>
  <c r="J27"/>
  <c r="J26"/>
  <c r="J25"/>
  <c r="J24"/>
  <c r="J23"/>
  <c r="J22"/>
  <c r="J16"/>
  <c r="J11"/>
  <c r="J10"/>
  <c r="J33" i="65066"/>
  <c r="J32"/>
  <c r="J29"/>
  <c r="J26"/>
  <c r="J25"/>
  <c r="J24"/>
  <c r="J23"/>
  <c r="J22"/>
  <c r="J21"/>
  <c r="J20"/>
  <c r="J19"/>
  <c r="J18"/>
  <c r="J17"/>
  <c r="J11"/>
  <c r="J30" i="65067"/>
  <c r="J29"/>
  <c r="J26"/>
  <c r="J25"/>
  <c r="J24"/>
  <c r="J23"/>
  <c r="J22"/>
  <c r="J21"/>
  <c r="J20"/>
  <c r="J19"/>
  <c r="J18"/>
  <c r="J17"/>
  <c r="J11"/>
  <c r="J30" i="65099"/>
  <c r="J29"/>
  <c r="J26"/>
  <c r="J25"/>
  <c r="J24"/>
  <c r="J23"/>
  <c r="J22"/>
  <c r="J21"/>
  <c r="J20"/>
  <c r="J19"/>
  <c r="J18"/>
  <c r="J17"/>
  <c r="J11"/>
  <c r="J30" i="65123"/>
  <c r="J29"/>
  <c r="J26"/>
  <c r="J25"/>
  <c r="J24"/>
  <c r="J23"/>
  <c r="J22"/>
  <c r="J21"/>
  <c r="J20"/>
  <c r="J19"/>
  <c r="J18"/>
  <c r="J17"/>
  <c r="J11"/>
  <c r="J30" i="65068"/>
  <c r="J29"/>
  <c r="J26"/>
  <c r="J25"/>
  <c r="J24"/>
  <c r="J23"/>
  <c r="J22"/>
  <c r="J21"/>
  <c r="J20"/>
  <c r="J19"/>
  <c r="J18"/>
  <c r="J17"/>
  <c r="J11"/>
  <c r="J30" i="65069"/>
  <c r="J29"/>
  <c r="J26"/>
  <c r="J25"/>
  <c r="J24"/>
  <c r="J23"/>
  <c r="J22"/>
  <c r="J21"/>
  <c r="J20"/>
  <c r="J19"/>
  <c r="J18"/>
  <c r="J17"/>
  <c r="J11"/>
  <c r="J30" i="65070"/>
  <c r="J29"/>
  <c r="J26"/>
  <c r="J25"/>
  <c r="N25" s="1"/>
  <c r="J24"/>
  <c r="J23"/>
  <c r="J22"/>
  <c r="J21"/>
  <c r="J20"/>
  <c r="N20" s="1"/>
  <c r="J19"/>
  <c r="J18"/>
  <c r="J17"/>
  <c r="N17" s="1"/>
  <c r="J11"/>
  <c r="J31" i="65071"/>
  <c r="J30"/>
  <c r="J26"/>
  <c r="J25"/>
  <c r="J24"/>
  <c r="J23"/>
  <c r="J22"/>
  <c r="J21"/>
  <c r="J20"/>
  <c r="J19"/>
  <c r="J18"/>
  <c r="J17"/>
  <c r="J11"/>
  <c r="J30" i="65074"/>
  <c r="N30" s="1"/>
  <c r="J29"/>
  <c r="J26"/>
  <c r="N26" s="1"/>
  <c r="J25"/>
  <c r="N25" s="1"/>
  <c r="J24"/>
  <c r="N24" s="1"/>
  <c r="J23"/>
  <c r="N23" s="1"/>
  <c r="J22"/>
  <c r="N22" s="1"/>
  <c r="J21"/>
  <c r="N21" s="1"/>
  <c r="J20"/>
  <c r="N20" s="1"/>
  <c r="J19"/>
  <c r="N19" s="1"/>
  <c r="J18"/>
  <c r="N18" s="1"/>
  <c r="J17"/>
  <c r="N17" s="1"/>
  <c r="J11"/>
  <c r="N11" s="1"/>
  <c r="J30" i="65100"/>
  <c r="J29"/>
  <c r="J26"/>
  <c r="J25"/>
  <c r="J24"/>
  <c r="J23"/>
  <c r="J22"/>
  <c r="J21"/>
  <c r="J20"/>
  <c r="J19"/>
  <c r="J18"/>
  <c r="J17"/>
  <c r="J11"/>
  <c r="J30" i="65115"/>
  <c r="J29"/>
  <c r="J26"/>
  <c r="J25"/>
  <c r="J24"/>
  <c r="J23"/>
  <c r="J22"/>
  <c r="J21"/>
  <c r="J20"/>
  <c r="J19"/>
  <c r="J18"/>
  <c r="J17"/>
  <c r="J11"/>
  <c r="J34" i="65075"/>
  <c r="J33"/>
  <c r="J30"/>
  <c r="J27"/>
  <c r="J26"/>
  <c r="J25"/>
  <c r="J24"/>
  <c r="J23"/>
  <c r="J22"/>
  <c r="J21"/>
  <c r="J20"/>
  <c r="N20" s="1"/>
  <c r="J19"/>
  <c r="N19" s="1"/>
  <c r="J18"/>
  <c r="J17"/>
  <c r="J11"/>
  <c r="J47" i="65076"/>
  <c r="J46"/>
  <c r="J43"/>
  <c r="J42"/>
  <c r="J39"/>
  <c r="J38"/>
  <c r="J35"/>
  <c r="N35" s="1"/>
  <c r="J34"/>
  <c r="N34" s="1"/>
  <c r="J33"/>
  <c r="J30"/>
  <c r="J26"/>
  <c r="J25"/>
  <c r="J24"/>
  <c r="J21"/>
  <c r="J20"/>
  <c r="J14"/>
  <c r="J9"/>
  <c r="J36" i="65077"/>
  <c r="J35"/>
  <c r="J32"/>
  <c r="J31"/>
  <c r="J29"/>
  <c r="J26"/>
  <c r="J25"/>
  <c r="J24"/>
  <c r="J23"/>
  <c r="J22"/>
  <c r="J21"/>
  <c r="J20"/>
  <c r="J19"/>
  <c r="J18"/>
  <c r="J17"/>
  <c r="J11"/>
  <c r="J36" i="65078"/>
  <c r="J35"/>
  <c r="J34"/>
  <c r="J31"/>
  <c r="J30"/>
  <c r="J27"/>
  <c r="J26"/>
  <c r="J25"/>
  <c r="J24"/>
  <c r="J23"/>
  <c r="J22"/>
  <c r="J21"/>
  <c r="J20"/>
  <c r="J19"/>
  <c r="J18"/>
  <c r="J17"/>
  <c r="J11"/>
  <c r="J36" i="65079"/>
  <c r="J35"/>
  <c r="J32"/>
  <c r="J31"/>
  <c r="J30"/>
  <c r="J29"/>
  <c r="J26"/>
  <c r="J25"/>
  <c r="J24"/>
  <c r="J23"/>
  <c r="J22"/>
  <c r="J21"/>
  <c r="J20"/>
  <c r="J19"/>
  <c r="J18"/>
  <c r="J17"/>
  <c r="J11"/>
  <c r="J49" i="65080"/>
  <c r="J46"/>
  <c r="J45"/>
  <c r="J42"/>
  <c r="J39"/>
  <c r="J38"/>
  <c r="J37"/>
  <c r="J36"/>
  <c r="J35"/>
  <c r="J34"/>
  <c r="J33"/>
  <c r="J32"/>
  <c r="J31"/>
  <c r="J28"/>
  <c r="J27"/>
  <c r="J26"/>
  <c r="J25"/>
  <c r="J24"/>
  <c r="J23"/>
  <c r="J22"/>
  <c r="J21"/>
  <c r="J20"/>
  <c r="N20" s="1"/>
  <c r="J19"/>
  <c r="J18"/>
  <c r="J17"/>
  <c r="J11"/>
  <c r="J30" i="65082"/>
  <c r="J29"/>
  <c r="J26"/>
  <c r="J25"/>
  <c r="J24"/>
  <c r="J23"/>
  <c r="J22"/>
  <c r="J21"/>
  <c r="J20"/>
  <c r="J19"/>
  <c r="J18"/>
  <c r="J17"/>
  <c r="J11"/>
  <c r="J30" i="65081"/>
  <c r="J29"/>
  <c r="J26"/>
  <c r="J25"/>
  <c r="J24"/>
  <c r="J23"/>
  <c r="J22"/>
  <c r="J21"/>
  <c r="J20"/>
  <c r="J19"/>
  <c r="J18"/>
  <c r="J17"/>
  <c r="J11"/>
  <c r="J31" i="65122"/>
  <c r="N31" s="1"/>
  <c r="J30"/>
  <c r="N30" s="1"/>
  <c r="J27"/>
  <c r="J26"/>
  <c r="J25"/>
  <c r="J24"/>
  <c r="J23"/>
  <c r="J22"/>
  <c r="J21"/>
  <c r="J20"/>
  <c r="J19"/>
  <c r="J18"/>
  <c r="J17"/>
  <c r="J11"/>
  <c r="J30" i="65083"/>
  <c r="J29"/>
  <c r="J26"/>
  <c r="J25"/>
  <c r="J24"/>
  <c r="J23"/>
  <c r="J22"/>
  <c r="J21"/>
  <c r="J20"/>
  <c r="J19"/>
  <c r="J18"/>
  <c r="J17"/>
  <c r="J11"/>
  <c r="J30" i="65084"/>
  <c r="J29"/>
  <c r="J26"/>
  <c r="J25"/>
  <c r="J24"/>
  <c r="J23"/>
  <c r="J22"/>
  <c r="J21"/>
  <c r="J20"/>
  <c r="J19"/>
  <c r="J18"/>
  <c r="J17"/>
  <c r="J11"/>
  <c r="J30" i="65085"/>
  <c r="N30" s="1"/>
  <c r="J29"/>
  <c r="N29" s="1"/>
  <c r="J26"/>
  <c r="J25"/>
  <c r="J24"/>
  <c r="J23"/>
  <c r="J22"/>
  <c r="J21"/>
  <c r="J20"/>
  <c r="J19"/>
  <c r="J18"/>
  <c r="J17"/>
  <c r="J11"/>
  <c r="J30" i="65086"/>
  <c r="N30" s="1"/>
  <c r="J29"/>
  <c r="N29" s="1"/>
  <c r="J26"/>
  <c r="J25"/>
  <c r="J24"/>
  <c r="J23"/>
  <c r="J22"/>
  <c r="J21"/>
  <c r="J20"/>
  <c r="J19"/>
  <c r="J18"/>
  <c r="J17"/>
  <c r="J11"/>
  <c r="J30" i="65087"/>
  <c r="J29"/>
  <c r="J26"/>
  <c r="J25"/>
  <c r="J24"/>
  <c r="J23"/>
  <c r="J22"/>
  <c r="J21"/>
  <c r="J20"/>
  <c r="J19"/>
  <c r="J18"/>
  <c r="J17"/>
  <c r="J11"/>
  <c r="J30" i="65088"/>
  <c r="N30" s="1"/>
  <c r="J29"/>
  <c r="J26"/>
  <c r="J25"/>
  <c r="N25" s="1"/>
  <c r="J24"/>
  <c r="J23"/>
  <c r="N23" s="1"/>
  <c r="J22"/>
  <c r="J21"/>
  <c r="J20"/>
  <c r="J19"/>
  <c r="J18"/>
  <c r="J17"/>
  <c r="J11"/>
  <c r="J30" i="65089"/>
  <c r="N30" s="1"/>
  <c r="J29"/>
  <c r="J26"/>
  <c r="J25"/>
  <c r="J24"/>
  <c r="J23"/>
  <c r="J22"/>
  <c r="J21"/>
  <c r="J20"/>
  <c r="J19"/>
  <c r="J18"/>
  <c r="J17"/>
  <c r="J11"/>
  <c r="J33" i="65093"/>
  <c r="J32"/>
  <c r="J29"/>
  <c r="J26"/>
  <c r="J25"/>
  <c r="J24"/>
  <c r="J23"/>
  <c r="J22"/>
  <c r="J21"/>
  <c r="J20"/>
  <c r="J19"/>
  <c r="J18"/>
  <c r="J17"/>
  <c r="J11"/>
  <c r="J30" i="65094"/>
  <c r="J29"/>
  <c r="J26"/>
  <c r="J25"/>
  <c r="N25" s="1"/>
  <c r="J24"/>
  <c r="J23"/>
  <c r="N23" s="1"/>
  <c r="J22"/>
  <c r="J21"/>
  <c r="J20"/>
  <c r="J19"/>
  <c r="J18"/>
  <c r="J17"/>
  <c r="J11"/>
  <c r="J34" i="65095"/>
  <c r="N34" s="1"/>
  <c r="J33"/>
  <c r="J30"/>
  <c r="J29"/>
  <c r="J26"/>
  <c r="J25"/>
  <c r="J24"/>
  <c r="J23"/>
  <c r="J22"/>
  <c r="J21"/>
  <c r="J20"/>
  <c r="J19"/>
  <c r="J18"/>
  <c r="J17"/>
  <c r="J11"/>
  <c r="J30" i="65096"/>
  <c r="J29"/>
  <c r="J26"/>
  <c r="J25"/>
  <c r="J24"/>
  <c r="J23"/>
  <c r="J22"/>
  <c r="J21"/>
  <c r="J20"/>
  <c r="J19"/>
  <c r="J18"/>
  <c r="J17"/>
  <c r="J11"/>
  <c r="J30" i="65097"/>
  <c r="J29"/>
  <c r="J26"/>
  <c r="J25"/>
  <c r="J24"/>
  <c r="J23"/>
  <c r="J22"/>
  <c r="J21"/>
  <c r="J20"/>
  <c r="J19"/>
  <c r="J18"/>
  <c r="J17"/>
  <c r="J11"/>
  <c r="J30" i="65098"/>
  <c r="J29"/>
  <c r="J26"/>
  <c r="J25"/>
  <c r="J24"/>
  <c r="J23"/>
  <c r="J22"/>
  <c r="J21"/>
  <c r="J20"/>
  <c r="J19"/>
  <c r="J18"/>
  <c r="J17"/>
  <c r="J11"/>
  <c r="J30" i="65105"/>
  <c r="J29"/>
  <c r="J26"/>
  <c r="J25"/>
  <c r="J24"/>
  <c r="J23"/>
  <c r="J22"/>
  <c r="J21"/>
  <c r="J20"/>
  <c r="J19"/>
  <c r="J18"/>
  <c r="J17"/>
  <c r="J11"/>
  <c r="F108" i="300"/>
  <c r="F107"/>
  <c r="F106"/>
  <c r="F103"/>
  <c r="F102"/>
  <c r="F97"/>
  <c r="F96"/>
  <c r="F95"/>
  <c r="F86"/>
  <c r="F85"/>
  <c r="F84"/>
  <c r="F83"/>
  <c r="F81"/>
  <c r="F80"/>
  <c r="F79"/>
  <c r="F78"/>
  <c r="F77"/>
  <c r="F76"/>
  <c r="F75"/>
  <c r="F74"/>
  <c r="F73"/>
  <c r="F72"/>
  <c r="F71"/>
  <c r="F69"/>
  <c r="F68"/>
  <c r="F67"/>
  <c r="F66"/>
  <c r="F65"/>
  <c r="F64"/>
  <c r="F63"/>
  <c r="F62"/>
  <c r="F59"/>
  <c r="F58"/>
  <c r="F57"/>
  <c r="F56"/>
  <c r="F55"/>
  <c r="F54"/>
  <c r="F53"/>
  <c r="F52"/>
  <c r="F51"/>
  <c r="F50"/>
  <c r="F49"/>
  <c r="F48"/>
  <c r="F44"/>
  <c r="F43"/>
  <c r="F42"/>
  <c r="F41"/>
  <c r="F39"/>
  <c r="F36"/>
  <c r="F33"/>
  <c r="F25"/>
  <c r="F19"/>
  <c r="F13"/>
  <c r="F12"/>
  <c r="F11"/>
  <c r="F10"/>
  <c r="G108"/>
  <c r="G107"/>
  <c r="G106"/>
  <c r="G103"/>
  <c r="G102"/>
  <c r="G97"/>
  <c r="G96"/>
  <c r="G95"/>
  <c r="G91"/>
  <c r="G86"/>
  <c r="G85"/>
  <c r="G84"/>
  <c r="G83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59"/>
  <c r="G58"/>
  <c r="G57"/>
  <c r="G56"/>
  <c r="G55"/>
  <c r="G54"/>
  <c r="G53"/>
  <c r="G52"/>
  <c r="G51"/>
  <c r="G50"/>
  <c r="G49"/>
  <c r="G48"/>
  <c r="G44"/>
  <c r="G43"/>
  <c r="G42"/>
  <c r="G41"/>
  <c r="G40"/>
  <c r="G39"/>
  <c r="G38"/>
  <c r="H38" s="1"/>
  <c r="G36"/>
  <c r="G35"/>
  <c r="G33"/>
  <c r="G32"/>
  <c r="H32" s="1"/>
  <c r="G25"/>
  <c r="G19"/>
  <c r="G13"/>
  <c r="G12"/>
  <c r="G11"/>
  <c r="G10"/>
  <c r="H50" i="65065"/>
  <c r="H47"/>
  <c r="H34"/>
  <c r="H21"/>
  <c r="J19"/>
  <c r="H15"/>
  <c r="J15" s="1"/>
  <c r="H14"/>
  <c r="J14" s="1"/>
  <c r="H8"/>
  <c r="H31" i="65066"/>
  <c r="H28"/>
  <c r="H16"/>
  <c r="H14"/>
  <c r="J14" s="1"/>
  <c r="H13"/>
  <c r="H10"/>
  <c r="J10" s="1"/>
  <c r="H9"/>
  <c r="H8" s="1"/>
  <c r="H28" i="65067"/>
  <c r="H16"/>
  <c r="J14"/>
  <c r="H13"/>
  <c r="J10"/>
  <c r="H8"/>
  <c r="H28" i="65099"/>
  <c r="H16"/>
  <c r="H14"/>
  <c r="J14" s="1"/>
  <c r="H13"/>
  <c r="H10"/>
  <c r="J10" s="1"/>
  <c r="H9"/>
  <c r="H8" s="1"/>
  <c r="H28" i="65123"/>
  <c r="H16"/>
  <c r="H14"/>
  <c r="J14" s="1"/>
  <c r="H13"/>
  <c r="H10"/>
  <c r="J10" s="1"/>
  <c r="H9"/>
  <c r="H8" s="1"/>
  <c r="H28" i="65068"/>
  <c r="H16"/>
  <c r="H14"/>
  <c r="J14" s="1"/>
  <c r="H13"/>
  <c r="H10"/>
  <c r="J10" s="1"/>
  <c r="H9"/>
  <c r="H8" s="1"/>
  <c r="H28" i="65069"/>
  <c r="H16"/>
  <c r="J14"/>
  <c r="H13"/>
  <c r="J10"/>
  <c r="H8"/>
  <c r="H28" i="65070"/>
  <c r="H16"/>
  <c r="J14"/>
  <c r="H13"/>
  <c r="J10"/>
  <c r="H8"/>
  <c r="H29" i="65071"/>
  <c r="H16"/>
  <c r="J14"/>
  <c r="H13"/>
  <c r="H10"/>
  <c r="J10" s="1"/>
  <c r="H8"/>
  <c r="H16" i="65074"/>
  <c r="J14"/>
  <c r="N14" s="1"/>
  <c r="J10"/>
  <c r="N10" s="1"/>
  <c r="H28" i="65100"/>
  <c r="H16"/>
  <c r="H14"/>
  <c r="J14" s="1"/>
  <c r="H10"/>
  <c r="J10" s="1"/>
  <c r="H9"/>
  <c r="H28" i="65115"/>
  <c r="H16"/>
  <c r="H14"/>
  <c r="J14" s="1"/>
  <c r="H10"/>
  <c r="J10" s="1"/>
  <c r="H9"/>
  <c r="H32" i="65075"/>
  <c r="H29"/>
  <c r="H16"/>
  <c r="J14"/>
  <c r="H13"/>
  <c r="J10"/>
  <c r="H8"/>
  <c r="H45" i="65076"/>
  <c r="H41"/>
  <c r="H37"/>
  <c r="H32"/>
  <c r="H29"/>
  <c r="J29" s="1"/>
  <c r="H28"/>
  <c r="J28" s="1"/>
  <c r="H27"/>
  <c r="J27" s="1"/>
  <c r="H23"/>
  <c r="H22"/>
  <c r="J22" s="1"/>
  <c r="H19"/>
  <c r="J17"/>
  <c r="H16"/>
  <c r="J13"/>
  <c r="H11"/>
  <c r="H8"/>
  <c r="H34" i="65077"/>
  <c r="H28"/>
  <c r="H16"/>
  <c r="J14"/>
  <c r="H13"/>
  <c r="J10"/>
  <c r="H8"/>
  <c r="H33" i="65078"/>
  <c r="H29"/>
  <c r="H16"/>
  <c r="J14"/>
  <c r="J10"/>
  <c r="H34" i="65079"/>
  <c r="H28"/>
  <c r="H16"/>
  <c r="J14"/>
  <c r="H13"/>
  <c r="J10"/>
  <c r="H8"/>
  <c r="H48" i="65080"/>
  <c r="H44"/>
  <c r="H41"/>
  <c r="H30"/>
  <c r="H16"/>
  <c r="J14"/>
  <c r="J10"/>
  <c r="H28" i="65082"/>
  <c r="H16"/>
  <c r="J14"/>
  <c r="J10"/>
  <c r="H28" i="65081"/>
  <c r="H16"/>
  <c r="J14"/>
  <c r="H10"/>
  <c r="J10" s="1"/>
  <c r="H29" i="65122"/>
  <c r="H16"/>
  <c r="J14"/>
  <c r="H10"/>
  <c r="J10" s="1"/>
  <c r="H28" i="65083"/>
  <c r="H16"/>
  <c r="J14"/>
  <c r="H10"/>
  <c r="J10" s="1"/>
  <c r="H28" i="65084"/>
  <c r="H16"/>
  <c r="J14"/>
  <c r="J10"/>
  <c r="H28" i="65085"/>
  <c r="H16"/>
  <c r="J14"/>
  <c r="H10"/>
  <c r="J10" s="1"/>
  <c r="H28" i="65086"/>
  <c r="H16"/>
  <c r="J14"/>
  <c r="H10"/>
  <c r="J10" s="1"/>
  <c r="H28" i="65087"/>
  <c r="H16"/>
  <c r="H14"/>
  <c r="J14" s="1"/>
  <c r="H10"/>
  <c r="J10" s="1"/>
  <c r="H9"/>
  <c r="H28" i="65088"/>
  <c r="H16"/>
  <c r="J14"/>
  <c r="H10"/>
  <c r="J10" s="1"/>
  <c r="H28" i="65089"/>
  <c r="H16"/>
  <c r="J14"/>
  <c r="H10"/>
  <c r="J10" s="1"/>
  <c r="H31" i="65093"/>
  <c r="H28"/>
  <c r="H16"/>
  <c r="J14"/>
  <c r="H13"/>
  <c r="J10"/>
  <c r="H8"/>
  <c r="H28" i="65094"/>
  <c r="H16"/>
  <c r="J14"/>
  <c r="H13"/>
  <c r="J10"/>
  <c r="H8"/>
  <c r="H32" i="65095"/>
  <c r="H28"/>
  <c r="H16"/>
  <c r="H14"/>
  <c r="J14" s="1"/>
  <c r="H10"/>
  <c r="J10" s="1"/>
  <c r="H9"/>
  <c r="H28" i="65096"/>
  <c r="H16"/>
  <c r="J14"/>
  <c r="H10"/>
  <c r="J10" s="1"/>
  <c r="H28" i="65097"/>
  <c r="H16"/>
  <c r="H14"/>
  <c r="J14" s="1"/>
  <c r="H10"/>
  <c r="J10" s="1"/>
  <c r="H9"/>
  <c r="H28" i="65098"/>
  <c r="H16"/>
  <c r="J14"/>
  <c r="H10"/>
  <c r="J10" s="1"/>
  <c r="H28" i="65105"/>
  <c r="H16"/>
  <c r="H14"/>
  <c r="J14" s="1"/>
  <c r="H10"/>
  <c r="J10" s="1"/>
  <c r="H9"/>
  <c r="H28" i="16"/>
  <c r="H16"/>
  <c r="J14"/>
  <c r="J10"/>
  <c r="I50" i="65065"/>
  <c r="I47"/>
  <c r="I34"/>
  <c r="I21"/>
  <c r="I18"/>
  <c r="G18" i="300"/>
  <c r="G16"/>
  <c r="I8" i="65065"/>
  <c r="I31" i="65066"/>
  <c r="I28"/>
  <c r="I16"/>
  <c r="I13"/>
  <c r="I8"/>
  <c r="I28" i="65067"/>
  <c r="I16"/>
  <c r="I13"/>
  <c r="I8"/>
  <c r="I28" i="65099"/>
  <c r="I16"/>
  <c r="I13"/>
  <c r="I8"/>
  <c r="I28" i="65123"/>
  <c r="I16"/>
  <c r="I13"/>
  <c r="I8"/>
  <c r="I28" i="65068"/>
  <c r="I16"/>
  <c r="I13"/>
  <c r="I8"/>
  <c r="I28" i="65069"/>
  <c r="I16"/>
  <c r="I13"/>
  <c r="I8"/>
  <c r="I28" i="65070"/>
  <c r="I16"/>
  <c r="I13"/>
  <c r="I8"/>
  <c r="I29" i="65071"/>
  <c r="I16"/>
  <c r="I13"/>
  <c r="I8"/>
  <c r="I16" i="65074"/>
  <c r="I13"/>
  <c r="I8"/>
  <c r="I28" i="65100"/>
  <c r="I16"/>
  <c r="I13"/>
  <c r="I8"/>
  <c r="I28" i="65115"/>
  <c r="I16"/>
  <c r="I13"/>
  <c r="I8"/>
  <c r="I32" i="65075"/>
  <c r="I29"/>
  <c r="I16"/>
  <c r="I13"/>
  <c r="I8"/>
  <c r="I45" i="65076"/>
  <c r="I41"/>
  <c r="I37"/>
  <c r="I32"/>
  <c r="I19"/>
  <c r="I16"/>
  <c r="I11"/>
  <c r="I8"/>
  <c r="I34" i="65077"/>
  <c r="I28"/>
  <c r="I16"/>
  <c r="I13"/>
  <c r="I8"/>
  <c r="I33" i="65078"/>
  <c r="I29"/>
  <c r="I16"/>
  <c r="I13"/>
  <c r="I8"/>
  <c r="I34" i="65079"/>
  <c r="I28"/>
  <c r="I16"/>
  <c r="I13"/>
  <c r="I8"/>
  <c r="I48" i="65080"/>
  <c r="I44"/>
  <c r="I41"/>
  <c r="I30"/>
  <c r="I16"/>
  <c r="I13"/>
  <c r="I8"/>
  <c r="I28" i="65082"/>
  <c r="I16"/>
  <c r="I13"/>
  <c r="I8"/>
  <c r="I28" i="65081"/>
  <c r="I16"/>
  <c r="I13"/>
  <c r="I8"/>
  <c r="I29" i="65122"/>
  <c r="I16"/>
  <c r="I13"/>
  <c r="I8"/>
  <c r="I28" i="65083"/>
  <c r="I16"/>
  <c r="I13"/>
  <c r="I8"/>
  <c r="I28" i="65084"/>
  <c r="I16"/>
  <c r="I13"/>
  <c r="I8"/>
  <c r="I28" i="65085"/>
  <c r="I16"/>
  <c r="I13"/>
  <c r="I8"/>
  <c r="I28" i="65086"/>
  <c r="I16"/>
  <c r="I13"/>
  <c r="I8"/>
  <c r="I28" i="65087"/>
  <c r="I16"/>
  <c r="I13"/>
  <c r="I8"/>
  <c r="I28" i="65088"/>
  <c r="I16"/>
  <c r="I13"/>
  <c r="I8"/>
  <c r="I28" i="65089"/>
  <c r="I16"/>
  <c r="I13"/>
  <c r="I8"/>
  <c r="I31" i="65093"/>
  <c r="I28"/>
  <c r="I16"/>
  <c r="I13"/>
  <c r="I8"/>
  <c r="I28" i="65094"/>
  <c r="I16"/>
  <c r="I13"/>
  <c r="I8"/>
  <c r="I32" i="65095"/>
  <c r="I28"/>
  <c r="I16"/>
  <c r="I13"/>
  <c r="I8"/>
  <c r="I28" i="65096"/>
  <c r="I16"/>
  <c r="I13"/>
  <c r="I8"/>
  <c r="I28" i="65097"/>
  <c r="I16"/>
  <c r="I13"/>
  <c r="I8"/>
  <c r="I28" i="65098"/>
  <c r="I16"/>
  <c r="I13"/>
  <c r="I8"/>
  <c r="I28" i="65105"/>
  <c r="I16"/>
  <c r="I13"/>
  <c r="I8"/>
  <c r="I28" i="16"/>
  <c r="I16"/>
  <c r="I13"/>
  <c r="I8"/>
  <c r="J28" i="65074" l="1"/>
  <c r="N28" s="1"/>
  <c r="N29"/>
  <c r="H25" i="300"/>
  <c r="H36"/>
  <c r="F31"/>
  <c r="H33"/>
  <c r="H42"/>
  <c r="L92"/>
  <c r="N48" i="65065"/>
  <c r="H33" i="65094"/>
  <c r="H34" s="1"/>
  <c r="H35" s="1"/>
  <c r="H36" i="65093"/>
  <c r="H37" s="1"/>
  <c r="H38" s="1"/>
  <c r="G105" i="300"/>
  <c r="I52" i="65080"/>
  <c r="G47" i="300"/>
  <c r="H33" i="65067"/>
  <c r="H33" i="65068"/>
  <c r="H34" s="1"/>
  <c r="H35" s="1"/>
  <c r="H33" i="65123"/>
  <c r="H33" i="65099"/>
  <c r="H37" i="65075"/>
  <c r="H38" s="1"/>
  <c r="H39" s="1"/>
  <c r="H33" i="65070"/>
  <c r="H34" i="65071"/>
  <c r="H35" s="1"/>
  <c r="H39" i="65079"/>
  <c r="H40" s="1"/>
  <c r="H41" s="1"/>
  <c r="H33" i="65069"/>
  <c r="H34" s="1"/>
  <c r="H35" s="1"/>
  <c r="H39" i="65077"/>
  <c r="H40" s="1"/>
  <c r="H41" s="1"/>
  <c r="H8" i="16"/>
  <c r="H13"/>
  <c r="H8" i="65105"/>
  <c r="H33" s="1"/>
  <c r="H34" s="1"/>
  <c r="H35" s="1"/>
  <c r="H13"/>
  <c r="H8" i="65098"/>
  <c r="H13"/>
  <c r="H8" i="65097"/>
  <c r="H33" s="1"/>
  <c r="H34" s="1"/>
  <c r="H35" s="1"/>
  <c r="H13"/>
  <c r="H8" i="65096"/>
  <c r="H13"/>
  <c r="H8" i="65095"/>
  <c r="H37" s="1"/>
  <c r="H38" s="1"/>
  <c r="H39" s="1"/>
  <c r="H13"/>
  <c r="H8" i="65089"/>
  <c r="H13"/>
  <c r="H8" i="65088"/>
  <c r="H33" s="1"/>
  <c r="H13"/>
  <c r="H8" i="65087"/>
  <c r="H33" s="1"/>
  <c r="H13"/>
  <c r="H8" i="65086"/>
  <c r="H33" s="1"/>
  <c r="H13"/>
  <c r="H8" i="65085"/>
  <c r="H13"/>
  <c r="H8" i="65084"/>
  <c r="H13"/>
  <c r="H8" i="65083"/>
  <c r="H13"/>
  <c r="H8" i="65122"/>
  <c r="H34" s="1"/>
  <c r="H13"/>
  <c r="H8" i="65081"/>
  <c r="H13"/>
  <c r="H8" i="65082"/>
  <c r="H13"/>
  <c r="H8" i="65080"/>
  <c r="H52" s="1"/>
  <c r="H13"/>
  <c r="H8" i="65078"/>
  <c r="H39" s="1"/>
  <c r="H40" s="1"/>
  <c r="H41" s="1"/>
  <c r="H13"/>
  <c r="H8" i="65115"/>
  <c r="H33" s="1"/>
  <c r="H34" s="1"/>
  <c r="H13"/>
  <c r="H8" i="65100"/>
  <c r="H33" s="1"/>
  <c r="H13"/>
  <c r="H8" i="65074"/>
  <c r="H13"/>
  <c r="F35" i="300"/>
  <c r="F40"/>
  <c r="J9" i="65089"/>
  <c r="J9" i="65088"/>
  <c r="J9" i="65087"/>
  <c r="J9" i="65086"/>
  <c r="J9" i="65085"/>
  <c r="J9" i="65084"/>
  <c r="J9" i="65083"/>
  <c r="J9" i="65122"/>
  <c r="J12" i="65076"/>
  <c r="J23"/>
  <c r="J9" i="65105"/>
  <c r="J9" i="65098"/>
  <c r="J9" i="65097"/>
  <c r="J9" i="65096"/>
  <c r="J9" i="65095"/>
  <c r="J9" i="65094"/>
  <c r="J9" i="65093"/>
  <c r="J9" i="65081"/>
  <c r="J9" i="65082"/>
  <c r="J9" i="65079"/>
  <c r="J9" i="65078"/>
  <c r="J9" i="65077"/>
  <c r="J9" i="65075"/>
  <c r="J9" i="65115"/>
  <c r="J9" i="65100"/>
  <c r="J9" i="65074"/>
  <c r="N9" s="1"/>
  <c r="J9" i="65071"/>
  <c r="J9" i="65070"/>
  <c r="J9" i="65069"/>
  <c r="J9" i="65068"/>
  <c r="J9" i="65123"/>
  <c r="J9" i="65099"/>
  <c r="J9" i="65067"/>
  <c r="J9" i="65066"/>
  <c r="J9" i="16"/>
  <c r="F47" i="300"/>
  <c r="F87"/>
  <c r="F99"/>
  <c r="F105"/>
  <c r="F18"/>
  <c r="F17" s="1"/>
  <c r="J9" i="65080"/>
  <c r="F22" i="300"/>
  <c r="F21" s="1"/>
  <c r="I33" i="65105"/>
  <c r="I34" s="1"/>
  <c r="I35" s="1"/>
  <c r="I33" i="65098"/>
  <c r="I34" s="1"/>
  <c r="I35" s="1"/>
  <c r="I33" i="65097"/>
  <c r="I34" s="1"/>
  <c r="I35" s="1"/>
  <c r="I33" i="65096"/>
  <c r="I34" s="1"/>
  <c r="I35" s="1"/>
  <c r="I37" i="65095"/>
  <c r="I38" s="1"/>
  <c r="I39" s="1"/>
  <c r="I33" i="65094"/>
  <c r="I34" s="1"/>
  <c r="I35" s="1"/>
  <c r="I36" i="65093"/>
  <c r="I37" s="1"/>
  <c r="I38" s="1"/>
  <c r="I33" i="65089"/>
  <c r="I33" i="65088"/>
  <c r="I33" i="65087"/>
  <c r="I33" i="65086"/>
  <c r="I33" i="65085"/>
  <c r="I33" i="65084"/>
  <c r="I33" i="65083"/>
  <c r="I34" i="65122"/>
  <c r="I33" i="65081"/>
  <c r="I33" i="65082"/>
  <c r="I39" i="65079"/>
  <c r="I40" s="1"/>
  <c r="I41" s="1"/>
  <c r="I39" i="65078"/>
  <c r="I40" s="1"/>
  <c r="I41" s="1"/>
  <c r="I39" i="65077"/>
  <c r="I40" s="1"/>
  <c r="I41" s="1"/>
  <c r="I37" i="65075"/>
  <c r="I38" s="1"/>
  <c r="I39" s="1"/>
  <c r="I33" i="65115"/>
  <c r="I34" s="1"/>
  <c r="I33" i="65100"/>
  <c r="I33" i="65074"/>
  <c r="I34" i="65100" s="1"/>
  <c r="I34" i="65071"/>
  <c r="I35" s="1"/>
  <c r="I33" i="65070"/>
  <c r="I33" i="65069"/>
  <c r="I34" s="1"/>
  <c r="I35" s="1"/>
  <c r="I33" i="65068"/>
  <c r="I34" s="1"/>
  <c r="I35" s="1"/>
  <c r="I33" i="65123"/>
  <c r="I33" i="65099"/>
  <c r="I33" i="65067"/>
  <c r="I36" i="65066"/>
  <c r="G31" i="300"/>
  <c r="I13" i="65065"/>
  <c r="I56" s="1"/>
  <c r="I34" i="65123" s="1"/>
  <c r="H13" i="65065"/>
  <c r="H18"/>
  <c r="G9" i="300"/>
  <c r="G34"/>
  <c r="F9"/>
  <c r="G22"/>
  <c r="G21" s="1"/>
  <c r="G70"/>
  <c r="F70"/>
  <c r="I33" i="16"/>
  <c r="I34" s="1"/>
  <c r="I35" s="1"/>
  <c r="G87" i="300"/>
  <c r="G99"/>
  <c r="F60"/>
  <c r="F82"/>
  <c r="F94"/>
  <c r="G17"/>
  <c r="G15" s="1"/>
  <c r="G37"/>
  <c r="G60"/>
  <c r="G82"/>
  <c r="G94"/>
  <c r="H50" i="65076"/>
  <c r="H51" s="1"/>
  <c r="H52" s="1"/>
  <c r="H36" i="65066"/>
  <c r="I50" i="65076"/>
  <c r="I51" s="1"/>
  <c r="I52" s="1"/>
  <c r="H33" i="65074" l="1"/>
  <c r="H34" i="65100" s="1"/>
  <c r="H35" i="65115" s="1"/>
  <c r="F34" i="300"/>
  <c r="H34" s="1"/>
  <c r="H35"/>
  <c r="H31"/>
  <c r="I35" i="65122"/>
  <c r="I35" i="65115"/>
  <c r="F37" i="300"/>
  <c r="H37" s="1"/>
  <c r="I34" i="65089"/>
  <c r="I35" s="1"/>
  <c r="H33" i="16"/>
  <c r="H34" s="1"/>
  <c r="H35" s="1"/>
  <c r="H33" i="65098"/>
  <c r="H34" s="1"/>
  <c r="H35" s="1"/>
  <c r="F15" i="300"/>
  <c r="H33" i="65096"/>
  <c r="H34" s="1"/>
  <c r="H35" s="1"/>
  <c r="H33" i="65089"/>
  <c r="H33" i="65085"/>
  <c r="H33" i="65084"/>
  <c r="H33" i="65083"/>
  <c r="H33" i="65081"/>
  <c r="H35" i="65122" s="1"/>
  <c r="H33" i="65082"/>
  <c r="H56" i="65065"/>
  <c r="G46" i="300"/>
  <c r="G24"/>
  <c r="F46"/>
  <c r="G111"/>
  <c r="E157" i="65139"/>
  <c r="F157" s="1"/>
  <c r="F24" i="300" l="1"/>
  <c r="F7"/>
  <c r="H34" i="65089"/>
  <c r="H35" s="1"/>
  <c r="G7" i="300"/>
  <c r="F111"/>
  <c r="H34" i="65123"/>
  <c r="E12" i="65139"/>
  <c r="F12" s="1"/>
  <c r="E7"/>
  <c r="F7" s="1"/>
  <c r="L64" i="300"/>
  <c r="L65"/>
  <c r="L57"/>
  <c r="L58"/>
  <c r="J28" i="65077"/>
  <c r="H18" i="300"/>
  <c r="L18" s="1"/>
  <c r="H19"/>
  <c r="L19" s="1"/>
  <c r="H22"/>
  <c r="L22" s="1"/>
  <c r="L25"/>
  <c r="L26"/>
  <c r="L27"/>
  <c r="L28"/>
  <c r="L29"/>
  <c r="L30"/>
  <c r="L32"/>
  <c r="L35"/>
  <c r="L38"/>
  <c r="L42"/>
  <c r="L100"/>
  <c r="L101"/>
  <c r="E185" i="65139"/>
  <c r="F185" s="1"/>
  <c r="E139"/>
  <c r="F139" s="1"/>
  <c r="E92"/>
  <c r="F92" s="1"/>
  <c r="E47"/>
  <c r="F47" s="1"/>
  <c r="E174"/>
  <c r="F174" s="1"/>
  <c r="L78" i="300"/>
  <c r="L81"/>
  <c r="J28" i="65095"/>
  <c r="H17" i="300" l="1"/>
  <c r="L17" s="1"/>
  <c r="H35" i="65123"/>
  <c r="I35" l="1"/>
  <c r="J28" i="65093" l="1"/>
  <c r="J28" i="65079"/>
  <c r="J28" i="65067"/>
  <c r="L107" i="300" l="1"/>
  <c r="L108"/>
  <c r="J45" i="65076"/>
  <c r="J13" i="65094" l="1"/>
  <c r="J32" i="65095"/>
  <c r="N32" s="1"/>
  <c r="J31" i="65093"/>
  <c r="J30" i="65080"/>
  <c r="J29" i="65078"/>
  <c r="J34" i="65077"/>
  <c r="J32" i="65076"/>
  <c r="N32" s="1"/>
  <c r="J29" i="65075"/>
  <c r="J32"/>
  <c r="J28" i="65066"/>
  <c r="D34" i="304" l="1"/>
  <c r="L44" i="300"/>
  <c r="J16" i="65122"/>
  <c r="L43" i="300"/>
  <c r="J16" i="65075"/>
  <c r="N16" s="1"/>
  <c r="J8" i="65080"/>
  <c r="E220" i="65139"/>
  <c r="E125"/>
  <c r="J28" i="65085"/>
  <c r="N28" s="1"/>
  <c r="E212" i="65139"/>
  <c r="E172"/>
  <c r="E164"/>
  <c r="F164" s="1"/>
  <c r="J13" i="65098"/>
  <c r="J8"/>
  <c r="J13" i="65096"/>
  <c r="J8"/>
  <c r="J13" i="65071"/>
  <c r="J8"/>
  <c r="J13" i="65105"/>
  <c r="J13" i="65097"/>
  <c r="J8"/>
  <c r="J13" i="65095"/>
  <c r="J8"/>
  <c r="J8" i="65094"/>
  <c r="J13" i="65093"/>
  <c r="J8"/>
  <c r="J13" i="65089"/>
  <c r="J8"/>
  <c r="J13" i="65088"/>
  <c r="J8"/>
  <c r="J13" i="65087"/>
  <c r="J8"/>
  <c r="J13" i="65086"/>
  <c r="J8"/>
  <c r="J13" i="65085"/>
  <c r="J8"/>
  <c r="J13" i="65084"/>
  <c r="J8"/>
  <c r="J13" i="65083"/>
  <c r="J8"/>
  <c r="J13" i="65122"/>
  <c r="J8"/>
  <c r="J13" i="65081"/>
  <c r="J8"/>
  <c r="J13" i="65082"/>
  <c r="J8"/>
  <c r="J13" i="65080"/>
  <c r="J13" i="65079"/>
  <c r="J8"/>
  <c r="J13" i="65078"/>
  <c r="J8"/>
  <c r="J13" i="65077"/>
  <c r="J8"/>
  <c r="J16" i="65076"/>
  <c r="J11"/>
  <c r="J13" i="65075"/>
  <c r="J8"/>
  <c r="J13" i="65115"/>
  <c r="J8"/>
  <c r="J13" i="65100"/>
  <c r="J8"/>
  <c r="J13" i="65074"/>
  <c r="N13" s="1"/>
  <c r="J8"/>
  <c r="N8" s="1"/>
  <c r="J13" i="65070"/>
  <c r="J8"/>
  <c r="J13" i="65069"/>
  <c r="J8"/>
  <c r="J13" i="65068"/>
  <c r="J8"/>
  <c r="J13" i="65123"/>
  <c r="J8"/>
  <c r="J13" i="65099"/>
  <c r="J8"/>
  <c r="J13" i="65067"/>
  <c r="J8"/>
  <c r="J13" i="65066"/>
  <c r="J8"/>
  <c r="J18" i="65065"/>
  <c r="J13"/>
  <c r="J13" i="16"/>
  <c r="J8"/>
  <c r="E145" i="65139"/>
  <c r="F131"/>
  <c r="E122"/>
  <c r="F122" s="1"/>
  <c r="E120"/>
  <c r="E116"/>
  <c r="F116" s="1"/>
  <c r="E113"/>
  <c r="F113" s="1"/>
  <c r="E108"/>
  <c r="F108" s="1"/>
  <c r="E98"/>
  <c r="E87"/>
  <c r="E83"/>
  <c r="F83" s="1"/>
  <c r="E79"/>
  <c r="E74"/>
  <c r="F74" s="1"/>
  <c r="E72"/>
  <c r="F72" s="1"/>
  <c r="E69"/>
  <c r="F69" s="1"/>
  <c r="E62"/>
  <c r="F62" s="1"/>
  <c r="E59"/>
  <c r="F59" s="1"/>
  <c r="E52"/>
  <c r="E46"/>
  <c r="F46" s="1"/>
  <c r="E38"/>
  <c r="F38" s="1"/>
  <c r="E35"/>
  <c r="F35" s="1"/>
  <c r="E33"/>
  <c r="F33" s="1"/>
  <c r="E28"/>
  <c r="F28" s="1"/>
  <c r="E20"/>
  <c r="E16"/>
  <c r="G72" i="65137"/>
  <c r="G64"/>
  <c r="E43" i="65125"/>
  <c r="F43"/>
  <c r="G10" i="65137"/>
  <c r="G12"/>
  <c r="G13"/>
  <c r="G14"/>
  <c r="G15"/>
  <c r="G16"/>
  <c r="F17"/>
  <c r="G17"/>
  <c r="G18"/>
  <c r="G19"/>
  <c r="G20"/>
  <c r="G21"/>
  <c r="G22"/>
  <c r="G27"/>
  <c r="G28"/>
  <c r="G31"/>
  <c r="G33"/>
  <c r="G34"/>
  <c r="G35"/>
  <c r="G36"/>
  <c r="G37"/>
  <c r="G38"/>
  <c r="F40"/>
  <c r="G40"/>
  <c r="G41"/>
  <c r="G42"/>
  <c r="G43"/>
  <c r="G44"/>
  <c r="G45"/>
  <c r="G46"/>
  <c r="F47"/>
  <c r="G47"/>
  <c r="G48"/>
  <c r="G49"/>
  <c r="G50"/>
  <c r="G51"/>
  <c r="G52"/>
  <c r="G53"/>
  <c r="G54"/>
  <c r="G55"/>
  <c r="G56"/>
  <c r="G57"/>
  <c r="G58"/>
  <c r="G59"/>
  <c r="G60"/>
  <c r="G62"/>
  <c r="G63"/>
  <c r="G66"/>
  <c r="G67"/>
  <c r="G71"/>
  <c r="G73"/>
  <c r="G74"/>
  <c r="G75"/>
  <c r="G78"/>
  <c r="G79"/>
  <c r="G80"/>
  <c r="G81"/>
  <c r="G82"/>
  <c r="G83"/>
  <c r="G84"/>
  <c r="G85"/>
  <c r="J16" i="65105"/>
  <c r="J28"/>
  <c r="J16" i="65098"/>
  <c r="J28"/>
  <c r="J16" i="65097"/>
  <c r="J28"/>
  <c r="J16" i="65096"/>
  <c r="J28"/>
  <c r="J16" i="65095"/>
  <c r="J16" i="65094"/>
  <c r="N16" s="1"/>
  <c r="J28"/>
  <c r="J16" i="65093"/>
  <c r="J16" i="65089"/>
  <c r="J28"/>
  <c r="N28" s="1"/>
  <c r="J16" i="65088"/>
  <c r="N16" s="1"/>
  <c r="J28"/>
  <c r="N28" s="1"/>
  <c r="J16" i="65087"/>
  <c r="J28"/>
  <c r="J16" i="65086"/>
  <c r="J28"/>
  <c r="N28" s="1"/>
  <c r="J16" i="65085"/>
  <c r="J16" i="65084"/>
  <c r="J28"/>
  <c r="J16" i="65083"/>
  <c r="J28"/>
  <c r="J29" i="65122"/>
  <c r="N29" s="1"/>
  <c r="J16" i="65081"/>
  <c r="J28"/>
  <c r="J16" i="65082"/>
  <c r="J28"/>
  <c r="J16" i="65080"/>
  <c r="N16" s="1"/>
  <c r="J41"/>
  <c r="J44"/>
  <c r="J48"/>
  <c r="J16" i="65079"/>
  <c r="J34"/>
  <c r="J16" i="65078"/>
  <c r="J33"/>
  <c r="J16" i="65077"/>
  <c r="J8" i="65076"/>
  <c r="J19"/>
  <c r="J37"/>
  <c r="J41"/>
  <c r="J16" i="65115"/>
  <c r="J28"/>
  <c r="J16" i="65100"/>
  <c r="J28"/>
  <c r="J16" i="65074"/>
  <c r="N16" s="1"/>
  <c r="J16" i="65071"/>
  <c r="J29"/>
  <c r="J16" i="65070"/>
  <c r="N16" s="1"/>
  <c r="J28"/>
  <c r="J16" i="65069"/>
  <c r="J28"/>
  <c r="J16" i="65068"/>
  <c r="J28"/>
  <c r="J16" i="65123"/>
  <c r="J28"/>
  <c r="J16" i="65099"/>
  <c r="J28"/>
  <c r="J16" i="65067"/>
  <c r="J16" i="65066"/>
  <c r="J31"/>
  <c r="J8" i="65065"/>
  <c r="J21"/>
  <c r="J34"/>
  <c r="N34" s="1"/>
  <c r="J47"/>
  <c r="N47" s="1"/>
  <c r="J50"/>
  <c r="J16" i="16"/>
  <c r="J28"/>
  <c r="H10" i="300"/>
  <c r="L10" s="1"/>
  <c r="H11"/>
  <c r="L11" s="1"/>
  <c r="H12"/>
  <c r="L12" s="1"/>
  <c r="H13"/>
  <c r="L13" s="1"/>
  <c r="L33"/>
  <c r="L36"/>
  <c r="L39"/>
  <c r="L40"/>
  <c r="L41"/>
  <c r="L48"/>
  <c r="L49"/>
  <c r="L50"/>
  <c r="L51"/>
  <c r="L52"/>
  <c r="L53"/>
  <c r="L54"/>
  <c r="L55"/>
  <c r="L56"/>
  <c r="L59"/>
  <c r="L61"/>
  <c r="L62"/>
  <c r="L63"/>
  <c r="L66"/>
  <c r="L67"/>
  <c r="L68"/>
  <c r="L69"/>
  <c r="L71"/>
  <c r="L72"/>
  <c r="L73"/>
  <c r="L74"/>
  <c r="L75"/>
  <c r="L76"/>
  <c r="L77"/>
  <c r="L79"/>
  <c r="L80"/>
  <c r="L83"/>
  <c r="L84"/>
  <c r="L85"/>
  <c r="L86"/>
  <c r="L88"/>
  <c r="L89"/>
  <c r="L95"/>
  <c r="L96"/>
  <c r="L97"/>
  <c r="L102"/>
  <c r="L103"/>
  <c r="L106"/>
  <c r="E34" i="304"/>
  <c r="F34"/>
  <c r="C41" i="65125"/>
  <c r="C38"/>
  <c r="C36"/>
  <c r="C35"/>
  <c r="C31"/>
  <c r="C29"/>
  <c r="C27"/>
  <c r="C26"/>
  <c r="C23"/>
  <c r="C20"/>
  <c r="C18"/>
  <c r="C16"/>
  <c r="C14"/>
  <c r="C13"/>
  <c r="C12"/>
  <c r="G65" i="65137"/>
  <c r="J33" i="65084"/>
  <c r="L21" i="65124"/>
  <c r="J33" i="65074"/>
  <c r="N33" s="1"/>
  <c r="J33" i="65123"/>
  <c r="E6" i="65139"/>
  <c r="F6" s="1"/>
  <c r="J33" i="65068"/>
  <c r="J39" i="65078"/>
  <c r="J33" i="65087"/>
  <c r="J33" i="65100"/>
  <c r="J33" i="65089"/>
  <c r="N33" s="1"/>
  <c r="J33" i="65085"/>
  <c r="N33" s="1"/>
  <c r="J33" i="65082"/>
  <c r="C15" i="65125"/>
  <c r="J33" i="65070"/>
  <c r="N33" s="1"/>
  <c r="J33" i="65069"/>
  <c r="J33" i="65115"/>
  <c r="J39" i="65077"/>
  <c r="J33" i="65083"/>
  <c r="C8" i="65125"/>
  <c r="C17"/>
  <c r="C21"/>
  <c r="J50" i="65076"/>
  <c r="N50" s="1"/>
  <c r="C32" i="65125"/>
  <c r="C39"/>
  <c r="C10"/>
  <c r="C22"/>
  <c r="I41" i="65124"/>
  <c r="C28" i="65125"/>
  <c r="C42"/>
  <c r="J34" i="65122"/>
  <c r="N34" s="1"/>
  <c r="J39" i="65079"/>
  <c r="C25" i="65125"/>
  <c r="C24"/>
  <c r="C40"/>
  <c r="J33" i="65088"/>
  <c r="N33" s="1"/>
  <c r="J37" i="65095"/>
  <c r="N37" s="1"/>
  <c r="J34" i="65071"/>
  <c r="J33" i="65098"/>
  <c r="C37" i="65125"/>
  <c r="J36" i="65093"/>
  <c r="E184" i="65139"/>
  <c r="E155"/>
  <c r="J37" i="65075"/>
  <c r="N37" s="1"/>
  <c r="L82" i="300"/>
  <c r="J33" i="65081"/>
  <c r="J56" i="65065" l="1"/>
  <c r="N56" s="1"/>
  <c r="J33" i="65086"/>
  <c r="N33" s="1"/>
  <c r="K34" i="65089" s="1"/>
  <c r="F120" i="65139"/>
  <c r="E115"/>
  <c r="F115" s="1"/>
  <c r="E19" i="304"/>
  <c r="F19" s="1"/>
  <c r="F212" i="65139"/>
  <c r="E183"/>
  <c r="F183" s="1"/>
  <c r="F184"/>
  <c r="E154"/>
  <c r="F154" s="1"/>
  <c r="F155"/>
  <c r="E144"/>
  <c r="F144" s="1"/>
  <c r="F145"/>
  <c r="E124"/>
  <c r="F124" s="1"/>
  <c r="F125"/>
  <c r="E97"/>
  <c r="F97" s="1"/>
  <c r="F98"/>
  <c r="E86"/>
  <c r="F86" s="1"/>
  <c r="F87"/>
  <c r="E77"/>
  <c r="F77" s="1"/>
  <c r="F79"/>
  <c r="E51"/>
  <c r="F51" s="1"/>
  <c r="F52"/>
  <c r="E19"/>
  <c r="F19" s="1"/>
  <c r="F20"/>
  <c r="E15"/>
  <c r="F15" s="1"/>
  <c r="F16"/>
  <c r="H9" i="300"/>
  <c r="H94"/>
  <c r="J34" i="65100"/>
  <c r="N34" s="1"/>
  <c r="J52" i="65080"/>
  <c r="N52" s="1"/>
  <c r="H41" i="65124"/>
  <c r="E58" i="65139"/>
  <c r="F58" s="1"/>
  <c r="E27"/>
  <c r="F27" s="1"/>
  <c r="F61" i="65137"/>
  <c r="G61" s="1"/>
  <c r="E37" i="65139"/>
  <c r="F37" s="1"/>
  <c r="L31" i="300"/>
  <c r="L26" i="65124"/>
  <c r="J34" i="65098"/>
  <c r="C34" i="65125"/>
  <c r="C33"/>
  <c r="C30"/>
  <c r="L25" i="65124"/>
  <c r="L23"/>
  <c r="C19" i="65125"/>
  <c r="J35" i="65071"/>
  <c r="J34" i="65069"/>
  <c r="J34" i="65068"/>
  <c r="C11" i="65125"/>
  <c r="J33" i="65099"/>
  <c r="L8" i="65124"/>
  <c r="G29" i="65137"/>
  <c r="J34" i="65115"/>
  <c r="J38" i="65075"/>
  <c r="N38" s="1"/>
  <c r="L87" i="300"/>
  <c r="G32" i="65137"/>
  <c r="J38" i="65095"/>
  <c r="N38" s="1"/>
  <c r="J40" i="65078"/>
  <c r="J40" i="65077"/>
  <c r="J51" i="65076"/>
  <c r="N51" s="1"/>
  <c r="E178" i="65139"/>
  <c r="H91" i="300"/>
  <c r="H21"/>
  <c r="G24" i="65137"/>
  <c r="L70" i="300"/>
  <c r="L36" i="65124"/>
  <c r="L37"/>
  <c r="L11"/>
  <c r="H105" i="300"/>
  <c r="L6" i="65124"/>
  <c r="J33" i="65094"/>
  <c r="N33" s="1"/>
  <c r="L35" i="65124"/>
  <c r="L33"/>
  <c r="G70" i="65137"/>
  <c r="L60" i="300"/>
  <c r="L34"/>
  <c r="J40" i="65079"/>
  <c r="L47" i="300"/>
  <c r="L17" i="65124"/>
  <c r="J33" i="65067"/>
  <c r="L5" i="65124"/>
  <c r="E219" i="65139"/>
  <c r="J33" i="65096"/>
  <c r="L34" i="65124"/>
  <c r="L32"/>
  <c r="D41"/>
  <c r="J36" i="65066"/>
  <c r="C9" i="65125"/>
  <c r="J33" i="16"/>
  <c r="J33" i="65097"/>
  <c r="L20" i="65124"/>
  <c r="L38"/>
  <c r="L39"/>
  <c r="J35" i="65098"/>
  <c r="G25" i="65137"/>
  <c r="J37" i="65093"/>
  <c r="L31" i="65124"/>
  <c r="L30"/>
  <c r="L29"/>
  <c r="L28"/>
  <c r="J34" i="65089"/>
  <c r="N34" s="1"/>
  <c r="L27" i="65124"/>
  <c r="L24"/>
  <c r="J35" i="65122"/>
  <c r="K41" i="65124"/>
  <c r="L22"/>
  <c r="L19"/>
  <c r="L18"/>
  <c r="L16"/>
  <c r="L15"/>
  <c r="L14"/>
  <c r="L13"/>
  <c r="L12"/>
  <c r="E41"/>
  <c r="J35" i="65069"/>
  <c r="L10" i="65124"/>
  <c r="H99" i="300"/>
  <c r="G41" i="65124"/>
  <c r="L7"/>
  <c r="L37" i="300"/>
  <c r="C7" i="65125"/>
  <c r="E76" i="65139" l="1"/>
  <c r="F76" s="1"/>
  <c r="E91"/>
  <c r="F91" s="1"/>
  <c r="E5"/>
  <c r="F5" s="1"/>
  <c r="D36" i="304"/>
  <c r="D35" s="1"/>
  <c r="L105" i="300"/>
  <c r="D23" i="304"/>
  <c r="F23" s="1"/>
  <c r="L21" i="300"/>
  <c r="D21" i="304"/>
  <c r="L9" i="300"/>
  <c r="D31" i="304"/>
  <c r="D30" s="1"/>
  <c r="D32" s="1"/>
  <c r="L99" i="300"/>
  <c r="N35" i="65122"/>
  <c r="K35" i="65089" s="1"/>
  <c r="D26" i="304"/>
  <c r="F26" s="1"/>
  <c r="L91" i="300"/>
  <c r="D27" i="304"/>
  <c r="F27" s="1"/>
  <c r="L94" i="300"/>
  <c r="E15" i="304"/>
  <c r="F15" s="1"/>
  <c r="F21"/>
  <c r="L9" i="65124"/>
  <c r="J41"/>
  <c r="J34" i="16"/>
  <c r="J39" i="65075"/>
  <c r="N39" s="1"/>
  <c r="E218" i="65139"/>
  <c r="E29" i="304" s="1"/>
  <c r="F29" s="1"/>
  <c r="J41" i="65078"/>
  <c r="J35" i="65068"/>
  <c r="D43" i="65125"/>
  <c r="F41" i="65124"/>
  <c r="E177" i="65139"/>
  <c r="J34" i="65097"/>
  <c r="G26" i="65137"/>
  <c r="J34" i="65096"/>
  <c r="J34" i="65094"/>
  <c r="N34" s="1"/>
  <c r="J38" i="65093"/>
  <c r="J35" i="65115"/>
  <c r="N35" s="1"/>
  <c r="J41" i="65079"/>
  <c r="J39" i="65095"/>
  <c r="N39" s="1"/>
  <c r="J41" i="65077"/>
  <c r="J52" i="65076"/>
  <c r="N52" s="1"/>
  <c r="E30" i="304"/>
  <c r="C43" i="65125"/>
  <c r="G11" i="65137"/>
  <c r="G69"/>
  <c r="J34" i="65123"/>
  <c r="N34" s="1"/>
  <c r="H46" i="300"/>
  <c r="F68" i="65137"/>
  <c r="J35" i="65089"/>
  <c r="N35" s="1"/>
  <c r="G76" i="65137"/>
  <c r="H24" i="300"/>
  <c r="D37" i="304"/>
  <c r="E71" i="65139" l="1"/>
  <c r="F71" s="1"/>
  <c r="D25" i="304"/>
  <c r="F25" s="1"/>
  <c r="L46" i="300"/>
  <c r="F36" i="304"/>
  <c r="D24"/>
  <c r="F24" s="1"/>
  <c r="L24" i="300"/>
  <c r="G9" i="65137"/>
  <c r="F8"/>
  <c r="G8" s="1"/>
  <c r="J35" i="16"/>
  <c r="G68" i="65137"/>
  <c r="E32" i="304"/>
  <c r="F32" s="1"/>
  <c r="J35" i="65097"/>
  <c r="F23" i="65137"/>
  <c r="G23" s="1"/>
  <c r="J35" i="65096"/>
  <c r="F30" i="304"/>
  <c r="F31"/>
  <c r="J35" i="65094"/>
  <c r="N35" s="1"/>
  <c r="E35" i="304"/>
  <c r="J35" i="65123"/>
  <c r="N35" s="1"/>
  <c r="E57" i="65139" l="1"/>
  <c r="F57" s="1"/>
  <c r="F77" i="65137"/>
  <c r="G86"/>
  <c r="E163" i="65139"/>
  <c r="F163" s="1"/>
  <c r="E37" i="304"/>
  <c r="F37" s="1"/>
  <c r="F35"/>
  <c r="E16" l="1"/>
  <c r="F16" s="1"/>
  <c r="E151" i="65139"/>
  <c r="F151" s="1"/>
  <c r="G77" i="65137"/>
  <c r="E162" i="65139"/>
  <c r="F162" s="1"/>
  <c r="E161" l="1"/>
  <c r="F161" s="1"/>
  <c r="E153" l="1"/>
  <c r="F153" s="1"/>
  <c r="E17" i="304" l="1"/>
  <c r="F17" l="1"/>
  <c r="J8" i="65105" l="1"/>
  <c r="C41" i="65124"/>
  <c r="H16" i="300"/>
  <c r="L16" s="1"/>
  <c r="L40" i="65124" l="1"/>
  <c r="L41" s="1"/>
  <c r="J33" i="65105"/>
  <c r="H111" i="300" s="1"/>
  <c r="L111" s="1"/>
  <c r="H15"/>
  <c r="H7" l="1"/>
  <c r="L7" s="1"/>
  <c r="D22" i="304"/>
  <c r="D20" s="1"/>
  <c r="L15" i="300"/>
  <c r="J34" i="65105"/>
  <c r="J35"/>
  <c r="G39" i="65137"/>
  <c r="F30"/>
  <c r="F7" s="1"/>
  <c r="F22" i="304" l="1"/>
  <c r="D41"/>
  <c r="E20"/>
  <c r="F20" s="1"/>
  <c r="G30" i="65137"/>
  <c r="G7"/>
  <c r="E41" i="304" l="1"/>
  <c r="F41" s="1"/>
  <c r="E182" i="65139"/>
  <c r="E216" l="1"/>
  <c r="E226" s="1"/>
  <c r="E18" i="304"/>
  <c r="E14" s="1"/>
  <c r="E28" l="1"/>
  <c r="E33" s="1"/>
  <c r="E38" s="1"/>
  <c r="E40"/>
  <c r="E42" s="1"/>
  <c r="L43" i="65124" s="1"/>
  <c r="L44" s="1"/>
  <c r="F202" i="65139"/>
  <c r="F204"/>
  <c r="D191" l="1"/>
  <c r="F191" l="1"/>
  <c r="D182"/>
  <c r="F182" l="1"/>
  <c r="D216"/>
  <c r="D18" i="304"/>
  <c r="F216" i="65139" l="1"/>
  <c r="D226"/>
  <c r="F226" s="1"/>
  <c r="F18" i="304"/>
  <c r="D14"/>
  <c r="F14" l="1"/>
  <c r="D40"/>
  <c r="D28"/>
  <c r="F40" l="1"/>
  <c r="D42"/>
  <c r="F42" s="1"/>
  <c r="F28"/>
  <c r="D33"/>
  <c r="F33" l="1"/>
  <c r="D38"/>
  <c r="F38" s="1"/>
</calcChain>
</file>

<file path=xl/sharedStrings.xml><?xml version="1.0" encoding="utf-8"?>
<sst xmlns="http://schemas.openxmlformats.org/spreadsheetml/2006/main" count="2602" uniqueCount="852">
  <si>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</si>
  <si>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</si>
  <si>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</si>
  <si>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</si>
  <si>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</si>
  <si>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</si>
  <si>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</si>
  <si>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</si>
  <si>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</si>
  <si>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</si>
  <si>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</si>
  <si>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</si>
  <si>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</si>
  <si>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</si>
  <si>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</si>
  <si>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</si>
  <si>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</si>
  <si>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</si>
  <si>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</si>
  <si>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</si>
  <si>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</si>
  <si>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</si>
  <si>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</si>
  <si>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</si>
  <si>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</si>
  <si>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</si>
  <si>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</si>
  <si>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</si>
  <si>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</si>
  <si>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</si>
  <si>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</si>
  <si>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</si>
  <si>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</si>
  <si>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</si>
  <si>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</si>
  <si>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</si>
  <si>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</si>
  <si>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</si>
  <si>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</si>
  <si>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</si>
  <si>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</si>
  <si>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</si>
  <si>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</si>
  <si>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</si>
  <si>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</si>
  <si>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</si>
  <si>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</si>
  <si>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</si>
  <si>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</si>
  <si>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</si>
  <si>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</si>
  <si>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</si>
  <si>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</si>
  <si>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</si>
  <si>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</si>
  <si>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</si>
  <si>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</si>
  <si>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</si>
  <si>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</si>
  <si>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</si>
  <si>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</si>
  <si>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</si>
  <si>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</si>
  <si>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</si>
  <si>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</si>
  <si>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</si>
  <si>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</si>
  <si>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</si>
  <si>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</si>
  <si>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</si>
  <si>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</si>
  <si>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</si>
  <si>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</si>
  <si>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</si>
  <si>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</si>
  <si>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</si>
  <si>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</si>
  <si>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</si>
  <si>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</si>
  <si>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</si>
  <si>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</si>
  <si>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</si>
  <si>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</si>
  <si>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</si>
  <si>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</si>
  <si>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</si>
  <si>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</si>
  <si>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</si>
  <si>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</si>
  <si>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</si>
  <si>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</si>
  <si>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</si>
  <si>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</si>
  <si>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</si>
  <si>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</si>
  <si>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</si>
  <si>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</si>
  <si>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</si>
  <si>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</si>
  <si>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</si>
  <si>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</si>
  <si>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</si>
  <si>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</si>
  <si>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</si>
  <si>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</si>
  <si>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</si>
  <si>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</si>
  <si>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</si>
  <si>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</si>
  <si>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</si>
  <si>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</si>
  <si>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</si>
  <si>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</si>
  <si>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</si>
  <si>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</si>
  <si>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</si>
  <si>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</si>
  <si>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</si>
  <si>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</si>
  <si>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</si>
  <si>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</si>
  <si>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</si>
  <si>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</si>
  <si>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</si>
  <si>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</si>
  <si>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</si>
  <si>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</si>
  <si>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</si>
  <si>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</si>
  <si>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</si>
  <si>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</si>
  <si>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</si>
  <si>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</si>
  <si>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</si>
  <si>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</si>
  <si>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</si>
  <si>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</si>
  <si>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</si>
  <si>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</si>
  <si>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</si>
  <si>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</si>
  <si>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</si>
  <si>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</si>
  <si>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</si>
  <si>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</si>
  <si>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</si>
  <si>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</si>
  <si>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</si>
  <si>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</si>
  <si>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</si>
  <si>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</si>
  <si>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</si>
  <si>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</si>
  <si>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</si>
  <si>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</si>
  <si>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</si>
  <si>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</si>
  <si>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</si>
  <si>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</si>
  <si>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</si>
  <si>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</si>
  <si>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</si>
  <si>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</si>
  <si>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</si>
  <si>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</si>
  <si>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</si>
  <si>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</si>
  <si>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</si>
  <si>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</si>
  <si>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</si>
  <si>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</si>
  <si>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</si>
  <si>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</si>
  <si>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</si>
  <si>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</si>
  <si>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</si>
  <si>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</si>
  <si>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</si>
  <si>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</si>
  <si>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</si>
  <si>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</si>
  <si>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</si>
  <si>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</si>
  <si>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</si>
  <si>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</si>
  <si>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</si>
  <si>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</si>
  <si>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</si>
  <si>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</si>
  <si>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</si>
  <si>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</si>
  <si>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</si>
  <si>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</si>
  <si>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</si>
  <si>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</si>
  <si>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</si>
  <si>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</si>
  <si>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</si>
  <si>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</si>
  <si>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</si>
  <si>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</si>
  <si>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</si>
  <si>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</si>
  <si>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</si>
  <si>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</si>
  <si>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</si>
  <si>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</si>
  <si>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</si>
  <si>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</si>
  <si>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</si>
  <si>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</si>
  <si>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</si>
  <si>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</si>
  <si>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</si>
  <si>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</si>
  <si>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</si>
  <si>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</si>
  <si>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</si>
  <si>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</si>
  <si>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</si>
  <si>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</si>
  <si>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</si>
  <si>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</si>
  <si>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</si>
  <si>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</si>
  <si>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</si>
  <si>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</si>
  <si>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</si>
  <si>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</si>
  <si>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</si>
  <si>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</si>
  <si>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</si>
  <si>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</si>
  <si>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</si>
  <si>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</si>
  <si>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</si>
  <si>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</si>
  <si>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</si>
  <si>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</si>
  <si>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</si>
  <si>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</si>
  <si>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</si>
  <si>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</si>
  <si>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</si>
  <si>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</si>
  <si>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</si>
  <si>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</si>
  <si>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</si>
  <si>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</si>
  <si>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</si>
  <si>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</si>
  <si>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</si>
  <si>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</si>
  <si>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</si>
  <si>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</si>
  <si>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</si>
  <si>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</si>
  <si>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</si>
  <si>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</si>
  <si>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</si>
  <si>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</si>
  <si>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</si>
  <si>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</si>
  <si>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</si>
  <si>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RB</t>
  </si>
  <si>
    <t>5.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</si>
  <si>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</si>
  <si>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</si>
  <si>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</si>
  <si>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</si>
  <si>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Ministarstvo prosvjete - Školski centar Fra Martina Nedića Orašje</t>
  </si>
  <si>
    <t>Ministarstvo prosvjete - Srednja strukovna škola Orašje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</si>
  <si>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</si>
  <si>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</si>
  <si>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</si>
  <si>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</si>
  <si>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</si>
  <si>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</si>
  <si>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</si>
  <si>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</si>
  <si>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</si>
  <si>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</si>
  <si>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</si>
  <si>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</si>
  <si>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</si>
  <si>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</si>
  <si>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</si>
  <si>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</si>
  <si>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</si>
  <si>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</si>
  <si>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</si>
  <si>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</si>
  <si>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</si>
  <si>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</si>
  <si>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</si>
  <si>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</si>
  <si>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</si>
  <si>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</si>
  <si>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</si>
  <si>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</si>
  <si>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</si>
  <si>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</si>
  <si>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</si>
  <si>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</si>
  <si>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</si>
  <si>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</si>
  <si>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</si>
  <si>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</si>
  <si>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</si>
  <si>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</si>
  <si>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</si>
  <si>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</si>
  <si>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</si>
  <si>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</si>
  <si>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</si>
  <si>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</si>
  <si>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</si>
  <si>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</si>
  <si>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</si>
  <si>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</si>
  <si>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</si>
  <si>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</si>
  <si>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</si>
  <si>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</si>
  <si>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</si>
  <si>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</si>
  <si>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</si>
  <si>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</si>
  <si>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</si>
  <si>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</si>
  <si>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</si>
  <si>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</si>
  <si>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</si>
  <si>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</si>
  <si>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</si>
  <si>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</si>
  <si>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</si>
  <si>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</si>
  <si>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</si>
  <si>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</si>
  <si>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</si>
  <si>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</si>
  <si>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</si>
  <si>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</si>
  <si>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</si>
  <si>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</si>
  <si>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</si>
  <si>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</si>
  <si>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</si>
  <si>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</si>
  <si>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</si>
  <si>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</si>
  <si>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</si>
  <si>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</si>
  <si>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</si>
  <si>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</si>
  <si>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</si>
  <si>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</si>
  <si>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</si>
  <si>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</si>
  <si>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</si>
  <si>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</si>
  <si>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</si>
  <si>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</si>
  <si>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</si>
  <si>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</si>
  <si>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</si>
  <si>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</si>
  <si>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</si>
  <si>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</si>
  <si>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</si>
  <si>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</si>
  <si>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</si>
  <si>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</si>
  <si>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</si>
  <si>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</si>
  <si>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</si>
  <si>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</si>
  <si>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</si>
  <si>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</si>
  <si>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</si>
  <si>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</si>
  <si>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</si>
  <si>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</si>
  <si>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</si>
  <si>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</si>
  <si>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17010001 Ministarstvo zdravstva, rada i socijalne politike - 
      Civilne žrtve rata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</si>
  <si>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</si>
  <si>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</si>
  <si>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</si>
  <si>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</si>
  <si>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</si>
  <si>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</si>
  <si>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</si>
  <si>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</si>
  <si>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Ministarstvo unutarnjih poslova</t>
  </si>
  <si>
    <t>Proračunski
korisnik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</si>
  <si>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</si>
  <si>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</si>
  <si>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</si>
  <si>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</si>
  <si>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</si>
  <si>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</si>
  <si>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</si>
  <si>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</si>
  <si>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</si>
  <si>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</si>
  <si>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</si>
  <si>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</si>
  <si>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</si>
  <si>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</si>
  <si>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</si>
  <si>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</si>
  <si>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</si>
  <si>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</si>
  <si>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</si>
  <si>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</si>
  <si>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</si>
  <si>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</si>
  <si>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</si>
  <si>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</si>
  <si>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</si>
  <si>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</si>
  <si>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</si>
  <si>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</si>
  <si>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</si>
  <si>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</si>
  <si>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</si>
  <si>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</si>
  <si>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</si>
  <si>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</si>
  <si>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</si>
  <si>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</si>
  <si>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</si>
  <si>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</si>
  <si>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</si>
  <si>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</si>
  <si>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</si>
  <si>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</si>
  <si>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</si>
  <si>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</si>
  <si>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</si>
  <si>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</si>
  <si>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</si>
  <si>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</si>
  <si>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</si>
  <si>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</si>
  <si>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</si>
  <si>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</si>
  <si>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</si>
  <si>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</si>
  <si>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</si>
  <si>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</si>
  <si>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</si>
  <si>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</si>
  <si>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</si>
  <si>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</si>
  <si>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</si>
  <si>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</si>
  <si>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</si>
  <si>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</si>
  <si>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</si>
  <si>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</si>
  <si>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</si>
  <si>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</si>
  <si>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</si>
  <si>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</si>
  <si>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</si>
  <si>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</si>
  <si>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</si>
  <si>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</si>
  <si>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</si>
  <si>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</si>
  <si>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</si>
  <si>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</si>
  <si>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</si>
  <si>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</si>
  <si>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</si>
  <si>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</si>
  <si>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</si>
  <si>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</si>
  <si>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</si>
  <si>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</si>
  <si>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</si>
  <si>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</si>
  <si>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</si>
  <si>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</si>
  <si>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</si>
  <si>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</si>
  <si>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</si>
  <si>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</si>
  <si>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</si>
  <si>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</si>
  <si>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</si>
  <si>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</si>
  <si>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</si>
  <si>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</si>
  <si>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</si>
  <si>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</si>
  <si>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</si>
  <si>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</si>
  <si>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</si>
  <si>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</si>
  <si>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</si>
  <si>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</si>
  <si>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</si>
  <si>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</si>
  <si>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</si>
  <si>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</si>
  <si>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</si>
  <si>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</si>
  <si>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</si>
  <si>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</si>
  <si>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</si>
  <si>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</si>
  <si>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</si>
  <si>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</si>
  <si>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</si>
  <si>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</si>
  <si>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</si>
  <si>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</si>
  <si>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</si>
  <si>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</si>
  <si>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</si>
  <si>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r>
      <t xml:space="preserve">      99999999 Riznica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</si>
  <si>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Posebna vodna naknada za vađenje materijala iz vodotoka</t>
  </si>
  <si>
    <t xml:space="preserve">   Ostali povrati</t>
  </si>
  <si>
    <r>
      <t xml:space="preserve">      18010001 Ministarstvo prometa, veza, turizma i zašt.okoliša
      </t>
    </r>
    <r>
      <rPr>
        <sz val="10"/>
        <color indexed="8"/>
        <rFont val="Calibri"/>
        <family val="2"/>
        <charset val="238"/>
      </rPr>
      <t>- GSM licence</t>
    </r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</si>
  <si>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</si>
  <si>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</si>
  <si>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</si>
  <si>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     16010001 Ministarstvo financija - Refundacija kamata</t>
  </si>
  <si>
    <t xml:space="preserve">      11010001 Vlada ŽP - Ured za Hrvate izvan RH</t>
  </si>
  <si>
    <t>Minist.prosv., znanosti, kulture i športa - Osnovna škola fra Ilije Starčevića Tolisa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</si>
  <si>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</si>
  <si>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</si>
  <si>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</si>
  <si>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</si>
  <si>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</si>
  <si>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>Namjenski prihodi</t>
  </si>
  <si>
    <t>Grantovi i donacije</t>
  </si>
  <si>
    <t>Minist.prosv., znan., kult.i šp.- Osnovna škola Stjepana Radića Oštra Luka-Bok</t>
  </si>
  <si>
    <t>Minist.prosvj., znanosti, kulture i športa - Osnovna škola A.G.Matoša Vidovice</t>
  </si>
  <si>
    <t>Minist.prosv., znan., kulture i športa - Osnovna škola Braće Radića Domaljevac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</si>
  <si>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</si>
  <si>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</si>
  <si>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</si>
  <si>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 xml:space="preserve"> Ugovorene i druge posebne usluge-prostorni plan</t>
  </si>
  <si>
    <t xml:space="preserve"> Ugovorene i druge posebne usluge-Nerda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</si>
  <si>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</si>
  <si>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</si>
  <si>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</si>
  <si>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</si>
  <si>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</si>
  <si>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</si>
  <si>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</si>
  <si>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</si>
  <si>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</si>
  <si>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Ugovorene i druge posebne usluge-Nerda</t>
  </si>
  <si>
    <t xml:space="preserve"> o/č Grant za sanaciju šteta uzrokovanih poplavom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</si>
  <si>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</si>
  <si>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</si>
  <si>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</si>
  <si>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</si>
  <si>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</si>
  <si>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</si>
  <si>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</si>
  <si>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Grantovi za šport i kulturu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</si>
  <si>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</si>
  <si>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</si>
  <si>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</si>
  <si>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Grantovi za zdravstvene i socijalne potrebe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</si>
  <si>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</si>
  <si>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</si>
  <si>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</si>
  <si>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</si>
  <si>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</si>
  <si>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</si>
  <si>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</si>
  <si>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</si>
  <si>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</si>
  <si>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</si>
  <si>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</si>
  <si>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</si>
  <si>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</si>
  <si>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</si>
  <si>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</si>
  <si>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</si>
  <si>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</si>
  <si>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</si>
  <si>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</si>
  <si>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</si>
  <si>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</si>
  <si>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</si>
  <si>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Ekon. 
kod</t>
  </si>
  <si>
    <t xml:space="preserve"> Ostali grantovi-izvršenje sudskih presuda i rješenja
 o izvršenju</t>
  </si>
  <si>
    <t>43 (43)</t>
  </si>
  <si>
    <t>28 (28)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</si>
  <si>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</si>
  <si>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</si>
  <si>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</si>
  <si>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</si>
  <si>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 xml:space="preserve">      11010001 Vlada ŽP - Fond za zaštitu okoliša Federacije BiH</t>
  </si>
  <si>
    <t xml:space="preserve">   Grantovi od izvanproračunskih fondova</t>
  </si>
  <si>
    <t xml:space="preserve"> o/č Grant za sufinanciranje profesionalne vatrogasne postrojbe</t>
  </si>
  <si>
    <t>Ured za razvoj i europske integracije Županije Posavske</t>
  </si>
  <si>
    <t>54 (61)</t>
  </si>
  <si>
    <t xml:space="preserve"> Ugovorene i druge posebne usluge-volonteri (1) (0)</t>
  </si>
  <si>
    <t xml:space="preserve"> Ugovorene i druge posebne usluge-volonteri (2) (0)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</si>
  <si>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</si>
  <si>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</si>
  <si>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</si>
  <si>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</si>
  <si>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  19010001 Min.poljopr., vodoprivrede i šumarstva - DR.SHARE</t>
  </si>
  <si>
    <t xml:space="preserve">   Primljeni namj.grantovi za obrazov.- SSŠ Orašje - Udruga Nerda</t>
  </si>
  <si>
    <t xml:space="preserve">      20020002 Sred.škola P.Zečevića Odžak-Ured za Hrvate izvan RH</t>
  </si>
  <si>
    <t xml:space="preserve">      20020002 Srednja strukovna škola Orašje - Federalno 
      ministarstvo obrazovanja i nauke</t>
  </si>
  <si>
    <t>INDEKS
(4/3)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</si>
  <si>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</si>
  <si>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</si>
  <si>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</si>
  <si>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</si>
  <si>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</si>
  <si>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</si>
  <si>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(razgr.)</t>
    </r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</si>
  <si>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</si>
  <si>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</si>
  <si>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</si>
  <si>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</si>
  <si>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  Grant od Federalnog zavoda za zapošljavanje - osnovne škole</t>
  </si>
  <si>
    <t xml:space="preserve">   Grant od Federalnog zavoda za zapošljavanje-Min.pravosuđa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</si>
  <si>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</si>
  <si>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</si>
  <si>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</si>
  <si>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</si>
  <si>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</si>
  <si>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</si>
  <si>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</si>
  <si>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   20030001 Osn.škola Orašje - Ured za Hrvate izvan RH</t>
  </si>
  <si>
    <t xml:space="preserve">      20030007 Osn.šk.B.Radića Domaljevac- Ured za Hrv. izvan RH</t>
  </si>
  <si>
    <t xml:space="preserve">      20020002 Srednja škola Pere Zečevića Odžak - Federalno 
      ministarstvo obrazovanja i nauke</t>
  </si>
  <si>
    <t xml:space="preserve">   Kapitalni grantovi od nevladinih izvora</t>
  </si>
  <si>
    <t xml:space="preserve">   Kapitalni grantovi od poduzeća</t>
  </si>
  <si>
    <t xml:space="preserve">      20030002 Osnovna škola V.Nazora Odžak - BH Telecom d.d.</t>
  </si>
  <si>
    <t xml:space="preserve">      20030003 Osn.škola R.Boškovića D.Mahala - BH Telecom d.d.</t>
  </si>
  <si>
    <t xml:space="preserve">   Primljeni tekući grantovi od gradova</t>
  </si>
  <si>
    <t xml:space="preserve">      14020003 Općinski sud Orašje</t>
  </si>
  <si>
    <t>PRORAČUN za 2019.</t>
  </si>
  <si>
    <t>107 (110)</t>
  </si>
  <si>
    <t>31 (31)</t>
  </si>
  <si>
    <t>48 (49)</t>
  </si>
  <si>
    <t>20 (20)</t>
  </si>
  <si>
    <t>PRORAČUN za 
2019.godinu</t>
  </si>
  <si>
    <t>Subanalitika</t>
  </si>
  <si>
    <t>BA6017</t>
  </si>
  <si>
    <t>BA6006</t>
  </si>
  <si>
    <t>BA6012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</si>
  <si>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</si>
  <si>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</si>
  <si>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</si>
  <si>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</si>
  <si>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</si>
  <si>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</si>
  <si>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</si>
  <si>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</si>
  <si>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</si>
  <si>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AA6001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</si>
  <si>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</si>
  <si>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</si>
  <si>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</si>
  <si>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</si>
  <si>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</si>
  <si>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</si>
  <si>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</si>
  <si>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</si>
  <si>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</si>
  <si>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</si>
  <si>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</si>
  <si>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</si>
  <si>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</si>
  <si>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</si>
  <si>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</si>
  <si>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</si>
  <si>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</si>
  <si>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</si>
  <si>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</si>
  <si>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šport</t>
  </si>
  <si>
    <t xml:space="preserve"> Grantovi za kulturu</t>
  </si>
  <si>
    <t>KA6009</t>
  </si>
  <si>
    <t>KA6003</t>
  </si>
  <si>
    <t>KA6008</t>
  </si>
  <si>
    <t>KA6001</t>
  </si>
  <si>
    <t>KA6006</t>
  </si>
  <si>
    <t>KB6001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</si>
  <si>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</si>
  <si>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</si>
  <si>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</si>
  <si>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</si>
  <si>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</si>
  <si>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 xml:space="preserve"> o/č Grantovi za zdravstvene potrebe</t>
  </si>
  <si>
    <t xml:space="preserve"> o/č Grantovi za socijalne potrebe</t>
  </si>
  <si>
    <t xml:space="preserve"> o/č Grantovi za šport</t>
  </si>
  <si>
    <t xml:space="preserve"> o/č Grantovi za kulturu</t>
  </si>
  <si>
    <t xml:space="preserve">     15010001 Min.gospod.i prost.uređenja-Prostorni plan</t>
  </si>
  <si>
    <t xml:space="preserve">      18010001 Minist.prometa, veza, turizma i zaštite okoliša - 
      Fed.ministarstvo raseljenih osoba i izbjeglica</t>
  </si>
  <si>
    <t>iz prorač.
sredstava</t>
  </si>
  <si>
    <t>iz ostalih izvora</t>
  </si>
  <si>
    <t>12=10+11</t>
  </si>
  <si>
    <t>8=6+7</t>
  </si>
  <si>
    <t xml:space="preserve"> Grantovi neprofitnim organizacijama i udrugama građana</t>
  </si>
  <si>
    <t>PRORAČUN 
za 2019.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</si>
  <si>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</si>
  <si>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</si>
  <si>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</si>
  <si>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</si>
  <si>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</si>
  <si>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</si>
  <si>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</si>
  <si>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</si>
  <si>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</si>
  <si>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</si>
  <si>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</si>
  <si>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</si>
  <si>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</si>
  <si>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</si>
  <si>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</si>
  <si>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</si>
  <si>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</si>
  <si>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</si>
  <si>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</si>
  <si>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</si>
  <si>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</si>
  <si>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</si>
  <si>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</si>
  <si>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9. IZDACI ZA NABAVKU FINANCIJSKE IMOVINE I     OTPLATE DUGOVA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</si>
  <si>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</si>
  <si>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</si>
  <si>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</si>
  <si>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</si>
  <si>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</si>
  <si>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</si>
  <si>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</si>
  <si>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</si>
  <si>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</si>
  <si>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</si>
  <si>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</si>
  <si>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</si>
  <si>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</si>
  <si>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</si>
  <si>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</si>
  <si>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</si>
  <si>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</si>
  <si>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</si>
  <si>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</si>
  <si>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</si>
  <si>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</si>
  <si>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</si>
  <si>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</si>
  <si>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</si>
  <si>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</si>
  <si>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</si>
  <si>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</si>
  <si>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</si>
  <si>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</si>
  <si>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</si>
  <si>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</si>
  <si>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</si>
  <si>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</si>
  <si>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</si>
  <si>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</si>
  <si>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</si>
  <si>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</si>
  <si>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</si>
  <si>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</si>
  <si>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</si>
  <si>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</si>
  <si>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</si>
  <si>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</si>
  <si>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</si>
  <si>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</si>
  <si>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     20010001 Ministarstvo prosvjete, znanosti, kulture i športa - 
      Nabavka besplatnih udžbenika</t>
  </si>
  <si>
    <t xml:space="preserve"> Grant za sufinanc.profesionalne vatrogasne postrojbe</t>
  </si>
  <si>
    <t>44 (45)</t>
  </si>
  <si>
    <t xml:space="preserve">      20030002 Osnovna škola V.Nazora Odžak - Federalno ministarstvo 
      obrazovanja i nauke</t>
  </si>
  <si>
    <t xml:space="preserve">      20030004 Osnovna škola fra I.Starčevića Tolisa - Federalno ministarstvo 
      obrazovanja i nauke</t>
  </si>
  <si>
    <t xml:space="preserve">      23010001 Uprava za civilnu zaštitu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</si>
  <si>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</si>
  <si>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   99999999 Riznica</t>
  </si>
  <si>
    <t>52 (52)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</si>
  <si>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</si>
  <si>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</si>
  <si>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</si>
  <si>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 xml:space="preserve">   Prihodi od iznajmljivanja zemljišta</t>
  </si>
  <si>
    <t>KA6010</t>
  </si>
  <si>
    <t>KA6011</t>
  </si>
  <si>
    <t>HA6003</t>
  </si>
  <si>
    <t>HA6004</t>
  </si>
  <si>
    <t>55 (55)</t>
  </si>
  <si>
    <t>968 (980)</t>
  </si>
  <si>
    <r>
      <t xml:space="preserve">      20020004 Sred.struk.škola Orašje-Ured za Hrvate izvan RH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</si>
  <si>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   27010001 Kant.tužiteljstvo - IPA </t>
    </r>
    <r>
      <rPr>
        <b/>
        <sz val="10"/>
        <color indexed="8"/>
        <rFont val="Calibri"/>
        <family val="2"/>
        <charset val="238"/>
      </rPr>
      <t>(razgr.)</t>
    </r>
  </si>
  <si>
    <t>5=3+4</t>
  </si>
  <si>
    <t>9=7+8</t>
  </si>
  <si>
    <t>INDEKS 12/9*
100</t>
  </si>
  <si>
    <t>INDEKS 
8/5*
100</t>
  </si>
  <si>
    <t>INDEKS
4/3*100</t>
  </si>
  <si>
    <t>Bosna i Hercegovina
Federacija Bosne i 
Hercegovine
Županija Posavska
V L A D A</t>
  </si>
  <si>
    <t>Bosnia and Herzegovina
Federation of Bosnia and Herzegovina
Posavina County
THE GOVERNMENT</t>
  </si>
  <si>
    <t>TABLIČNI PREGLED</t>
  </si>
  <si>
    <t>IZVRŠENJE PRORAČUNA ŽUPANIJE POSAVSKE</t>
  </si>
  <si>
    <t xml:space="preserve">   Kamate primljene od pozajmica Državi</t>
  </si>
  <si>
    <t>Završni dio</t>
  </si>
  <si>
    <t xml:space="preserve"> Naknade troškova zaposlenih - volonteri (38)</t>
  </si>
  <si>
    <t xml:space="preserve"> o/č Ugovorene i druge posebne usluge-volonterski rad (38)</t>
  </si>
  <si>
    <t xml:space="preserve"> Ugovorene i dr. posebne usluge-volonteri (38)</t>
  </si>
  <si>
    <t xml:space="preserve">   Naknada zagađivača okoliša fizičkih osoba</t>
  </si>
  <si>
    <t xml:space="preserve">   Prihodi od prodanih pristojbenih biljega</t>
  </si>
  <si>
    <t xml:space="preserve">      20030007 Osn.škola Braće Radića Domaljevac - BH Telekom Sarajevo</t>
  </si>
  <si>
    <t xml:space="preserve">      20030006 Osn.škola A.G.Matoša Vidovice - BH Telekom Sarajevo</t>
  </si>
  <si>
    <t xml:space="preserve">      20020002 Srednja škola P.Zečevića Odžak -Strolit, Peplast i ST Company</t>
  </si>
  <si>
    <t xml:space="preserve">   Kapitalni grantovi od županija</t>
  </si>
  <si>
    <t xml:space="preserve">      20020004 Srednja strukovna škola Orašje</t>
  </si>
  <si>
    <t xml:space="preserve">      20030006 Osnovna škola A.G.Matoša Vidovice</t>
  </si>
  <si>
    <t xml:space="preserve">      11010001 Vlada ŽP - Brčko Distrikt</t>
  </si>
  <si>
    <t xml:space="preserve">      19010001 Ministarstvo poljoprivrede, vodoprivrede i šumarstva
      -Fed.ministarstvo prostornog uređenja - Ljetni nasip Kopanice</t>
  </si>
  <si>
    <t>Izvršenje PRORAČUNA za 01.01.-30.09.2019.G.</t>
  </si>
  <si>
    <t>Izvršenje PRORAČUNa za 01.01.-30.09.2019.g.</t>
  </si>
  <si>
    <t>Izvršenje PRORAČUNA 
za 01.01.-30.09.2019.g.</t>
  </si>
  <si>
    <t>za razdoblje 01.01.-30.09.2019. godine</t>
  </si>
  <si>
    <t>Izvršenje PRORAČUNA za 
01.01.-30.09.2019.g.</t>
  </si>
  <si>
    <r>
      <t>IZVRŠENJE PRORAČUNA 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razdoblje 01.01.-30.09.2019. godine</t>
    </r>
  </si>
  <si>
    <t>Orašje, listopad 2019. godine</t>
  </si>
  <si>
    <t>Izdaci za nabavku st.sredstava za 01.01.-30.09.19.g.(po pror.korisn.i izv.financ.)</t>
  </si>
  <si>
    <t>Funkcijska klasifikacija rashoda i izdataka Proračuna ŽP za 01.01.-30.09.19.</t>
  </si>
  <si>
    <t>Izvršenje Prorač.ŽP za 01.01.-30.09.19. (po korisnic.i ek.klasifikac. izdataka)</t>
  </si>
  <si>
    <t>IZVRŠENJE PRORAČUNA ŽUPANIJE POSAVSKE ZA 01.01.-30.09.2019.g. (po korisnicima i ekonomskim klasifikacijama izdataka)</t>
  </si>
  <si>
    <t>FUNKCIJSKA KLASIFIKACIJA RASHODA I IZDATAKA PRORAČUNA ŽUPANIJE POSAVSKE ZA 01.01.-30.09.2019.g.</t>
  </si>
  <si>
    <t>Izvršenje PRORAČUNA za 01.01.-30.09.2019.</t>
  </si>
  <si>
    <t>IZDACI ZA NABAVKU STALNIH SREDSTAVA ŽUPANIJE POSAVSKE ZA 01.01.-30.09.2019.g. (po proračunskim korisnicima i izvorima financiranja)</t>
  </si>
  <si>
    <t>Izvršenje PRORAČUNA za 01.01.-30.09.2019.g.</t>
  </si>
  <si>
    <t xml:space="preserve">                      Orašje, listopad 2019. godine</t>
  </si>
  <si>
    <t>50 (51)</t>
  </si>
  <si>
    <t>104 (111)</t>
  </si>
  <si>
    <t>30 (31)</t>
  </si>
  <si>
    <t>41 (41)</t>
  </si>
  <si>
    <t>49 (49)</t>
  </si>
  <si>
    <t>19 (19)</t>
  </si>
  <si>
    <t>26 (26)</t>
  </si>
  <si>
    <t>50 (56)</t>
  </si>
  <si>
    <t>54 (54)</t>
  </si>
  <si>
    <t>40 (46)</t>
  </si>
  <si>
    <t>932 (953)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</si>
</sst>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165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36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9" xfId="0" applyBorder="1"/>
    <xf numFmtId="0" fontId="2" fillId="0" borderId="9" xfId="3" applyFill="1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2" fillId="0" borderId="11" xfId="3" applyFont="1" applyBorder="1"/>
    <xf numFmtId="0" fontId="10" fillId="0" borderId="0" xfId="0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1" xfId="3" applyFont="1" applyBorder="1"/>
    <xf numFmtId="0" fontId="2" fillId="0" borderId="12" xfId="3" applyBorder="1" applyAlignment="1">
      <alignment horizontal="center"/>
    </xf>
    <xf numFmtId="0" fontId="2" fillId="0" borderId="13" xfId="3" applyBorder="1"/>
    <xf numFmtId="0" fontId="2" fillId="0" borderId="0" xfId="3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/>
    <xf numFmtId="3" fontId="2" fillId="0" borderId="14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0" fillId="0" borderId="0" xfId="0" applyNumberFormat="1"/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4" fontId="2" fillId="0" borderId="0" xfId="3" applyNumberFormat="1"/>
    <xf numFmtId="4" fontId="2" fillId="0" borderId="18" xfId="3" applyNumberFormat="1" applyBorder="1"/>
    <xf numFmtId="4" fontId="7" fillId="0" borderId="0" xfId="3" applyNumberFormat="1" applyFont="1" applyAlignment="1">
      <alignment horizontal="left"/>
    </xf>
    <xf numFmtId="4" fontId="2" fillId="0" borderId="20" xfId="3" applyNumberFormat="1" applyBorder="1"/>
    <xf numFmtId="3" fontId="3" fillId="0" borderId="4" xfId="3" applyNumberFormat="1" applyFont="1" applyBorder="1" applyAlignment="1">
      <alignment horizontal="center"/>
    </xf>
    <xf numFmtId="3" fontId="10" fillId="0" borderId="4" xfId="3" applyNumberFormat="1" applyFont="1" applyFill="1" applyBorder="1"/>
    <xf numFmtId="3" fontId="3" fillId="0" borderId="6" xfId="3" applyNumberFormat="1" applyFont="1" applyBorder="1"/>
    <xf numFmtId="4" fontId="4" fillId="0" borderId="19" xfId="3" applyNumberFormat="1" applyFont="1" applyBorder="1" applyAlignment="1">
      <alignment horizontal="right"/>
    </xf>
    <xf numFmtId="3" fontId="4" fillId="0" borderId="0" xfId="3" applyNumberFormat="1" applyFont="1"/>
    <xf numFmtId="3" fontId="4" fillId="0" borderId="0" xfId="0" applyNumberFormat="1" applyFont="1"/>
    <xf numFmtId="164" fontId="9" fillId="0" borderId="13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4" fontId="8" fillId="0" borderId="17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4" fontId="10" fillId="0" borderId="17" xfId="0" applyNumberFormat="1" applyFont="1" applyFill="1" applyBorder="1"/>
    <xf numFmtId="0" fontId="10" fillId="0" borderId="3" xfId="0" applyFont="1" applyBorder="1" applyAlignment="1">
      <alignment horizontal="right"/>
    </xf>
    <xf numFmtId="4" fontId="10" fillId="0" borderId="17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/>
    <xf numFmtId="4" fontId="8" fillId="0" borderId="17" xfId="0" applyNumberFormat="1" applyFont="1" applyFill="1" applyBorder="1"/>
    <xf numFmtId="0" fontId="8" fillId="0" borderId="4" xfId="0" applyFont="1" applyFill="1" applyBorder="1"/>
    <xf numFmtId="0" fontId="16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10" fillId="0" borderId="4" xfId="3" applyFont="1" applyFill="1" applyBorder="1"/>
    <xf numFmtId="0" fontId="18" fillId="0" borderId="17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43" fontId="8" fillId="0" borderId="0" xfId="6" applyFont="1" applyFill="1"/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4" xfId="0" applyBorder="1" applyAlignment="1">
      <alignment horizontal="right"/>
    </xf>
    <xf numFmtId="0" fontId="23" fillId="0" borderId="11" xfId="0" applyFont="1" applyBorder="1"/>
    <xf numFmtId="0" fontId="0" fillId="0" borderId="11" xfId="0" applyFill="1" applyBorder="1" applyAlignment="1">
      <alignment wrapText="1"/>
    </xf>
    <xf numFmtId="0" fontId="10" fillId="0" borderId="24" xfId="0" applyFont="1" applyBorder="1" applyAlignment="1">
      <alignment horizontal="right"/>
    </xf>
    <xf numFmtId="0" fontId="0" fillId="0" borderId="11" xfId="0" applyBorder="1"/>
    <xf numFmtId="4" fontId="22" fillId="6" borderId="17" xfId="0" applyNumberFormat="1" applyFont="1" applyFill="1" applyBorder="1"/>
    <xf numFmtId="4" fontId="8" fillId="6" borderId="17" xfId="0" applyNumberFormat="1" applyFont="1" applyFill="1" applyBorder="1"/>
    <xf numFmtId="4" fontId="10" fillId="0" borderId="27" xfId="0" applyNumberFormat="1" applyFont="1" applyBorder="1"/>
    <xf numFmtId="4" fontId="10" fillId="0" borderId="27" xfId="0" applyNumberFormat="1" applyFont="1" applyFill="1" applyBorder="1"/>
    <xf numFmtId="4" fontId="22" fillId="0" borderId="17" xfId="0" applyNumberFormat="1" applyFont="1" applyBorder="1"/>
    <xf numFmtId="4" fontId="22" fillId="6" borderId="28" xfId="0" applyNumberFormat="1" applyFont="1" applyFill="1" applyBorder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4" fontId="30" fillId="0" borderId="0" xfId="5" applyNumberFormat="1" applyFont="1"/>
    <xf numFmtId="4" fontId="26" fillId="6" borderId="17" xfId="0" applyNumberFormat="1" applyFont="1" applyFill="1" applyBorder="1"/>
    <xf numFmtId="4" fontId="27" fillId="0" borderId="17" xfId="0" applyNumberFormat="1" applyFont="1" applyBorder="1"/>
    <xf numFmtId="4" fontId="27" fillId="0" borderId="17" xfId="0" applyNumberFormat="1" applyFont="1" applyFill="1" applyBorder="1"/>
    <xf numFmtId="0" fontId="10" fillId="0" borderId="4" xfId="0" applyFont="1" applyBorder="1"/>
    <xf numFmtId="0" fontId="3" fillId="2" borderId="16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0" fontId="16" fillId="6" borderId="3" xfId="0" applyFont="1" applyFill="1" applyBorder="1" applyAlignment="1">
      <alignment horizontal="center"/>
    </xf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9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3" fontId="3" fillId="0" borderId="9" xfId="4" applyNumberFormat="1" applyFont="1" applyFill="1" applyBorder="1"/>
    <xf numFmtId="3" fontId="29" fillId="0" borderId="0" xfId="2" applyNumberFormat="1" applyFill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4" fontId="26" fillId="0" borderId="17" xfId="0" applyNumberFormat="1" applyFont="1" applyBorder="1"/>
    <xf numFmtId="0" fontId="2" fillId="0" borderId="3" xfId="0" applyFont="1" applyBorder="1" applyAlignment="1">
      <alignment horizontal="right"/>
    </xf>
    <xf numFmtId="4" fontId="2" fillId="0" borderId="17" xfId="0" applyNumberFormat="1" applyFont="1" applyBorder="1"/>
    <xf numFmtId="4" fontId="2" fillId="0" borderId="30" xfId="0" applyNumberFormat="1" applyFont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0" fontId="28" fillId="0" borderId="4" xfId="3" applyFont="1" applyBorder="1"/>
    <xf numFmtId="4" fontId="28" fillId="0" borderId="19" xfId="3" applyNumberFormat="1" applyFont="1" applyBorder="1" applyAlignment="1">
      <alignment horizontal="right"/>
    </xf>
    <xf numFmtId="0" fontId="28" fillId="0" borderId="4" xfId="3" applyFont="1" applyFill="1" applyBorder="1"/>
    <xf numFmtId="0" fontId="28" fillId="0" borderId="4" xfId="0" applyFont="1" applyBorder="1"/>
    <xf numFmtId="0" fontId="28" fillId="0" borderId="11" xfId="3" applyFont="1" applyBorder="1"/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8" fillId="0" borderId="4" xfId="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8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8" fillId="0" borderId="3" xfId="3" applyFont="1" applyFill="1" applyBorder="1" applyAlignment="1">
      <alignment horizontal="right" vertical="top"/>
    </xf>
    <xf numFmtId="49" fontId="28" fillId="0" borderId="3" xfId="0" applyNumberFormat="1" applyFont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9" xfId="0" applyFont="1" applyBorder="1" applyAlignment="1">
      <alignment wrapText="1"/>
    </xf>
    <xf numFmtId="0" fontId="18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8" fillId="0" borderId="4" xfId="0" applyFont="1" applyBorder="1" applyAlignment="1">
      <alignment horizontal="center"/>
    </xf>
    <xf numFmtId="4" fontId="8" fillId="0" borderId="19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4" fillId="0" borderId="33" xfId="0" applyNumberFormat="1" applyFont="1" applyFill="1" applyBorder="1"/>
    <xf numFmtId="3" fontId="0" fillId="0" borderId="4" xfId="0" applyNumberFormat="1" applyFill="1" applyBorder="1"/>
    <xf numFmtId="3" fontId="2" fillId="0" borderId="9" xfId="3" applyNumberFormat="1" applyBorder="1"/>
    <xf numFmtId="3" fontId="3" fillId="3" borderId="9" xfId="3" applyNumberFormat="1" applyFont="1" applyFill="1" applyBorder="1"/>
    <xf numFmtId="3" fontId="4" fillId="0" borderId="9" xfId="3" applyNumberFormat="1" applyFont="1" applyBorder="1"/>
    <xf numFmtId="3" fontId="2" fillId="0" borderId="9" xfId="3" applyNumberFormat="1" applyFill="1" applyBorder="1"/>
    <xf numFmtId="3" fontId="3" fillId="0" borderId="9" xfId="3" applyNumberFormat="1" applyFont="1" applyFill="1" applyBorder="1" applyAlignment="1">
      <alignment horizontal="right"/>
    </xf>
    <xf numFmtId="3" fontId="3" fillId="0" borderId="9" xfId="3" applyNumberFormat="1" applyFont="1" applyBorder="1"/>
    <xf numFmtId="3" fontId="4" fillId="0" borderId="9" xfId="3" applyNumberFormat="1" applyFont="1" applyFill="1" applyBorder="1"/>
    <xf numFmtId="3" fontId="8" fillId="0" borderId="4" xfId="3" applyNumberFormat="1" applyFont="1" applyFill="1" applyBorder="1"/>
    <xf numFmtId="0" fontId="3" fillId="0" borderId="4" xfId="3" applyFont="1" applyFill="1" applyBorder="1"/>
    <xf numFmtId="3" fontId="4" fillId="0" borderId="4" xfId="3" applyNumberFormat="1" applyFont="1" applyFill="1" applyBorder="1" applyAlignment="1">
      <alignment vertical="center"/>
    </xf>
    <xf numFmtId="3" fontId="2" fillId="0" borderId="4" xfId="3" applyNumberFormat="1" applyFont="1" applyBorder="1"/>
    <xf numFmtId="3" fontId="2" fillId="0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0" fontId="2" fillId="0" borderId="4" xfId="3" applyFont="1" applyBorder="1"/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0" fontId="6" fillId="0" borderId="0" xfId="3" applyFont="1" applyAlignment="1">
      <alignment horizontal="left"/>
    </xf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9" xfId="3" applyFont="1" applyBorder="1" applyAlignment="1">
      <alignment horizontal="center"/>
    </xf>
    <xf numFmtId="0" fontId="28" fillId="0" borderId="4" xfId="3" applyFont="1" applyBorder="1"/>
    <xf numFmtId="3" fontId="28" fillId="0" borderId="4" xfId="3" applyNumberFormat="1" applyFont="1" applyBorder="1"/>
    <xf numFmtId="4" fontId="28" fillId="0" borderId="19" xfId="3" applyNumberFormat="1" applyFont="1" applyBorder="1" applyAlignment="1">
      <alignment horizontal="right"/>
    </xf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" fillId="0" borderId="13" xfId="3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4" xfId="3" applyFont="1" applyFill="1" applyBorder="1" applyAlignment="1">
      <alignment horizontal="center"/>
    </xf>
    <xf numFmtId="0" fontId="33" fillId="0" borderId="4" xfId="3" applyFont="1" applyBorder="1" applyAlignment="1">
      <alignment horizontal="center" vertical="center"/>
    </xf>
    <xf numFmtId="0" fontId="33" fillId="0" borderId="11" xfId="3" applyFont="1" applyFill="1" applyBorder="1" applyAlignment="1">
      <alignment horizontal="center"/>
    </xf>
    <xf numFmtId="0" fontId="33" fillId="0" borderId="10" xfId="3" applyFont="1" applyBorder="1" applyAlignment="1">
      <alignment horizontal="center"/>
    </xf>
    <xf numFmtId="0" fontId="33" fillId="0" borderId="9" xfId="3" applyFont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1" fillId="0" borderId="15" xfId="3" applyFont="1" applyBorder="1" applyAlignment="1">
      <alignment horizontal="center"/>
    </xf>
    <xf numFmtId="0" fontId="31" fillId="0" borderId="10" xfId="3" applyFont="1" applyBorder="1" applyAlignment="1">
      <alignment horizontal="center"/>
    </xf>
    <xf numFmtId="0" fontId="18" fillId="0" borderId="9" xfId="3" applyFont="1" applyBorder="1" applyAlignment="1">
      <alignment horizontal="center"/>
    </xf>
    <xf numFmtId="0" fontId="18" fillId="0" borderId="9" xfId="3" applyFont="1" applyBorder="1" applyAlignment="1">
      <alignment horizontal="center" vertical="top"/>
    </xf>
    <xf numFmtId="0" fontId="17" fillId="0" borderId="9" xfId="3" applyFont="1" applyBorder="1" applyAlignment="1">
      <alignment horizontal="center" vertical="top"/>
    </xf>
    <xf numFmtId="0" fontId="34" fillId="0" borderId="9" xfId="3" applyFont="1" applyBorder="1" applyAlignment="1">
      <alignment horizontal="center" vertical="top"/>
    </xf>
    <xf numFmtId="0" fontId="17" fillId="0" borderId="9" xfId="3" applyFont="1" applyFill="1" applyBorder="1" applyAlignment="1">
      <alignment horizontal="center" vertical="top"/>
    </xf>
    <xf numFmtId="0" fontId="34" fillId="0" borderId="9" xfId="3" applyFont="1" applyFill="1" applyBorder="1" applyAlignment="1">
      <alignment horizontal="center" vertical="top"/>
    </xf>
    <xf numFmtId="49" fontId="34" fillId="0" borderId="9" xfId="0" applyNumberFormat="1" applyFont="1" applyBorder="1" applyAlignment="1">
      <alignment horizontal="center" vertical="top"/>
    </xf>
    <xf numFmtId="0" fontId="34" fillId="0" borderId="15" xfId="3" applyFont="1" applyBorder="1" applyAlignment="1">
      <alignment horizontal="center" vertical="top"/>
    </xf>
    <xf numFmtId="49" fontId="34" fillId="0" borderId="9" xfId="0" applyNumberFormat="1" applyFont="1" applyFill="1" applyBorder="1" applyAlignment="1">
      <alignment horizontal="center" vertical="top"/>
    </xf>
    <xf numFmtId="49" fontId="17" fillId="0" borderId="9" xfId="0" applyNumberFormat="1" applyFont="1" applyFill="1" applyBorder="1" applyAlignment="1">
      <alignment horizontal="center" vertical="top"/>
    </xf>
    <xf numFmtId="49" fontId="17" fillId="0" borderId="9" xfId="0" applyNumberFormat="1" applyFont="1" applyBorder="1" applyAlignment="1">
      <alignment horizontal="center" vertical="top"/>
    </xf>
    <xf numFmtId="49" fontId="17" fillId="0" borderId="9" xfId="3" applyNumberFormat="1" applyFont="1" applyBorder="1" applyAlignment="1">
      <alignment horizontal="center" vertical="top"/>
    </xf>
    <xf numFmtId="0" fontId="17" fillId="0" borderId="9" xfId="3" applyFont="1" applyBorder="1" applyAlignment="1">
      <alignment horizontal="center"/>
    </xf>
    <xf numFmtId="0" fontId="17" fillId="0" borderId="35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Border="1" applyAlignment="1">
      <alignment horizontal="center" vertical="center"/>
    </xf>
    <xf numFmtId="0" fontId="17" fillId="0" borderId="11" xfId="3" applyFont="1" applyFill="1" applyBorder="1" applyAlignment="1">
      <alignment horizontal="center"/>
    </xf>
    <xf numFmtId="0" fontId="17" fillId="0" borderId="10" xfId="3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8" fillId="0" borderId="15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164" fontId="21" fillId="0" borderId="13" xfId="0" applyNumberFormat="1" applyFont="1" applyBorder="1" applyAlignment="1"/>
    <xf numFmtId="4" fontId="32" fillId="0" borderId="19" xfId="3" applyNumberFormat="1" applyFont="1" applyBorder="1" applyAlignment="1">
      <alignment horizontal="center"/>
    </xf>
    <xf numFmtId="4" fontId="32" fillId="0" borderId="19" xfId="3" applyNumberFormat="1" applyFont="1" applyFill="1" applyBorder="1"/>
    <xf numFmtId="4" fontId="21" fillId="0" borderId="19" xfId="3" applyNumberFormat="1" applyFont="1" applyFill="1" applyBorder="1"/>
    <xf numFmtId="4" fontId="21" fillId="0" borderId="19" xfId="3" applyNumberFormat="1" applyFont="1" applyBorder="1"/>
    <xf numFmtId="4" fontId="21" fillId="0" borderId="20" xfId="3" applyNumberFormat="1" applyFont="1" applyBorder="1"/>
    <xf numFmtId="4" fontId="21" fillId="0" borderId="0" xfId="3" applyNumberFormat="1" applyFont="1"/>
    <xf numFmtId="4" fontId="32" fillId="0" borderId="20" xfId="3" applyNumberFormat="1" applyFont="1" applyBorder="1"/>
    <xf numFmtId="4" fontId="21" fillId="0" borderId="14" xfId="3" applyNumberFormat="1" applyFont="1" applyBorder="1"/>
    <xf numFmtId="4" fontId="32" fillId="0" borderId="19" xfId="3" applyNumberFormat="1" applyFont="1" applyBorder="1"/>
    <xf numFmtId="49" fontId="33" fillId="0" borderId="4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1" fillId="0" borderId="4" xfId="3" applyFont="1" applyBorder="1"/>
    <xf numFmtId="3" fontId="4" fillId="0" borderId="9" xfId="12" applyNumberFormat="1" applyFont="1" applyBorder="1"/>
    <xf numFmtId="3" fontId="4" fillId="0" borderId="9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1" fillId="0" borderId="4" xfId="12" applyNumberFormat="1" applyBorder="1"/>
    <xf numFmtId="3" fontId="4" fillId="0" borderId="4" xfId="12" applyNumberFormat="1" applyFont="1" applyBorder="1"/>
    <xf numFmtId="3" fontId="1" fillId="0" borderId="4" xfId="12" applyNumberFormat="1" applyFill="1" applyBorder="1"/>
    <xf numFmtId="3" fontId="4" fillId="0" borderId="4" xfId="12" applyNumberFormat="1" applyFont="1" applyFill="1" applyBorder="1"/>
    <xf numFmtId="0" fontId="23" fillId="0" borderId="4" xfId="11" applyFont="1" applyFill="1" applyBorder="1" applyAlignment="1">
      <alignment wrapText="1"/>
    </xf>
    <xf numFmtId="164" fontId="18" fillId="0" borderId="13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0" borderId="11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textRotation="90" wrapText="1"/>
    </xf>
    <xf numFmtId="0" fontId="1" fillId="0" borderId="4" xfId="3" applyFont="1" applyFill="1" applyBorder="1" applyAlignment="1">
      <alignment wrapText="1"/>
    </xf>
    <xf numFmtId="0" fontId="1" fillId="3" borderId="4" xfId="3" applyFont="1" applyFill="1" applyBorder="1" applyAlignment="1">
      <alignment wrapText="1"/>
    </xf>
    <xf numFmtId="0" fontId="2" fillId="0" borderId="0" xfId="3" applyFill="1" applyAlignment="1">
      <alignment vertical="center"/>
    </xf>
    <xf numFmtId="3" fontId="14" fillId="6" borderId="42" xfId="3" applyNumberFormat="1" applyFont="1" applyFill="1" applyBorder="1" applyAlignment="1">
      <alignment vertical="center"/>
    </xf>
    <xf numFmtId="0" fontId="14" fillId="6" borderId="42" xfId="3" applyFont="1" applyFill="1" applyBorder="1" applyAlignment="1">
      <alignment vertical="center"/>
    </xf>
    <xf numFmtId="4" fontId="9" fillId="6" borderId="43" xfId="3" applyNumberFormat="1" applyFont="1" applyFill="1" applyBorder="1" applyAlignment="1">
      <alignment horizontal="left" vertical="center"/>
    </xf>
    <xf numFmtId="4" fontId="14" fillId="6" borderId="43" xfId="3" applyNumberFormat="1" applyFont="1" applyFill="1" applyBorder="1" applyAlignment="1">
      <alignment vertical="center"/>
    </xf>
    <xf numFmtId="3" fontId="4" fillId="0" borderId="9" xfId="12" applyNumberFormat="1" applyFont="1" applyFill="1" applyBorder="1" applyAlignment="1">
      <alignment vertical="center"/>
    </xf>
    <xf numFmtId="0" fontId="12" fillId="6" borderId="11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/>
    </xf>
    <xf numFmtId="3" fontId="12" fillId="6" borderId="4" xfId="4" applyNumberFormat="1" applyFont="1" applyFill="1" applyBorder="1"/>
    <xf numFmtId="3" fontId="6" fillId="6" borderId="4" xfId="4" applyNumberFormat="1" applyFont="1" applyFill="1" applyBorder="1"/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3" fontId="6" fillId="6" borderId="4" xfId="12" applyNumberFormat="1" applyFont="1" applyFill="1" applyBorder="1"/>
    <xf numFmtId="3" fontId="12" fillId="6" borderId="4" xfId="3" applyNumberFormat="1" applyFont="1" applyFill="1" applyBorder="1" applyAlignment="1">
      <alignment horizontal="right"/>
    </xf>
    <xf numFmtId="3" fontId="6" fillId="6" borderId="6" xfId="3" applyNumberFormat="1" applyFont="1" applyFill="1" applyBorder="1"/>
    <xf numFmtId="0" fontId="6" fillId="0" borderId="0" xfId="3" applyFont="1"/>
    <xf numFmtId="3" fontId="12" fillId="6" borderId="4" xfId="3" applyNumberFormat="1" applyFont="1" applyFill="1" applyBorder="1" applyAlignment="1">
      <alignment horizontal="center"/>
    </xf>
    <xf numFmtId="3" fontId="6" fillId="0" borderId="0" xfId="3" applyNumberFormat="1" applyFont="1"/>
    <xf numFmtId="0" fontId="6" fillId="6" borderId="6" xfId="3" applyFont="1" applyFill="1" applyBorder="1"/>
    <xf numFmtId="3" fontId="12" fillId="6" borderId="6" xfId="3" applyNumberFormat="1" applyFont="1" applyFill="1" applyBorder="1"/>
    <xf numFmtId="3" fontId="6" fillId="0" borderId="14" xfId="3" applyNumberFormat="1" applyFont="1" applyBorder="1"/>
    <xf numFmtId="0" fontId="6" fillId="6" borderId="4" xfId="3" applyFont="1" applyFill="1" applyBorder="1"/>
    <xf numFmtId="3" fontId="12" fillId="6" borderId="4" xfId="12" applyNumberFormat="1" applyFont="1" applyFill="1" applyBorder="1"/>
    <xf numFmtId="0" fontId="12" fillId="6" borderId="9" xfId="3" applyFont="1" applyFill="1" applyBorder="1" applyAlignment="1">
      <alignment horizontal="center"/>
    </xf>
    <xf numFmtId="3" fontId="12" fillId="6" borderId="9" xfId="3" applyNumberFormat="1" applyFont="1" applyFill="1" applyBorder="1" applyAlignment="1">
      <alignment horizontal="right"/>
    </xf>
    <xf numFmtId="3" fontId="6" fillId="6" borderId="9" xfId="3" applyNumberFormat="1" applyFont="1" applyFill="1" applyBorder="1"/>
    <xf numFmtId="3" fontId="12" fillId="6" borderId="9" xfId="3" applyNumberFormat="1" applyFont="1" applyFill="1" applyBorder="1"/>
    <xf numFmtId="3" fontId="12" fillId="6" borderId="9" xfId="4" applyNumberFormat="1" applyFont="1" applyFill="1" applyBorder="1"/>
    <xf numFmtId="0" fontId="12" fillId="6" borderId="4" xfId="3" applyFont="1" applyFill="1" applyBorder="1"/>
    <xf numFmtId="0" fontId="0" fillId="0" borderId="0" xfId="0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6" borderId="11" xfId="3" applyFont="1" applyFill="1" applyBorder="1" applyAlignment="1">
      <alignment horizontal="center" vertical="center" wrapText="1"/>
    </xf>
    <xf numFmtId="3" fontId="6" fillId="6" borderId="4" xfId="3" applyNumberFormat="1" applyFont="1" applyFill="1" applyBorder="1" applyAlignment="1">
      <alignment horizontal="right"/>
    </xf>
    <xf numFmtId="3" fontId="35" fillId="6" borderId="4" xfId="3" applyNumberFormat="1" applyFont="1" applyFill="1" applyBorder="1"/>
    <xf numFmtId="3" fontId="6" fillId="6" borderId="4" xfId="3" applyNumberFormat="1" applyFont="1" applyFill="1" applyBorder="1" applyProtection="1">
      <protection locked="0"/>
    </xf>
    <xf numFmtId="3" fontId="35" fillId="6" borderId="4" xfId="3" applyNumberFormat="1" applyFont="1" applyFill="1" applyBorder="1" applyProtection="1">
      <protection locked="0"/>
    </xf>
    <xf numFmtId="0" fontId="3" fillId="6" borderId="3" xfId="3" applyFont="1" applyFill="1" applyBorder="1" applyAlignment="1">
      <alignment horizontal="center"/>
    </xf>
    <xf numFmtId="0" fontId="3" fillId="6" borderId="9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4" fontId="3" fillId="6" borderId="19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8" fillId="6" borderId="9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" fontId="8" fillId="6" borderId="19" xfId="3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 vertical="top"/>
    </xf>
    <xf numFmtId="49" fontId="18" fillId="6" borderId="9" xfId="0" applyNumberFormat="1" applyFont="1" applyFill="1" applyBorder="1" applyAlignment="1">
      <alignment horizontal="center" vertical="top"/>
    </xf>
    <xf numFmtId="0" fontId="3" fillId="6" borderId="4" xfId="0" applyFont="1" applyFill="1" applyBorder="1"/>
    <xf numFmtId="49" fontId="3" fillId="6" borderId="3" xfId="3" applyNumberFormat="1" applyFont="1" applyFill="1" applyBorder="1" applyAlignment="1">
      <alignment horizontal="center" vertical="top"/>
    </xf>
    <xf numFmtId="49" fontId="18" fillId="6" borderId="9" xfId="3" applyNumberFormat="1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 wrapText="1"/>
    </xf>
    <xf numFmtId="3" fontId="22" fillId="6" borderId="4" xfId="0" applyNumberFormat="1" applyFont="1" applyFill="1" applyBorder="1"/>
    <xf numFmtId="3" fontId="22" fillId="6" borderId="8" xfId="0" applyNumberFormat="1" applyFont="1" applyFill="1" applyBorder="1"/>
    <xf numFmtId="3" fontId="22" fillId="0" borderId="8" xfId="0" applyNumberFormat="1" applyFont="1" applyBorder="1"/>
    <xf numFmtId="3" fontId="36" fillId="0" borderId="8" xfId="0" applyNumberFormat="1" applyFont="1" applyBorder="1"/>
    <xf numFmtId="3" fontId="36" fillId="0" borderId="8" xfId="0" applyNumberFormat="1" applyFont="1" applyFill="1" applyBorder="1"/>
    <xf numFmtId="3" fontId="22" fillId="0" borderId="8" xfId="0" applyNumberFormat="1" applyFont="1" applyFill="1" applyBorder="1"/>
    <xf numFmtId="3" fontId="36" fillId="0" borderId="26" xfId="0" applyNumberFormat="1" applyFont="1" applyFill="1" applyBorder="1"/>
    <xf numFmtId="3" fontId="37" fillId="0" borderId="8" xfId="0" applyNumberFormat="1" applyFont="1" applyFill="1" applyBorder="1"/>
    <xf numFmtId="3" fontId="36" fillId="0" borderId="26" xfId="0" applyNumberFormat="1" applyFont="1" applyBorder="1"/>
    <xf numFmtId="3" fontId="22" fillId="0" borderId="4" xfId="0" applyNumberFormat="1" applyFont="1" applyBorder="1"/>
    <xf numFmtId="0" fontId="36" fillId="0" borderId="6" xfId="0" applyFont="1" applyBorder="1"/>
    <xf numFmtId="3" fontId="22" fillId="6" borderId="29" xfId="0" applyNumberFormat="1" applyFont="1" applyFill="1" applyBorder="1"/>
    <xf numFmtId="0" fontId="36" fillId="0" borderId="0" xfId="0" applyFont="1"/>
    <xf numFmtId="0" fontId="26" fillId="0" borderId="26" xfId="4" applyFont="1" applyFill="1" applyBorder="1" applyAlignment="1">
      <alignment horizontal="center" vertical="center" wrapText="1"/>
    </xf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0" fontId="21" fillId="0" borderId="0" xfId="0" applyFont="1"/>
    <xf numFmtId="0" fontId="32" fillId="6" borderId="4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32" fillId="6" borderId="4" xfId="0" applyFont="1" applyFill="1" applyBorder="1" applyAlignment="1"/>
    <xf numFmtId="3" fontId="32" fillId="6" borderId="4" xfId="0" applyNumberFormat="1" applyFont="1" applyFill="1" applyBorder="1" applyAlignment="1"/>
    <xf numFmtId="2" fontId="32" fillId="6" borderId="4" xfId="0" applyNumberFormat="1" applyFont="1" applyFill="1" applyBorder="1" applyAlignment="1"/>
    <xf numFmtId="0" fontId="21" fillId="0" borderId="4" xfId="0" applyFont="1" applyFill="1" applyBorder="1" applyAlignment="1"/>
    <xf numFmtId="0" fontId="38" fillId="0" borderId="4" xfId="0" applyFont="1" applyFill="1" applyBorder="1" applyAlignment="1">
      <alignment horizontal="center"/>
    </xf>
    <xf numFmtId="3" fontId="21" fillId="0" borderId="4" xfId="0" applyNumberFormat="1" applyFont="1" applyFill="1" applyBorder="1" applyAlignment="1"/>
    <xf numFmtId="2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0" fontId="39" fillId="4" borderId="4" xfId="0" applyFont="1" applyFill="1" applyBorder="1" applyAlignment="1">
      <alignment horizontal="center"/>
    </xf>
    <xf numFmtId="3" fontId="32" fillId="4" borderId="4" xfId="0" applyNumberFormat="1" applyFont="1" applyFill="1" applyBorder="1" applyAlignment="1"/>
    <xf numFmtId="2" fontId="32" fillId="4" borderId="4" xfId="0" applyNumberFormat="1" applyFont="1" applyFill="1" applyBorder="1" applyAlignment="1">
      <alignment horizontal="right" vertical="center"/>
    </xf>
    <xf numFmtId="0" fontId="32" fillId="0" borderId="0" xfId="0" applyFo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21" fillId="0" borderId="21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right" vertical="center"/>
    </xf>
    <xf numFmtId="2" fontId="21" fillId="0" borderId="21" xfId="0" applyNumberFormat="1" applyFont="1" applyFill="1" applyBorder="1" applyAlignment="1">
      <alignment horizontal="right" vertical="center"/>
    </xf>
    <xf numFmtId="0" fontId="32" fillId="4" borderId="21" xfId="0" applyFont="1" applyFill="1" applyBorder="1" applyAlignment="1">
      <alignment horizontal="left" vertical="center"/>
    </xf>
    <xf numFmtId="0" fontId="39" fillId="4" borderId="21" xfId="0" applyFont="1" applyFill="1" applyBorder="1" applyAlignment="1">
      <alignment horizontal="center" vertical="center"/>
    </xf>
    <xf numFmtId="3" fontId="32" fillId="4" borderId="21" xfId="0" applyNumberFormat="1" applyFont="1" applyFill="1" applyBorder="1" applyAlignment="1"/>
    <xf numFmtId="2" fontId="32" fillId="4" borderId="21" xfId="0" applyNumberFormat="1" applyFont="1" applyFill="1" applyBorder="1" applyAlignment="1">
      <alignment horizontal="right" vertical="center"/>
    </xf>
    <xf numFmtId="0" fontId="32" fillId="4" borderId="22" xfId="0" applyFont="1" applyFill="1" applyBorder="1" applyAlignment="1"/>
    <xf numFmtId="0" fontId="39" fillId="4" borderId="22" xfId="0" applyFont="1" applyFill="1" applyBorder="1" applyAlignment="1">
      <alignment horizontal="center"/>
    </xf>
    <xf numFmtId="3" fontId="32" fillId="4" borderId="22" xfId="0" applyNumberFormat="1" applyFont="1" applyFill="1" applyBorder="1" applyAlignment="1"/>
    <xf numFmtId="2" fontId="32" fillId="4" borderId="22" xfId="0" applyNumberFormat="1" applyFont="1" applyFill="1" applyBorder="1" applyAlignment="1">
      <alignment horizontal="right" vertical="center"/>
    </xf>
    <xf numFmtId="3" fontId="32" fillId="4" borderId="21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3" fontId="32" fillId="4" borderId="4" xfId="0" applyNumberFormat="1" applyFont="1" applyFill="1" applyBorder="1" applyAlignment="1">
      <alignment vertical="center"/>
    </xf>
    <xf numFmtId="0" fontId="32" fillId="0" borderId="23" xfId="0" applyFont="1" applyFill="1" applyBorder="1" applyAlignment="1"/>
    <xf numFmtId="0" fontId="39" fillId="0" borderId="23" xfId="0" applyFont="1" applyFill="1" applyBorder="1" applyAlignment="1">
      <alignment horizontal="center"/>
    </xf>
    <xf numFmtId="4" fontId="21" fillId="0" borderId="23" xfId="0" applyNumberFormat="1" applyFont="1" applyFill="1" applyBorder="1" applyAlignment="1"/>
    <xf numFmtId="2" fontId="21" fillId="0" borderId="23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1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1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/>
    <xf numFmtId="0" fontId="40" fillId="0" borderId="0" xfId="0" applyFont="1"/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wrapText="1"/>
    </xf>
    <xf numFmtId="0" fontId="40" fillId="0" borderId="0" xfId="0" applyFont="1" applyBorder="1" applyAlignment="1"/>
    <xf numFmtId="0" fontId="18" fillId="0" borderId="3" xfId="3" applyFont="1" applyBorder="1" applyAlignment="1">
      <alignment horizontal="center"/>
    </xf>
    <xf numFmtId="0" fontId="18" fillId="0" borderId="19" xfId="3" applyFont="1" applyBorder="1" applyAlignment="1">
      <alignment horizontal="center"/>
    </xf>
    <xf numFmtId="0" fontId="18" fillId="0" borderId="4" xfId="3" applyFont="1" applyFill="1" applyBorder="1" applyAlignment="1">
      <alignment horizontal="center"/>
    </xf>
    <xf numFmtId="0" fontId="0" fillId="0" borderId="44" xfId="0" applyBorder="1"/>
    <xf numFmtId="0" fontId="33" fillId="0" borderId="57" xfId="0" applyFont="1" applyBorder="1" applyAlignment="1">
      <alignment horizontal="center"/>
    </xf>
    <xf numFmtId="0" fontId="33" fillId="0" borderId="0" xfId="0" applyFont="1"/>
    <xf numFmtId="0" fontId="33" fillId="0" borderId="45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3" fillId="0" borderId="53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8" fillId="6" borderId="4" xfId="3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4" xfId="3" applyFont="1" applyBorder="1" applyAlignment="1">
      <alignment wrapText="1"/>
    </xf>
    <xf numFmtId="0" fontId="0" fillId="0" borderId="0" xfId="0"/>
    <xf numFmtId="0" fontId="0" fillId="0" borderId="0" xfId="0"/>
    <xf numFmtId="0" fontId="7" fillId="0" borderId="0" xfId="3" applyFont="1" applyAlignment="1">
      <alignment horizontal="left"/>
    </xf>
    <xf numFmtId="0" fontId="9" fillId="6" borderId="4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0" xfId="0"/>
    <xf numFmtId="3" fontId="6" fillId="6" borderId="4" xfId="4" applyNumberFormat="1" applyFont="1" applyFill="1" applyBorder="1" applyAlignment="1">
      <alignment vertical="center"/>
    </xf>
    <xf numFmtId="0" fontId="1" fillId="0" borderId="4" xfId="0" applyFont="1" applyFill="1" applyBorder="1"/>
    <xf numFmtId="0" fontId="1" fillId="0" borderId="0" xfId="0" applyFont="1" applyFill="1"/>
    <xf numFmtId="0" fontId="0" fillId="0" borderId="0" xfId="0"/>
    <xf numFmtId="3" fontId="43" fillId="6" borderId="4" xfId="3" applyNumberFormat="1" applyFont="1" applyFill="1" applyBorder="1"/>
    <xf numFmtId="0" fontId="33" fillId="0" borderId="50" xfId="0" applyFont="1" applyBorder="1" applyAlignment="1">
      <alignment horizontal="left"/>
    </xf>
    <xf numFmtId="3" fontId="7" fillId="0" borderId="0" xfId="3" applyNumberFormat="1" applyFont="1" applyAlignment="1">
      <alignment horizontal="left"/>
    </xf>
    <xf numFmtId="3" fontId="2" fillId="0" borderId="0" xfId="3" applyNumberFormat="1" applyFill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33" fillId="0" borderId="50" xfId="0" applyFont="1" applyBorder="1" applyAlignment="1">
      <alignment horizontal="left" wrapText="1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3" fillId="0" borderId="53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3" fillId="0" borderId="56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33" fillId="0" borderId="59" xfId="0" applyFont="1" applyBorder="1" applyAlignment="1">
      <alignment horizontal="left"/>
    </xf>
    <xf numFmtId="0" fontId="33" fillId="0" borderId="60" xfId="0" applyFont="1" applyBorder="1" applyAlignment="1">
      <alignment horizontal="left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166" fontId="5" fillId="0" borderId="13" xfId="1" applyNumberFormat="1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12" fillId="0" borderId="31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12" fillId="6" borderId="12" xfId="0" applyFont="1" applyFill="1" applyBorder="1" applyAlignment="1">
      <alignment horizontal="right" wrapText="1"/>
    </xf>
    <xf numFmtId="0" fontId="12" fillId="6" borderId="32" xfId="0" applyFont="1" applyFill="1" applyBorder="1" applyAlignment="1">
      <alignment horizontal="right" wrapText="1"/>
    </xf>
    <xf numFmtId="3" fontId="5" fillId="0" borderId="13" xfId="3" applyNumberFormat="1" applyFont="1" applyBorder="1" applyAlignment="1">
      <alignment horizontal="left"/>
    </xf>
    <xf numFmtId="3" fontId="0" fillId="0" borderId="13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0" fillId="0" borderId="0" xfId="0" applyFill="1" applyAlignment="1">
      <alignment horizontal="justify" vertical="top"/>
    </xf>
    <xf numFmtId="0" fontId="3" fillId="6" borderId="36" xfId="3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" fillId="6" borderId="38" xfId="3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3" fillId="6" borderId="39" xfId="3" applyFont="1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 vertical="center" textRotation="90" wrapText="1"/>
    </xf>
    <xf numFmtId="0" fontId="3" fillId="6" borderId="39" xfId="3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4" fontId="3" fillId="6" borderId="40" xfId="3" applyNumberFormat="1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9" fillId="6" borderId="41" xfId="3" applyFont="1" applyFill="1" applyBorder="1" applyAlignment="1">
      <alignment horizontal="left" vertical="center"/>
    </xf>
    <xf numFmtId="0" fontId="9" fillId="6" borderId="42" xfId="3" applyFont="1" applyFill="1" applyBorder="1" applyAlignment="1">
      <alignment horizontal="left" vertical="center"/>
    </xf>
    <xf numFmtId="0" fontId="9" fillId="6" borderId="43" xfId="3" applyFont="1" applyFill="1" applyBorder="1" applyAlignment="1">
      <alignment horizontal="left" vertical="center"/>
    </xf>
    <xf numFmtId="0" fontId="9" fillId="0" borderId="36" xfId="3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31" fillId="0" borderId="38" xfId="3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31" fillId="0" borderId="39" xfId="3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1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textRotation="90" wrapText="1"/>
    </xf>
    <xf numFmtId="0" fontId="3" fillId="0" borderId="39" xfId="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2" fillId="0" borderId="40" xfId="3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39" xfId="3" applyFont="1" applyBorder="1" applyAlignment="1">
      <alignment horizontal="center" vertical="center" textRotation="90" wrapText="1"/>
    </xf>
    <xf numFmtId="0" fontId="3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wrapText="1"/>
    </xf>
    <xf numFmtId="0" fontId="42" fillId="0" borderId="36" xfId="3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4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Normal="100" workbookViewId="0">
      <selection activeCell="R8" sqref="R8"/>
    </sheetView>
  </sheetViews>
  <sheetFormatPr defaultRowHeight="12.75"/>
  <cols>
    <col min="1" max="14" width="9.7109375" customWidth="1"/>
  </cols>
  <sheetData>
    <row r="1" spans="1:14">
      <c r="A1" s="543"/>
      <c r="B1" s="543"/>
      <c r="C1" s="543"/>
      <c r="D1" s="543"/>
      <c r="E1" s="543"/>
      <c r="F1" s="543"/>
      <c r="G1" s="543"/>
      <c r="H1" s="543"/>
      <c r="I1" s="543"/>
    </row>
    <row r="2" spans="1:14" ht="12.75" customHeight="1">
      <c r="B2" s="406"/>
      <c r="C2" s="407"/>
      <c r="D2" s="544" t="s">
        <v>806</v>
      </c>
      <c r="E2" s="545"/>
      <c r="F2" s="545"/>
      <c r="I2" s="544" t="s">
        <v>807</v>
      </c>
      <c r="J2" s="550"/>
      <c r="K2" s="550"/>
    </row>
    <row r="3" spans="1:14">
      <c r="B3" s="407"/>
      <c r="C3" s="407"/>
      <c r="D3" s="545"/>
      <c r="E3" s="545"/>
      <c r="F3" s="545"/>
      <c r="I3" s="550"/>
      <c r="J3" s="550"/>
      <c r="K3" s="550"/>
    </row>
    <row r="4" spans="1:14">
      <c r="B4" s="407"/>
      <c r="C4" s="407"/>
      <c r="D4" s="545"/>
      <c r="E4" s="545"/>
      <c r="F4" s="545"/>
      <c r="I4" s="550"/>
      <c r="J4" s="550"/>
      <c r="K4" s="550"/>
    </row>
    <row r="5" spans="1:14">
      <c r="B5" s="407"/>
      <c r="C5" s="407"/>
      <c r="D5" s="545"/>
      <c r="E5" s="545"/>
      <c r="F5" s="545"/>
      <c r="I5" s="550"/>
      <c r="J5" s="550"/>
      <c r="K5" s="550"/>
    </row>
    <row r="6" spans="1:14">
      <c r="B6" s="407"/>
      <c r="C6" s="407"/>
      <c r="D6" s="545"/>
      <c r="E6" s="545"/>
      <c r="F6" s="545"/>
      <c r="I6" s="550"/>
      <c r="J6" s="550"/>
      <c r="K6" s="550"/>
    </row>
    <row r="7" spans="1:14">
      <c r="B7" s="407"/>
      <c r="C7" s="407"/>
      <c r="D7" s="545"/>
      <c r="E7" s="545"/>
      <c r="F7" s="545"/>
      <c r="I7" s="550"/>
      <c r="J7" s="550"/>
      <c r="K7" s="550"/>
    </row>
    <row r="8" spans="1:14" ht="13.5" thickBot="1">
      <c r="A8" s="507"/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</row>
    <row r="9" spans="1:14" ht="13.5" thickTop="1"/>
    <row r="15" spans="1:14" ht="12.75" customHeight="1">
      <c r="A15" s="546" t="s">
        <v>830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8"/>
      <c r="M15" s="548"/>
      <c r="N15" s="548"/>
    </row>
    <row r="16" spans="1:14">
      <c r="A16" s="547"/>
      <c r="B16" s="547"/>
      <c r="C16" s="547"/>
      <c r="D16" s="547"/>
      <c r="E16" s="547"/>
      <c r="F16" s="547"/>
      <c r="G16" s="547"/>
      <c r="H16" s="547"/>
      <c r="I16" s="547"/>
      <c r="J16" s="547"/>
      <c r="K16" s="547"/>
      <c r="L16" s="548"/>
      <c r="M16" s="548"/>
      <c r="N16" s="548"/>
    </row>
    <row r="17" spans="1:14">
      <c r="A17" s="547"/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8"/>
      <c r="M17" s="548"/>
      <c r="N17" s="548"/>
    </row>
    <row r="18" spans="1:14">
      <c r="A18" s="547"/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8"/>
      <c r="M18" s="548"/>
      <c r="N18" s="548"/>
    </row>
    <row r="19" spans="1:14">
      <c r="A19" s="547"/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8"/>
      <c r="M19" s="548"/>
      <c r="N19" s="548"/>
    </row>
    <row r="20" spans="1:14" ht="13.5" customHeight="1">
      <c r="A20" s="547"/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8"/>
      <c r="M20" s="548"/>
      <c r="N20" s="548"/>
    </row>
    <row r="23" spans="1:14">
      <c r="A23" s="551" t="s">
        <v>808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</row>
    <row r="33" spans="1:14" s="445" customFormat="1"/>
    <row r="36" spans="1:14" s="445" customFormat="1"/>
    <row r="38" spans="1:14">
      <c r="A38" s="549" t="s">
        <v>831</v>
      </c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</row>
    <row r="39" spans="1:14">
      <c r="A39" s="543"/>
      <c r="B39" s="543"/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</row>
    <row r="40" spans="1:14" ht="15.75">
      <c r="A40" s="77"/>
      <c r="B40" s="77"/>
      <c r="C40" s="77"/>
      <c r="D40" s="77"/>
      <c r="E40" s="77"/>
      <c r="F40" s="77"/>
      <c r="G40" s="77"/>
      <c r="H40" s="77"/>
      <c r="I40" s="77"/>
    </row>
  </sheetData>
  <mergeCells count="6">
    <mergeCell ref="A1:I1"/>
    <mergeCell ref="D2:F7"/>
    <mergeCell ref="A15:N20"/>
    <mergeCell ref="A38:N39"/>
    <mergeCell ref="I2:K7"/>
    <mergeCell ref="A23:N23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96"/>
  <sheetViews>
    <sheetView zoomScaleNormal="100" workbookViewId="0">
      <selection activeCell="K31" sqref="K31"/>
    </sheetView>
  </sheetViews>
  <sheetFormatPr defaultRowHeight="12.75"/>
  <cols>
    <col min="1" max="1" width="9.140625" style="284"/>
    <col min="2" max="2" width="4.7109375" style="9" customWidth="1"/>
    <col min="3" max="3" width="5.425781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8" t="s">
        <v>123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119</v>
      </c>
      <c r="C7" s="7" t="s">
        <v>81</v>
      </c>
      <c r="D7" s="7" t="s">
        <v>124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50850</v>
      </c>
      <c r="I8" s="210">
        <f t="shared" si="0"/>
        <v>0</v>
      </c>
      <c r="J8" s="384">
        <f t="shared" si="0"/>
        <v>50850</v>
      </c>
      <c r="K8" s="210">
        <f t="shared" si="0"/>
        <v>30548</v>
      </c>
      <c r="L8" s="210">
        <f t="shared" si="0"/>
        <v>0</v>
      </c>
      <c r="M8" s="384">
        <f t="shared" si="0"/>
        <v>30548</v>
      </c>
      <c r="N8" s="346">
        <f>IF(J8=0,"",M8/J8*100)</f>
        <v>60.074729596853494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30100+100+1*10*1430</f>
        <v>44500</v>
      </c>
      <c r="I9" s="209">
        <v>0</v>
      </c>
      <c r="J9" s="385">
        <f>SUM(H9:I9)</f>
        <v>44500</v>
      </c>
      <c r="K9" s="209">
        <v>26822</v>
      </c>
      <c r="L9" s="209">
        <v>0</v>
      </c>
      <c r="M9" s="385">
        <f>SUM(K9:L9)</f>
        <v>26822</v>
      </c>
      <c r="N9" s="347">
        <f t="shared" ref="N9:N66" si="1">IF(J9=0,"",M9/J9*100)</f>
        <v>60.274157303370792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2750+50+10*21*15+400</f>
        <v>6350</v>
      </c>
      <c r="I10" s="209">
        <v>0</v>
      </c>
      <c r="J10" s="385">
        <f t="shared" ref="J10:J11" si="2">SUM(H10:I10)</f>
        <v>6350</v>
      </c>
      <c r="K10" s="209">
        <v>3726</v>
      </c>
      <c r="L10" s="209">
        <v>0</v>
      </c>
      <c r="M10" s="385">
        <f t="shared" ref="M10:M11" si="3">SUM(K10:L10)</f>
        <v>3726</v>
      </c>
      <c r="N10" s="347">
        <f t="shared" si="1"/>
        <v>58.677165354330704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8.1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4800</v>
      </c>
      <c r="I13" s="210">
        <f t="shared" si="4"/>
        <v>0</v>
      </c>
      <c r="J13" s="384">
        <f t="shared" si="4"/>
        <v>4800</v>
      </c>
      <c r="K13" s="210">
        <f t="shared" si="4"/>
        <v>2832</v>
      </c>
      <c r="L13" s="210">
        <f t="shared" si="4"/>
        <v>0</v>
      </c>
      <c r="M13" s="384">
        <f t="shared" si="4"/>
        <v>2832</v>
      </c>
      <c r="N13" s="346">
        <f t="shared" si="1"/>
        <v>59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3180+20+1*10*160</f>
        <v>4800</v>
      </c>
      <c r="I14" s="209">
        <v>0</v>
      </c>
      <c r="J14" s="385">
        <f>SUM(H14:I14)</f>
        <v>4800</v>
      </c>
      <c r="K14" s="209">
        <v>2832</v>
      </c>
      <c r="L14" s="209">
        <v>0</v>
      </c>
      <c r="M14" s="385">
        <f>SUM(K14:L14)</f>
        <v>2832</v>
      </c>
      <c r="N14" s="347">
        <f t="shared" si="1"/>
        <v>59</v>
      </c>
    </row>
    <row r="15" spans="1:16" ht="8.1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3000</v>
      </c>
      <c r="I16" s="293">
        <f t="shared" si="5"/>
        <v>0</v>
      </c>
      <c r="J16" s="387">
        <f t="shared" si="5"/>
        <v>3000</v>
      </c>
      <c r="K16" s="293">
        <f t="shared" si="5"/>
        <v>807</v>
      </c>
      <c r="L16" s="293">
        <f t="shared" si="5"/>
        <v>0</v>
      </c>
      <c r="M16" s="387">
        <f t="shared" si="5"/>
        <v>807</v>
      </c>
      <c r="N16" s="346">
        <f t="shared" si="1"/>
        <v>26.900000000000002</v>
      </c>
    </row>
    <row r="17" spans="1:16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1000</v>
      </c>
      <c r="I17" s="362">
        <v>0</v>
      </c>
      <c r="J17" s="385">
        <f t="shared" ref="J17:J26" si="6">SUM(H17:I17)</f>
        <v>1000</v>
      </c>
      <c r="K17" s="362">
        <v>0</v>
      </c>
      <c r="L17" s="362">
        <v>0</v>
      </c>
      <c r="M17" s="385">
        <f t="shared" ref="M17:M26" si="7">SUM(K17:L17)</f>
        <v>0</v>
      </c>
      <c r="N17" s="347">
        <f t="shared" si="1"/>
        <v>0</v>
      </c>
    </row>
    <row r="18" spans="1:16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6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0</v>
      </c>
      <c r="I19" s="362">
        <v>0</v>
      </c>
      <c r="J19" s="385">
        <f t="shared" si="6"/>
        <v>0</v>
      </c>
      <c r="K19" s="362">
        <v>0</v>
      </c>
      <c r="L19" s="362">
        <v>0</v>
      </c>
      <c r="M19" s="385">
        <f t="shared" si="7"/>
        <v>0</v>
      </c>
      <c r="N19" s="347" t="str">
        <f t="shared" si="1"/>
        <v/>
      </c>
    </row>
    <row r="20" spans="1:16" ht="12.95" customHeight="1">
      <c r="B20" s="10"/>
      <c r="C20" s="11"/>
      <c r="D20" s="11"/>
      <c r="E20" s="306">
        <v>613400</v>
      </c>
      <c r="F20" s="332"/>
      <c r="G20" s="11" t="s">
        <v>165</v>
      </c>
      <c r="H20" s="362">
        <v>0</v>
      </c>
      <c r="I20" s="362">
        <v>0</v>
      </c>
      <c r="J20" s="385">
        <f t="shared" si="6"/>
        <v>0</v>
      </c>
      <c r="K20" s="362">
        <v>0</v>
      </c>
      <c r="L20" s="362">
        <v>0</v>
      </c>
      <c r="M20" s="385">
        <f t="shared" si="7"/>
        <v>0</v>
      </c>
      <c r="N20" s="347" t="str">
        <f t="shared" si="1"/>
        <v/>
      </c>
    </row>
    <row r="21" spans="1:16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0</v>
      </c>
      <c r="I21" s="362">
        <v>0</v>
      </c>
      <c r="J21" s="385">
        <f t="shared" si="6"/>
        <v>0</v>
      </c>
      <c r="K21" s="362">
        <v>0</v>
      </c>
      <c r="L21" s="362">
        <v>0</v>
      </c>
      <c r="M21" s="385">
        <f t="shared" si="7"/>
        <v>0</v>
      </c>
      <c r="N21" s="347" t="str">
        <f t="shared" si="1"/>
        <v/>
      </c>
    </row>
    <row r="22" spans="1:16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6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0</v>
      </c>
      <c r="I23" s="362">
        <v>0</v>
      </c>
      <c r="J23" s="385">
        <f t="shared" si="6"/>
        <v>0</v>
      </c>
      <c r="K23" s="362">
        <v>0</v>
      </c>
      <c r="L23" s="362">
        <v>0</v>
      </c>
      <c r="M23" s="385">
        <f t="shared" si="7"/>
        <v>0</v>
      </c>
      <c r="N23" s="347" t="str">
        <f t="shared" si="1"/>
        <v/>
      </c>
    </row>
    <row r="24" spans="1:16" ht="12.95" customHeight="1">
      <c r="B24" s="10"/>
      <c r="C24" s="11"/>
      <c r="D24" s="11"/>
      <c r="E24" s="306">
        <v>613800</v>
      </c>
      <c r="F24" s="332"/>
      <c r="G24" s="11" t="s">
        <v>166</v>
      </c>
      <c r="H24" s="362">
        <v>0</v>
      </c>
      <c r="I24" s="362">
        <v>0</v>
      </c>
      <c r="J24" s="385">
        <f t="shared" si="6"/>
        <v>0</v>
      </c>
      <c r="K24" s="362">
        <v>0</v>
      </c>
      <c r="L24" s="362">
        <v>0</v>
      </c>
      <c r="M24" s="385">
        <f t="shared" si="7"/>
        <v>0</v>
      </c>
      <c r="N24" s="347" t="str">
        <f t="shared" si="1"/>
        <v/>
      </c>
      <c r="P24" s="50"/>
    </row>
    <row r="25" spans="1:16" ht="12.95" customHeight="1">
      <c r="B25" s="10"/>
      <c r="C25" s="11"/>
      <c r="D25" s="11"/>
      <c r="E25" s="306">
        <v>613900</v>
      </c>
      <c r="F25" s="332"/>
      <c r="G25" s="11" t="s">
        <v>167</v>
      </c>
      <c r="H25" s="362">
        <v>2000</v>
      </c>
      <c r="I25" s="362">
        <v>0</v>
      </c>
      <c r="J25" s="385">
        <f t="shared" si="6"/>
        <v>2000</v>
      </c>
      <c r="K25" s="362">
        <v>807</v>
      </c>
      <c r="L25" s="362">
        <v>0</v>
      </c>
      <c r="M25" s="385">
        <f t="shared" si="7"/>
        <v>807</v>
      </c>
      <c r="N25" s="347">
        <f t="shared" si="1"/>
        <v>40.35</v>
      </c>
    </row>
    <row r="26" spans="1:16" ht="12.95" customHeight="1">
      <c r="B26" s="10"/>
      <c r="C26" s="11"/>
      <c r="D26" s="11"/>
      <c r="E26" s="306">
        <v>613900</v>
      </c>
      <c r="F26" s="332"/>
      <c r="G26" s="189" t="s">
        <v>535</v>
      </c>
      <c r="H26" s="363">
        <v>0</v>
      </c>
      <c r="I26" s="363">
        <v>0</v>
      </c>
      <c r="J26" s="385">
        <f t="shared" si="6"/>
        <v>0</v>
      </c>
      <c r="K26" s="363">
        <v>0</v>
      </c>
      <c r="L26" s="363">
        <v>0</v>
      </c>
      <c r="M26" s="385">
        <f t="shared" si="7"/>
        <v>0</v>
      </c>
      <c r="N26" s="347" t="str">
        <f t="shared" si="1"/>
        <v/>
      </c>
    </row>
    <row r="27" spans="1:16" s="1" customFormat="1" ht="8.1" customHeight="1">
      <c r="A27" s="281"/>
      <c r="B27" s="12"/>
      <c r="C27" s="8"/>
      <c r="D27" s="8"/>
      <c r="E27" s="316"/>
      <c r="F27" s="343"/>
      <c r="G27" s="8"/>
      <c r="H27" s="279"/>
      <c r="I27" s="279"/>
      <c r="J27" s="386"/>
      <c r="K27" s="279"/>
      <c r="L27" s="279"/>
      <c r="M27" s="386"/>
      <c r="N27" s="347" t="str">
        <f t="shared" si="1"/>
        <v/>
      </c>
    </row>
    <row r="28" spans="1:16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" si="8">SUM(H29:H30)</f>
        <v>1500</v>
      </c>
      <c r="I28" s="288">
        <f t="shared" ref="I28:K28" si="9">SUM(I29:I30)</f>
        <v>0</v>
      </c>
      <c r="J28" s="387">
        <f t="shared" si="9"/>
        <v>1500</v>
      </c>
      <c r="K28" s="288">
        <f t="shared" si="9"/>
        <v>0</v>
      </c>
      <c r="L28" s="288">
        <f t="shared" ref="L28:M28" si="10">SUM(L29:L30)</f>
        <v>0</v>
      </c>
      <c r="M28" s="387">
        <f t="shared" si="10"/>
        <v>0</v>
      </c>
      <c r="N28" s="346">
        <f t="shared" si="1"/>
        <v>0</v>
      </c>
    </row>
    <row r="29" spans="1:16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11">SUM(H29:I29)</f>
        <v>0</v>
      </c>
      <c r="K29" s="280">
        <v>0</v>
      </c>
      <c r="L29" s="280">
        <v>0</v>
      </c>
      <c r="M29" s="385">
        <f t="shared" ref="M29:M30" si="12">SUM(K29:L29)</f>
        <v>0</v>
      </c>
      <c r="N29" s="347" t="str">
        <f t="shared" si="1"/>
        <v/>
      </c>
    </row>
    <row r="30" spans="1:16" ht="12.95" customHeight="1">
      <c r="B30" s="10"/>
      <c r="C30" s="11"/>
      <c r="D30" s="11"/>
      <c r="E30" s="306">
        <v>821300</v>
      </c>
      <c r="F30" s="332"/>
      <c r="G30" s="11" t="s">
        <v>92</v>
      </c>
      <c r="H30" s="279">
        <v>1500</v>
      </c>
      <c r="I30" s="279">
        <v>0</v>
      </c>
      <c r="J30" s="385">
        <f t="shared" si="11"/>
        <v>1500</v>
      </c>
      <c r="K30" s="279">
        <v>0</v>
      </c>
      <c r="L30" s="279">
        <v>0</v>
      </c>
      <c r="M30" s="385">
        <f t="shared" si="12"/>
        <v>0</v>
      </c>
      <c r="N30" s="347">
        <f t="shared" si="1"/>
        <v>0</v>
      </c>
    </row>
    <row r="31" spans="1:16" ht="8.1" customHeight="1">
      <c r="B31" s="10"/>
      <c r="C31" s="11"/>
      <c r="D31" s="11"/>
      <c r="E31" s="306"/>
      <c r="F31" s="332"/>
      <c r="G31" s="11"/>
      <c r="H31" s="288"/>
      <c r="I31" s="288"/>
      <c r="J31" s="387"/>
      <c r="K31" s="288"/>
      <c r="L31" s="288"/>
      <c r="M31" s="387"/>
      <c r="N31" s="347" t="str">
        <f t="shared" si="1"/>
        <v/>
      </c>
    </row>
    <row r="32" spans="1:16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2</v>
      </c>
      <c r="I32" s="288"/>
      <c r="J32" s="387">
        <v>2</v>
      </c>
      <c r="K32" s="288">
        <v>2</v>
      </c>
      <c r="L32" s="288"/>
      <c r="M32" s="387">
        <v>2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3">H8+H13+H16+H28</f>
        <v>60150</v>
      </c>
      <c r="I33" s="288">
        <f t="shared" si="13"/>
        <v>0</v>
      </c>
      <c r="J33" s="387">
        <f t="shared" si="13"/>
        <v>60150</v>
      </c>
      <c r="K33" s="288">
        <f t="shared" si="13"/>
        <v>34187</v>
      </c>
      <c r="L33" s="288">
        <f t="shared" si="13"/>
        <v>0</v>
      </c>
      <c r="M33" s="387">
        <f t="shared" si="13"/>
        <v>34187</v>
      </c>
      <c r="N33" s="346">
        <f t="shared" si="1"/>
        <v>56.836242726517042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8.1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P96"/>
  <sheetViews>
    <sheetView zoomScaleNormal="100" workbookViewId="0">
      <selection activeCell="K32" sqref="K32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8" t="s">
        <v>160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119</v>
      </c>
      <c r="C7" s="7" t="s">
        <v>81</v>
      </c>
      <c r="D7" s="7" t="s">
        <v>125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75630</v>
      </c>
      <c r="I8" s="210">
        <f t="shared" si="0"/>
        <v>0</v>
      </c>
      <c r="J8" s="384">
        <f t="shared" si="0"/>
        <v>75630</v>
      </c>
      <c r="K8" s="210">
        <f t="shared" si="0"/>
        <v>56529</v>
      </c>
      <c r="L8" s="210">
        <f t="shared" si="0"/>
        <v>0</v>
      </c>
      <c r="M8" s="384">
        <f t="shared" si="0"/>
        <v>56529</v>
      </c>
      <c r="N8" s="346">
        <f>IF(J8=0,"",M8/J8*100)</f>
        <v>74.744149147163824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64800+250</f>
        <v>65050</v>
      </c>
      <c r="I9" s="209">
        <v>0</v>
      </c>
      <c r="J9" s="385">
        <f>SUM(H9:I9)</f>
        <v>65050</v>
      </c>
      <c r="K9" s="209">
        <v>48542</v>
      </c>
      <c r="L9" s="209">
        <v>0</v>
      </c>
      <c r="M9" s="385">
        <f>SUM(K9:L9)</f>
        <v>48542</v>
      </c>
      <c r="N9" s="347">
        <f t="shared" ref="N9:N66" si="1">IF(J9=0,"",M9/J9*100)</f>
        <v>74.622598001537284</v>
      </c>
      <c r="O9" s="57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10480+100</f>
        <v>10580</v>
      </c>
      <c r="I10" s="209">
        <v>0</v>
      </c>
      <c r="J10" s="385">
        <f t="shared" ref="J10:J11" si="2">SUM(H10:I10)</f>
        <v>10580</v>
      </c>
      <c r="K10" s="209">
        <v>7987</v>
      </c>
      <c r="L10" s="209">
        <v>0</v>
      </c>
      <c r="M10" s="385">
        <f t="shared" ref="M10:M11" si="3">SUM(K10:L10)</f>
        <v>7987</v>
      </c>
      <c r="N10" s="347">
        <f t="shared" si="1"/>
        <v>75.49149338374292</v>
      </c>
      <c r="O10" s="59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8.1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6940</v>
      </c>
      <c r="I13" s="210">
        <f t="shared" si="4"/>
        <v>0</v>
      </c>
      <c r="J13" s="384">
        <f t="shared" si="4"/>
        <v>6940</v>
      </c>
      <c r="K13" s="210">
        <f t="shared" si="4"/>
        <v>5139</v>
      </c>
      <c r="L13" s="210">
        <f t="shared" si="4"/>
        <v>0</v>
      </c>
      <c r="M13" s="384">
        <f t="shared" si="4"/>
        <v>5139</v>
      </c>
      <c r="N13" s="346">
        <f t="shared" si="1"/>
        <v>74.048991354466864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6900+40</f>
        <v>6940</v>
      </c>
      <c r="I14" s="209">
        <v>0</v>
      </c>
      <c r="J14" s="385">
        <f>SUM(H14:I14)</f>
        <v>6940</v>
      </c>
      <c r="K14" s="209">
        <v>5139</v>
      </c>
      <c r="L14" s="209">
        <v>0</v>
      </c>
      <c r="M14" s="385">
        <f>SUM(K14:L14)</f>
        <v>5139</v>
      </c>
      <c r="N14" s="347">
        <f t="shared" si="1"/>
        <v>74.048991354466864</v>
      </c>
    </row>
    <row r="15" spans="1:16" ht="8.1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6300</v>
      </c>
      <c r="I16" s="293">
        <f t="shared" si="5"/>
        <v>0</v>
      </c>
      <c r="J16" s="387">
        <f t="shared" si="5"/>
        <v>6300</v>
      </c>
      <c r="K16" s="293">
        <f t="shared" si="5"/>
        <v>2102</v>
      </c>
      <c r="L16" s="293">
        <f t="shared" si="5"/>
        <v>0</v>
      </c>
      <c r="M16" s="387">
        <f t="shared" si="5"/>
        <v>2102</v>
      </c>
      <c r="N16" s="346">
        <f t="shared" si="1"/>
        <v>33.365079365079367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4">
        <v>1500</v>
      </c>
      <c r="I17" s="364">
        <v>0</v>
      </c>
      <c r="J17" s="385">
        <f t="shared" ref="J17:J26" si="6">SUM(H17:I17)</f>
        <v>1500</v>
      </c>
      <c r="K17" s="364">
        <v>392</v>
      </c>
      <c r="L17" s="364">
        <v>0</v>
      </c>
      <c r="M17" s="385">
        <f t="shared" ref="M17:M26" si="7">SUM(K17:L17)</f>
        <v>392</v>
      </c>
      <c r="N17" s="347">
        <f t="shared" si="1"/>
        <v>26.133333333333329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2500</v>
      </c>
      <c r="I19" s="362">
        <v>0</v>
      </c>
      <c r="J19" s="385">
        <f t="shared" si="6"/>
        <v>2500</v>
      </c>
      <c r="K19" s="362">
        <v>1173</v>
      </c>
      <c r="L19" s="362">
        <v>0</v>
      </c>
      <c r="M19" s="385">
        <f t="shared" si="7"/>
        <v>1173</v>
      </c>
      <c r="N19" s="347">
        <f t="shared" si="1"/>
        <v>46.92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300</v>
      </c>
      <c r="I20" s="364">
        <v>0</v>
      </c>
      <c r="J20" s="385">
        <f t="shared" si="6"/>
        <v>300</v>
      </c>
      <c r="K20" s="364">
        <v>0</v>
      </c>
      <c r="L20" s="364">
        <v>0</v>
      </c>
      <c r="M20" s="385">
        <f t="shared" si="7"/>
        <v>0</v>
      </c>
      <c r="N20" s="347">
        <f t="shared" si="1"/>
        <v>0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0</v>
      </c>
      <c r="I21" s="362">
        <v>0</v>
      </c>
      <c r="J21" s="385">
        <f t="shared" si="6"/>
        <v>0</v>
      </c>
      <c r="K21" s="362">
        <v>0</v>
      </c>
      <c r="L21" s="362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0</v>
      </c>
      <c r="I23" s="362">
        <v>0</v>
      </c>
      <c r="J23" s="385">
        <f t="shared" si="6"/>
        <v>0</v>
      </c>
      <c r="K23" s="362">
        <v>0</v>
      </c>
      <c r="L23" s="362">
        <v>0</v>
      </c>
      <c r="M23" s="385">
        <f t="shared" si="7"/>
        <v>0</v>
      </c>
      <c r="N23" s="347" t="str">
        <f t="shared" si="1"/>
        <v/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2">
        <v>0</v>
      </c>
      <c r="I24" s="362">
        <v>0</v>
      </c>
      <c r="J24" s="385">
        <f t="shared" si="6"/>
        <v>0</v>
      </c>
      <c r="K24" s="362">
        <v>0</v>
      </c>
      <c r="L24" s="362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2000</v>
      </c>
      <c r="I25" s="364">
        <v>0</v>
      </c>
      <c r="J25" s="385">
        <f t="shared" si="6"/>
        <v>2000</v>
      </c>
      <c r="K25" s="364">
        <v>537</v>
      </c>
      <c r="L25" s="364">
        <v>0</v>
      </c>
      <c r="M25" s="385">
        <f t="shared" si="7"/>
        <v>537</v>
      </c>
      <c r="N25" s="347">
        <f t="shared" si="1"/>
        <v>26.85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s="1" customFormat="1" ht="8.1" customHeight="1">
      <c r="A27" s="281"/>
      <c r="B27" s="12"/>
      <c r="C27" s="8"/>
      <c r="D27" s="8"/>
      <c r="E27" s="316"/>
      <c r="F27" s="343"/>
      <c r="G27" s="8"/>
      <c r="H27" s="280"/>
      <c r="I27" s="280"/>
      <c r="J27" s="386"/>
      <c r="K27" s="280"/>
      <c r="L27" s="280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1500</v>
      </c>
      <c r="I28" s="295">
        <f t="shared" si="8"/>
        <v>0</v>
      </c>
      <c r="J28" s="387">
        <f t="shared" si="8"/>
        <v>1500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1500</v>
      </c>
      <c r="I30" s="280">
        <v>0</v>
      </c>
      <c r="J30" s="385">
        <f t="shared" si="9"/>
        <v>1500</v>
      </c>
      <c r="K30" s="280">
        <v>0</v>
      </c>
      <c r="L30" s="280">
        <v>0</v>
      </c>
      <c r="M30" s="385">
        <f t="shared" si="10"/>
        <v>0</v>
      </c>
      <c r="N30" s="347">
        <f t="shared" si="1"/>
        <v>0</v>
      </c>
    </row>
    <row r="31" spans="1:14" ht="8.1" customHeight="1">
      <c r="B31" s="10"/>
      <c r="C31" s="11"/>
      <c r="D31" s="11"/>
      <c r="E31" s="306"/>
      <c r="F31" s="332"/>
      <c r="G31" s="11"/>
      <c r="H31" s="279"/>
      <c r="I31" s="279"/>
      <c r="J31" s="386"/>
      <c r="K31" s="279"/>
      <c r="L31" s="279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3</v>
      </c>
      <c r="I32" s="295"/>
      <c r="J32" s="387">
        <v>3</v>
      </c>
      <c r="K32" s="295">
        <v>3</v>
      </c>
      <c r="L32" s="295"/>
      <c r="M32" s="387">
        <v>3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90370</v>
      </c>
      <c r="I33" s="288">
        <f t="shared" si="11"/>
        <v>0</v>
      </c>
      <c r="J33" s="387">
        <f t="shared" si="11"/>
        <v>90370</v>
      </c>
      <c r="K33" s="288">
        <f t="shared" si="11"/>
        <v>63770</v>
      </c>
      <c r="L33" s="288">
        <f t="shared" si="11"/>
        <v>0</v>
      </c>
      <c r="M33" s="387">
        <f t="shared" si="11"/>
        <v>63770</v>
      </c>
      <c r="N33" s="346">
        <f t="shared" si="1"/>
        <v>70.56545313710302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/>
      <c r="I35" s="288"/>
      <c r="J35" s="387"/>
      <c r="K35" s="288"/>
      <c r="L35" s="288"/>
      <c r="M35" s="387"/>
      <c r="N35" s="347" t="str">
        <f t="shared" si="1"/>
        <v/>
      </c>
    </row>
    <row r="36" spans="1:14" ht="8.1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P96"/>
  <sheetViews>
    <sheetView zoomScaleNormal="100" workbookViewId="0">
      <selection activeCell="Q34" sqref="Q34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B2" s="598" t="s">
        <v>546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119</v>
      </c>
      <c r="C7" s="7" t="s">
        <v>81</v>
      </c>
      <c r="D7" s="7" t="s">
        <v>146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22">
        <f t="shared" ref="H8:M8" si="0">SUM(H9:H12)</f>
        <v>169880</v>
      </c>
      <c r="I8" s="222">
        <f t="shared" si="0"/>
        <v>0</v>
      </c>
      <c r="J8" s="384">
        <f t="shared" si="0"/>
        <v>169880</v>
      </c>
      <c r="K8" s="222">
        <f t="shared" si="0"/>
        <v>125753</v>
      </c>
      <c r="L8" s="222">
        <f t="shared" si="0"/>
        <v>0</v>
      </c>
      <c r="M8" s="384">
        <f t="shared" si="0"/>
        <v>125753</v>
      </c>
      <c r="N8" s="346">
        <f>IF(J8=0,"",M8/J8*100)</f>
        <v>74.024605603955735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23">
        <f>132900+500</f>
        <v>133400</v>
      </c>
      <c r="I9" s="223">
        <v>0</v>
      </c>
      <c r="J9" s="385">
        <f>SUM(H9:I9)</f>
        <v>133400</v>
      </c>
      <c r="K9" s="223">
        <v>99748</v>
      </c>
      <c r="L9" s="223">
        <v>0</v>
      </c>
      <c r="M9" s="385">
        <f>SUM(K9:L9)</f>
        <v>99748</v>
      </c>
      <c r="N9" s="347">
        <f t="shared" ref="N9:N66" si="1">IF(J9=0,"",M9/J9*100)</f>
        <v>74.773613193403293</v>
      </c>
      <c r="O9" s="57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23">
        <f>36180+300</f>
        <v>36480</v>
      </c>
      <c r="I10" s="223">
        <v>0</v>
      </c>
      <c r="J10" s="385">
        <f t="shared" ref="J10:J11" si="2">SUM(H10:I10)</f>
        <v>36480</v>
      </c>
      <c r="K10" s="223">
        <v>26005</v>
      </c>
      <c r="L10" s="223">
        <v>0</v>
      </c>
      <c r="M10" s="385">
        <f t="shared" ref="M10:M11" si="3">SUM(K10:L10)</f>
        <v>26005</v>
      </c>
      <c r="N10" s="347">
        <f t="shared" si="1"/>
        <v>71.285635964912288</v>
      </c>
      <c r="O10" s="59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23">
        <v>0</v>
      </c>
      <c r="I11" s="223">
        <v>0</v>
      </c>
      <c r="J11" s="385">
        <f t="shared" si="2"/>
        <v>0</v>
      </c>
      <c r="K11" s="223">
        <v>0</v>
      </c>
      <c r="L11" s="223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23"/>
      <c r="I12" s="223"/>
      <c r="J12" s="385"/>
      <c r="K12" s="223"/>
      <c r="L12" s="223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22">
        <f t="shared" ref="H13:M13" si="4">H14</f>
        <v>14260</v>
      </c>
      <c r="I13" s="222">
        <f t="shared" si="4"/>
        <v>0</v>
      </c>
      <c r="J13" s="384">
        <f t="shared" si="4"/>
        <v>14260</v>
      </c>
      <c r="K13" s="222">
        <f t="shared" si="4"/>
        <v>10567</v>
      </c>
      <c r="L13" s="222">
        <f t="shared" si="4"/>
        <v>0</v>
      </c>
      <c r="M13" s="384">
        <f t="shared" si="4"/>
        <v>10567</v>
      </c>
      <c r="N13" s="346">
        <f t="shared" si="1"/>
        <v>74.102384291725116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23">
        <f>14180+80</f>
        <v>14260</v>
      </c>
      <c r="I14" s="223">
        <v>0</v>
      </c>
      <c r="J14" s="385">
        <f>SUM(H14:I14)</f>
        <v>14260</v>
      </c>
      <c r="K14" s="223">
        <v>10567</v>
      </c>
      <c r="L14" s="223">
        <v>0</v>
      </c>
      <c r="M14" s="385">
        <f>SUM(K14:L14)</f>
        <v>10567</v>
      </c>
      <c r="N14" s="347">
        <f t="shared" si="1"/>
        <v>74.102384291725116</v>
      </c>
    </row>
    <row r="15" spans="1:16" ht="12.95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11700</v>
      </c>
      <c r="I16" s="293">
        <f t="shared" si="5"/>
        <v>0</v>
      </c>
      <c r="J16" s="387">
        <f t="shared" si="5"/>
        <v>11700</v>
      </c>
      <c r="K16" s="293">
        <f t="shared" si="5"/>
        <v>4200</v>
      </c>
      <c r="L16" s="293">
        <f t="shared" si="5"/>
        <v>0</v>
      </c>
      <c r="M16" s="387">
        <f t="shared" si="5"/>
        <v>4200</v>
      </c>
      <c r="N16" s="346">
        <f t="shared" si="1"/>
        <v>35.897435897435898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4">
        <v>6000</v>
      </c>
      <c r="I17" s="364">
        <v>0</v>
      </c>
      <c r="J17" s="385">
        <f t="shared" ref="J17:J26" si="6">SUM(H17:I17)</f>
        <v>6000</v>
      </c>
      <c r="K17" s="364">
        <v>3081</v>
      </c>
      <c r="L17" s="364">
        <v>0</v>
      </c>
      <c r="M17" s="385">
        <f t="shared" ref="M17:M26" si="7">SUM(K17:L17)</f>
        <v>3081</v>
      </c>
      <c r="N17" s="347">
        <f t="shared" si="1"/>
        <v>51.349999999999994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1000</v>
      </c>
      <c r="I19" s="362">
        <v>0</v>
      </c>
      <c r="J19" s="385">
        <f t="shared" si="6"/>
        <v>1000</v>
      </c>
      <c r="K19" s="362">
        <v>564</v>
      </c>
      <c r="L19" s="362">
        <v>0</v>
      </c>
      <c r="M19" s="385">
        <f t="shared" si="7"/>
        <v>564</v>
      </c>
      <c r="N19" s="347">
        <f t="shared" si="1"/>
        <v>56.399999999999991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1000</v>
      </c>
      <c r="I20" s="364">
        <v>0</v>
      </c>
      <c r="J20" s="385">
        <f t="shared" si="6"/>
        <v>1000</v>
      </c>
      <c r="K20" s="364">
        <v>0</v>
      </c>
      <c r="L20" s="364">
        <v>0</v>
      </c>
      <c r="M20" s="385">
        <f t="shared" si="7"/>
        <v>0</v>
      </c>
      <c r="N20" s="347">
        <f t="shared" si="1"/>
        <v>0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0</v>
      </c>
      <c r="I21" s="362">
        <v>0</v>
      </c>
      <c r="J21" s="385">
        <f t="shared" si="6"/>
        <v>0</v>
      </c>
      <c r="K21" s="362">
        <v>0</v>
      </c>
      <c r="L21" s="362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1200</v>
      </c>
      <c r="I23" s="362">
        <v>0</v>
      </c>
      <c r="J23" s="385">
        <f t="shared" si="6"/>
        <v>1200</v>
      </c>
      <c r="K23" s="362">
        <v>97</v>
      </c>
      <c r="L23" s="362">
        <v>0</v>
      </c>
      <c r="M23" s="385">
        <f t="shared" si="7"/>
        <v>97</v>
      </c>
      <c r="N23" s="347">
        <f t="shared" si="1"/>
        <v>8.0833333333333321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2">
        <v>0</v>
      </c>
      <c r="I24" s="362">
        <v>0</v>
      </c>
      <c r="J24" s="385">
        <f t="shared" si="6"/>
        <v>0</v>
      </c>
      <c r="K24" s="362">
        <v>0</v>
      </c>
      <c r="L24" s="362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2500</v>
      </c>
      <c r="I25" s="364">
        <v>0</v>
      </c>
      <c r="J25" s="385">
        <f t="shared" si="6"/>
        <v>2500</v>
      </c>
      <c r="K25" s="364">
        <v>458</v>
      </c>
      <c r="L25" s="364">
        <v>0</v>
      </c>
      <c r="M25" s="385">
        <f t="shared" si="7"/>
        <v>458</v>
      </c>
      <c r="N25" s="347">
        <f t="shared" si="1"/>
        <v>18.32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16"/>
      <c r="F27" s="343"/>
      <c r="G27" s="8"/>
      <c r="H27" s="280"/>
      <c r="I27" s="280"/>
      <c r="J27" s="386"/>
      <c r="K27" s="280"/>
      <c r="L27" s="280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1000</v>
      </c>
      <c r="I28" s="295">
        <f t="shared" si="8"/>
        <v>0</v>
      </c>
      <c r="J28" s="387">
        <f t="shared" si="8"/>
        <v>1000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1000</v>
      </c>
      <c r="I30" s="280">
        <v>0</v>
      </c>
      <c r="J30" s="385">
        <f t="shared" si="9"/>
        <v>1000</v>
      </c>
      <c r="K30" s="280">
        <v>0</v>
      </c>
      <c r="L30" s="280">
        <v>0</v>
      </c>
      <c r="M30" s="385">
        <f t="shared" si="10"/>
        <v>0</v>
      </c>
      <c r="N30" s="347">
        <f t="shared" si="1"/>
        <v>0</v>
      </c>
    </row>
    <row r="31" spans="1:14" ht="12.95" customHeight="1">
      <c r="B31" s="10"/>
      <c r="C31" s="11"/>
      <c r="D31" s="11"/>
      <c r="E31" s="306"/>
      <c r="F31" s="332"/>
      <c r="G31" s="11"/>
      <c r="H31" s="279"/>
      <c r="I31" s="279"/>
      <c r="J31" s="386"/>
      <c r="K31" s="279"/>
      <c r="L31" s="279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7</v>
      </c>
      <c r="I32" s="295"/>
      <c r="J32" s="387">
        <v>7</v>
      </c>
      <c r="K32" s="295">
        <v>7</v>
      </c>
      <c r="L32" s="295"/>
      <c r="M32" s="387">
        <v>7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196840</v>
      </c>
      <c r="I33" s="288">
        <f t="shared" si="11"/>
        <v>0</v>
      </c>
      <c r="J33" s="387">
        <f t="shared" si="11"/>
        <v>196840</v>
      </c>
      <c r="K33" s="288">
        <f t="shared" si="11"/>
        <v>140520</v>
      </c>
      <c r="L33" s="288">
        <f t="shared" si="11"/>
        <v>0</v>
      </c>
      <c r="M33" s="387">
        <f t="shared" si="11"/>
        <v>140520</v>
      </c>
      <c r="N33" s="346">
        <f t="shared" si="1"/>
        <v>71.387929282666136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>H33+'6'!H33+'5'!H33+'4'!H36+'3'!H56</f>
        <v>2719070</v>
      </c>
      <c r="I34" s="288">
        <f>I33+'6'!I33+'5'!I33+'4'!I36+'3'!I56</f>
        <v>0</v>
      </c>
      <c r="J34" s="387">
        <f>J33+'6'!J33+'5'!J33+'4'!J36+'3'!J56</f>
        <v>2719070</v>
      </c>
      <c r="K34" s="288">
        <f>K33+'6'!K33+'5'!K33+'4'!K36+'3'!K56</f>
        <v>1659798</v>
      </c>
      <c r="L34" s="288">
        <f>L33+'6'!L33+'5'!L33+'4'!L36+'3'!L56</f>
        <v>0</v>
      </c>
      <c r="M34" s="387">
        <f>M33+'6'!M33+'5'!M33+'4'!M36+'3'!M56</f>
        <v>1659798</v>
      </c>
      <c r="N34" s="346">
        <f t="shared" si="1"/>
        <v>61.042856564928449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ref="H35:M35" si="12">H34</f>
        <v>2719070</v>
      </c>
      <c r="I35" s="288">
        <f t="shared" si="12"/>
        <v>0</v>
      </c>
      <c r="J35" s="387">
        <f t="shared" si="12"/>
        <v>2719070</v>
      </c>
      <c r="K35" s="288">
        <f t="shared" si="12"/>
        <v>1659798</v>
      </c>
      <c r="L35" s="288">
        <f t="shared" si="12"/>
        <v>0</v>
      </c>
      <c r="M35" s="387">
        <f t="shared" si="12"/>
        <v>1659798</v>
      </c>
      <c r="N35" s="346">
        <f t="shared" si="1"/>
        <v>61.042856564928449</v>
      </c>
    </row>
    <row r="36" spans="1:14" ht="12.95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Q96"/>
  <sheetViews>
    <sheetView zoomScaleNormal="100" workbookViewId="0">
      <selection activeCell="M33" sqref="M33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7" ht="13.5" thickBot="1"/>
    <row r="2" spans="1:17" s="376" customFormat="1" ht="20.100000000000001" customHeight="1" thickTop="1" thickBot="1">
      <c r="B2" s="598" t="s">
        <v>126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7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7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7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7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7" s="2" customFormat="1" ht="12.95" customHeight="1">
      <c r="A7" s="282"/>
      <c r="B7" s="6" t="s">
        <v>127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7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276000</v>
      </c>
      <c r="I8" s="210">
        <f t="shared" si="0"/>
        <v>0</v>
      </c>
      <c r="J8" s="384">
        <f t="shared" si="0"/>
        <v>276000</v>
      </c>
      <c r="K8" s="210">
        <f t="shared" si="0"/>
        <v>209906</v>
      </c>
      <c r="L8" s="210">
        <f t="shared" si="0"/>
        <v>0</v>
      </c>
      <c r="M8" s="384">
        <f t="shared" si="0"/>
        <v>209906</v>
      </c>
      <c r="N8" s="346">
        <f>IF(J8=0,"",M8/J8*100)</f>
        <v>76.052898550724635</v>
      </c>
    </row>
    <row r="9" spans="1:17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216200+1000</f>
        <v>217200</v>
      </c>
      <c r="I9" s="209">
        <v>0</v>
      </c>
      <c r="J9" s="385">
        <f>SUM(H9:I9)</f>
        <v>217200</v>
      </c>
      <c r="K9" s="209">
        <v>162907</v>
      </c>
      <c r="L9" s="209">
        <v>0</v>
      </c>
      <c r="M9" s="385">
        <f>SUM(K9:L9)</f>
        <v>162907</v>
      </c>
      <c r="N9" s="347">
        <f t="shared" ref="N9:N66" si="1">IF(J9=0,"",M9/J9*100)</f>
        <v>75.003222836095759</v>
      </c>
      <c r="O9" s="50"/>
    </row>
    <row r="10" spans="1:17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58000+800</f>
        <v>58800</v>
      </c>
      <c r="I10" s="209">
        <v>0</v>
      </c>
      <c r="J10" s="385">
        <f t="shared" ref="J10:J11" si="2">SUM(H10:I10)</f>
        <v>58800</v>
      </c>
      <c r="K10" s="209">
        <v>46999</v>
      </c>
      <c r="L10" s="209">
        <v>0</v>
      </c>
      <c r="M10" s="385">
        <f t="shared" ref="M10:M11" si="3">SUM(K10:L10)</f>
        <v>46999</v>
      </c>
      <c r="N10" s="347">
        <f t="shared" si="1"/>
        <v>79.930272108843539</v>
      </c>
    </row>
    <row r="11" spans="1:17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7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  <c r="P12" s="50"/>
    </row>
    <row r="13" spans="1:17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23250</v>
      </c>
      <c r="I13" s="210">
        <f t="shared" si="4"/>
        <v>0</v>
      </c>
      <c r="J13" s="384">
        <f t="shared" si="4"/>
        <v>23250</v>
      </c>
      <c r="K13" s="210">
        <f t="shared" si="4"/>
        <v>17492</v>
      </c>
      <c r="L13" s="210">
        <f t="shared" si="4"/>
        <v>0</v>
      </c>
      <c r="M13" s="384">
        <f t="shared" si="4"/>
        <v>17492</v>
      </c>
      <c r="N13" s="346">
        <f t="shared" si="1"/>
        <v>75.234408602150538</v>
      </c>
      <c r="P13" s="60"/>
      <c r="Q13" s="60"/>
    </row>
    <row r="14" spans="1:17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23100+150</f>
        <v>23250</v>
      </c>
      <c r="I14" s="209">
        <v>0</v>
      </c>
      <c r="J14" s="385">
        <f>SUM(H14:I14)</f>
        <v>23250</v>
      </c>
      <c r="K14" s="209">
        <v>17492</v>
      </c>
      <c r="L14" s="209">
        <v>0</v>
      </c>
      <c r="M14" s="385">
        <f>SUM(K14:L14)</f>
        <v>17492</v>
      </c>
      <c r="N14" s="347">
        <f t="shared" si="1"/>
        <v>75.234408602150538</v>
      </c>
    </row>
    <row r="15" spans="1:17" ht="12.95" customHeight="1">
      <c r="B15" s="10"/>
      <c r="C15" s="11"/>
      <c r="D15" s="11"/>
      <c r="E15" s="306"/>
      <c r="F15" s="332"/>
      <c r="G15" s="11"/>
      <c r="H15" s="280"/>
      <c r="I15" s="280"/>
      <c r="J15" s="386"/>
      <c r="K15" s="280"/>
      <c r="L15" s="280"/>
      <c r="M15" s="386"/>
      <c r="N15" s="347" t="str">
        <f t="shared" si="1"/>
        <v/>
      </c>
    </row>
    <row r="16" spans="1:17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401500</v>
      </c>
      <c r="I16" s="293">
        <f t="shared" si="5"/>
        <v>0</v>
      </c>
      <c r="J16" s="387">
        <f t="shared" si="5"/>
        <v>401500</v>
      </c>
      <c r="K16" s="293">
        <f t="shared" si="5"/>
        <v>268459</v>
      </c>
      <c r="L16" s="293">
        <f t="shared" si="5"/>
        <v>0</v>
      </c>
      <c r="M16" s="387">
        <f t="shared" si="5"/>
        <v>268459</v>
      </c>
      <c r="N16" s="346">
        <f t="shared" si="1"/>
        <v>66.864009962640097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4">
        <v>8500</v>
      </c>
      <c r="I17" s="364">
        <v>0</v>
      </c>
      <c r="J17" s="385">
        <f t="shared" ref="J17:J26" si="6">SUM(H17:I17)</f>
        <v>8500</v>
      </c>
      <c r="K17" s="364">
        <v>5493</v>
      </c>
      <c r="L17" s="364">
        <v>0</v>
      </c>
      <c r="M17" s="385">
        <f t="shared" ref="M17:M26" si="7">SUM(K17:L17)</f>
        <v>5493</v>
      </c>
      <c r="N17" s="347">
        <f t="shared" si="1"/>
        <v>64.623529411764707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95000</v>
      </c>
      <c r="I18" s="362">
        <v>0</v>
      </c>
      <c r="J18" s="385">
        <f t="shared" si="6"/>
        <v>95000</v>
      </c>
      <c r="K18" s="362">
        <v>49751</v>
      </c>
      <c r="L18" s="362">
        <v>0</v>
      </c>
      <c r="M18" s="385">
        <f t="shared" si="7"/>
        <v>49751</v>
      </c>
      <c r="N18" s="347">
        <f t="shared" si="1"/>
        <v>52.369473684210519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41500</v>
      </c>
      <c r="I19" s="362">
        <v>0</v>
      </c>
      <c r="J19" s="385">
        <f t="shared" si="6"/>
        <v>41500</v>
      </c>
      <c r="K19" s="362">
        <v>29931</v>
      </c>
      <c r="L19" s="362">
        <v>0</v>
      </c>
      <c r="M19" s="385">
        <f t="shared" si="7"/>
        <v>29931</v>
      </c>
      <c r="N19" s="347">
        <f t="shared" si="1"/>
        <v>72.122891566265054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2">
        <v>84000</v>
      </c>
      <c r="I20" s="362">
        <v>0</v>
      </c>
      <c r="J20" s="385">
        <f t="shared" si="6"/>
        <v>84000</v>
      </c>
      <c r="K20" s="362">
        <v>56398</v>
      </c>
      <c r="L20" s="362">
        <v>0</v>
      </c>
      <c r="M20" s="385">
        <f t="shared" si="7"/>
        <v>56398</v>
      </c>
      <c r="N20" s="347">
        <f t="shared" si="1"/>
        <v>67.140476190476193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61000</v>
      </c>
      <c r="I21" s="362">
        <v>0</v>
      </c>
      <c r="J21" s="385">
        <f t="shared" si="6"/>
        <v>61000</v>
      </c>
      <c r="K21" s="362">
        <v>49074</v>
      </c>
      <c r="L21" s="362">
        <v>0</v>
      </c>
      <c r="M21" s="385">
        <f t="shared" si="7"/>
        <v>49074</v>
      </c>
      <c r="N21" s="347">
        <f t="shared" si="1"/>
        <v>80.449180327868845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41000</v>
      </c>
      <c r="I23" s="362">
        <v>0</v>
      </c>
      <c r="J23" s="385">
        <f t="shared" si="6"/>
        <v>41000</v>
      </c>
      <c r="K23" s="362">
        <v>25172</v>
      </c>
      <c r="L23" s="362">
        <v>0</v>
      </c>
      <c r="M23" s="385">
        <f t="shared" si="7"/>
        <v>25172</v>
      </c>
      <c r="N23" s="347">
        <f t="shared" si="1"/>
        <v>61.395121951219508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2">
        <v>5500</v>
      </c>
      <c r="I24" s="362">
        <v>0</v>
      </c>
      <c r="J24" s="385">
        <f t="shared" si="6"/>
        <v>5500</v>
      </c>
      <c r="K24" s="362">
        <v>4212</v>
      </c>
      <c r="L24" s="362">
        <v>0</v>
      </c>
      <c r="M24" s="385">
        <f t="shared" si="7"/>
        <v>4212</v>
      </c>
      <c r="N24" s="347">
        <f t="shared" si="1"/>
        <v>76.581818181818178</v>
      </c>
      <c r="O24" s="50"/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65000</v>
      </c>
      <c r="I25" s="364">
        <v>0</v>
      </c>
      <c r="J25" s="385">
        <f t="shared" si="6"/>
        <v>65000</v>
      </c>
      <c r="K25" s="364">
        <v>48428</v>
      </c>
      <c r="L25" s="364">
        <v>0</v>
      </c>
      <c r="M25" s="385">
        <f t="shared" si="7"/>
        <v>48428</v>
      </c>
      <c r="N25" s="347">
        <f t="shared" si="1"/>
        <v>74.504615384615377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3">
        <v>0</v>
      </c>
      <c r="I26" s="363">
        <v>0</v>
      </c>
      <c r="J26" s="385">
        <f t="shared" si="6"/>
        <v>0</v>
      </c>
      <c r="K26" s="363">
        <v>0</v>
      </c>
      <c r="L26" s="363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16"/>
      <c r="F27" s="343"/>
      <c r="G27" s="8"/>
      <c r="H27" s="279"/>
      <c r="I27" s="279"/>
      <c r="J27" s="386"/>
      <c r="K27" s="279"/>
      <c r="L27" s="279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SUM(H29:H30)</f>
        <v>80000</v>
      </c>
      <c r="I28" s="288">
        <f t="shared" si="8"/>
        <v>0</v>
      </c>
      <c r="J28" s="387">
        <f t="shared" si="8"/>
        <v>80000</v>
      </c>
      <c r="K28" s="288">
        <f t="shared" si="8"/>
        <v>78519</v>
      </c>
      <c r="L28" s="288">
        <f t="shared" si="8"/>
        <v>0</v>
      </c>
      <c r="M28" s="387">
        <f t="shared" si="8"/>
        <v>78519</v>
      </c>
      <c r="N28" s="346">
        <f t="shared" si="1"/>
        <v>98.148749999999993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80000</v>
      </c>
      <c r="I30" s="280">
        <v>0</v>
      </c>
      <c r="J30" s="385">
        <f t="shared" si="9"/>
        <v>80000</v>
      </c>
      <c r="K30" s="280">
        <v>78519</v>
      </c>
      <c r="L30" s="280">
        <v>0</v>
      </c>
      <c r="M30" s="385">
        <f t="shared" si="10"/>
        <v>78519</v>
      </c>
      <c r="N30" s="347">
        <f t="shared" si="1"/>
        <v>98.148749999999993</v>
      </c>
    </row>
    <row r="31" spans="1:15" ht="12.95" customHeight="1">
      <c r="B31" s="10"/>
      <c r="C31" s="11"/>
      <c r="D31" s="11"/>
      <c r="E31" s="306"/>
      <c r="F31" s="332"/>
      <c r="G31" s="11"/>
      <c r="H31" s="288"/>
      <c r="I31" s="288"/>
      <c r="J31" s="387"/>
      <c r="K31" s="288"/>
      <c r="L31" s="288"/>
      <c r="M31" s="387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16</v>
      </c>
      <c r="I32" s="295"/>
      <c r="J32" s="387">
        <v>16</v>
      </c>
      <c r="K32" s="295">
        <v>16</v>
      </c>
      <c r="L32" s="295"/>
      <c r="M32" s="387">
        <v>16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780750</v>
      </c>
      <c r="I33" s="288">
        <f t="shared" si="11"/>
        <v>0</v>
      </c>
      <c r="J33" s="387">
        <f t="shared" si="11"/>
        <v>780750</v>
      </c>
      <c r="K33" s="288">
        <f t="shared" si="11"/>
        <v>574376</v>
      </c>
      <c r="L33" s="288">
        <f t="shared" si="11"/>
        <v>0</v>
      </c>
      <c r="M33" s="387">
        <f t="shared" si="11"/>
        <v>574376</v>
      </c>
      <c r="N33" s="346">
        <f t="shared" si="1"/>
        <v>73.567211015049622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780750</v>
      </c>
      <c r="I34" s="288">
        <f t="shared" si="12"/>
        <v>0</v>
      </c>
      <c r="J34" s="387">
        <f t="shared" si="12"/>
        <v>780750</v>
      </c>
      <c r="K34" s="288">
        <f t="shared" ref="K34:M34" si="13">K33</f>
        <v>574376</v>
      </c>
      <c r="L34" s="288">
        <f t="shared" si="13"/>
        <v>0</v>
      </c>
      <c r="M34" s="387">
        <f t="shared" si="13"/>
        <v>574376</v>
      </c>
      <c r="N34" s="346">
        <f t="shared" si="1"/>
        <v>73.567211015049622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780750</v>
      </c>
      <c r="I35" s="288">
        <f t="shared" si="12"/>
        <v>0</v>
      </c>
      <c r="J35" s="387">
        <f t="shared" si="12"/>
        <v>780750</v>
      </c>
      <c r="K35" s="288">
        <f t="shared" ref="K35:M35" si="14">K34</f>
        <v>574376</v>
      </c>
      <c r="L35" s="288">
        <f t="shared" si="14"/>
        <v>0</v>
      </c>
      <c r="M35" s="387">
        <f t="shared" si="14"/>
        <v>574376</v>
      </c>
      <c r="N35" s="346">
        <f t="shared" si="1"/>
        <v>73.567211015049622</v>
      </c>
    </row>
    <row r="36" spans="1:14" ht="12.95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96"/>
  <sheetViews>
    <sheetView zoomScaleNormal="100" workbookViewId="0">
      <selection activeCell="K32" sqref="K32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5" width="9.140625" style="9"/>
    <col min="16" max="16" width="9.5703125" style="9" bestFit="1" customWidth="1"/>
    <col min="17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128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129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4844890</v>
      </c>
      <c r="I8" s="210">
        <f t="shared" si="0"/>
        <v>0</v>
      </c>
      <c r="J8" s="384">
        <f t="shared" si="0"/>
        <v>4844890</v>
      </c>
      <c r="K8" s="210">
        <f t="shared" si="0"/>
        <v>3577273</v>
      </c>
      <c r="L8" s="210">
        <f t="shared" si="0"/>
        <v>0</v>
      </c>
      <c r="M8" s="384">
        <f t="shared" si="0"/>
        <v>3577273</v>
      </c>
      <c r="N8" s="346">
        <f>IF(J8=0,"",M8/J8*100)</f>
        <v>73.836000404549949</v>
      </c>
      <c r="P8" s="58"/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3854000+8400+7*12*1200+4380+14*500+10*2*1200+2*6*1650</f>
        <v>4018380</v>
      </c>
      <c r="I9" s="209">
        <v>0</v>
      </c>
      <c r="J9" s="385">
        <f>SUM(H9:I9)</f>
        <v>4018380</v>
      </c>
      <c r="K9" s="209">
        <v>2976813</v>
      </c>
      <c r="L9" s="209">
        <v>0</v>
      </c>
      <c r="M9" s="385">
        <f>SUM(K9:L9)</f>
        <v>2976813</v>
      </c>
      <c r="N9" s="347">
        <f t="shared" ref="N9:N66" si="1">IF(J9=0,"",M9/J9*100)</f>
        <v>74.079927732071141</v>
      </c>
      <c r="O9" s="70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762500+3400+7*4100+11750+14*900+12*2*21*15</f>
        <v>826510</v>
      </c>
      <c r="I10" s="209">
        <v>0</v>
      </c>
      <c r="J10" s="385">
        <f t="shared" ref="J10:J11" si="2">SUM(H10:I10)</f>
        <v>826510</v>
      </c>
      <c r="K10" s="209">
        <v>600460</v>
      </c>
      <c r="L10" s="209">
        <v>0</v>
      </c>
      <c r="M10" s="385">
        <f t="shared" ref="M10:M11" si="3">SUM(K10:L10)</f>
        <v>600460</v>
      </c>
      <c r="N10" s="347">
        <f t="shared" si="1"/>
        <v>72.650058680475738</v>
      </c>
      <c r="O10" s="71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  <c r="O12" s="71"/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626380</v>
      </c>
      <c r="I13" s="210">
        <f t="shared" si="4"/>
        <v>0</v>
      </c>
      <c r="J13" s="384">
        <f t="shared" si="4"/>
        <v>626380</v>
      </c>
      <c r="K13" s="210">
        <f t="shared" si="4"/>
        <v>460757</v>
      </c>
      <c r="L13" s="210">
        <f t="shared" si="4"/>
        <v>0</v>
      </c>
      <c r="M13" s="384">
        <f t="shared" si="4"/>
        <v>460757</v>
      </c>
      <c r="N13" s="346">
        <f t="shared" si="1"/>
        <v>73.558702385133628</v>
      </c>
      <c r="O13" s="72"/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601000+1000+7*200*12+14*70+10*2*180+2*6*250</f>
        <v>626380</v>
      </c>
      <c r="I14" s="209">
        <v>0</v>
      </c>
      <c r="J14" s="385">
        <f>SUM(H14:I14)</f>
        <v>626380</v>
      </c>
      <c r="K14" s="209">
        <v>460757</v>
      </c>
      <c r="L14" s="209">
        <v>0</v>
      </c>
      <c r="M14" s="385">
        <f>SUM(K14:L14)</f>
        <v>460757</v>
      </c>
      <c r="N14" s="347">
        <f t="shared" si="1"/>
        <v>73.558702385133628</v>
      </c>
      <c r="O14" s="70"/>
    </row>
    <row r="15" spans="1:16" ht="12.95" customHeight="1">
      <c r="B15" s="10"/>
      <c r="C15" s="11"/>
      <c r="D15" s="11"/>
      <c r="E15" s="306"/>
      <c r="F15" s="332"/>
      <c r="G15" s="18"/>
      <c r="H15" s="280"/>
      <c r="I15" s="280"/>
      <c r="J15" s="386"/>
      <c r="K15" s="280"/>
      <c r="L15" s="280"/>
      <c r="M15" s="386"/>
      <c r="N15" s="347" t="str">
        <f t="shared" si="1"/>
        <v/>
      </c>
      <c r="O15" s="71"/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5">
        <f t="shared" ref="H16:M16" si="5">SUM(H17:H26)</f>
        <v>797400</v>
      </c>
      <c r="I16" s="295">
        <f t="shared" si="5"/>
        <v>0</v>
      </c>
      <c r="J16" s="387">
        <f t="shared" si="5"/>
        <v>797400</v>
      </c>
      <c r="K16" s="295">
        <f t="shared" si="5"/>
        <v>491213</v>
      </c>
      <c r="L16" s="295">
        <f t="shared" si="5"/>
        <v>0</v>
      </c>
      <c r="M16" s="387">
        <f t="shared" si="5"/>
        <v>491213</v>
      </c>
      <c r="N16" s="346">
        <f t="shared" si="1"/>
        <v>61.601830950589417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4">
        <v>12900</v>
      </c>
      <c r="I17" s="364">
        <v>0</v>
      </c>
      <c r="J17" s="385">
        <f t="shared" ref="J17:J26" si="6">SUM(H17:I17)</f>
        <v>12900</v>
      </c>
      <c r="K17" s="364">
        <v>9269</v>
      </c>
      <c r="L17" s="364">
        <v>0</v>
      </c>
      <c r="M17" s="385">
        <f t="shared" ref="M17:M26" si="7">SUM(K17:L17)</f>
        <v>9269</v>
      </c>
      <c r="N17" s="347">
        <f t="shared" si="1"/>
        <v>71.852713178294564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4">
        <v>83000</v>
      </c>
      <c r="I18" s="364">
        <v>0</v>
      </c>
      <c r="J18" s="385">
        <f t="shared" si="6"/>
        <v>83000</v>
      </c>
      <c r="K18" s="364">
        <v>51017</v>
      </c>
      <c r="L18" s="364">
        <v>0</v>
      </c>
      <c r="M18" s="385">
        <f t="shared" si="7"/>
        <v>51017</v>
      </c>
      <c r="N18" s="347">
        <f t="shared" si="1"/>
        <v>61.466265060240964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4">
        <v>92000</v>
      </c>
      <c r="I19" s="364">
        <v>0</v>
      </c>
      <c r="J19" s="385">
        <f t="shared" si="6"/>
        <v>92000</v>
      </c>
      <c r="K19" s="364">
        <v>68397</v>
      </c>
      <c r="L19" s="364">
        <v>0</v>
      </c>
      <c r="M19" s="385">
        <f t="shared" si="7"/>
        <v>68397</v>
      </c>
      <c r="N19" s="347">
        <f t="shared" si="1"/>
        <v>74.344565217391306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200000</v>
      </c>
      <c r="I20" s="364">
        <v>0</v>
      </c>
      <c r="J20" s="385">
        <f t="shared" si="6"/>
        <v>200000</v>
      </c>
      <c r="K20" s="364">
        <v>56164</v>
      </c>
      <c r="L20" s="364">
        <v>0</v>
      </c>
      <c r="M20" s="385">
        <f t="shared" si="7"/>
        <v>56164</v>
      </c>
      <c r="N20" s="347">
        <f t="shared" si="1"/>
        <v>28.082000000000001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100000</v>
      </c>
      <c r="I21" s="364">
        <v>0</v>
      </c>
      <c r="J21" s="385">
        <f t="shared" si="6"/>
        <v>100000</v>
      </c>
      <c r="K21" s="364">
        <v>75316</v>
      </c>
      <c r="L21" s="364">
        <v>0</v>
      </c>
      <c r="M21" s="385">
        <f t="shared" si="7"/>
        <v>75316</v>
      </c>
      <c r="N21" s="347">
        <f t="shared" si="1"/>
        <v>75.316000000000003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33000</v>
      </c>
      <c r="I22" s="364">
        <v>0</v>
      </c>
      <c r="J22" s="385">
        <f t="shared" si="6"/>
        <v>33000</v>
      </c>
      <c r="K22" s="364">
        <v>24250</v>
      </c>
      <c r="L22" s="364">
        <v>0</v>
      </c>
      <c r="M22" s="385">
        <f t="shared" si="7"/>
        <v>24250</v>
      </c>
      <c r="N22" s="347">
        <f t="shared" si="1"/>
        <v>73.484848484848484</v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80000</v>
      </c>
      <c r="I23" s="364">
        <v>0</v>
      </c>
      <c r="J23" s="385">
        <f t="shared" si="6"/>
        <v>80000</v>
      </c>
      <c r="K23" s="364">
        <v>59480</v>
      </c>
      <c r="L23" s="364">
        <v>0</v>
      </c>
      <c r="M23" s="385">
        <f t="shared" si="7"/>
        <v>59480</v>
      </c>
      <c r="N23" s="347">
        <f t="shared" si="1"/>
        <v>74.350000000000009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16500</v>
      </c>
      <c r="I24" s="364">
        <v>0</v>
      </c>
      <c r="J24" s="385">
        <f t="shared" si="6"/>
        <v>16500</v>
      </c>
      <c r="K24" s="364">
        <v>11241</v>
      </c>
      <c r="L24" s="364">
        <v>0</v>
      </c>
      <c r="M24" s="385">
        <f t="shared" si="7"/>
        <v>11241</v>
      </c>
      <c r="N24" s="347">
        <f t="shared" si="1"/>
        <v>68.127272727272725</v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180000</v>
      </c>
      <c r="I25" s="364">
        <v>0</v>
      </c>
      <c r="J25" s="385">
        <f t="shared" si="6"/>
        <v>180000</v>
      </c>
      <c r="K25" s="364">
        <v>136079</v>
      </c>
      <c r="L25" s="364">
        <v>0</v>
      </c>
      <c r="M25" s="385">
        <f t="shared" si="7"/>
        <v>136079</v>
      </c>
      <c r="N25" s="347">
        <f t="shared" si="1"/>
        <v>75.599444444444444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  <c r="O26" s="57"/>
    </row>
    <row r="27" spans="1:15" s="1" customFormat="1" ht="12.95" customHeight="1">
      <c r="A27" s="281"/>
      <c r="B27" s="12"/>
      <c r="C27" s="8"/>
      <c r="D27" s="8"/>
      <c r="E27" s="316"/>
      <c r="F27" s="343"/>
      <c r="G27" s="8"/>
      <c r="H27" s="280"/>
      <c r="I27" s="280"/>
      <c r="J27" s="386"/>
      <c r="K27" s="280"/>
      <c r="L27" s="280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40000</v>
      </c>
      <c r="I28" s="295">
        <f t="shared" si="8"/>
        <v>0</v>
      </c>
      <c r="J28" s="387">
        <f t="shared" si="8"/>
        <v>40000</v>
      </c>
      <c r="K28" s="295">
        <f t="shared" si="8"/>
        <v>283</v>
      </c>
      <c r="L28" s="295">
        <f t="shared" si="8"/>
        <v>0</v>
      </c>
      <c r="M28" s="387">
        <f t="shared" si="8"/>
        <v>283</v>
      </c>
      <c r="N28" s="346">
        <f t="shared" si="1"/>
        <v>0.70750000000000002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40000</v>
      </c>
      <c r="I30" s="280">
        <v>0</v>
      </c>
      <c r="J30" s="385">
        <f t="shared" si="9"/>
        <v>40000</v>
      </c>
      <c r="K30" s="280">
        <v>283</v>
      </c>
      <c r="L30" s="280">
        <v>0</v>
      </c>
      <c r="M30" s="385">
        <f t="shared" si="10"/>
        <v>283</v>
      </c>
      <c r="N30" s="347">
        <f t="shared" si="1"/>
        <v>0.70750000000000002</v>
      </c>
    </row>
    <row r="31" spans="1:15" ht="12.95" customHeight="1">
      <c r="B31" s="10"/>
      <c r="C31" s="11"/>
      <c r="D31" s="11"/>
      <c r="E31" s="306"/>
      <c r="F31" s="332"/>
      <c r="G31" s="11"/>
      <c r="H31" s="288"/>
      <c r="I31" s="288"/>
      <c r="J31" s="387"/>
      <c r="K31" s="288"/>
      <c r="L31" s="288"/>
      <c r="M31" s="387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218</v>
      </c>
      <c r="I32" s="295"/>
      <c r="J32" s="387">
        <v>218</v>
      </c>
      <c r="K32" s="295">
        <v>205</v>
      </c>
      <c r="L32" s="295"/>
      <c r="M32" s="387">
        <v>205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6308670</v>
      </c>
      <c r="I33" s="288">
        <f t="shared" si="11"/>
        <v>0</v>
      </c>
      <c r="J33" s="387">
        <f t="shared" si="11"/>
        <v>6308670</v>
      </c>
      <c r="K33" s="288">
        <f t="shared" si="11"/>
        <v>4529526</v>
      </c>
      <c r="L33" s="288">
        <f t="shared" si="11"/>
        <v>0</v>
      </c>
      <c r="M33" s="387">
        <f t="shared" si="11"/>
        <v>4529526</v>
      </c>
      <c r="N33" s="346">
        <f t="shared" si="1"/>
        <v>71.798429779969482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6308670</v>
      </c>
      <c r="I34" s="288">
        <f t="shared" si="12"/>
        <v>0</v>
      </c>
      <c r="J34" s="387">
        <f t="shared" si="12"/>
        <v>6308670</v>
      </c>
      <c r="K34" s="288">
        <f t="shared" ref="K34:M34" si="13">K33</f>
        <v>4529526</v>
      </c>
      <c r="L34" s="288">
        <f t="shared" si="13"/>
        <v>0</v>
      </c>
      <c r="M34" s="387">
        <f t="shared" si="13"/>
        <v>4529526</v>
      </c>
      <c r="N34" s="346">
        <f t="shared" si="1"/>
        <v>71.798429779969482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6308670</v>
      </c>
      <c r="I35" s="288">
        <f t="shared" si="12"/>
        <v>0</v>
      </c>
      <c r="J35" s="387">
        <f t="shared" si="12"/>
        <v>6308670</v>
      </c>
      <c r="K35" s="288">
        <f t="shared" ref="K35:M35" si="14">K34</f>
        <v>4529526</v>
      </c>
      <c r="L35" s="288">
        <f t="shared" si="14"/>
        <v>0</v>
      </c>
      <c r="M35" s="387">
        <f t="shared" si="14"/>
        <v>4529526</v>
      </c>
      <c r="N35" s="346">
        <f t="shared" si="1"/>
        <v>71.798429779969482</v>
      </c>
    </row>
    <row r="36" spans="1:14" ht="12.95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B42" s="50"/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B43" s="50"/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8" t="s">
        <v>130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131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94470</v>
      </c>
      <c r="I8" s="210">
        <f t="shared" si="0"/>
        <v>0</v>
      </c>
      <c r="J8" s="384">
        <f t="shared" si="0"/>
        <v>94470</v>
      </c>
      <c r="K8" s="210">
        <f t="shared" si="0"/>
        <v>70622</v>
      </c>
      <c r="L8" s="210">
        <f t="shared" si="0"/>
        <v>0</v>
      </c>
      <c r="M8" s="384">
        <f t="shared" si="0"/>
        <v>70622</v>
      </c>
      <c r="N8" s="346">
        <f>IF(J8=0,"",M8/J8*100)</f>
        <v>74.756007198052288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69170+200+1*10*1150</f>
        <v>80870</v>
      </c>
      <c r="I9" s="212">
        <v>0</v>
      </c>
      <c r="J9" s="385">
        <f>SUM(H9:I9)</f>
        <v>80870</v>
      </c>
      <c r="K9" s="212">
        <v>59148</v>
      </c>
      <c r="L9" s="212">
        <v>0</v>
      </c>
      <c r="M9" s="385">
        <f>SUM(K9:L9)</f>
        <v>59148</v>
      </c>
      <c r="N9" s="347">
        <f t="shared" ref="N9:N66" si="1">IF(J9=0,"",M9/J9*100)</f>
        <v>73.139606776307659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10300+150+10*21*15</f>
        <v>13600</v>
      </c>
      <c r="I10" s="212">
        <v>0</v>
      </c>
      <c r="J10" s="385">
        <f t="shared" ref="J10:J11" si="2">SUM(H10:I10)</f>
        <v>13600</v>
      </c>
      <c r="K10" s="212">
        <v>11474</v>
      </c>
      <c r="L10" s="212">
        <v>0</v>
      </c>
      <c r="M10" s="385">
        <f t="shared" ref="M10:M11" si="3">SUM(K10:L10)</f>
        <v>11474</v>
      </c>
      <c r="N10" s="347">
        <f t="shared" si="1"/>
        <v>84.367647058823522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8720</v>
      </c>
      <c r="I13" s="210">
        <f t="shared" si="4"/>
        <v>0</v>
      </c>
      <c r="J13" s="384">
        <f t="shared" si="4"/>
        <v>8720</v>
      </c>
      <c r="K13" s="210">
        <f t="shared" si="4"/>
        <v>6259</v>
      </c>
      <c r="L13" s="210">
        <f t="shared" si="4"/>
        <v>0</v>
      </c>
      <c r="M13" s="384">
        <f t="shared" si="4"/>
        <v>6259</v>
      </c>
      <c r="N13" s="346">
        <f t="shared" si="1"/>
        <v>71.777522935779814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7380+40+1*10*130</f>
        <v>8720</v>
      </c>
      <c r="I14" s="212">
        <v>0</v>
      </c>
      <c r="J14" s="385">
        <f>SUM(H14:I14)</f>
        <v>8720</v>
      </c>
      <c r="K14" s="212">
        <v>6259</v>
      </c>
      <c r="L14" s="212">
        <v>0</v>
      </c>
      <c r="M14" s="385">
        <f>SUM(K14:L14)</f>
        <v>6259</v>
      </c>
      <c r="N14" s="347">
        <f t="shared" si="1"/>
        <v>71.777522935779814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79300</v>
      </c>
      <c r="I16" s="293">
        <f t="shared" si="5"/>
        <v>0</v>
      </c>
      <c r="J16" s="387">
        <f t="shared" si="5"/>
        <v>79300</v>
      </c>
      <c r="K16" s="293">
        <f t="shared" si="5"/>
        <v>40679</v>
      </c>
      <c r="L16" s="293">
        <f t="shared" si="5"/>
        <v>0</v>
      </c>
      <c r="M16" s="387">
        <f t="shared" si="5"/>
        <v>40679</v>
      </c>
      <c r="N16" s="346">
        <f t="shared" si="1"/>
        <v>51.29760403530895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280">
        <v>4500</v>
      </c>
      <c r="I17" s="280">
        <v>0</v>
      </c>
      <c r="J17" s="385">
        <f t="shared" ref="J17:J26" si="6">SUM(H17:I17)</f>
        <v>4500</v>
      </c>
      <c r="K17" s="280">
        <v>3251</v>
      </c>
      <c r="L17" s="280">
        <v>0</v>
      </c>
      <c r="M17" s="385">
        <f t="shared" ref="M17:M26" si="7">SUM(K17:L17)</f>
        <v>3251</v>
      </c>
      <c r="N17" s="347">
        <f t="shared" si="1"/>
        <v>72.24444444444444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280">
        <v>0</v>
      </c>
      <c r="I18" s="280">
        <v>0</v>
      </c>
      <c r="J18" s="385">
        <f t="shared" si="6"/>
        <v>0</v>
      </c>
      <c r="K18" s="280">
        <v>0</v>
      </c>
      <c r="L18" s="280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280">
        <v>2800</v>
      </c>
      <c r="I19" s="280">
        <v>0</v>
      </c>
      <c r="J19" s="385">
        <f t="shared" si="6"/>
        <v>2800</v>
      </c>
      <c r="K19" s="280">
        <v>1621</v>
      </c>
      <c r="L19" s="280">
        <v>0</v>
      </c>
      <c r="M19" s="385">
        <f t="shared" si="7"/>
        <v>1621</v>
      </c>
      <c r="N19" s="347">
        <f t="shared" si="1"/>
        <v>57.892857142857146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280">
        <v>2500</v>
      </c>
      <c r="I20" s="280">
        <v>0</v>
      </c>
      <c r="J20" s="385">
        <f t="shared" si="6"/>
        <v>2500</v>
      </c>
      <c r="K20" s="280">
        <v>2457</v>
      </c>
      <c r="L20" s="280">
        <v>0</v>
      </c>
      <c r="M20" s="385">
        <f t="shared" si="7"/>
        <v>2457</v>
      </c>
      <c r="N20" s="347">
        <f t="shared" si="1"/>
        <v>98.28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280">
        <v>0</v>
      </c>
      <c r="I21" s="280">
        <v>0</v>
      </c>
      <c r="J21" s="385">
        <f t="shared" si="6"/>
        <v>0</v>
      </c>
      <c r="K21" s="280">
        <v>0</v>
      </c>
      <c r="L21" s="280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280">
        <v>0</v>
      </c>
      <c r="I22" s="280">
        <v>0</v>
      </c>
      <c r="J22" s="385">
        <f t="shared" si="6"/>
        <v>0</v>
      </c>
      <c r="K22" s="280">
        <v>0</v>
      </c>
      <c r="L22" s="280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280">
        <v>1000</v>
      </c>
      <c r="I23" s="280">
        <v>0</v>
      </c>
      <c r="J23" s="385">
        <f t="shared" si="6"/>
        <v>1000</v>
      </c>
      <c r="K23" s="280">
        <v>591</v>
      </c>
      <c r="L23" s="280">
        <v>0</v>
      </c>
      <c r="M23" s="385">
        <f t="shared" si="7"/>
        <v>591</v>
      </c>
      <c r="N23" s="347">
        <f t="shared" si="1"/>
        <v>59.099999999999994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280">
        <v>0</v>
      </c>
      <c r="I24" s="280">
        <v>0</v>
      </c>
      <c r="J24" s="385">
        <f t="shared" si="6"/>
        <v>0</v>
      </c>
      <c r="K24" s="280">
        <v>0</v>
      </c>
      <c r="L24" s="280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280">
        <v>68500</v>
      </c>
      <c r="I25" s="280">
        <v>0</v>
      </c>
      <c r="J25" s="385">
        <f t="shared" si="6"/>
        <v>68500</v>
      </c>
      <c r="K25" s="280">
        <v>32759</v>
      </c>
      <c r="L25" s="280">
        <v>0</v>
      </c>
      <c r="M25" s="385">
        <f t="shared" si="7"/>
        <v>32759</v>
      </c>
      <c r="N25" s="347">
        <f t="shared" si="1"/>
        <v>47.823357664233576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87">
        <v>0</v>
      </c>
      <c r="I26" s="87">
        <v>0</v>
      </c>
      <c r="J26" s="385">
        <f t="shared" si="6"/>
        <v>0</v>
      </c>
      <c r="K26" s="87">
        <v>0</v>
      </c>
      <c r="L26" s="87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16"/>
      <c r="F27" s="343"/>
      <c r="G27" s="8"/>
      <c r="H27" s="291"/>
      <c r="I27" s="291"/>
      <c r="J27" s="386"/>
      <c r="K27" s="291"/>
      <c r="L27" s="291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SUM(H29:H30)</f>
        <v>0</v>
      </c>
      <c r="I28" s="288">
        <f t="shared" si="8"/>
        <v>0</v>
      </c>
      <c r="J28" s="387">
        <f t="shared" si="8"/>
        <v>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6" t="str">
        <f t="shared" si="1"/>
        <v/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1">
        <v>0</v>
      </c>
      <c r="I29" s="291">
        <v>0</v>
      </c>
      <c r="J29" s="385">
        <f t="shared" ref="J29:J30" si="9">SUM(H29:I29)</f>
        <v>0</v>
      </c>
      <c r="K29" s="291">
        <v>0</v>
      </c>
      <c r="L29" s="291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1">
        <v>0</v>
      </c>
      <c r="I30" s="291">
        <v>0</v>
      </c>
      <c r="J30" s="385">
        <f t="shared" si="9"/>
        <v>0</v>
      </c>
      <c r="K30" s="291">
        <v>0</v>
      </c>
      <c r="L30" s="291">
        <v>0</v>
      </c>
      <c r="M30" s="385">
        <f t="shared" si="10"/>
        <v>0</v>
      </c>
      <c r="N30" s="347" t="str">
        <f t="shared" si="1"/>
        <v/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4</v>
      </c>
      <c r="I32" s="288"/>
      <c r="J32" s="387">
        <v>4</v>
      </c>
      <c r="K32" s="295">
        <v>4</v>
      </c>
      <c r="L32" s="288"/>
      <c r="M32" s="387">
        <v>4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182490</v>
      </c>
      <c r="I33" s="288">
        <f t="shared" si="11"/>
        <v>0</v>
      </c>
      <c r="J33" s="387">
        <f t="shared" si="11"/>
        <v>182490</v>
      </c>
      <c r="K33" s="288">
        <f t="shared" si="11"/>
        <v>117560</v>
      </c>
      <c r="L33" s="288">
        <f t="shared" si="11"/>
        <v>0</v>
      </c>
      <c r="M33" s="387">
        <f t="shared" si="11"/>
        <v>117560</v>
      </c>
      <c r="N33" s="346">
        <f t="shared" si="1"/>
        <v>64.419968217436576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R96"/>
  <sheetViews>
    <sheetView zoomScaleNormal="100" workbookViewId="0">
      <selection activeCell="M34" sqref="M34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8" ht="13.5" thickBot="1"/>
    <row r="2" spans="1:18" s="376" customFormat="1" ht="20.100000000000001" customHeight="1" thickTop="1" thickBot="1">
      <c r="B2" s="598" t="s">
        <v>195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8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8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8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8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8" s="2" customFormat="1" ht="12.95" customHeight="1">
      <c r="A7" s="282"/>
      <c r="B7" s="6" t="s">
        <v>131</v>
      </c>
      <c r="C7" s="7" t="s">
        <v>132</v>
      </c>
      <c r="D7" s="7" t="s">
        <v>124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8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22">
        <f t="shared" ref="H8:M8" si="0">SUM(H9:H12)</f>
        <v>1148430</v>
      </c>
      <c r="I8" s="222">
        <f t="shared" si="0"/>
        <v>0</v>
      </c>
      <c r="J8" s="384">
        <f t="shared" si="0"/>
        <v>1148430</v>
      </c>
      <c r="K8" s="222">
        <f t="shared" si="0"/>
        <v>855089</v>
      </c>
      <c r="L8" s="222">
        <f t="shared" si="0"/>
        <v>0</v>
      </c>
      <c r="M8" s="384">
        <f t="shared" si="0"/>
        <v>855089</v>
      </c>
      <c r="N8" s="346">
        <f>IF(J8=0,"",M8/J8*100)</f>
        <v>74.457215502903964</v>
      </c>
    </row>
    <row r="9" spans="1:18" ht="12.95" customHeight="1">
      <c r="B9" s="10"/>
      <c r="C9" s="11"/>
      <c r="D9" s="11"/>
      <c r="E9" s="306">
        <v>611100</v>
      </c>
      <c r="F9" s="332"/>
      <c r="G9" s="18" t="s">
        <v>198</v>
      </c>
      <c r="H9" s="224">
        <f>965330+2800+6*500</f>
        <v>971130</v>
      </c>
      <c r="I9" s="224">
        <v>0</v>
      </c>
      <c r="J9" s="385">
        <f>SUM(H9:I9)</f>
        <v>971130</v>
      </c>
      <c r="K9" s="224">
        <v>732473</v>
      </c>
      <c r="L9" s="224">
        <v>0</v>
      </c>
      <c r="M9" s="385">
        <f>SUM(K9:L9)</f>
        <v>732473</v>
      </c>
      <c r="N9" s="347">
        <f t="shared" ref="N9:N66" si="1">IF(J9=0,"",M9/J9*100)</f>
        <v>75.424814391482087</v>
      </c>
    </row>
    <row r="10" spans="1:18" ht="12.95" customHeight="1">
      <c r="B10" s="10"/>
      <c r="C10" s="11"/>
      <c r="D10" s="11"/>
      <c r="E10" s="306">
        <v>611200</v>
      </c>
      <c r="F10" s="332"/>
      <c r="G10" s="11" t="s">
        <v>199</v>
      </c>
      <c r="H10" s="224">
        <f>170200+1700+6*900</f>
        <v>177300</v>
      </c>
      <c r="I10" s="224">
        <v>0</v>
      </c>
      <c r="J10" s="385">
        <f t="shared" ref="J10:J11" si="2">SUM(H10:I10)</f>
        <v>177300</v>
      </c>
      <c r="K10" s="224">
        <v>122616</v>
      </c>
      <c r="L10" s="224">
        <v>0</v>
      </c>
      <c r="M10" s="385">
        <f t="shared" ref="M10:M11" si="3">SUM(K10:L10)</f>
        <v>122616</v>
      </c>
      <c r="N10" s="347">
        <f t="shared" si="1"/>
        <v>69.157360406091371</v>
      </c>
    </row>
    <row r="11" spans="1:18" ht="12.95" customHeight="1">
      <c r="B11" s="10"/>
      <c r="C11" s="11"/>
      <c r="D11" s="11"/>
      <c r="E11" s="306">
        <v>611200</v>
      </c>
      <c r="F11" s="332"/>
      <c r="G11" s="189" t="s">
        <v>534</v>
      </c>
      <c r="H11" s="223">
        <v>0</v>
      </c>
      <c r="I11" s="223">
        <v>0</v>
      </c>
      <c r="J11" s="385">
        <f t="shared" si="2"/>
        <v>0</v>
      </c>
      <c r="K11" s="223">
        <v>0</v>
      </c>
      <c r="L11" s="223">
        <v>0</v>
      </c>
      <c r="M11" s="385">
        <f t="shared" si="3"/>
        <v>0</v>
      </c>
      <c r="N11" s="347" t="str">
        <f t="shared" si="1"/>
        <v/>
      </c>
      <c r="P11" s="56"/>
    </row>
    <row r="12" spans="1:18" ht="12.95" customHeight="1">
      <c r="B12" s="10"/>
      <c r="C12" s="11"/>
      <c r="D12" s="11"/>
      <c r="E12" s="306"/>
      <c r="F12" s="332"/>
      <c r="G12" s="18"/>
      <c r="H12" s="224"/>
      <c r="I12" s="224"/>
      <c r="J12" s="385"/>
      <c r="K12" s="224"/>
      <c r="L12" s="224"/>
      <c r="M12" s="385"/>
      <c r="N12" s="347" t="str">
        <f t="shared" si="1"/>
        <v/>
      </c>
    </row>
    <row r="13" spans="1:18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22">
        <f t="shared" ref="H13:M13" si="4">H14</f>
        <v>105400</v>
      </c>
      <c r="I13" s="222">
        <f t="shared" si="4"/>
        <v>0</v>
      </c>
      <c r="J13" s="384">
        <f t="shared" si="4"/>
        <v>105400</v>
      </c>
      <c r="K13" s="222">
        <f t="shared" si="4"/>
        <v>78674</v>
      </c>
      <c r="L13" s="222">
        <f t="shared" si="4"/>
        <v>0</v>
      </c>
      <c r="M13" s="384">
        <f t="shared" si="4"/>
        <v>78674</v>
      </c>
      <c r="N13" s="346">
        <f t="shared" si="1"/>
        <v>74.643263757115747</v>
      </c>
    </row>
    <row r="14" spans="1:18" ht="12.95" customHeight="1">
      <c r="B14" s="10"/>
      <c r="C14" s="11"/>
      <c r="D14" s="11"/>
      <c r="E14" s="306">
        <v>612100</v>
      </c>
      <c r="F14" s="332"/>
      <c r="G14" s="13" t="s">
        <v>83</v>
      </c>
      <c r="H14" s="224">
        <f>104480+500+6*70</f>
        <v>105400</v>
      </c>
      <c r="I14" s="224">
        <v>0</v>
      </c>
      <c r="J14" s="385">
        <f>SUM(H14:I14)</f>
        <v>105400</v>
      </c>
      <c r="K14" s="224">
        <v>78674</v>
      </c>
      <c r="L14" s="224">
        <v>0</v>
      </c>
      <c r="M14" s="385">
        <f>SUM(K14:L14)</f>
        <v>78674</v>
      </c>
      <c r="N14" s="347">
        <f t="shared" si="1"/>
        <v>74.643263757115747</v>
      </c>
    </row>
    <row r="15" spans="1:18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  <c r="R15" s="57"/>
    </row>
    <row r="16" spans="1:18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323300</v>
      </c>
      <c r="I16" s="293">
        <f t="shared" si="5"/>
        <v>0</v>
      </c>
      <c r="J16" s="387">
        <f t="shared" si="5"/>
        <v>323300</v>
      </c>
      <c r="K16" s="293">
        <f t="shared" si="5"/>
        <v>159019</v>
      </c>
      <c r="L16" s="293">
        <f t="shared" si="5"/>
        <v>0</v>
      </c>
      <c r="M16" s="387">
        <f t="shared" si="5"/>
        <v>159019</v>
      </c>
      <c r="N16" s="346">
        <f t="shared" si="1"/>
        <v>49.186204763377667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6500</v>
      </c>
      <c r="I17" s="363">
        <v>0</v>
      </c>
      <c r="J17" s="385">
        <f t="shared" ref="J17:J26" si="6">SUM(H17:I17)</f>
        <v>6500</v>
      </c>
      <c r="K17" s="363">
        <v>2731</v>
      </c>
      <c r="L17" s="363">
        <v>0</v>
      </c>
      <c r="M17" s="385">
        <f t="shared" ref="M17:M26" si="7">SUM(K17:L17)</f>
        <v>2731</v>
      </c>
      <c r="N17" s="347">
        <f t="shared" si="1"/>
        <v>42.015384615384619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18000</v>
      </c>
      <c r="I18" s="363">
        <v>0</v>
      </c>
      <c r="J18" s="385">
        <f t="shared" si="6"/>
        <v>18000</v>
      </c>
      <c r="K18" s="363">
        <v>11257</v>
      </c>
      <c r="L18" s="363">
        <v>0</v>
      </c>
      <c r="M18" s="385">
        <f t="shared" si="7"/>
        <v>11257</v>
      </c>
      <c r="N18" s="347">
        <f t="shared" si="1"/>
        <v>62.538888888888891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125000</v>
      </c>
      <c r="I19" s="363">
        <v>0</v>
      </c>
      <c r="J19" s="385">
        <f t="shared" si="6"/>
        <v>125000</v>
      </c>
      <c r="K19" s="363">
        <v>61410</v>
      </c>
      <c r="L19" s="363">
        <v>0</v>
      </c>
      <c r="M19" s="385">
        <f t="shared" si="7"/>
        <v>61410</v>
      </c>
      <c r="N19" s="347">
        <f t="shared" si="1"/>
        <v>49.128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35000</v>
      </c>
      <c r="I20" s="365">
        <v>0</v>
      </c>
      <c r="J20" s="385">
        <f t="shared" si="6"/>
        <v>35000</v>
      </c>
      <c r="K20" s="365">
        <v>25002</v>
      </c>
      <c r="L20" s="365">
        <v>0</v>
      </c>
      <c r="M20" s="385">
        <f t="shared" si="7"/>
        <v>25002</v>
      </c>
      <c r="N20" s="347">
        <f t="shared" si="1"/>
        <v>71.434285714285721</v>
      </c>
      <c r="O20" s="50"/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15000</v>
      </c>
      <c r="I21" s="363">
        <v>0</v>
      </c>
      <c r="J21" s="385">
        <f t="shared" si="6"/>
        <v>15000</v>
      </c>
      <c r="K21" s="363">
        <v>8957</v>
      </c>
      <c r="L21" s="363">
        <v>0</v>
      </c>
      <c r="M21" s="385">
        <f t="shared" si="7"/>
        <v>8957</v>
      </c>
      <c r="N21" s="347">
        <f t="shared" si="1"/>
        <v>59.713333333333331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10800</v>
      </c>
      <c r="I23" s="365">
        <v>0</v>
      </c>
      <c r="J23" s="385">
        <f t="shared" si="6"/>
        <v>10800</v>
      </c>
      <c r="K23" s="365">
        <v>4328</v>
      </c>
      <c r="L23" s="365">
        <v>0</v>
      </c>
      <c r="M23" s="385">
        <f t="shared" si="7"/>
        <v>4328</v>
      </c>
      <c r="N23" s="347">
        <f t="shared" si="1"/>
        <v>40.074074074074076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3000</v>
      </c>
      <c r="I24" s="365">
        <v>0</v>
      </c>
      <c r="J24" s="385">
        <f t="shared" si="6"/>
        <v>3000</v>
      </c>
      <c r="K24" s="365">
        <v>1853</v>
      </c>
      <c r="L24" s="365">
        <v>0</v>
      </c>
      <c r="M24" s="385">
        <f t="shared" si="7"/>
        <v>1853</v>
      </c>
      <c r="N24" s="347">
        <f t="shared" si="1"/>
        <v>61.766666666666673</v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110000</v>
      </c>
      <c r="I25" s="365">
        <v>0</v>
      </c>
      <c r="J25" s="385">
        <f t="shared" si="6"/>
        <v>110000</v>
      </c>
      <c r="K25" s="365">
        <v>43481</v>
      </c>
      <c r="L25" s="365">
        <v>0</v>
      </c>
      <c r="M25" s="385">
        <f t="shared" si="7"/>
        <v>43481</v>
      </c>
      <c r="N25" s="347">
        <f t="shared" si="1"/>
        <v>39.528181818181821</v>
      </c>
      <c r="O25" s="68"/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16"/>
      <c r="F27" s="343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5" ht="12.95" customHeight="1">
      <c r="B28" s="10"/>
      <c r="C28" s="11"/>
      <c r="D28" s="11"/>
      <c r="E28" s="306"/>
      <c r="F28" s="332"/>
      <c r="G28" s="11"/>
      <c r="H28" s="295"/>
      <c r="I28" s="295"/>
      <c r="J28" s="387"/>
      <c r="K28" s="295"/>
      <c r="L28" s="295"/>
      <c r="M28" s="387"/>
      <c r="N28" s="347" t="str">
        <f t="shared" si="1"/>
        <v/>
      </c>
    </row>
    <row r="29" spans="1:15" s="1" customFormat="1" ht="12.95" customHeight="1">
      <c r="A29" s="281"/>
      <c r="B29" s="12"/>
      <c r="C29" s="8"/>
      <c r="D29" s="8"/>
      <c r="E29" s="305">
        <v>821000</v>
      </c>
      <c r="F29" s="331"/>
      <c r="G29" s="8" t="s">
        <v>90</v>
      </c>
      <c r="H29" s="295">
        <f t="shared" ref="H29:M29" si="8">H30+H31</f>
        <v>25000</v>
      </c>
      <c r="I29" s="295">
        <f t="shared" si="8"/>
        <v>0</v>
      </c>
      <c r="J29" s="387">
        <f t="shared" si="8"/>
        <v>25000</v>
      </c>
      <c r="K29" s="295">
        <f t="shared" si="8"/>
        <v>22903</v>
      </c>
      <c r="L29" s="295">
        <f t="shared" si="8"/>
        <v>0</v>
      </c>
      <c r="M29" s="387">
        <f t="shared" si="8"/>
        <v>22903</v>
      </c>
      <c r="N29" s="346">
        <f t="shared" si="1"/>
        <v>91.612000000000009</v>
      </c>
    </row>
    <row r="30" spans="1:15" ht="12.95" customHeight="1">
      <c r="B30" s="10"/>
      <c r="C30" s="11"/>
      <c r="D30" s="11"/>
      <c r="E30" s="306">
        <v>821200</v>
      </c>
      <c r="F30" s="332"/>
      <c r="G30" s="11" t="s">
        <v>91</v>
      </c>
      <c r="H30" s="296">
        <v>0</v>
      </c>
      <c r="I30" s="296">
        <v>0</v>
      </c>
      <c r="J30" s="385">
        <f t="shared" ref="J30:J31" si="9">SUM(H30:I30)</f>
        <v>0</v>
      </c>
      <c r="K30" s="296">
        <v>0</v>
      </c>
      <c r="L30" s="296">
        <v>0</v>
      </c>
      <c r="M30" s="385">
        <f t="shared" ref="M30:M31" si="10">SUM(K30:L30)</f>
        <v>0</v>
      </c>
      <c r="N30" s="347" t="str">
        <f t="shared" si="1"/>
        <v/>
      </c>
    </row>
    <row r="31" spans="1:15" ht="12.95" customHeight="1">
      <c r="B31" s="10"/>
      <c r="C31" s="11"/>
      <c r="D31" s="11"/>
      <c r="E31" s="306">
        <v>821300</v>
      </c>
      <c r="F31" s="332"/>
      <c r="G31" s="11" t="s">
        <v>92</v>
      </c>
      <c r="H31" s="296">
        <v>25000</v>
      </c>
      <c r="I31" s="296">
        <v>0</v>
      </c>
      <c r="J31" s="385">
        <f t="shared" si="9"/>
        <v>25000</v>
      </c>
      <c r="K31" s="296">
        <v>22903</v>
      </c>
      <c r="L31" s="296">
        <v>0</v>
      </c>
      <c r="M31" s="385">
        <f t="shared" si="10"/>
        <v>22903</v>
      </c>
      <c r="N31" s="347">
        <f t="shared" si="1"/>
        <v>91.612000000000009</v>
      </c>
    </row>
    <row r="32" spans="1:15" ht="12.95" customHeight="1">
      <c r="B32" s="10"/>
      <c r="C32" s="11"/>
      <c r="D32" s="11"/>
      <c r="E32" s="306"/>
      <c r="F32" s="332"/>
      <c r="G32" s="11"/>
      <c r="H32" s="291"/>
      <c r="I32" s="291"/>
      <c r="J32" s="386"/>
      <c r="K32" s="291"/>
      <c r="L32" s="291"/>
      <c r="M32" s="386"/>
      <c r="N32" s="347" t="str">
        <f t="shared" si="1"/>
        <v/>
      </c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93</v>
      </c>
      <c r="H33" s="297">
        <v>44</v>
      </c>
      <c r="I33" s="297"/>
      <c r="J33" s="389">
        <v>44</v>
      </c>
      <c r="K33" s="297">
        <v>42</v>
      </c>
      <c r="L33" s="297"/>
      <c r="M33" s="389">
        <v>42</v>
      </c>
      <c r="N33" s="347"/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113</v>
      </c>
      <c r="H34" s="288">
        <f t="shared" ref="H34:M34" si="11">H8+H13+H16+H29</f>
        <v>1602130</v>
      </c>
      <c r="I34" s="288">
        <f t="shared" si="11"/>
        <v>0</v>
      </c>
      <c r="J34" s="387">
        <f t="shared" si="11"/>
        <v>1602130</v>
      </c>
      <c r="K34" s="288">
        <f t="shared" si="11"/>
        <v>1115685</v>
      </c>
      <c r="L34" s="288">
        <f t="shared" si="11"/>
        <v>0</v>
      </c>
      <c r="M34" s="387">
        <f t="shared" si="11"/>
        <v>1115685</v>
      </c>
      <c r="N34" s="346">
        <f t="shared" si="1"/>
        <v>69.637607435102026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94</v>
      </c>
      <c r="H35" s="288">
        <f t="shared" ref="H35:M35" si="12">H34</f>
        <v>1602130</v>
      </c>
      <c r="I35" s="288">
        <f t="shared" si="12"/>
        <v>0</v>
      </c>
      <c r="J35" s="387">
        <f t="shared" si="12"/>
        <v>1602130</v>
      </c>
      <c r="K35" s="288">
        <f t="shared" si="12"/>
        <v>1115685</v>
      </c>
      <c r="L35" s="288">
        <f t="shared" si="12"/>
        <v>0</v>
      </c>
      <c r="M35" s="387">
        <f t="shared" si="12"/>
        <v>1115685</v>
      </c>
      <c r="N35" s="346">
        <f t="shared" si="1"/>
        <v>69.637607435102026</v>
      </c>
    </row>
    <row r="36" spans="1:14" s="1" customFormat="1" ht="12.95" customHeight="1">
      <c r="A36" s="281"/>
      <c r="B36" s="12"/>
      <c r="C36" s="8"/>
      <c r="D36" s="8"/>
      <c r="E36" s="305"/>
      <c r="F36" s="331"/>
      <c r="G36" s="8" t="s">
        <v>95</v>
      </c>
      <c r="H36" s="279"/>
      <c r="I36" s="279"/>
      <c r="J36" s="386"/>
      <c r="K36" s="279"/>
      <c r="L36" s="279"/>
      <c r="M36" s="386"/>
      <c r="N36" s="348" t="str">
        <f t="shared" si="1"/>
        <v/>
      </c>
    </row>
    <row r="37" spans="1:14" ht="12.95" customHeight="1" thickBot="1">
      <c r="B37" s="15"/>
      <c r="C37" s="16"/>
      <c r="D37" s="16"/>
      <c r="E37" s="307"/>
      <c r="F37" s="333"/>
      <c r="G37" s="16"/>
      <c r="H37" s="27"/>
      <c r="I37" s="27"/>
      <c r="J37" s="390"/>
      <c r="K37" s="27"/>
      <c r="L37" s="27"/>
      <c r="M37" s="390"/>
      <c r="N37" s="349" t="str">
        <f t="shared" si="1"/>
        <v/>
      </c>
    </row>
    <row r="38" spans="1:14" ht="12.95" customHeight="1"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P96"/>
  <sheetViews>
    <sheetView zoomScaleNormal="100" workbookViewId="0">
      <selection activeCell="J42" sqref="J42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8" t="s">
        <v>217</v>
      </c>
      <c r="C2" s="599"/>
      <c r="D2" s="599"/>
      <c r="E2" s="599"/>
      <c r="F2" s="599"/>
      <c r="G2" s="599"/>
      <c r="H2" s="618"/>
      <c r="I2" s="618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131</v>
      </c>
      <c r="C7" s="7" t="s">
        <v>133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43660</v>
      </c>
      <c r="I8" s="210">
        <f t="shared" si="0"/>
        <v>0</v>
      </c>
      <c r="J8" s="384">
        <f t="shared" si="0"/>
        <v>43660</v>
      </c>
      <c r="K8" s="210">
        <f t="shared" si="0"/>
        <v>24458</v>
      </c>
      <c r="L8" s="210">
        <f t="shared" si="0"/>
        <v>0</v>
      </c>
      <c r="M8" s="384">
        <f t="shared" si="0"/>
        <v>24458</v>
      </c>
      <c r="N8" s="346">
        <f>IF(J8=0,"",M8/J8*100)</f>
        <v>56.01923957856161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28970+100+1*9*950</f>
        <v>37620</v>
      </c>
      <c r="I9" s="212">
        <v>0</v>
      </c>
      <c r="J9" s="385">
        <f>SUM(H9:I9)</f>
        <v>37620</v>
      </c>
      <c r="K9" s="212">
        <v>21706</v>
      </c>
      <c r="L9" s="212">
        <v>0</v>
      </c>
      <c r="M9" s="385">
        <f>SUM(K9:L9)</f>
        <v>21706</v>
      </c>
      <c r="N9" s="347">
        <f t="shared" ref="N9:N66" si="1">IF(J9=0,"",M9/J9*100)</f>
        <v>57.698032961190862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3670+80+9*21*10+400</f>
        <v>6040</v>
      </c>
      <c r="I10" s="212">
        <v>0</v>
      </c>
      <c r="J10" s="385">
        <f t="shared" ref="J10:J11" si="2">SUM(H10:I10)</f>
        <v>6040</v>
      </c>
      <c r="K10" s="212">
        <v>2752</v>
      </c>
      <c r="L10" s="212">
        <v>0</v>
      </c>
      <c r="M10" s="385">
        <f t="shared" ref="M10:M11" si="3">SUM(K10:L10)</f>
        <v>2752</v>
      </c>
      <c r="N10" s="347">
        <f t="shared" si="1"/>
        <v>45.562913907284766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4130</v>
      </c>
      <c r="I13" s="210">
        <f t="shared" si="4"/>
        <v>0</v>
      </c>
      <c r="J13" s="384">
        <f t="shared" si="4"/>
        <v>4130</v>
      </c>
      <c r="K13" s="210">
        <f t="shared" si="4"/>
        <v>2293</v>
      </c>
      <c r="L13" s="210">
        <f t="shared" si="4"/>
        <v>0</v>
      </c>
      <c r="M13" s="384">
        <f t="shared" si="4"/>
        <v>2293</v>
      </c>
      <c r="N13" s="346">
        <f t="shared" si="1"/>
        <v>55.520581113801448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3100+40+1*9*110</f>
        <v>4130</v>
      </c>
      <c r="I14" s="212">
        <v>0</v>
      </c>
      <c r="J14" s="385">
        <f>SUM(H14:I14)</f>
        <v>4130</v>
      </c>
      <c r="K14" s="212">
        <v>2293</v>
      </c>
      <c r="L14" s="212">
        <v>0</v>
      </c>
      <c r="M14" s="385">
        <f>SUM(K14:L14)</f>
        <v>2293</v>
      </c>
      <c r="N14" s="347">
        <f t="shared" si="1"/>
        <v>55.520581113801448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L16" si="5">SUM(H17:H26)</f>
        <v>4200</v>
      </c>
      <c r="I16" s="293">
        <f t="shared" si="5"/>
        <v>0</v>
      </c>
      <c r="J16" s="387">
        <f t="shared" si="5"/>
        <v>4200</v>
      </c>
      <c r="K16" s="293">
        <f t="shared" si="5"/>
        <v>1734</v>
      </c>
      <c r="L16" s="293">
        <f t="shared" si="5"/>
        <v>0</v>
      </c>
      <c r="M16" s="387">
        <f>SUM(M17:M26)</f>
        <v>1734</v>
      </c>
      <c r="N16" s="347">
        <f t="shared" si="1"/>
        <v>41.285714285714285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500</v>
      </c>
      <c r="I17" s="363">
        <v>0</v>
      </c>
      <c r="J17" s="385">
        <f t="shared" ref="J17:J26" si="6">SUM(H17:I17)</f>
        <v>500</v>
      </c>
      <c r="K17" s="363">
        <v>0</v>
      </c>
      <c r="L17" s="363">
        <v>0</v>
      </c>
      <c r="M17" s="385">
        <f>SUM(K17:L17)</f>
        <v>0</v>
      </c>
      <c r="N17" s="347">
        <f>IF(J17=0,"",M17/J17*100)</f>
        <v>0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0</v>
      </c>
      <c r="I18" s="363">
        <v>0</v>
      </c>
      <c r="J18" s="385">
        <f t="shared" si="6"/>
        <v>0</v>
      </c>
      <c r="K18" s="363">
        <v>0</v>
      </c>
      <c r="L18" s="363">
        <v>0</v>
      </c>
      <c r="M18" s="385">
        <f t="shared" ref="M18:M26" si="7">SUM(K18:L18)</f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1000</v>
      </c>
      <c r="I19" s="363">
        <v>0</v>
      </c>
      <c r="J19" s="385">
        <f t="shared" si="6"/>
        <v>1000</v>
      </c>
      <c r="K19" s="363">
        <v>460</v>
      </c>
      <c r="L19" s="363">
        <v>0</v>
      </c>
      <c r="M19" s="385">
        <f t="shared" si="7"/>
        <v>460</v>
      </c>
      <c r="N19" s="347">
        <f t="shared" si="1"/>
        <v>46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1000</v>
      </c>
      <c r="I20" s="363">
        <v>0</v>
      </c>
      <c r="J20" s="385">
        <f t="shared" si="6"/>
        <v>1000</v>
      </c>
      <c r="K20" s="363">
        <v>318</v>
      </c>
      <c r="L20" s="363">
        <v>0</v>
      </c>
      <c r="M20" s="385">
        <f t="shared" si="7"/>
        <v>318</v>
      </c>
      <c r="N20" s="347">
        <f t="shared" si="1"/>
        <v>31.8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0</v>
      </c>
      <c r="I21" s="363">
        <v>0</v>
      </c>
      <c r="J21" s="385">
        <f t="shared" si="6"/>
        <v>0</v>
      </c>
      <c r="K21" s="363">
        <v>0</v>
      </c>
      <c r="L21" s="363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0</v>
      </c>
      <c r="I23" s="363">
        <v>0</v>
      </c>
      <c r="J23" s="385">
        <f t="shared" si="6"/>
        <v>0</v>
      </c>
      <c r="K23" s="363">
        <v>0</v>
      </c>
      <c r="L23" s="363">
        <v>0</v>
      </c>
      <c r="M23" s="385">
        <f t="shared" si="7"/>
        <v>0</v>
      </c>
      <c r="N23" s="347" t="str">
        <f t="shared" si="1"/>
        <v/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3">
        <v>0</v>
      </c>
      <c r="I24" s="363">
        <v>0</v>
      </c>
      <c r="J24" s="385">
        <f t="shared" si="6"/>
        <v>0</v>
      </c>
      <c r="K24" s="363">
        <v>0</v>
      </c>
      <c r="L24" s="363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3">
        <v>1700</v>
      </c>
      <c r="I25" s="363">
        <v>0</v>
      </c>
      <c r="J25" s="385">
        <f t="shared" si="6"/>
        <v>1700</v>
      </c>
      <c r="K25" s="363">
        <v>956</v>
      </c>
      <c r="L25" s="363">
        <v>0</v>
      </c>
      <c r="M25" s="385">
        <f t="shared" si="7"/>
        <v>956</v>
      </c>
      <c r="N25" s="347">
        <f t="shared" si="1"/>
        <v>56.235294117647058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3">
        <v>0</v>
      </c>
      <c r="I26" s="363">
        <v>0</v>
      </c>
      <c r="J26" s="385">
        <f t="shared" si="6"/>
        <v>0</v>
      </c>
      <c r="K26" s="363">
        <v>0</v>
      </c>
      <c r="L26" s="363">
        <v>0</v>
      </c>
      <c r="M26" s="385">
        <f t="shared" si="7"/>
        <v>0</v>
      </c>
      <c r="N26" s="347" t="str">
        <f>IF(J26=0,"",M26/J26*100)</f>
        <v/>
      </c>
    </row>
    <row r="27" spans="1:14" s="1" customFormat="1" ht="12.95" customHeight="1">
      <c r="A27" s="281"/>
      <c r="B27" s="12"/>
      <c r="C27" s="8"/>
      <c r="D27" s="8"/>
      <c r="E27" s="316"/>
      <c r="F27" s="343"/>
      <c r="G27" s="8"/>
      <c r="H27" s="363"/>
      <c r="I27" s="363"/>
      <c r="J27" s="388"/>
      <c r="K27" s="363"/>
      <c r="L27" s="363"/>
      <c r="M27" s="388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I28" si="8">SUM(H29:H30)</f>
        <v>3000</v>
      </c>
      <c r="I28" s="288">
        <f t="shared" si="8"/>
        <v>0</v>
      </c>
      <c r="J28" s="398">
        <f>SUM(J29:J30)</f>
        <v>3000</v>
      </c>
      <c r="K28" s="288">
        <f t="shared" ref="K28:L28" si="9">SUM(K29:K30)</f>
        <v>0</v>
      </c>
      <c r="L28" s="288">
        <f t="shared" si="9"/>
        <v>0</v>
      </c>
      <c r="M28" s="398">
        <f>SUM(M29:M30)</f>
        <v>0</v>
      </c>
      <c r="N28" s="346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363">
        <v>0</v>
      </c>
      <c r="I29" s="363">
        <v>0</v>
      </c>
      <c r="J29" s="385">
        <f t="shared" ref="J29:J30" si="10">SUM(H29:I29)</f>
        <v>0</v>
      </c>
      <c r="K29" s="363">
        <v>0</v>
      </c>
      <c r="L29" s="363">
        <v>0</v>
      </c>
      <c r="M29" s="385">
        <f t="shared" ref="M29:M30" si="11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365">
        <v>3000</v>
      </c>
      <c r="I30" s="365">
        <v>0</v>
      </c>
      <c r="J30" s="385">
        <f t="shared" si="10"/>
        <v>3000</v>
      </c>
      <c r="K30" s="365">
        <v>0</v>
      </c>
      <c r="L30" s="365">
        <v>0</v>
      </c>
      <c r="M30" s="385">
        <f t="shared" si="11"/>
        <v>0</v>
      </c>
      <c r="N30" s="347">
        <f t="shared" si="1"/>
        <v>0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2</v>
      </c>
      <c r="I32" s="295"/>
      <c r="J32" s="387">
        <v>2</v>
      </c>
      <c r="K32" s="295">
        <v>1</v>
      </c>
      <c r="L32" s="295"/>
      <c r="M32" s="387">
        <v>1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2">H8+H13+H16+H28</f>
        <v>54990</v>
      </c>
      <c r="I33" s="288">
        <f t="shared" si="12"/>
        <v>0</v>
      </c>
      <c r="J33" s="387">
        <f t="shared" si="12"/>
        <v>54990</v>
      </c>
      <c r="K33" s="288">
        <f t="shared" si="12"/>
        <v>28485</v>
      </c>
      <c r="L33" s="288">
        <f t="shared" si="12"/>
        <v>0</v>
      </c>
      <c r="M33" s="387">
        <f t="shared" si="12"/>
        <v>28485</v>
      </c>
      <c r="N33" s="346">
        <f t="shared" si="1"/>
        <v>51.800327332242226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6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I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216</v>
      </c>
      <c r="C2" s="599"/>
      <c r="D2" s="599"/>
      <c r="E2" s="599"/>
      <c r="F2" s="599"/>
      <c r="G2" s="599"/>
      <c r="H2" s="618"/>
      <c r="I2" s="618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131</v>
      </c>
      <c r="C7" s="7" t="s">
        <v>133</v>
      </c>
      <c r="D7" s="7" t="s">
        <v>117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38560</v>
      </c>
      <c r="I8" s="210">
        <f t="shared" si="0"/>
        <v>0</v>
      </c>
      <c r="J8" s="384">
        <f t="shared" si="0"/>
        <v>38560</v>
      </c>
      <c r="K8" s="210">
        <f t="shared" si="0"/>
        <v>28548</v>
      </c>
      <c r="L8" s="210">
        <f t="shared" si="0"/>
        <v>0</v>
      </c>
      <c r="M8" s="384">
        <f t="shared" si="0"/>
        <v>28548</v>
      </c>
      <c r="N8" s="346">
        <f>IF(J8=0,"",M8/J8*100)</f>
        <v>74.03526970954357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31290+250</f>
        <v>31540</v>
      </c>
      <c r="I9" s="212">
        <v>0</v>
      </c>
      <c r="J9" s="385">
        <f>SUM(H9:I9)</f>
        <v>31540</v>
      </c>
      <c r="K9" s="212">
        <v>23418</v>
      </c>
      <c r="L9" s="212">
        <v>0</v>
      </c>
      <c r="M9" s="385">
        <f>SUM(K9:L9)</f>
        <v>23418</v>
      </c>
      <c r="N9" s="347">
        <f t="shared" ref="N9:N66" si="1">IF(J9=0,"",M9/J9*100)</f>
        <v>74.248573240329733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6850+170</f>
        <v>7020</v>
      </c>
      <c r="I10" s="212">
        <v>0</v>
      </c>
      <c r="J10" s="385">
        <f t="shared" ref="J10:J11" si="2">SUM(H10:I10)</f>
        <v>7020</v>
      </c>
      <c r="K10" s="212">
        <v>5130</v>
      </c>
      <c r="L10" s="212">
        <v>0</v>
      </c>
      <c r="M10" s="385">
        <f t="shared" ref="M10:M11" si="3">SUM(K10:L10)</f>
        <v>5130</v>
      </c>
      <c r="N10" s="347">
        <f t="shared" si="1"/>
        <v>73.076923076923066</v>
      </c>
    </row>
    <row r="11" spans="1:16" ht="12.95" customHeight="1">
      <c r="B11" s="10"/>
      <c r="C11" s="11"/>
      <c r="D11" s="11"/>
      <c r="E11" s="306">
        <v>611200</v>
      </c>
      <c r="F11" s="332"/>
      <c r="G11" s="356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3430</v>
      </c>
      <c r="I13" s="210">
        <f t="shared" si="4"/>
        <v>0</v>
      </c>
      <c r="J13" s="384">
        <f t="shared" si="4"/>
        <v>3430</v>
      </c>
      <c r="K13" s="210">
        <f t="shared" si="4"/>
        <v>2486</v>
      </c>
      <c r="L13" s="210">
        <f t="shared" si="4"/>
        <v>0</v>
      </c>
      <c r="M13" s="384">
        <f t="shared" si="4"/>
        <v>2486</v>
      </c>
      <c r="N13" s="346">
        <f t="shared" si="1"/>
        <v>72.478134110787167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3380+50</f>
        <v>3430</v>
      </c>
      <c r="I14" s="212">
        <v>0</v>
      </c>
      <c r="J14" s="385">
        <f>SUM(H14:I14)</f>
        <v>3430</v>
      </c>
      <c r="K14" s="212">
        <v>2486</v>
      </c>
      <c r="L14" s="212">
        <v>0</v>
      </c>
      <c r="M14" s="385">
        <f>SUM(K14:L14)</f>
        <v>2486</v>
      </c>
      <c r="N14" s="347">
        <f t="shared" si="1"/>
        <v>72.478134110787167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3050</v>
      </c>
      <c r="I16" s="293">
        <f t="shared" si="5"/>
        <v>0</v>
      </c>
      <c r="J16" s="387">
        <f t="shared" si="5"/>
        <v>3050</v>
      </c>
      <c r="K16" s="293">
        <f t="shared" si="5"/>
        <v>766</v>
      </c>
      <c r="L16" s="293">
        <f t="shared" si="5"/>
        <v>0</v>
      </c>
      <c r="M16" s="387">
        <f t="shared" si="5"/>
        <v>766</v>
      </c>
      <c r="N16" s="346">
        <f t="shared" si="1"/>
        <v>25.114754098360653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1000</v>
      </c>
      <c r="I17" s="363">
        <v>0</v>
      </c>
      <c r="J17" s="385">
        <f t="shared" ref="J17:J26" si="6">SUM(H17:I17)</f>
        <v>1000</v>
      </c>
      <c r="K17" s="363">
        <v>0</v>
      </c>
      <c r="L17" s="363">
        <v>0</v>
      </c>
      <c r="M17" s="385">
        <f t="shared" ref="M17:M26" si="7">SUM(K17:L17)</f>
        <v>0</v>
      </c>
      <c r="N17" s="347">
        <f t="shared" si="1"/>
        <v>0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0</v>
      </c>
      <c r="I18" s="363">
        <v>0</v>
      </c>
      <c r="J18" s="385">
        <f t="shared" si="6"/>
        <v>0</v>
      </c>
      <c r="K18" s="363">
        <v>0</v>
      </c>
      <c r="L18" s="363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750</v>
      </c>
      <c r="I19" s="363">
        <v>0</v>
      </c>
      <c r="J19" s="385">
        <f t="shared" si="6"/>
        <v>750</v>
      </c>
      <c r="K19" s="363">
        <v>463</v>
      </c>
      <c r="L19" s="363">
        <v>0</v>
      </c>
      <c r="M19" s="385">
        <f t="shared" si="7"/>
        <v>463</v>
      </c>
      <c r="N19" s="347">
        <f t="shared" si="1"/>
        <v>61.733333333333327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500</v>
      </c>
      <c r="I20" s="363">
        <v>0</v>
      </c>
      <c r="J20" s="385">
        <f t="shared" si="6"/>
        <v>500</v>
      </c>
      <c r="K20" s="363">
        <v>55</v>
      </c>
      <c r="L20" s="363">
        <v>0</v>
      </c>
      <c r="M20" s="385">
        <f t="shared" si="7"/>
        <v>55</v>
      </c>
      <c r="N20" s="347">
        <f t="shared" si="1"/>
        <v>11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0</v>
      </c>
      <c r="I21" s="363">
        <v>0</v>
      </c>
      <c r="J21" s="385">
        <f t="shared" si="6"/>
        <v>0</v>
      </c>
      <c r="K21" s="363">
        <v>0</v>
      </c>
      <c r="L21" s="363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300</v>
      </c>
      <c r="I23" s="363">
        <v>0</v>
      </c>
      <c r="J23" s="385">
        <f t="shared" si="6"/>
        <v>300</v>
      </c>
      <c r="K23" s="363">
        <v>100</v>
      </c>
      <c r="L23" s="363">
        <v>0</v>
      </c>
      <c r="M23" s="385">
        <f t="shared" si="7"/>
        <v>100</v>
      </c>
      <c r="N23" s="347">
        <f t="shared" si="1"/>
        <v>33.333333333333329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3">
        <v>0</v>
      </c>
      <c r="I24" s="363">
        <v>0</v>
      </c>
      <c r="J24" s="385">
        <f t="shared" si="6"/>
        <v>0</v>
      </c>
      <c r="K24" s="363">
        <v>0</v>
      </c>
      <c r="L24" s="363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500</v>
      </c>
      <c r="I25" s="365">
        <v>0</v>
      </c>
      <c r="J25" s="385">
        <f t="shared" si="6"/>
        <v>500</v>
      </c>
      <c r="K25" s="365">
        <v>148</v>
      </c>
      <c r="L25" s="365">
        <v>0</v>
      </c>
      <c r="M25" s="385">
        <f t="shared" si="7"/>
        <v>148</v>
      </c>
      <c r="N25" s="347">
        <f t="shared" si="1"/>
        <v>29.599999999999998</v>
      </c>
    </row>
    <row r="26" spans="1:14" ht="12.95" customHeight="1">
      <c r="B26" s="10"/>
      <c r="C26" s="11"/>
      <c r="D26" s="11"/>
      <c r="E26" s="306">
        <v>613900</v>
      </c>
      <c r="F26" s="332"/>
      <c r="G26" s="18" t="s">
        <v>607</v>
      </c>
      <c r="H26" s="363">
        <v>0</v>
      </c>
      <c r="I26" s="363">
        <v>0</v>
      </c>
      <c r="J26" s="385">
        <f t="shared" si="6"/>
        <v>0</v>
      </c>
      <c r="K26" s="363">
        <v>0</v>
      </c>
      <c r="L26" s="363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16"/>
      <c r="F27" s="343"/>
      <c r="G27" s="8"/>
      <c r="H27" s="291"/>
      <c r="I27" s="291"/>
      <c r="J27" s="386"/>
      <c r="K27" s="291"/>
      <c r="L27" s="291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SUM(H29:H30)</f>
        <v>1000</v>
      </c>
      <c r="I28" s="288">
        <f t="shared" si="8"/>
        <v>0</v>
      </c>
      <c r="J28" s="387">
        <f t="shared" si="8"/>
        <v>1000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6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1">
        <v>0</v>
      </c>
      <c r="I29" s="291">
        <v>0</v>
      </c>
      <c r="J29" s="385">
        <f t="shared" ref="J29:J30" si="9">SUM(H29:I29)</f>
        <v>0</v>
      </c>
      <c r="K29" s="291">
        <v>0</v>
      </c>
      <c r="L29" s="291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1">
        <v>1000</v>
      </c>
      <c r="I30" s="291">
        <v>0</v>
      </c>
      <c r="J30" s="385">
        <f t="shared" si="9"/>
        <v>1000</v>
      </c>
      <c r="K30" s="291">
        <v>0</v>
      </c>
      <c r="L30" s="291">
        <v>0</v>
      </c>
      <c r="M30" s="385">
        <f t="shared" si="10"/>
        <v>0</v>
      </c>
      <c r="N30" s="347">
        <f t="shared" si="1"/>
        <v>0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2</v>
      </c>
      <c r="I32" s="295"/>
      <c r="J32" s="387">
        <v>2</v>
      </c>
      <c r="K32" s="295">
        <v>2</v>
      </c>
      <c r="L32" s="295"/>
      <c r="M32" s="387">
        <v>2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46040</v>
      </c>
      <c r="I33" s="288">
        <f t="shared" si="11"/>
        <v>0</v>
      </c>
      <c r="J33" s="387">
        <f t="shared" si="11"/>
        <v>46040</v>
      </c>
      <c r="K33" s="288">
        <f t="shared" si="11"/>
        <v>31800</v>
      </c>
      <c r="L33" s="288">
        <f t="shared" si="11"/>
        <v>0</v>
      </c>
      <c r="M33" s="387">
        <f t="shared" si="11"/>
        <v>31800</v>
      </c>
      <c r="N33" s="346">
        <f t="shared" si="1"/>
        <v>69.070373588184182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>H33+'12'!H33</f>
        <v>101030</v>
      </c>
      <c r="I34" s="288">
        <f>I33+'12'!I33</f>
        <v>0</v>
      </c>
      <c r="J34" s="387">
        <f>J33+'12'!J33</f>
        <v>101030</v>
      </c>
      <c r="K34" s="288">
        <f>K33+'12'!K33</f>
        <v>60285</v>
      </c>
      <c r="L34" s="288">
        <f>L33+'12'!L33</f>
        <v>0</v>
      </c>
      <c r="M34" s="387">
        <f>M33+'12'!M33</f>
        <v>60285</v>
      </c>
      <c r="N34" s="346">
        <f t="shared" si="1"/>
        <v>59.670394932198356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/>
      <c r="I35" s="288"/>
      <c r="J35" s="387"/>
      <c r="K35" s="288"/>
      <c r="L35" s="288"/>
      <c r="M35" s="387"/>
      <c r="N35" s="346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I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5"/>
  <dimension ref="A1:P96"/>
  <sheetViews>
    <sheetView zoomScaleNormal="100" workbookViewId="0">
      <selection activeCell="K32" sqref="K32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196</v>
      </c>
      <c r="C2" s="599"/>
      <c r="D2" s="599"/>
      <c r="E2" s="599"/>
      <c r="F2" s="599"/>
      <c r="G2" s="599"/>
      <c r="H2" s="618"/>
      <c r="I2" s="618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131</v>
      </c>
      <c r="C7" s="7" t="s">
        <v>197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78910</v>
      </c>
      <c r="I8" s="210">
        <f t="shared" si="0"/>
        <v>0</v>
      </c>
      <c r="J8" s="384">
        <f t="shared" si="0"/>
        <v>78910</v>
      </c>
      <c r="K8" s="210">
        <f t="shared" si="0"/>
        <v>58340</v>
      </c>
      <c r="L8" s="210">
        <f t="shared" si="0"/>
        <v>0</v>
      </c>
      <c r="M8" s="384">
        <f t="shared" si="0"/>
        <v>58340</v>
      </c>
      <c r="N8" s="346">
        <f>IF(J8=0,"",M8/J8*100)</f>
        <v>73.932327968571784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66820+250+2*500</f>
        <v>68070</v>
      </c>
      <c r="I9" s="212">
        <v>0</v>
      </c>
      <c r="J9" s="385">
        <f>SUM(H9:I9)</f>
        <v>68070</v>
      </c>
      <c r="K9" s="212">
        <v>50198</v>
      </c>
      <c r="L9" s="212">
        <v>0</v>
      </c>
      <c r="M9" s="385">
        <f>SUM(K9:L9)</f>
        <v>50198</v>
      </c>
      <c r="N9" s="347">
        <f t="shared" ref="N9:N66" si="1">IF(J9=0,"",M9/J9*100)</f>
        <v>73.744674599676813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8870+170+2*900</f>
        <v>10840</v>
      </c>
      <c r="I10" s="212">
        <v>0</v>
      </c>
      <c r="J10" s="385">
        <f t="shared" ref="J10:J11" si="2">SUM(H10:I10)</f>
        <v>10840</v>
      </c>
      <c r="K10" s="212">
        <v>8142</v>
      </c>
      <c r="L10" s="212">
        <v>0</v>
      </c>
      <c r="M10" s="385">
        <f t="shared" ref="M10:M11" si="3">SUM(K10:L10)</f>
        <v>8142</v>
      </c>
      <c r="N10" s="347">
        <f t="shared" si="1"/>
        <v>75.110701107011067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7310</v>
      </c>
      <c r="I13" s="210">
        <f t="shared" si="4"/>
        <v>0</v>
      </c>
      <c r="J13" s="384">
        <f t="shared" si="4"/>
        <v>7310</v>
      </c>
      <c r="K13" s="210">
        <f t="shared" si="4"/>
        <v>5309</v>
      </c>
      <c r="L13" s="210">
        <f t="shared" si="4"/>
        <v>0</v>
      </c>
      <c r="M13" s="384">
        <f t="shared" si="4"/>
        <v>5309</v>
      </c>
      <c r="N13" s="346">
        <f t="shared" si="1"/>
        <v>72.626538987688093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7130+40+2*70</f>
        <v>7310</v>
      </c>
      <c r="I14" s="212">
        <v>0</v>
      </c>
      <c r="J14" s="385">
        <f>SUM(H14:I14)</f>
        <v>7310</v>
      </c>
      <c r="K14" s="212">
        <v>5309</v>
      </c>
      <c r="L14" s="212">
        <v>0</v>
      </c>
      <c r="M14" s="385">
        <f>SUM(K14:L14)</f>
        <v>5309</v>
      </c>
      <c r="N14" s="347">
        <f t="shared" si="1"/>
        <v>72.626538987688093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4800</v>
      </c>
      <c r="I16" s="293">
        <f t="shared" si="5"/>
        <v>0</v>
      </c>
      <c r="J16" s="387">
        <f t="shared" si="5"/>
        <v>4800</v>
      </c>
      <c r="K16" s="293">
        <f t="shared" si="5"/>
        <v>2158</v>
      </c>
      <c r="L16" s="293">
        <f t="shared" si="5"/>
        <v>0</v>
      </c>
      <c r="M16" s="387">
        <f t="shared" si="5"/>
        <v>2158</v>
      </c>
      <c r="N16" s="346">
        <f t="shared" si="1"/>
        <v>44.958333333333336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1000</v>
      </c>
      <c r="I17" s="363">
        <v>0</v>
      </c>
      <c r="J17" s="385">
        <f t="shared" ref="J17:J26" si="6">SUM(H17:I17)</f>
        <v>1000</v>
      </c>
      <c r="K17" s="363">
        <v>729</v>
      </c>
      <c r="L17" s="363">
        <v>0</v>
      </c>
      <c r="M17" s="385">
        <f t="shared" ref="M17:M26" si="7">SUM(K17:L17)</f>
        <v>729</v>
      </c>
      <c r="N17" s="347">
        <f t="shared" si="1"/>
        <v>72.899999999999991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0</v>
      </c>
      <c r="I18" s="363">
        <v>0</v>
      </c>
      <c r="J18" s="385">
        <f t="shared" si="6"/>
        <v>0</v>
      </c>
      <c r="K18" s="363">
        <v>0</v>
      </c>
      <c r="L18" s="363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1400</v>
      </c>
      <c r="I19" s="363">
        <v>0</v>
      </c>
      <c r="J19" s="385">
        <f t="shared" si="6"/>
        <v>1400</v>
      </c>
      <c r="K19" s="363">
        <v>897</v>
      </c>
      <c r="L19" s="363">
        <v>0</v>
      </c>
      <c r="M19" s="385">
        <f t="shared" si="7"/>
        <v>897</v>
      </c>
      <c r="N19" s="347">
        <f t="shared" si="1"/>
        <v>64.071428571428569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1000</v>
      </c>
      <c r="I20" s="363">
        <v>0</v>
      </c>
      <c r="J20" s="385">
        <f t="shared" si="6"/>
        <v>1000</v>
      </c>
      <c r="K20" s="363">
        <v>280</v>
      </c>
      <c r="L20" s="363">
        <v>0</v>
      </c>
      <c r="M20" s="385">
        <f t="shared" si="7"/>
        <v>280</v>
      </c>
      <c r="N20" s="347">
        <f t="shared" si="1"/>
        <v>28.000000000000004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0</v>
      </c>
      <c r="I21" s="363">
        <v>0</v>
      </c>
      <c r="J21" s="385">
        <f t="shared" si="6"/>
        <v>0</v>
      </c>
      <c r="K21" s="363">
        <v>0</v>
      </c>
      <c r="L21" s="363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200</v>
      </c>
      <c r="I23" s="363">
        <v>0</v>
      </c>
      <c r="J23" s="385">
        <f t="shared" si="6"/>
        <v>200</v>
      </c>
      <c r="K23" s="363">
        <v>0</v>
      </c>
      <c r="L23" s="363">
        <v>0</v>
      </c>
      <c r="M23" s="385">
        <f t="shared" si="7"/>
        <v>0</v>
      </c>
      <c r="N23" s="347">
        <f t="shared" si="1"/>
        <v>0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3">
        <v>0</v>
      </c>
      <c r="I24" s="363">
        <v>0</v>
      </c>
      <c r="J24" s="385">
        <f t="shared" si="6"/>
        <v>0</v>
      </c>
      <c r="K24" s="363">
        <v>0</v>
      </c>
      <c r="L24" s="363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1200</v>
      </c>
      <c r="I25" s="365">
        <v>0</v>
      </c>
      <c r="J25" s="385">
        <f t="shared" si="6"/>
        <v>1200</v>
      </c>
      <c r="K25" s="365">
        <v>252</v>
      </c>
      <c r="L25" s="365">
        <v>0</v>
      </c>
      <c r="M25" s="385">
        <f t="shared" si="7"/>
        <v>252</v>
      </c>
      <c r="N25" s="347">
        <f t="shared" si="1"/>
        <v>21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16"/>
      <c r="F27" s="343"/>
      <c r="G27" s="8"/>
      <c r="H27" s="291"/>
      <c r="I27" s="291"/>
      <c r="J27" s="386"/>
      <c r="K27" s="291"/>
      <c r="L27" s="291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H29+H30</f>
        <v>500</v>
      </c>
      <c r="I28" s="288">
        <f t="shared" si="8"/>
        <v>0</v>
      </c>
      <c r="J28" s="387">
        <f t="shared" si="8"/>
        <v>500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7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1">
        <v>0</v>
      </c>
      <c r="I29" s="291">
        <v>0</v>
      </c>
      <c r="J29" s="385">
        <f t="shared" ref="J29:J30" si="9">SUM(H29:I29)</f>
        <v>0</v>
      </c>
      <c r="K29" s="291">
        <v>0</v>
      </c>
      <c r="L29" s="291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</v>
      </c>
      <c r="I30" s="296">
        <v>0</v>
      </c>
      <c r="J30" s="385">
        <f t="shared" si="9"/>
        <v>500</v>
      </c>
      <c r="K30" s="296">
        <v>0</v>
      </c>
      <c r="L30" s="296">
        <v>0</v>
      </c>
      <c r="M30" s="385">
        <f t="shared" si="10"/>
        <v>0</v>
      </c>
      <c r="N30" s="347">
        <f t="shared" si="1"/>
        <v>0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3</v>
      </c>
      <c r="I32" s="288"/>
      <c r="J32" s="387">
        <v>3</v>
      </c>
      <c r="K32" s="288">
        <v>3</v>
      </c>
      <c r="L32" s="288"/>
      <c r="M32" s="387">
        <v>3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91520</v>
      </c>
      <c r="I33" s="288">
        <f t="shared" si="11"/>
        <v>0</v>
      </c>
      <c r="J33" s="387">
        <f t="shared" si="11"/>
        <v>91520</v>
      </c>
      <c r="K33" s="288">
        <f t="shared" si="11"/>
        <v>65807</v>
      </c>
      <c r="L33" s="288">
        <f t="shared" si="11"/>
        <v>0</v>
      </c>
      <c r="M33" s="387">
        <f t="shared" si="11"/>
        <v>65807</v>
      </c>
      <c r="N33" s="346">
        <f t="shared" si="1"/>
        <v>71.904501748251747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M34" si="12">H33</f>
        <v>91520</v>
      </c>
      <c r="I34" s="288">
        <f t="shared" si="12"/>
        <v>0</v>
      </c>
      <c r="J34" s="387">
        <f t="shared" si="12"/>
        <v>91520</v>
      </c>
      <c r="K34" s="288">
        <f t="shared" si="12"/>
        <v>65807</v>
      </c>
      <c r="L34" s="288">
        <f t="shared" si="12"/>
        <v>0</v>
      </c>
      <c r="M34" s="387">
        <f t="shared" si="12"/>
        <v>65807</v>
      </c>
      <c r="N34" s="346">
        <f t="shared" si="1"/>
        <v>71.904501748251747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>H34+'13'!H34+'12'!H34+'11'!H35+'10'!H33</f>
        <v>1977170</v>
      </c>
      <c r="I35" s="288">
        <f>I34+'13'!I34+'12'!I34+'11'!I35+'10'!I33</f>
        <v>0</v>
      </c>
      <c r="J35" s="387">
        <f>J34+'13'!J34+'12'!J34+'11'!J35+'10'!J33</f>
        <v>1977170</v>
      </c>
      <c r="K35" s="288">
        <f>K34+'13'!K34+'12'!K34+'11'!K35+'10'!K33</f>
        <v>1359337</v>
      </c>
      <c r="L35" s="288">
        <f>L34+'13'!L34+'12'!L34+'11'!L35+'10'!L33</f>
        <v>0</v>
      </c>
      <c r="M35" s="387">
        <f>M34+'13'!M34+'12'!M34+'11'!M35+'10'!M33</f>
        <v>1359337</v>
      </c>
      <c r="N35" s="346">
        <f t="shared" si="1"/>
        <v>68.751650085728585</v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I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Normal="100" workbookViewId="0">
      <selection activeCell="P22" sqref="P22"/>
    </sheetView>
  </sheetViews>
  <sheetFormatPr defaultRowHeight="12.75"/>
  <cols>
    <col min="1" max="1" width="3.28515625" style="34" customWidth="1"/>
    <col min="7" max="7" width="10.7109375" customWidth="1"/>
    <col min="8" max="8" width="0.140625" hidden="1" customWidth="1"/>
    <col min="9" max="9" width="2.7109375" hidden="1" customWidth="1"/>
    <col min="10" max="10" width="8.28515625" style="34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560" t="s">
        <v>222</v>
      </c>
      <c r="B1" s="560"/>
      <c r="C1" s="560"/>
      <c r="D1" s="560"/>
      <c r="E1" s="560"/>
      <c r="F1" s="560"/>
      <c r="G1" s="560"/>
      <c r="H1" s="560"/>
      <c r="I1" s="560"/>
    </row>
    <row r="3" spans="1:21" s="40" customFormat="1">
      <c r="A3" s="525" t="s">
        <v>264</v>
      </c>
      <c r="B3" s="557" t="s">
        <v>266</v>
      </c>
      <c r="C3" s="558"/>
      <c r="D3" s="558"/>
      <c r="E3" s="558"/>
      <c r="F3" s="558"/>
      <c r="G3" s="558"/>
      <c r="H3" s="558"/>
      <c r="I3" s="559"/>
      <c r="J3" s="525" t="s">
        <v>248</v>
      </c>
      <c r="L3" s="525" t="s">
        <v>264</v>
      </c>
      <c r="M3" s="557" t="s">
        <v>266</v>
      </c>
      <c r="N3" s="558"/>
      <c r="O3" s="558"/>
      <c r="P3" s="558"/>
      <c r="Q3" s="558"/>
      <c r="R3" s="558"/>
      <c r="S3" s="558"/>
      <c r="T3" s="559"/>
      <c r="U3" s="525" t="s">
        <v>248</v>
      </c>
    </row>
    <row r="4" spans="1:21" s="31" customFormat="1" ht="17.100000000000001" customHeight="1">
      <c r="A4" s="508" t="s">
        <v>223</v>
      </c>
      <c r="B4" s="567" t="s">
        <v>224</v>
      </c>
      <c r="C4" s="568"/>
      <c r="D4" s="568"/>
      <c r="E4" s="568"/>
      <c r="F4" s="568"/>
      <c r="G4" s="568"/>
      <c r="H4" s="568"/>
      <c r="I4" s="569"/>
      <c r="J4" s="508">
        <v>3</v>
      </c>
      <c r="K4" s="509"/>
      <c r="L4" s="510" t="s">
        <v>765</v>
      </c>
      <c r="M4" s="564" t="s">
        <v>254</v>
      </c>
      <c r="N4" s="565"/>
      <c r="O4" s="565"/>
      <c r="P4" s="565"/>
      <c r="Q4" s="565"/>
      <c r="R4" s="565"/>
      <c r="S4" s="565"/>
      <c r="T4" s="566"/>
      <c r="U4" s="510">
        <v>42</v>
      </c>
    </row>
    <row r="5" spans="1:21" s="31" customFormat="1" ht="17.100000000000001" customHeight="1">
      <c r="A5" s="511" t="s">
        <v>225</v>
      </c>
      <c r="B5" s="556" t="s">
        <v>226</v>
      </c>
      <c r="C5" s="553"/>
      <c r="D5" s="553"/>
      <c r="E5" s="553"/>
      <c r="F5" s="553"/>
      <c r="G5" s="553"/>
      <c r="H5" s="553"/>
      <c r="I5" s="554"/>
      <c r="J5" s="511">
        <v>4</v>
      </c>
      <c r="K5" s="509"/>
      <c r="L5" s="511" t="s">
        <v>766</v>
      </c>
      <c r="M5" s="512" t="s">
        <v>255</v>
      </c>
      <c r="N5" s="513"/>
      <c r="O5" s="513"/>
      <c r="P5" s="513"/>
      <c r="Q5" s="513"/>
      <c r="R5" s="513"/>
      <c r="S5" s="513"/>
      <c r="T5" s="514"/>
      <c r="U5" s="511">
        <v>43</v>
      </c>
    </row>
    <row r="6" spans="1:21" s="31" customFormat="1" ht="17.100000000000001" customHeight="1">
      <c r="A6" s="511" t="s">
        <v>227</v>
      </c>
      <c r="B6" s="556" t="s">
        <v>439</v>
      </c>
      <c r="C6" s="553"/>
      <c r="D6" s="553"/>
      <c r="E6" s="553"/>
      <c r="F6" s="553"/>
      <c r="G6" s="553"/>
      <c r="H6" s="553"/>
      <c r="I6" s="554"/>
      <c r="J6" s="511">
        <v>12</v>
      </c>
      <c r="K6" s="509"/>
      <c r="L6" s="511" t="s">
        <v>767</v>
      </c>
      <c r="M6" s="512" t="s">
        <v>256</v>
      </c>
      <c r="N6" s="513"/>
      <c r="O6" s="513"/>
      <c r="P6" s="513"/>
      <c r="Q6" s="513"/>
      <c r="R6" s="513"/>
      <c r="S6" s="513"/>
      <c r="T6" s="514"/>
      <c r="U6" s="511">
        <v>44</v>
      </c>
    </row>
    <row r="7" spans="1:21" s="31" customFormat="1" ht="17.100000000000001" customHeight="1">
      <c r="A7" s="511" t="s">
        <v>228</v>
      </c>
      <c r="B7" s="556" t="s">
        <v>229</v>
      </c>
      <c r="C7" s="553"/>
      <c r="D7" s="553"/>
      <c r="E7" s="553"/>
      <c r="F7" s="553"/>
      <c r="G7" s="553"/>
      <c r="H7" s="553"/>
      <c r="I7" s="554"/>
      <c r="J7" s="511">
        <v>15</v>
      </c>
      <c r="K7" s="509"/>
      <c r="L7" s="511" t="s">
        <v>768</v>
      </c>
      <c r="M7" s="512" t="s">
        <v>257</v>
      </c>
      <c r="N7" s="513"/>
      <c r="O7" s="513"/>
      <c r="P7" s="513"/>
      <c r="Q7" s="513"/>
      <c r="R7" s="513"/>
      <c r="S7" s="513"/>
      <c r="T7" s="514"/>
      <c r="U7" s="511">
        <v>45</v>
      </c>
    </row>
    <row r="8" spans="1:21" s="31" customFormat="1" ht="17.100000000000001" customHeight="1">
      <c r="A8" s="511" t="s">
        <v>265</v>
      </c>
      <c r="B8" s="556" t="s">
        <v>230</v>
      </c>
      <c r="C8" s="553"/>
      <c r="D8" s="553"/>
      <c r="E8" s="553"/>
      <c r="F8" s="553"/>
      <c r="G8" s="553"/>
      <c r="H8" s="553"/>
      <c r="I8" s="554"/>
      <c r="J8" s="511">
        <v>16</v>
      </c>
      <c r="K8" s="509"/>
      <c r="L8" s="511" t="s">
        <v>769</v>
      </c>
      <c r="M8" s="512" t="s">
        <v>258</v>
      </c>
      <c r="N8" s="513"/>
      <c r="O8" s="513"/>
      <c r="P8" s="513"/>
      <c r="Q8" s="513"/>
      <c r="R8" s="513"/>
      <c r="S8" s="513"/>
      <c r="T8" s="514"/>
      <c r="U8" s="511">
        <v>46</v>
      </c>
    </row>
    <row r="9" spans="1:21" s="31" customFormat="1" ht="17.100000000000001" customHeight="1">
      <c r="A9" s="511" t="s">
        <v>740</v>
      </c>
      <c r="B9" s="556" t="s">
        <v>231</v>
      </c>
      <c r="C9" s="553"/>
      <c r="D9" s="553"/>
      <c r="E9" s="553"/>
      <c r="F9" s="553"/>
      <c r="G9" s="553"/>
      <c r="H9" s="553"/>
      <c r="I9" s="554"/>
      <c r="J9" s="511">
        <v>17</v>
      </c>
      <c r="K9" s="509"/>
      <c r="L9" s="511" t="s">
        <v>770</v>
      </c>
      <c r="M9" s="512" t="s">
        <v>259</v>
      </c>
      <c r="N9" s="513"/>
      <c r="O9" s="513"/>
      <c r="P9" s="513"/>
      <c r="Q9" s="513"/>
      <c r="R9" s="513"/>
      <c r="S9" s="513"/>
      <c r="T9" s="514"/>
      <c r="U9" s="511">
        <v>47</v>
      </c>
    </row>
    <row r="10" spans="1:21" s="31" customFormat="1" ht="17.100000000000001" customHeight="1">
      <c r="A10" s="511" t="s">
        <v>741</v>
      </c>
      <c r="B10" s="556" t="s">
        <v>232</v>
      </c>
      <c r="C10" s="553"/>
      <c r="D10" s="553"/>
      <c r="E10" s="553"/>
      <c r="F10" s="553"/>
      <c r="G10" s="553"/>
      <c r="H10" s="553"/>
      <c r="I10" s="554"/>
      <c r="J10" s="511">
        <v>18</v>
      </c>
      <c r="K10" s="509"/>
      <c r="L10" s="511" t="s">
        <v>771</v>
      </c>
      <c r="M10" s="556" t="s">
        <v>260</v>
      </c>
      <c r="N10" s="553"/>
      <c r="O10" s="553"/>
      <c r="P10" s="553"/>
      <c r="Q10" s="553"/>
      <c r="R10" s="553"/>
      <c r="S10" s="553"/>
      <c r="T10" s="554"/>
      <c r="U10" s="511">
        <v>48</v>
      </c>
    </row>
    <row r="11" spans="1:21" s="31" customFormat="1" ht="17.100000000000001" customHeight="1">
      <c r="A11" s="511" t="s">
        <v>742</v>
      </c>
      <c r="B11" s="556" t="s">
        <v>233</v>
      </c>
      <c r="C11" s="553"/>
      <c r="D11" s="553"/>
      <c r="E11" s="553"/>
      <c r="F11" s="553"/>
      <c r="G11" s="553"/>
      <c r="H11" s="553"/>
      <c r="I11" s="554"/>
      <c r="J11" s="511">
        <v>19</v>
      </c>
      <c r="K11" s="509"/>
      <c r="L11" s="511" t="s">
        <v>772</v>
      </c>
      <c r="M11" s="556" t="s">
        <v>261</v>
      </c>
      <c r="N11" s="553"/>
      <c r="O11" s="553"/>
      <c r="P11" s="553"/>
      <c r="Q11" s="553"/>
      <c r="R11" s="553"/>
      <c r="S11" s="553"/>
      <c r="T11" s="554"/>
      <c r="U11" s="511">
        <v>49</v>
      </c>
    </row>
    <row r="12" spans="1:21" s="31" customFormat="1" ht="17.100000000000001" customHeight="1">
      <c r="A12" s="511" t="s">
        <v>743</v>
      </c>
      <c r="B12" s="556" t="s">
        <v>234</v>
      </c>
      <c r="C12" s="553"/>
      <c r="D12" s="553"/>
      <c r="E12" s="553"/>
      <c r="F12" s="553"/>
      <c r="G12" s="553"/>
      <c r="H12" s="553"/>
      <c r="I12" s="554"/>
      <c r="J12" s="511">
        <v>20</v>
      </c>
      <c r="K12" s="509"/>
      <c r="L12" s="511" t="s">
        <v>773</v>
      </c>
      <c r="M12" s="556" t="s">
        <v>262</v>
      </c>
      <c r="N12" s="553"/>
      <c r="O12" s="553"/>
      <c r="P12" s="553"/>
      <c r="Q12" s="553"/>
      <c r="R12" s="553"/>
      <c r="S12" s="553"/>
      <c r="T12" s="554"/>
      <c r="U12" s="511">
        <v>50</v>
      </c>
    </row>
    <row r="13" spans="1:21" s="31" customFormat="1" ht="17.100000000000001" customHeight="1">
      <c r="A13" s="511" t="s">
        <v>744</v>
      </c>
      <c r="B13" s="556" t="s">
        <v>605</v>
      </c>
      <c r="C13" s="553"/>
      <c r="D13" s="553"/>
      <c r="E13" s="553"/>
      <c r="F13" s="553"/>
      <c r="G13" s="553"/>
      <c r="H13" s="553"/>
      <c r="I13" s="554"/>
      <c r="J13" s="511">
        <v>21</v>
      </c>
      <c r="K13" s="509"/>
      <c r="L13" s="511" t="s">
        <v>774</v>
      </c>
      <c r="M13" s="556" t="s">
        <v>263</v>
      </c>
      <c r="N13" s="553"/>
      <c r="O13" s="553"/>
      <c r="P13" s="553"/>
      <c r="Q13" s="553"/>
      <c r="R13" s="553"/>
      <c r="S13" s="553"/>
      <c r="T13" s="554"/>
      <c r="U13" s="511">
        <v>51</v>
      </c>
    </row>
    <row r="14" spans="1:21" s="31" customFormat="1" ht="17.100000000000001" customHeight="1">
      <c r="A14" s="511" t="s">
        <v>745</v>
      </c>
      <c r="B14" s="556" t="s">
        <v>235</v>
      </c>
      <c r="C14" s="553"/>
      <c r="D14" s="553"/>
      <c r="E14" s="553"/>
      <c r="F14" s="553"/>
      <c r="G14" s="553"/>
      <c r="H14" s="553"/>
      <c r="I14" s="554"/>
      <c r="J14" s="511">
        <v>22</v>
      </c>
      <c r="K14" s="509"/>
      <c r="L14" s="511" t="s">
        <v>775</v>
      </c>
      <c r="M14" s="552" t="s">
        <v>834</v>
      </c>
      <c r="N14" s="553"/>
      <c r="O14" s="553"/>
      <c r="P14" s="553"/>
      <c r="Q14" s="553"/>
      <c r="R14" s="553"/>
      <c r="S14" s="553"/>
      <c r="T14" s="554"/>
      <c r="U14" s="511">
        <v>52</v>
      </c>
    </row>
    <row r="15" spans="1:21" s="31" customFormat="1" ht="17.100000000000001" customHeight="1">
      <c r="A15" s="511" t="s">
        <v>746</v>
      </c>
      <c r="B15" s="556" t="s">
        <v>236</v>
      </c>
      <c r="C15" s="553"/>
      <c r="D15" s="553"/>
      <c r="E15" s="553"/>
      <c r="F15" s="553"/>
      <c r="G15" s="553"/>
      <c r="H15" s="553"/>
      <c r="I15" s="554"/>
      <c r="J15" s="511">
        <v>23</v>
      </c>
      <c r="K15" s="509"/>
      <c r="L15" s="511" t="s">
        <v>776</v>
      </c>
      <c r="M15" s="540" t="s">
        <v>833</v>
      </c>
      <c r="N15" s="513"/>
      <c r="O15" s="513"/>
      <c r="P15" s="513"/>
      <c r="Q15" s="513"/>
      <c r="R15" s="513"/>
      <c r="S15" s="513"/>
      <c r="T15" s="514"/>
      <c r="U15" s="511">
        <v>53</v>
      </c>
    </row>
    <row r="16" spans="1:21" s="31" customFormat="1" ht="17.100000000000001" customHeight="1">
      <c r="A16" s="511" t="s">
        <v>747</v>
      </c>
      <c r="B16" s="556" t="s">
        <v>237</v>
      </c>
      <c r="C16" s="553"/>
      <c r="D16" s="553"/>
      <c r="E16" s="553"/>
      <c r="F16" s="553"/>
      <c r="G16" s="553"/>
      <c r="H16" s="553"/>
      <c r="I16" s="554"/>
      <c r="J16" s="511">
        <v>24</v>
      </c>
      <c r="K16" s="509"/>
      <c r="L16" s="511" t="s">
        <v>777</v>
      </c>
      <c r="M16" s="540" t="s">
        <v>832</v>
      </c>
      <c r="N16" s="513"/>
      <c r="O16" s="513"/>
      <c r="P16" s="513"/>
      <c r="Q16" s="513"/>
      <c r="R16" s="513"/>
      <c r="S16" s="513"/>
      <c r="T16" s="514"/>
      <c r="U16" s="511">
        <v>56</v>
      </c>
    </row>
    <row r="17" spans="1:21" s="31" customFormat="1" ht="17.100000000000001" customHeight="1">
      <c r="A17" s="511" t="s">
        <v>748</v>
      </c>
      <c r="B17" s="556" t="s">
        <v>238</v>
      </c>
      <c r="C17" s="553"/>
      <c r="D17" s="553"/>
      <c r="E17" s="553"/>
      <c r="F17" s="553"/>
      <c r="G17" s="553"/>
      <c r="H17" s="553"/>
      <c r="I17" s="554"/>
      <c r="J17" s="511">
        <v>25</v>
      </c>
      <c r="K17" s="509"/>
      <c r="L17" s="515" t="s">
        <v>778</v>
      </c>
      <c r="M17" s="555" t="s">
        <v>811</v>
      </c>
      <c r="N17" s="555"/>
      <c r="O17" s="555"/>
      <c r="P17" s="555"/>
      <c r="Q17" s="555"/>
      <c r="R17" s="555"/>
      <c r="S17" s="555"/>
      <c r="T17" s="555"/>
      <c r="U17" s="515">
        <v>57</v>
      </c>
    </row>
    <row r="18" spans="1:21" s="31" customFormat="1" ht="17.100000000000001" customHeight="1">
      <c r="A18" s="511" t="s">
        <v>749</v>
      </c>
      <c r="B18" s="556" t="s">
        <v>239</v>
      </c>
      <c r="C18" s="553"/>
      <c r="D18" s="553"/>
      <c r="E18" s="553"/>
      <c r="F18" s="553"/>
      <c r="G18" s="553"/>
      <c r="H18" s="553"/>
      <c r="I18" s="554"/>
      <c r="J18" s="511">
        <v>26</v>
      </c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</row>
    <row r="19" spans="1:21" s="31" customFormat="1" ht="17.100000000000001" customHeight="1">
      <c r="A19" s="511" t="s">
        <v>750</v>
      </c>
      <c r="B19" s="556" t="s">
        <v>240</v>
      </c>
      <c r="C19" s="553"/>
      <c r="D19" s="553"/>
      <c r="E19" s="553"/>
      <c r="F19" s="553"/>
      <c r="G19" s="553"/>
      <c r="H19" s="553"/>
      <c r="I19" s="554"/>
      <c r="J19" s="511">
        <v>27</v>
      </c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</row>
    <row r="20" spans="1:21" s="31" customFormat="1" ht="17.100000000000001" customHeight="1">
      <c r="A20" s="511" t="s">
        <v>751</v>
      </c>
      <c r="B20" s="556" t="s">
        <v>241</v>
      </c>
      <c r="C20" s="553"/>
      <c r="D20" s="553"/>
      <c r="E20" s="553"/>
      <c r="F20" s="553"/>
      <c r="G20" s="553"/>
      <c r="H20" s="553"/>
      <c r="I20" s="554"/>
      <c r="J20" s="511">
        <v>28</v>
      </c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</row>
    <row r="21" spans="1:21" s="31" customFormat="1" ht="17.100000000000001" customHeight="1">
      <c r="A21" s="511" t="s">
        <v>752</v>
      </c>
      <c r="B21" s="556" t="s">
        <v>242</v>
      </c>
      <c r="C21" s="553"/>
      <c r="D21" s="553"/>
      <c r="E21" s="553"/>
      <c r="F21" s="553"/>
      <c r="G21" s="553"/>
      <c r="H21" s="553"/>
      <c r="I21" s="554"/>
      <c r="J21" s="511">
        <v>29</v>
      </c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</row>
    <row r="22" spans="1:21" s="31" customFormat="1" ht="17.100000000000001" customHeight="1">
      <c r="A22" s="511" t="s">
        <v>753</v>
      </c>
      <c r="B22" s="556" t="s">
        <v>243</v>
      </c>
      <c r="C22" s="553"/>
      <c r="D22" s="553"/>
      <c r="E22" s="553"/>
      <c r="F22" s="553"/>
      <c r="G22" s="553"/>
      <c r="H22" s="553"/>
      <c r="I22" s="554"/>
      <c r="J22" s="511">
        <v>30</v>
      </c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</row>
    <row r="23" spans="1:21" s="31" customFormat="1" ht="17.100000000000001" customHeight="1">
      <c r="A23" s="511" t="s">
        <v>754</v>
      </c>
      <c r="B23" s="556" t="s">
        <v>244</v>
      </c>
      <c r="C23" s="553"/>
      <c r="D23" s="553"/>
      <c r="E23" s="553"/>
      <c r="F23" s="553"/>
      <c r="G23" s="553"/>
      <c r="H23" s="553"/>
      <c r="I23" s="554"/>
      <c r="J23" s="511">
        <v>31</v>
      </c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</row>
    <row r="24" spans="1:21" s="31" customFormat="1" ht="17.100000000000001" customHeight="1">
      <c r="A24" s="511" t="s">
        <v>755</v>
      </c>
      <c r="B24" s="556" t="s">
        <v>245</v>
      </c>
      <c r="C24" s="553"/>
      <c r="D24" s="553"/>
      <c r="E24" s="553"/>
      <c r="F24" s="553"/>
      <c r="G24" s="553"/>
      <c r="H24" s="553"/>
      <c r="I24" s="554"/>
      <c r="J24" s="511">
        <v>32</v>
      </c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</row>
    <row r="25" spans="1:21" s="31" customFormat="1" ht="17.100000000000001" customHeight="1">
      <c r="A25" s="511" t="s">
        <v>756</v>
      </c>
      <c r="B25" s="556" t="s">
        <v>246</v>
      </c>
      <c r="C25" s="553"/>
      <c r="D25" s="553"/>
      <c r="E25" s="553"/>
      <c r="F25" s="553"/>
      <c r="G25" s="553"/>
      <c r="H25" s="553"/>
      <c r="I25" s="554"/>
      <c r="J25" s="511">
        <v>33</v>
      </c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</row>
    <row r="26" spans="1:21" s="31" customFormat="1" ht="17.100000000000001" customHeight="1">
      <c r="A26" s="511" t="s">
        <v>757</v>
      </c>
      <c r="B26" s="556" t="s">
        <v>247</v>
      </c>
      <c r="C26" s="553"/>
      <c r="D26" s="553"/>
      <c r="E26" s="553"/>
      <c r="F26" s="553"/>
      <c r="G26" s="553"/>
      <c r="H26" s="553"/>
      <c r="I26" s="554"/>
      <c r="J26" s="511">
        <v>34</v>
      </c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</row>
    <row r="27" spans="1:21" s="31" customFormat="1" ht="17.100000000000001" customHeight="1">
      <c r="A27" s="511" t="s">
        <v>758</v>
      </c>
      <c r="B27" s="556" t="s">
        <v>249</v>
      </c>
      <c r="C27" s="553"/>
      <c r="D27" s="553"/>
      <c r="E27" s="553"/>
      <c r="F27" s="553"/>
      <c r="G27" s="553"/>
      <c r="H27" s="553"/>
      <c r="I27" s="554"/>
      <c r="J27" s="511">
        <v>35</v>
      </c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</row>
    <row r="28" spans="1:21" s="31" customFormat="1" ht="17.100000000000001" customHeight="1">
      <c r="A28" s="511" t="s">
        <v>759</v>
      </c>
      <c r="B28" s="556" t="s">
        <v>270</v>
      </c>
      <c r="C28" s="553"/>
      <c r="D28" s="553"/>
      <c r="E28" s="553"/>
      <c r="F28" s="553"/>
      <c r="G28" s="553"/>
      <c r="H28" s="553"/>
      <c r="I28" s="554"/>
      <c r="J28" s="511">
        <v>36</v>
      </c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</row>
    <row r="29" spans="1:21" s="31" customFormat="1" ht="17.100000000000001" customHeight="1">
      <c r="A29" s="511" t="s">
        <v>760</v>
      </c>
      <c r="B29" s="556" t="s">
        <v>271</v>
      </c>
      <c r="C29" s="553"/>
      <c r="D29" s="553"/>
      <c r="E29" s="553"/>
      <c r="F29" s="553"/>
      <c r="G29" s="553"/>
      <c r="H29" s="553"/>
      <c r="I29" s="554"/>
      <c r="J29" s="511">
        <v>37</v>
      </c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</row>
    <row r="30" spans="1:21" ht="17.100000000000001" customHeight="1">
      <c r="A30" s="511" t="s">
        <v>761</v>
      </c>
      <c r="B30" s="556" t="s">
        <v>250</v>
      </c>
      <c r="C30" s="553"/>
      <c r="D30" s="553"/>
      <c r="E30" s="553"/>
      <c r="F30" s="553"/>
      <c r="G30" s="553"/>
      <c r="H30" s="553"/>
      <c r="I30" s="554"/>
      <c r="J30" s="511">
        <v>38</v>
      </c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</row>
    <row r="31" spans="1:21" ht="17.100000000000001" customHeight="1">
      <c r="A31" s="511" t="s">
        <v>762</v>
      </c>
      <c r="B31" s="556" t="s">
        <v>251</v>
      </c>
      <c r="C31" s="553"/>
      <c r="D31" s="553"/>
      <c r="E31" s="553"/>
      <c r="F31" s="553"/>
      <c r="G31" s="553"/>
      <c r="H31" s="553"/>
      <c r="I31" s="554"/>
      <c r="J31" s="511">
        <v>39</v>
      </c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</row>
    <row r="32" spans="1:21" ht="17.100000000000001" customHeight="1">
      <c r="A32" s="511" t="s">
        <v>763</v>
      </c>
      <c r="B32" s="556" t="s">
        <v>252</v>
      </c>
      <c r="C32" s="553"/>
      <c r="D32" s="553"/>
      <c r="E32" s="553"/>
      <c r="F32" s="553"/>
      <c r="G32" s="553"/>
      <c r="H32" s="553"/>
      <c r="I32" s="554"/>
      <c r="J32" s="511">
        <v>40</v>
      </c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</row>
    <row r="33" spans="1:21" ht="17.100000000000001" customHeight="1">
      <c r="A33" s="515" t="s">
        <v>764</v>
      </c>
      <c r="B33" s="561" t="s">
        <v>253</v>
      </c>
      <c r="C33" s="562"/>
      <c r="D33" s="562"/>
      <c r="E33" s="562"/>
      <c r="F33" s="562"/>
      <c r="G33" s="562"/>
      <c r="H33" s="562"/>
      <c r="I33" s="563"/>
      <c r="J33" s="515">
        <v>41</v>
      </c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</row>
    <row r="34" spans="1:21" ht="17.100000000000001" customHeight="1"/>
  </sheetData>
  <mergeCells count="40">
    <mergeCell ref="B33:I33"/>
    <mergeCell ref="M4:T4"/>
    <mergeCell ref="B28:I28"/>
    <mergeCell ref="B29:I29"/>
    <mergeCell ref="B30:I30"/>
    <mergeCell ref="B31:I31"/>
    <mergeCell ref="B32:I32"/>
    <mergeCell ref="B26:I26"/>
    <mergeCell ref="B27:I27"/>
    <mergeCell ref="B8:I8"/>
    <mergeCell ref="B7:I7"/>
    <mergeCell ref="B6:I6"/>
    <mergeCell ref="B11:I11"/>
    <mergeCell ref="B10:I10"/>
    <mergeCell ref="B4:I4"/>
    <mergeCell ref="B9:I9"/>
    <mergeCell ref="B19:I19"/>
    <mergeCell ref="B16:I16"/>
    <mergeCell ref="B15:I15"/>
    <mergeCell ref="B14:I14"/>
    <mergeCell ref="B12:I12"/>
    <mergeCell ref="B18:I18"/>
    <mergeCell ref="B17:I17"/>
    <mergeCell ref="B25:I25"/>
    <mergeCell ref="B24:I24"/>
    <mergeCell ref="B23:I23"/>
    <mergeCell ref="B22:I22"/>
    <mergeCell ref="B20:I20"/>
    <mergeCell ref="B21:I21"/>
    <mergeCell ref="M3:T3"/>
    <mergeCell ref="A1:I1"/>
    <mergeCell ref="B13:I13"/>
    <mergeCell ref="B5:I5"/>
    <mergeCell ref="B3:I3"/>
    <mergeCell ref="M13:T13"/>
    <mergeCell ref="M14:T14"/>
    <mergeCell ref="M17:T17"/>
    <mergeCell ref="M10:T10"/>
    <mergeCell ref="M11:T11"/>
    <mergeCell ref="M12:T12"/>
  </mergeCells>
  <phoneticPr fontId="0" type="noConversion"/>
  <pageMargins left="0.94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P96"/>
  <sheetViews>
    <sheetView zoomScaleNormal="100" workbookViewId="0">
      <selection activeCell="K18" sqref="K18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8" t="s">
        <v>177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134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197840</v>
      </c>
      <c r="I8" s="210">
        <f t="shared" si="0"/>
        <v>0</v>
      </c>
      <c r="J8" s="384">
        <f t="shared" si="0"/>
        <v>197840</v>
      </c>
      <c r="K8" s="210">
        <f t="shared" si="0"/>
        <v>166446</v>
      </c>
      <c r="L8" s="210">
        <f t="shared" si="0"/>
        <v>0</v>
      </c>
      <c r="M8" s="384">
        <f t="shared" si="0"/>
        <v>166446</v>
      </c>
      <c r="N8" s="346">
        <f>IF(J8=0,"",M8/J8*100)</f>
        <v>84.131621512333197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148000+1480+3*500+1*9*1580</f>
        <v>165200</v>
      </c>
      <c r="I9" s="212">
        <v>0</v>
      </c>
      <c r="J9" s="385">
        <f>SUM(H9:I9)</f>
        <v>165200</v>
      </c>
      <c r="K9" s="212">
        <v>140329</v>
      </c>
      <c r="L9" s="212">
        <v>0</v>
      </c>
      <c r="M9" s="385">
        <f>SUM(K9:L9)</f>
        <v>140329</v>
      </c>
      <c r="N9" s="347">
        <f t="shared" ref="N9:N66" si="1">IF(J9=0,"",M9/J9*100)</f>
        <v>84.944915254237287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27100+950+3*900+1*9*21*10</f>
        <v>32640</v>
      </c>
      <c r="I10" s="212">
        <v>0</v>
      </c>
      <c r="J10" s="385">
        <f t="shared" ref="J10:J11" si="2">SUM(H10:I10)</f>
        <v>32640</v>
      </c>
      <c r="K10" s="212">
        <v>26117</v>
      </c>
      <c r="L10" s="212">
        <v>0</v>
      </c>
      <c r="M10" s="385">
        <f t="shared" ref="M10:M11" si="3">SUM(K10:L10)</f>
        <v>26117</v>
      </c>
      <c r="N10" s="347">
        <f t="shared" si="1"/>
        <v>80.015318627450981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17730</v>
      </c>
      <c r="I13" s="210">
        <f t="shared" si="4"/>
        <v>0</v>
      </c>
      <c r="J13" s="384">
        <f t="shared" si="4"/>
        <v>17730</v>
      </c>
      <c r="K13" s="210">
        <f t="shared" si="4"/>
        <v>15094</v>
      </c>
      <c r="L13" s="210">
        <f t="shared" si="4"/>
        <v>0</v>
      </c>
      <c r="M13" s="384">
        <f t="shared" si="4"/>
        <v>15094</v>
      </c>
      <c r="N13" s="346">
        <f t="shared" si="1"/>
        <v>85.132543711223917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15720+180+3*70+1*9*180</f>
        <v>17730</v>
      </c>
      <c r="I14" s="212">
        <v>0</v>
      </c>
      <c r="J14" s="385">
        <f>SUM(H14:I14)</f>
        <v>17730</v>
      </c>
      <c r="K14" s="212">
        <v>15094</v>
      </c>
      <c r="L14" s="212">
        <v>0</v>
      </c>
      <c r="M14" s="385">
        <f>SUM(K14:L14)</f>
        <v>15094</v>
      </c>
      <c r="N14" s="347">
        <f t="shared" si="1"/>
        <v>85.132543711223917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SUM(H17:H27)</f>
        <v>79450</v>
      </c>
      <c r="I16" s="293">
        <f t="shared" si="5"/>
        <v>0</v>
      </c>
      <c r="J16" s="387">
        <f t="shared" si="5"/>
        <v>79450</v>
      </c>
      <c r="K16" s="293">
        <f t="shared" si="5"/>
        <v>17805</v>
      </c>
      <c r="L16" s="293">
        <f t="shared" si="5"/>
        <v>0</v>
      </c>
      <c r="M16" s="387">
        <f t="shared" si="5"/>
        <v>17805</v>
      </c>
      <c r="N16" s="346">
        <f t="shared" si="1"/>
        <v>22.410320956576463</v>
      </c>
    </row>
    <row r="17" spans="1:16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5000</v>
      </c>
      <c r="I17" s="363">
        <v>0</v>
      </c>
      <c r="J17" s="385">
        <f t="shared" ref="J17:J27" si="6">SUM(H17:I17)</f>
        <v>5000</v>
      </c>
      <c r="K17" s="363">
        <v>1913</v>
      </c>
      <c r="L17" s="363">
        <v>0</v>
      </c>
      <c r="M17" s="385">
        <f t="shared" ref="M17:M27" si="7">SUM(K17:L17)</f>
        <v>1913</v>
      </c>
      <c r="N17" s="347">
        <f t="shared" si="1"/>
        <v>38.26</v>
      </c>
    </row>
    <row r="18" spans="1:16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0</v>
      </c>
      <c r="I18" s="363">
        <v>0</v>
      </c>
      <c r="J18" s="385">
        <f t="shared" si="6"/>
        <v>0</v>
      </c>
      <c r="K18" s="363">
        <v>0</v>
      </c>
      <c r="L18" s="363">
        <v>0</v>
      </c>
      <c r="M18" s="385">
        <f t="shared" si="7"/>
        <v>0</v>
      </c>
      <c r="N18" s="347" t="str">
        <f t="shared" si="1"/>
        <v/>
      </c>
    </row>
    <row r="19" spans="1:16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3250</v>
      </c>
      <c r="I19" s="363">
        <v>0</v>
      </c>
      <c r="J19" s="385">
        <f t="shared" si="6"/>
        <v>3250</v>
      </c>
      <c r="K19" s="363">
        <v>2070</v>
      </c>
      <c r="L19" s="363">
        <v>0</v>
      </c>
      <c r="M19" s="385">
        <f t="shared" si="7"/>
        <v>2070</v>
      </c>
      <c r="N19" s="347">
        <f t="shared" si="1"/>
        <v>63.692307692307693</v>
      </c>
    </row>
    <row r="20" spans="1:16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200</v>
      </c>
      <c r="I20" s="363">
        <v>0</v>
      </c>
      <c r="J20" s="385">
        <f t="shared" si="6"/>
        <v>200</v>
      </c>
      <c r="K20" s="363">
        <v>142</v>
      </c>
      <c r="L20" s="363">
        <v>0</v>
      </c>
      <c r="M20" s="385">
        <f t="shared" si="7"/>
        <v>142</v>
      </c>
      <c r="N20" s="347">
        <f t="shared" si="1"/>
        <v>71</v>
      </c>
    </row>
    <row r="21" spans="1:16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0</v>
      </c>
      <c r="I21" s="363">
        <v>0</v>
      </c>
      <c r="J21" s="385">
        <f t="shared" si="6"/>
        <v>0</v>
      </c>
      <c r="K21" s="363">
        <v>0</v>
      </c>
      <c r="L21" s="363">
        <v>0</v>
      </c>
      <c r="M21" s="385">
        <f t="shared" si="7"/>
        <v>0</v>
      </c>
      <c r="N21" s="347" t="str">
        <f t="shared" si="1"/>
        <v/>
      </c>
    </row>
    <row r="22" spans="1:16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6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1000</v>
      </c>
      <c r="I23" s="363">
        <v>0</v>
      </c>
      <c r="J23" s="385">
        <f t="shared" si="6"/>
        <v>1000</v>
      </c>
      <c r="K23" s="363">
        <v>109</v>
      </c>
      <c r="L23" s="363">
        <v>0</v>
      </c>
      <c r="M23" s="385">
        <f t="shared" si="7"/>
        <v>109</v>
      </c>
      <c r="N23" s="347">
        <f t="shared" si="1"/>
        <v>10.9</v>
      </c>
    </row>
    <row r="24" spans="1:16" ht="12.95" customHeight="1">
      <c r="B24" s="10"/>
      <c r="C24" s="11"/>
      <c r="D24" s="11"/>
      <c r="E24" s="306">
        <v>613800</v>
      </c>
      <c r="F24" s="332"/>
      <c r="G24" s="11" t="s">
        <v>166</v>
      </c>
      <c r="H24" s="363">
        <v>0</v>
      </c>
      <c r="I24" s="363">
        <v>0</v>
      </c>
      <c r="J24" s="385">
        <f t="shared" si="6"/>
        <v>0</v>
      </c>
      <c r="K24" s="363">
        <v>0</v>
      </c>
      <c r="L24" s="363">
        <v>0</v>
      </c>
      <c r="M24" s="385">
        <f t="shared" si="7"/>
        <v>0</v>
      </c>
      <c r="N24" s="347" t="str">
        <f t="shared" si="1"/>
        <v/>
      </c>
      <c r="P24" s="50"/>
    </row>
    <row r="25" spans="1:16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20000</v>
      </c>
      <c r="I25" s="365">
        <v>0</v>
      </c>
      <c r="J25" s="385">
        <f t="shared" si="6"/>
        <v>20000</v>
      </c>
      <c r="K25" s="365">
        <v>13571</v>
      </c>
      <c r="L25" s="365">
        <v>0</v>
      </c>
      <c r="M25" s="385">
        <f t="shared" si="7"/>
        <v>13571</v>
      </c>
      <c r="N25" s="347">
        <f t="shared" si="1"/>
        <v>67.855000000000004</v>
      </c>
      <c r="P25" s="50"/>
    </row>
    <row r="26" spans="1:16" ht="12.95" customHeight="1">
      <c r="B26" s="10"/>
      <c r="C26" s="11"/>
      <c r="D26" s="11"/>
      <c r="E26" s="306">
        <v>613900</v>
      </c>
      <c r="F26" s="332"/>
      <c r="G26" s="189" t="s">
        <v>535</v>
      </c>
      <c r="H26" s="363">
        <v>0</v>
      </c>
      <c r="I26" s="363">
        <v>0</v>
      </c>
      <c r="J26" s="385">
        <f t="shared" si="6"/>
        <v>0</v>
      </c>
      <c r="K26" s="363">
        <v>0</v>
      </c>
      <c r="L26" s="363">
        <v>0</v>
      </c>
      <c r="M26" s="385">
        <f t="shared" si="7"/>
        <v>0</v>
      </c>
      <c r="N26" s="347" t="str">
        <f t="shared" si="1"/>
        <v/>
      </c>
    </row>
    <row r="27" spans="1:16" ht="12.95" customHeight="1">
      <c r="B27" s="10"/>
      <c r="C27" s="11"/>
      <c r="D27" s="11"/>
      <c r="E27" s="306">
        <v>613900</v>
      </c>
      <c r="F27" s="332" t="s">
        <v>668</v>
      </c>
      <c r="G27" s="18" t="s">
        <v>547</v>
      </c>
      <c r="H27" s="363">
        <v>50000</v>
      </c>
      <c r="I27" s="363">
        <v>0</v>
      </c>
      <c r="J27" s="385">
        <f t="shared" si="6"/>
        <v>50000</v>
      </c>
      <c r="K27" s="363">
        <v>0</v>
      </c>
      <c r="L27" s="363">
        <v>0</v>
      </c>
      <c r="M27" s="385">
        <f t="shared" si="7"/>
        <v>0</v>
      </c>
      <c r="N27" s="347">
        <f t="shared" si="1"/>
        <v>0</v>
      </c>
    </row>
    <row r="28" spans="1:16" ht="12.95" customHeight="1">
      <c r="B28" s="10"/>
      <c r="C28" s="11"/>
      <c r="D28" s="11"/>
      <c r="E28" s="306"/>
      <c r="F28" s="332"/>
      <c r="G28" s="11"/>
      <c r="H28" s="288"/>
      <c r="I28" s="288"/>
      <c r="J28" s="387"/>
      <c r="K28" s="288"/>
      <c r="L28" s="288"/>
      <c r="M28" s="387"/>
      <c r="N28" s="347" t="str">
        <f t="shared" si="1"/>
        <v/>
      </c>
    </row>
    <row r="29" spans="1:16" s="1" customFormat="1" ht="12.95" customHeight="1">
      <c r="A29" s="281"/>
      <c r="B29" s="12"/>
      <c r="C29" s="8"/>
      <c r="D29" s="8"/>
      <c r="E29" s="305">
        <v>614000</v>
      </c>
      <c r="F29" s="331"/>
      <c r="G29" s="8" t="s">
        <v>202</v>
      </c>
      <c r="H29" s="288">
        <f t="shared" ref="H29:M29" si="8">SUM(H30:H30)</f>
        <v>1000000</v>
      </c>
      <c r="I29" s="288">
        <f t="shared" si="8"/>
        <v>0</v>
      </c>
      <c r="J29" s="387">
        <f t="shared" si="8"/>
        <v>1000000</v>
      </c>
      <c r="K29" s="288">
        <f t="shared" si="8"/>
        <v>218783</v>
      </c>
      <c r="L29" s="288">
        <f t="shared" si="8"/>
        <v>0</v>
      </c>
      <c r="M29" s="387">
        <f t="shared" si="8"/>
        <v>218783</v>
      </c>
      <c r="N29" s="346">
        <f t="shared" si="1"/>
        <v>21.878299999999999</v>
      </c>
    </row>
    <row r="30" spans="1:16" s="1" customFormat="1" ht="12.95" customHeight="1">
      <c r="A30" s="281"/>
      <c r="B30" s="12"/>
      <c r="C30" s="8"/>
      <c r="D30" s="47"/>
      <c r="E30" s="311">
        <v>614500</v>
      </c>
      <c r="F30" s="337" t="s">
        <v>669</v>
      </c>
      <c r="G30" s="74" t="s">
        <v>631</v>
      </c>
      <c r="H30" s="296">
        <v>1000000</v>
      </c>
      <c r="I30" s="296">
        <v>0</v>
      </c>
      <c r="J30" s="385">
        <f>SUM(H30:I30)</f>
        <v>1000000</v>
      </c>
      <c r="K30" s="296">
        <v>218783</v>
      </c>
      <c r="L30" s="296">
        <v>0</v>
      </c>
      <c r="M30" s="385">
        <f>SUM(K30:L30)</f>
        <v>218783</v>
      </c>
      <c r="N30" s="347">
        <f t="shared" si="1"/>
        <v>21.878299999999999</v>
      </c>
    </row>
    <row r="31" spans="1:16" ht="12.95" customHeight="1">
      <c r="B31" s="10"/>
      <c r="C31" s="11"/>
      <c r="D31" s="11"/>
      <c r="E31" s="306"/>
      <c r="F31" s="332"/>
      <c r="G31" s="18"/>
      <c r="H31" s="296"/>
      <c r="I31" s="296"/>
      <c r="J31" s="386"/>
      <c r="K31" s="296"/>
      <c r="L31" s="296"/>
      <c r="M31" s="386"/>
      <c r="N31" s="347" t="str">
        <f t="shared" si="1"/>
        <v/>
      </c>
    </row>
    <row r="32" spans="1:16" ht="12.95" customHeight="1">
      <c r="B32" s="12"/>
      <c r="C32" s="8"/>
      <c r="D32" s="8"/>
      <c r="E32" s="305">
        <v>821000</v>
      </c>
      <c r="F32" s="331"/>
      <c r="G32" s="8" t="s">
        <v>90</v>
      </c>
      <c r="H32" s="295">
        <f t="shared" ref="H32:M32" si="9">SUM(H33:H34)</f>
        <v>1000</v>
      </c>
      <c r="I32" s="295">
        <f t="shared" si="9"/>
        <v>0</v>
      </c>
      <c r="J32" s="387">
        <f t="shared" si="9"/>
        <v>1000</v>
      </c>
      <c r="K32" s="295">
        <f t="shared" si="9"/>
        <v>860</v>
      </c>
      <c r="L32" s="295">
        <f t="shared" si="9"/>
        <v>0</v>
      </c>
      <c r="M32" s="387">
        <f t="shared" si="9"/>
        <v>860</v>
      </c>
      <c r="N32" s="346">
        <f t="shared" si="1"/>
        <v>86</v>
      </c>
    </row>
    <row r="33" spans="1:14" ht="12.95" customHeight="1">
      <c r="B33" s="10"/>
      <c r="C33" s="11"/>
      <c r="D33" s="11"/>
      <c r="E33" s="306">
        <v>821200</v>
      </c>
      <c r="F33" s="332"/>
      <c r="G33" s="11" t="s">
        <v>91</v>
      </c>
      <c r="H33" s="296">
        <v>0</v>
      </c>
      <c r="I33" s="296">
        <v>0</v>
      </c>
      <c r="J33" s="385">
        <f t="shared" ref="J33:J34" si="10">SUM(H33:I33)</f>
        <v>0</v>
      </c>
      <c r="K33" s="296">
        <v>0</v>
      </c>
      <c r="L33" s="296">
        <v>0</v>
      </c>
      <c r="M33" s="385">
        <f t="shared" ref="M33:M34" si="11">SUM(K33:L33)</f>
        <v>0</v>
      </c>
      <c r="N33" s="347" t="str">
        <f t="shared" si="1"/>
        <v/>
      </c>
    </row>
    <row r="34" spans="1:14" ht="12.95" customHeight="1">
      <c r="B34" s="10"/>
      <c r="C34" s="11"/>
      <c r="D34" s="11"/>
      <c r="E34" s="306">
        <v>821300</v>
      </c>
      <c r="F34" s="332"/>
      <c r="G34" s="11" t="s">
        <v>92</v>
      </c>
      <c r="H34" s="296">
        <v>1000</v>
      </c>
      <c r="I34" s="296">
        <v>0</v>
      </c>
      <c r="J34" s="385">
        <f t="shared" si="10"/>
        <v>1000</v>
      </c>
      <c r="K34" s="296">
        <v>860</v>
      </c>
      <c r="L34" s="296">
        <v>0</v>
      </c>
      <c r="M34" s="385">
        <f t="shared" si="11"/>
        <v>860</v>
      </c>
      <c r="N34" s="347">
        <f t="shared" si="1"/>
        <v>86</v>
      </c>
    </row>
    <row r="35" spans="1:14" ht="12.95" customHeight="1">
      <c r="B35" s="10"/>
      <c r="C35" s="11"/>
      <c r="D35" s="11"/>
      <c r="E35" s="306"/>
      <c r="F35" s="332"/>
      <c r="G35" s="11"/>
      <c r="H35" s="291"/>
      <c r="I35" s="291"/>
      <c r="J35" s="386"/>
      <c r="K35" s="291"/>
      <c r="L35" s="291"/>
      <c r="M35" s="386"/>
      <c r="N35" s="347" t="str">
        <f t="shared" si="1"/>
        <v/>
      </c>
    </row>
    <row r="36" spans="1:14" ht="12.95" customHeight="1">
      <c r="B36" s="12"/>
      <c r="C36" s="8"/>
      <c r="D36" s="8"/>
      <c r="E36" s="305"/>
      <c r="F36" s="331"/>
      <c r="G36" s="8" t="s">
        <v>93</v>
      </c>
      <c r="H36" s="295">
        <v>8</v>
      </c>
      <c r="I36" s="295"/>
      <c r="J36" s="387">
        <v>8</v>
      </c>
      <c r="K36" s="295">
        <v>8</v>
      </c>
      <c r="L36" s="295"/>
      <c r="M36" s="387">
        <v>8</v>
      </c>
      <c r="N36" s="347"/>
    </row>
    <row r="37" spans="1:14" ht="12.95" customHeight="1">
      <c r="B37" s="12"/>
      <c r="C37" s="8"/>
      <c r="D37" s="8"/>
      <c r="E37" s="305"/>
      <c r="F37" s="331"/>
      <c r="G37" s="8" t="s">
        <v>113</v>
      </c>
      <c r="H37" s="288">
        <f t="shared" ref="H37:M37" si="12">H8+H13+H16+H29+H32</f>
        <v>1296020</v>
      </c>
      <c r="I37" s="288">
        <f t="shared" si="12"/>
        <v>0</v>
      </c>
      <c r="J37" s="387">
        <f t="shared" si="12"/>
        <v>1296020</v>
      </c>
      <c r="K37" s="288">
        <f t="shared" si="12"/>
        <v>418988</v>
      </c>
      <c r="L37" s="288">
        <f t="shared" si="12"/>
        <v>0</v>
      </c>
      <c r="M37" s="387">
        <f t="shared" si="12"/>
        <v>418988</v>
      </c>
      <c r="N37" s="346">
        <f t="shared" si="1"/>
        <v>32.328822086078915</v>
      </c>
    </row>
    <row r="38" spans="1:14" ht="12.95" customHeight="1">
      <c r="B38" s="12"/>
      <c r="C38" s="8"/>
      <c r="D38" s="8"/>
      <c r="E38" s="305"/>
      <c r="F38" s="331"/>
      <c r="G38" s="8" t="s">
        <v>94</v>
      </c>
      <c r="H38" s="288">
        <f t="shared" ref="H38:J39" si="13">H37</f>
        <v>1296020</v>
      </c>
      <c r="I38" s="288">
        <f t="shared" si="13"/>
        <v>0</v>
      </c>
      <c r="J38" s="387">
        <f t="shared" si="13"/>
        <v>1296020</v>
      </c>
      <c r="K38" s="288">
        <f t="shared" ref="K38:M38" si="14">K37</f>
        <v>418988</v>
      </c>
      <c r="L38" s="288">
        <f t="shared" si="14"/>
        <v>0</v>
      </c>
      <c r="M38" s="387">
        <f t="shared" si="14"/>
        <v>418988</v>
      </c>
      <c r="N38" s="346">
        <f t="shared" si="1"/>
        <v>32.328822086078915</v>
      </c>
    </row>
    <row r="39" spans="1:14" s="1" customFormat="1" ht="12.95" customHeight="1">
      <c r="A39" s="281"/>
      <c r="B39" s="12"/>
      <c r="C39" s="8"/>
      <c r="D39" s="8"/>
      <c r="E39" s="305"/>
      <c r="F39" s="331"/>
      <c r="G39" s="8" t="s">
        <v>95</v>
      </c>
      <c r="H39" s="288">
        <f t="shared" si="13"/>
        <v>1296020</v>
      </c>
      <c r="I39" s="288">
        <f t="shared" si="13"/>
        <v>0</v>
      </c>
      <c r="J39" s="387">
        <f t="shared" si="13"/>
        <v>1296020</v>
      </c>
      <c r="K39" s="288">
        <f t="shared" ref="K39:M39" si="15">K38</f>
        <v>418988</v>
      </c>
      <c r="L39" s="288">
        <f t="shared" si="15"/>
        <v>0</v>
      </c>
      <c r="M39" s="387">
        <f t="shared" si="15"/>
        <v>418988</v>
      </c>
      <c r="N39" s="346">
        <f t="shared" si="1"/>
        <v>32.328822086078915</v>
      </c>
    </row>
    <row r="40" spans="1:14" s="1" customFormat="1" ht="12.95" customHeight="1" thickBot="1">
      <c r="A40" s="281"/>
      <c r="B40" s="15"/>
      <c r="C40" s="16"/>
      <c r="D40" s="16"/>
      <c r="E40" s="307"/>
      <c r="F40" s="333"/>
      <c r="G40" s="16"/>
      <c r="H40" s="27"/>
      <c r="I40" s="27"/>
      <c r="J40" s="390"/>
      <c r="K40" s="27"/>
      <c r="L40" s="27"/>
      <c r="M40" s="390"/>
      <c r="N40" s="349" t="str">
        <f t="shared" si="1"/>
        <v/>
      </c>
    </row>
    <row r="41" spans="1:14" s="1" customFormat="1" ht="12.95" customHeight="1">
      <c r="A41" s="281"/>
      <c r="B41" s="9"/>
      <c r="C41" s="9"/>
      <c r="D41" s="9"/>
      <c r="E41" s="308"/>
      <c r="F41" s="334"/>
      <c r="G41" s="50"/>
      <c r="H41" s="57"/>
      <c r="I41" s="57"/>
      <c r="J41" s="393"/>
      <c r="K41" s="57"/>
      <c r="L41" s="57"/>
      <c r="M41" s="393"/>
      <c r="N41" s="350" t="str">
        <f t="shared" si="1"/>
        <v/>
      </c>
    </row>
    <row r="42" spans="1:14" s="1" customFormat="1" ht="12.95" customHeight="1">
      <c r="A42" s="281"/>
      <c r="B42" s="50"/>
      <c r="C42" s="9"/>
      <c r="D42" s="9"/>
      <c r="E42" s="308"/>
      <c r="F42" s="334"/>
      <c r="G42" s="9"/>
      <c r="H42" s="57"/>
      <c r="I42" s="57"/>
      <c r="J42" s="393"/>
      <c r="K42" s="57"/>
      <c r="L42" s="57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P96"/>
  <sheetViews>
    <sheetView topLeftCell="A11" zoomScaleNormal="100" workbookViewId="0">
      <selection activeCell="M50" sqref="M50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5" width="11" style="9" bestFit="1" customWidth="1"/>
    <col min="16" max="16384" width="9.140625" style="9"/>
  </cols>
  <sheetData>
    <row r="1" spans="1:16" ht="13.5" thickBot="1"/>
    <row r="2" spans="1:16" s="98" customFormat="1" ht="20.100000000000001" customHeight="1" thickTop="1" thickBot="1">
      <c r="B2" s="598" t="s">
        <v>136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367"/>
      <c r="I3" s="367"/>
      <c r="J3" s="367"/>
      <c r="K3" s="367"/>
      <c r="L3" s="367"/>
      <c r="M3" s="367"/>
      <c r="N3" s="344"/>
      <c r="O3" s="368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135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2" customFormat="1" ht="12.95" customHeight="1">
      <c r="A8" s="282"/>
      <c r="B8" s="6"/>
      <c r="C8" s="7"/>
      <c r="D8" s="7"/>
      <c r="E8" s="305">
        <v>600000</v>
      </c>
      <c r="F8" s="331"/>
      <c r="G8" s="19" t="s">
        <v>120</v>
      </c>
      <c r="H8" s="278">
        <f t="shared" ref="H8:M8" si="0">H9</f>
        <v>15000</v>
      </c>
      <c r="I8" s="278">
        <f t="shared" si="0"/>
        <v>0</v>
      </c>
      <c r="J8" s="389">
        <f t="shared" si="0"/>
        <v>15000</v>
      </c>
      <c r="K8" s="278">
        <f t="shared" si="0"/>
        <v>6700</v>
      </c>
      <c r="L8" s="278">
        <f t="shared" si="0"/>
        <v>0</v>
      </c>
      <c r="M8" s="389">
        <f t="shared" si="0"/>
        <v>6700</v>
      </c>
      <c r="N8" s="346">
        <f>IF(J8=0,"",M8/J8*100)</f>
        <v>44.666666666666664</v>
      </c>
    </row>
    <row r="9" spans="1:16" s="2" customFormat="1" ht="12.95" customHeight="1">
      <c r="A9" s="282"/>
      <c r="B9" s="6"/>
      <c r="C9" s="7"/>
      <c r="D9" s="7"/>
      <c r="E9" s="306">
        <v>600000</v>
      </c>
      <c r="F9" s="332"/>
      <c r="G9" s="35" t="s">
        <v>109</v>
      </c>
      <c r="H9" s="280">
        <v>15000</v>
      </c>
      <c r="I9" s="280">
        <v>0</v>
      </c>
      <c r="J9" s="386">
        <f>SUM(H9:I9)</f>
        <v>15000</v>
      </c>
      <c r="K9" s="280">
        <v>6700</v>
      </c>
      <c r="L9" s="280">
        <v>0</v>
      </c>
      <c r="M9" s="386">
        <f>SUM(K9:L9)</f>
        <v>6700</v>
      </c>
      <c r="N9" s="347">
        <f t="shared" ref="N9:N66" si="1">IF(J9=0,"",M9/J9*100)</f>
        <v>44.666666666666664</v>
      </c>
    </row>
    <row r="10" spans="1:16" s="2" customFormat="1" ht="12.95" customHeight="1">
      <c r="A10" s="282"/>
      <c r="B10" s="6"/>
      <c r="C10" s="7"/>
      <c r="D10" s="7"/>
      <c r="E10" s="305"/>
      <c r="F10" s="331"/>
      <c r="G10" s="5"/>
      <c r="H10" s="280"/>
      <c r="I10" s="280"/>
      <c r="J10" s="386"/>
      <c r="K10" s="280"/>
      <c r="L10" s="280"/>
      <c r="M10" s="386"/>
      <c r="N10" s="347" t="str">
        <f t="shared" si="1"/>
        <v/>
      </c>
    </row>
    <row r="11" spans="1:16" s="1" customFormat="1" ht="12.95" customHeight="1">
      <c r="A11" s="281"/>
      <c r="B11" s="12"/>
      <c r="C11" s="8"/>
      <c r="D11" s="8"/>
      <c r="E11" s="305">
        <v>611000</v>
      </c>
      <c r="F11" s="331"/>
      <c r="G11" s="8" t="s">
        <v>163</v>
      </c>
      <c r="H11" s="210">
        <f t="shared" ref="H11:M11" si="2">SUM(H12:H14)</f>
        <v>384770</v>
      </c>
      <c r="I11" s="210">
        <f t="shared" si="2"/>
        <v>0</v>
      </c>
      <c r="J11" s="384">
        <f t="shared" si="2"/>
        <v>384770</v>
      </c>
      <c r="K11" s="210">
        <f t="shared" si="2"/>
        <v>271720</v>
      </c>
      <c r="L11" s="210">
        <f t="shared" si="2"/>
        <v>0</v>
      </c>
      <c r="M11" s="384">
        <f t="shared" si="2"/>
        <v>271720</v>
      </c>
      <c r="N11" s="346">
        <f t="shared" si="1"/>
        <v>70.618811237882369</v>
      </c>
    </row>
    <row r="12" spans="1:16" ht="12.95" customHeight="1">
      <c r="B12" s="10"/>
      <c r="C12" s="11"/>
      <c r="D12" s="11"/>
      <c r="E12" s="306">
        <v>611100</v>
      </c>
      <c r="F12" s="332"/>
      <c r="G12" s="18" t="s">
        <v>198</v>
      </c>
      <c r="H12" s="212">
        <f>301000+3120+1*7*1980</f>
        <v>317980</v>
      </c>
      <c r="I12" s="212">
        <v>0</v>
      </c>
      <c r="J12" s="386">
        <f t="shared" ref="J12:J14" si="3">SUM(H12:I12)</f>
        <v>317980</v>
      </c>
      <c r="K12" s="212">
        <v>225435</v>
      </c>
      <c r="L12" s="212">
        <v>0</v>
      </c>
      <c r="M12" s="386">
        <f t="shared" ref="M12:M14" si="4">SUM(K12:L12)</f>
        <v>225435</v>
      </c>
      <c r="N12" s="347">
        <f t="shared" si="1"/>
        <v>70.89596829989307</v>
      </c>
    </row>
    <row r="13" spans="1:16" ht="12.95" customHeight="1">
      <c r="B13" s="10"/>
      <c r="C13" s="11"/>
      <c r="D13" s="11"/>
      <c r="E13" s="306">
        <v>611200</v>
      </c>
      <c r="F13" s="332"/>
      <c r="G13" s="11" t="s">
        <v>199</v>
      </c>
      <c r="H13" s="209">
        <f>62350+900+900+7*320+400</f>
        <v>66790</v>
      </c>
      <c r="I13" s="209">
        <v>0</v>
      </c>
      <c r="J13" s="386">
        <f t="shared" si="3"/>
        <v>66790</v>
      </c>
      <c r="K13" s="209">
        <v>46285</v>
      </c>
      <c r="L13" s="209">
        <v>0</v>
      </c>
      <c r="M13" s="386">
        <f t="shared" si="4"/>
        <v>46285</v>
      </c>
      <c r="N13" s="347">
        <f t="shared" si="1"/>
        <v>69.299296301841594</v>
      </c>
    </row>
    <row r="14" spans="1:16" ht="12.95" customHeight="1">
      <c r="B14" s="10"/>
      <c r="C14" s="11"/>
      <c r="D14" s="11"/>
      <c r="E14" s="306">
        <v>611200</v>
      </c>
      <c r="F14" s="332"/>
      <c r="G14" s="189" t="s">
        <v>534</v>
      </c>
      <c r="H14" s="209">
        <v>0</v>
      </c>
      <c r="I14" s="209">
        <v>0</v>
      </c>
      <c r="J14" s="386">
        <f t="shared" si="3"/>
        <v>0</v>
      </c>
      <c r="K14" s="209">
        <v>0</v>
      </c>
      <c r="L14" s="209">
        <v>0</v>
      </c>
      <c r="M14" s="386">
        <f t="shared" si="4"/>
        <v>0</v>
      </c>
      <c r="N14" s="347" t="str">
        <f t="shared" si="1"/>
        <v/>
      </c>
      <c r="P14" s="56"/>
    </row>
    <row r="15" spans="1:16" ht="12.95" customHeight="1">
      <c r="B15" s="10"/>
      <c r="C15" s="11"/>
      <c r="D15" s="11"/>
      <c r="E15" s="306"/>
      <c r="F15" s="332"/>
      <c r="G15" s="18"/>
      <c r="H15" s="209"/>
      <c r="I15" s="209"/>
      <c r="J15" s="385"/>
      <c r="K15" s="209"/>
      <c r="L15" s="209"/>
      <c r="M15" s="385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612000</v>
      </c>
      <c r="F16" s="331"/>
      <c r="G16" s="8" t="s">
        <v>162</v>
      </c>
      <c r="H16" s="210">
        <f t="shared" ref="H16:M16" si="5">H17+H18</f>
        <v>35150</v>
      </c>
      <c r="I16" s="210">
        <f t="shared" si="5"/>
        <v>0</v>
      </c>
      <c r="J16" s="384">
        <f t="shared" si="5"/>
        <v>35150</v>
      </c>
      <c r="K16" s="210">
        <f t="shared" si="5"/>
        <v>24427</v>
      </c>
      <c r="L16" s="210">
        <f t="shared" si="5"/>
        <v>0</v>
      </c>
      <c r="M16" s="384">
        <f t="shared" si="5"/>
        <v>24427</v>
      </c>
      <c r="N16" s="346">
        <f t="shared" si="1"/>
        <v>69.493598862019908</v>
      </c>
    </row>
    <row r="17" spans="1:14" ht="12.95" customHeight="1">
      <c r="B17" s="10"/>
      <c r="C17" s="11"/>
      <c r="D17" s="11"/>
      <c r="E17" s="306">
        <v>612100</v>
      </c>
      <c r="F17" s="332"/>
      <c r="G17" s="13" t="s">
        <v>83</v>
      </c>
      <c r="H17" s="209">
        <f>33230+380+1*7*220</f>
        <v>35150</v>
      </c>
      <c r="I17" s="209">
        <v>0</v>
      </c>
      <c r="J17" s="386">
        <f>SUM(H17:I17)</f>
        <v>35150</v>
      </c>
      <c r="K17" s="209">
        <v>24427</v>
      </c>
      <c r="L17" s="209">
        <v>0</v>
      </c>
      <c r="M17" s="386">
        <f>SUM(K17:L17)</f>
        <v>24427</v>
      </c>
      <c r="N17" s="347">
        <f t="shared" si="1"/>
        <v>69.493598862019908</v>
      </c>
    </row>
    <row r="18" spans="1:14" ht="12.95" customHeight="1">
      <c r="B18" s="10"/>
      <c r="C18" s="11"/>
      <c r="D18" s="11"/>
      <c r="E18" s="306"/>
      <c r="F18" s="332"/>
      <c r="G18" s="11"/>
      <c r="H18" s="279"/>
      <c r="I18" s="279"/>
      <c r="J18" s="386"/>
      <c r="K18" s="279"/>
      <c r="L18" s="279"/>
      <c r="M18" s="386"/>
      <c r="N18" s="347" t="str">
        <f t="shared" si="1"/>
        <v/>
      </c>
    </row>
    <row r="19" spans="1:14" s="1" customFormat="1" ht="12.95" customHeight="1">
      <c r="A19" s="281"/>
      <c r="B19" s="12"/>
      <c r="C19" s="8"/>
      <c r="D19" s="8"/>
      <c r="E19" s="305">
        <v>613000</v>
      </c>
      <c r="F19" s="331"/>
      <c r="G19" s="8" t="s">
        <v>164</v>
      </c>
      <c r="H19" s="293">
        <f t="shared" ref="H19:M19" si="6">SUM(H20:H30)</f>
        <v>115600</v>
      </c>
      <c r="I19" s="293">
        <f t="shared" si="6"/>
        <v>0</v>
      </c>
      <c r="J19" s="387">
        <f t="shared" si="6"/>
        <v>115600</v>
      </c>
      <c r="K19" s="293">
        <f t="shared" si="6"/>
        <v>59774</v>
      </c>
      <c r="L19" s="293">
        <f t="shared" si="6"/>
        <v>0</v>
      </c>
      <c r="M19" s="387">
        <f t="shared" si="6"/>
        <v>59774</v>
      </c>
      <c r="N19" s="346">
        <f t="shared" si="1"/>
        <v>51.707612456747412</v>
      </c>
    </row>
    <row r="20" spans="1:14" ht="12.95" customHeight="1">
      <c r="B20" s="10"/>
      <c r="C20" s="11"/>
      <c r="D20" s="11"/>
      <c r="E20" s="306">
        <v>613100</v>
      </c>
      <c r="F20" s="332"/>
      <c r="G20" s="11" t="s">
        <v>84</v>
      </c>
      <c r="H20" s="279">
        <v>5000</v>
      </c>
      <c r="I20" s="279">
        <v>0</v>
      </c>
      <c r="J20" s="386">
        <f t="shared" ref="J20:J30" si="7">SUM(H20:I20)</f>
        <v>5000</v>
      </c>
      <c r="K20" s="279">
        <v>1642</v>
      </c>
      <c r="L20" s="279">
        <v>0</v>
      </c>
      <c r="M20" s="386">
        <f t="shared" ref="M20:M30" si="8">SUM(K20:L20)</f>
        <v>1642</v>
      </c>
      <c r="N20" s="347">
        <f t="shared" si="1"/>
        <v>32.840000000000003</v>
      </c>
    </row>
    <row r="21" spans="1:14" ht="12.95" customHeight="1">
      <c r="B21" s="10"/>
      <c r="C21" s="11"/>
      <c r="D21" s="11"/>
      <c r="E21" s="306">
        <v>613200</v>
      </c>
      <c r="F21" s="332"/>
      <c r="G21" s="11" t="s">
        <v>85</v>
      </c>
      <c r="H21" s="279">
        <v>0</v>
      </c>
      <c r="I21" s="279">
        <v>0</v>
      </c>
      <c r="J21" s="386">
        <f t="shared" si="7"/>
        <v>0</v>
      </c>
      <c r="K21" s="279">
        <v>0</v>
      </c>
      <c r="L21" s="279">
        <v>0</v>
      </c>
      <c r="M21" s="386">
        <f t="shared" si="8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613300</v>
      </c>
      <c r="F22" s="332"/>
      <c r="G22" s="18" t="s">
        <v>200</v>
      </c>
      <c r="H22" s="279">
        <f>640*12</f>
        <v>7680</v>
      </c>
      <c r="I22" s="279">
        <v>0</v>
      </c>
      <c r="J22" s="386">
        <f t="shared" si="7"/>
        <v>7680</v>
      </c>
      <c r="K22" s="279">
        <v>5512</v>
      </c>
      <c r="L22" s="279">
        <v>0</v>
      </c>
      <c r="M22" s="386">
        <f t="shared" si="8"/>
        <v>5512</v>
      </c>
      <c r="N22" s="347">
        <f t="shared" si="1"/>
        <v>71.770833333333329</v>
      </c>
    </row>
    <row r="23" spans="1:14" ht="12.95" customHeight="1">
      <c r="B23" s="10"/>
      <c r="C23" s="11"/>
      <c r="D23" s="11"/>
      <c r="E23" s="306">
        <v>613400</v>
      </c>
      <c r="F23" s="332"/>
      <c r="G23" s="11" t="s">
        <v>165</v>
      </c>
      <c r="H23" s="279">
        <f>250*12</f>
        <v>3000</v>
      </c>
      <c r="I23" s="279">
        <v>0</v>
      </c>
      <c r="J23" s="386">
        <f t="shared" si="7"/>
        <v>3000</v>
      </c>
      <c r="K23" s="279">
        <v>1849</v>
      </c>
      <c r="L23" s="279">
        <v>0</v>
      </c>
      <c r="M23" s="386">
        <f t="shared" si="8"/>
        <v>1849</v>
      </c>
      <c r="N23" s="347">
        <f t="shared" si="1"/>
        <v>61.633333333333326</v>
      </c>
    </row>
    <row r="24" spans="1:14" ht="12.95" customHeight="1">
      <c r="B24" s="10"/>
      <c r="C24" s="11"/>
      <c r="D24" s="11"/>
      <c r="E24" s="306">
        <v>613500</v>
      </c>
      <c r="F24" s="332"/>
      <c r="G24" s="11" t="s">
        <v>86</v>
      </c>
      <c r="H24" s="280">
        <v>0</v>
      </c>
      <c r="I24" s="280">
        <v>0</v>
      </c>
      <c r="J24" s="386">
        <f t="shared" si="7"/>
        <v>0</v>
      </c>
      <c r="K24" s="280">
        <v>0</v>
      </c>
      <c r="L24" s="280">
        <v>0</v>
      </c>
      <c r="M24" s="386">
        <f t="shared" si="8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613600</v>
      </c>
      <c r="F25" s="332"/>
      <c r="G25" s="18" t="s">
        <v>201</v>
      </c>
      <c r="H25" s="280">
        <v>0</v>
      </c>
      <c r="I25" s="280">
        <v>0</v>
      </c>
      <c r="J25" s="386">
        <f t="shared" si="7"/>
        <v>0</v>
      </c>
      <c r="K25" s="280">
        <v>0</v>
      </c>
      <c r="L25" s="280">
        <v>0</v>
      </c>
      <c r="M25" s="386">
        <f t="shared" si="8"/>
        <v>0</v>
      </c>
      <c r="N25" s="347" t="str">
        <f t="shared" si="1"/>
        <v/>
      </c>
    </row>
    <row r="26" spans="1:14" ht="12.95" customHeight="1">
      <c r="B26" s="10"/>
      <c r="C26" s="11"/>
      <c r="D26" s="11"/>
      <c r="E26" s="306">
        <v>613700</v>
      </c>
      <c r="F26" s="332"/>
      <c r="G26" s="11" t="s">
        <v>87</v>
      </c>
      <c r="H26" s="296">
        <v>1500</v>
      </c>
      <c r="I26" s="296">
        <v>0</v>
      </c>
      <c r="J26" s="386">
        <f t="shared" si="7"/>
        <v>1500</v>
      </c>
      <c r="K26" s="296">
        <v>1431</v>
      </c>
      <c r="L26" s="296">
        <v>0</v>
      </c>
      <c r="M26" s="386">
        <f t="shared" si="8"/>
        <v>1431</v>
      </c>
      <c r="N26" s="347">
        <f t="shared" si="1"/>
        <v>95.399999999999991</v>
      </c>
    </row>
    <row r="27" spans="1:14" ht="12.95" customHeight="1">
      <c r="B27" s="10"/>
      <c r="C27" s="11"/>
      <c r="D27" s="11"/>
      <c r="E27" s="306">
        <v>613800</v>
      </c>
      <c r="F27" s="332"/>
      <c r="G27" s="11" t="s">
        <v>166</v>
      </c>
      <c r="H27" s="280">
        <f>510*12</f>
        <v>6120</v>
      </c>
      <c r="I27" s="280">
        <v>0</v>
      </c>
      <c r="J27" s="386">
        <f t="shared" si="7"/>
        <v>6120</v>
      </c>
      <c r="K27" s="280">
        <v>4038</v>
      </c>
      <c r="L27" s="280">
        <v>0</v>
      </c>
      <c r="M27" s="386">
        <f t="shared" si="8"/>
        <v>4038</v>
      </c>
      <c r="N27" s="347">
        <f t="shared" si="1"/>
        <v>65.980392156862749</v>
      </c>
    </row>
    <row r="28" spans="1:14" ht="12.95" customHeight="1">
      <c r="B28" s="10"/>
      <c r="C28" s="11"/>
      <c r="D28" s="11"/>
      <c r="E28" s="306">
        <v>613900</v>
      </c>
      <c r="F28" s="332"/>
      <c r="G28" s="11" t="s">
        <v>167</v>
      </c>
      <c r="H28" s="277">
        <f>2300*12</f>
        <v>27600</v>
      </c>
      <c r="I28" s="277">
        <v>0</v>
      </c>
      <c r="J28" s="386">
        <f t="shared" si="7"/>
        <v>27600</v>
      </c>
      <c r="K28" s="277">
        <v>7332</v>
      </c>
      <c r="L28" s="277">
        <v>0</v>
      </c>
      <c r="M28" s="386">
        <f t="shared" si="8"/>
        <v>7332</v>
      </c>
      <c r="N28" s="347">
        <f t="shared" si="1"/>
        <v>26.565217391304348</v>
      </c>
    </row>
    <row r="29" spans="1:14" ht="12.95" customHeight="1">
      <c r="B29" s="10"/>
      <c r="C29" s="11"/>
      <c r="D29" s="11"/>
      <c r="E29" s="312">
        <v>613900</v>
      </c>
      <c r="F29" s="338" t="s">
        <v>670</v>
      </c>
      <c r="G29" s="18" t="s">
        <v>538</v>
      </c>
      <c r="H29" s="280">
        <f>12*4600+8000+1500</f>
        <v>64700</v>
      </c>
      <c r="I29" s="280">
        <v>0</v>
      </c>
      <c r="J29" s="386">
        <f t="shared" si="7"/>
        <v>64700</v>
      </c>
      <c r="K29" s="280">
        <v>37970</v>
      </c>
      <c r="L29" s="280">
        <v>0</v>
      </c>
      <c r="M29" s="386">
        <f t="shared" si="8"/>
        <v>37970</v>
      </c>
      <c r="N29" s="347">
        <f t="shared" si="1"/>
        <v>58.686244204018543</v>
      </c>
    </row>
    <row r="30" spans="1:14" ht="12.95" customHeight="1">
      <c r="B30" s="10"/>
      <c r="C30" s="11"/>
      <c r="D30" s="11"/>
      <c r="E30" s="306">
        <v>613900</v>
      </c>
      <c r="F30" s="332"/>
      <c r="G30" s="189" t="s">
        <v>535</v>
      </c>
      <c r="H30" s="280">
        <v>0</v>
      </c>
      <c r="I30" s="280">
        <v>0</v>
      </c>
      <c r="J30" s="386">
        <f t="shared" si="7"/>
        <v>0</v>
      </c>
      <c r="K30" s="280">
        <v>0</v>
      </c>
      <c r="L30" s="280">
        <v>0</v>
      </c>
      <c r="M30" s="386">
        <f t="shared" si="8"/>
        <v>0</v>
      </c>
      <c r="N30" s="347" t="str">
        <f t="shared" si="1"/>
        <v/>
      </c>
    </row>
    <row r="31" spans="1:14" ht="12.95" customHeight="1">
      <c r="B31" s="10"/>
      <c r="C31" s="11"/>
      <c r="D31" s="11"/>
      <c r="E31" s="312"/>
      <c r="F31" s="338"/>
      <c r="G31" s="11"/>
      <c r="H31" s="280"/>
      <c r="I31" s="280"/>
      <c r="J31" s="386"/>
      <c r="K31" s="280"/>
      <c r="L31" s="280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23"/>
      <c r="E32" s="305">
        <v>614000</v>
      </c>
      <c r="F32" s="331"/>
      <c r="G32" s="8" t="s">
        <v>202</v>
      </c>
      <c r="H32" s="295">
        <f t="shared" ref="H32:M32" si="9">SUM(H33:H35)</f>
        <v>280000</v>
      </c>
      <c r="I32" s="295">
        <f t="shared" si="9"/>
        <v>0</v>
      </c>
      <c r="J32" s="387">
        <f t="shared" si="9"/>
        <v>280000</v>
      </c>
      <c r="K32" s="295">
        <f t="shared" si="9"/>
        <v>201335</v>
      </c>
      <c r="L32" s="295">
        <f t="shared" si="9"/>
        <v>0</v>
      </c>
      <c r="M32" s="387">
        <f t="shared" si="9"/>
        <v>201335</v>
      </c>
      <c r="N32" s="346">
        <f t="shared" si="1"/>
        <v>71.905357142857142</v>
      </c>
    </row>
    <row r="33" spans="1:16" ht="12.95" customHeight="1">
      <c r="B33" s="10"/>
      <c r="C33" s="11"/>
      <c r="D33" s="22"/>
      <c r="E33" s="306">
        <v>614100</v>
      </c>
      <c r="F33" s="329" t="s">
        <v>671</v>
      </c>
      <c r="G33" s="36" t="s">
        <v>274</v>
      </c>
      <c r="H33" s="280">
        <v>200000</v>
      </c>
      <c r="I33" s="280">
        <v>0</v>
      </c>
      <c r="J33" s="386">
        <f t="shared" ref="J33:J35" si="10">SUM(H33:I33)</f>
        <v>200000</v>
      </c>
      <c r="K33" s="280">
        <v>123500</v>
      </c>
      <c r="L33" s="280">
        <v>0</v>
      </c>
      <c r="M33" s="386">
        <f t="shared" ref="M33:M35" si="11">SUM(K33:L33)</f>
        <v>123500</v>
      </c>
      <c r="N33" s="347">
        <f t="shared" si="1"/>
        <v>61.750000000000007</v>
      </c>
      <c r="O33" s="68"/>
      <c r="P33" s="50"/>
    </row>
    <row r="34" spans="1:16" ht="12.95" customHeight="1">
      <c r="B34" s="10"/>
      <c r="C34" s="11"/>
      <c r="D34" s="22"/>
      <c r="E34" s="354">
        <v>614800</v>
      </c>
      <c r="F34" s="340" t="s">
        <v>672</v>
      </c>
      <c r="G34" s="36" t="s">
        <v>111</v>
      </c>
      <c r="H34" s="280">
        <v>66000</v>
      </c>
      <c r="I34" s="280">
        <v>0</v>
      </c>
      <c r="J34" s="386">
        <f t="shared" si="10"/>
        <v>66000</v>
      </c>
      <c r="K34" s="280">
        <v>63840</v>
      </c>
      <c r="L34" s="280">
        <v>0</v>
      </c>
      <c r="M34" s="386">
        <f t="shared" si="11"/>
        <v>63840</v>
      </c>
      <c r="N34" s="347">
        <f t="shared" si="1"/>
        <v>96.727272727272734</v>
      </c>
      <c r="O34" s="50"/>
    </row>
    <row r="35" spans="1:16" ht="24.75" customHeight="1">
      <c r="B35" s="10"/>
      <c r="C35" s="11"/>
      <c r="D35" s="22"/>
      <c r="E35" s="354">
        <v>614800</v>
      </c>
      <c r="F35" s="340" t="s">
        <v>673</v>
      </c>
      <c r="G35" s="251" t="s">
        <v>595</v>
      </c>
      <c r="H35" s="280">
        <v>14000</v>
      </c>
      <c r="I35" s="280">
        <v>0</v>
      </c>
      <c r="J35" s="386">
        <f t="shared" si="10"/>
        <v>14000</v>
      </c>
      <c r="K35" s="280">
        <v>13995</v>
      </c>
      <c r="L35" s="280">
        <v>0</v>
      </c>
      <c r="M35" s="386">
        <f t="shared" si="11"/>
        <v>13995</v>
      </c>
      <c r="N35" s="347">
        <f t="shared" si="1"/>
        <v>99.964285714285722</v>
      </c>
      <c r="O35" s="50"/>
    </row>
    <row r="36" spans="1:16" ht="12.95" customHeight="1">
      <c r="B36" s="10"/>
      <c r="C36" s="11"/>
      <c r="D36" s="22"/>
      <c r="E36" s="355"/>
      <c r="F36" s="341"/>
      <c r="G36" s="36"/>
      <c r="H36" s="280"/>
      <c r="I36" s="280"/>
      <c r="J36" s="386"/>
      <c r="K36" s="280"/>
      <c r="L36" s="280"/>
      <c r="M36" s="386"/>
      <c r="N36" s="347" t="str">
        <f t="shared" si="1"/>
        <v/>
      </c>
    </row>
    <row r="37" spans="1:16" ht="12.95" customHeight="1">
      <c r="B37" s="10"/>
      <c r="C37" s="11"/>
      <c r="D37" s="11"/>
      <c r="E37" s="315">
        <v>616000</v>
      </c>
      <c r="F37" s="342"/>
      <c r="G37" s="24" t="s">
        <v>205</v>
      </c>
      <c r="H37" s="273">
        <f t="shared" ref="H37:M37" si="12">SUM(H38:H39)</f>
        <v>56300</v>
      </c>
      <c r="I37" s="273">
        <f t="shared" si="12"/>
        <v>0</v>
      </c>
      <c r="J37" s="387">
        <f t="shared" si="12"/>
        <v>56300</v>
      </c>
      <c r="K37" s="273">
        <f t="shared" si="12"/>
        <v>42726</v>
      </c>
      <c r="L37" s="273">
        <f t="shared" si="12"/>
        <v>0</v>
      </c>
      <c r="M37" s="387">
        <f t="shared" si="12"/>
        <v>42726</v>
      </c>
      <c r="N37" s="346">
        <f t="shared" si="1"/>
        <v>75.889875666074602</v>
      </c>
    </row>
    <row r="38" spans="1:16" ht="12.95" customHeight="1">
      <c r="B38" s="10"/>
      <c r="C38" s="11"/>
      <c r="D38" s="11"/>
      <c r="E38" s="313">
        <v>616300</v>
      </c>
      <c r="F38" s="329" t="s">
        <v>674</v>
      </c>
      <c r="G38" s="39" t="s">
        <v>210</v>
      </c>
      <c r="H38" s="280">
        <v>23400</v>
      </c>
      <c r="I38" s="280">
        <v>0</v>
      </c>
      <c r="J38" s="386">
        <f t="shared" ref="J38:J39" si="13">SUM(H38:I38)</f>
        <v>23400</v>
      </c>
      <c r="K38" s="280">
        <v>21130</v>
      </c>
      <c r="L38" s="280">
        <v>0</v>
      </c>
      <c r="M38" s="386">
        <f t="shared" ref="M38:M39" si="14">SUM(K38:L38)</f>
        <v>21130</v>
      </c>
      <c r="N38" s="347">
        <f t="shared" si="1"/>
        <v>90.299145299145295</v>
      </c>
    </row>
    <row r="39" spans="1:16" ht="12.95" customHeight="1">
      <c r="B39" s="10"/>
      <c r="C39" s="11"/>
      <c r="D39" s="11"/>
      <c r="E39" s="313">
        <v>616300</v>
      </c>
      <c r="F39" s="329" t="s">
        <v>675</v>
      </c>
      <c r="G39" s="39" t="s">
        <v>214</v>
      </c>
      <c r="H39" s="280">
        <v>32900</v>
      </c>
      <c r="I39" s="280">
        <v>0</v>
      </c>
      <c r="J39" s="386">
        <f t="shared" si="13"/>
        <v>32900</v>
      </c>
      <c r="K39" s="280">
        <v>21596</v>
      </c>
      <c r="L39" s="280">
        <v>0</v>
      </c>
      <c r="M39" s="386">
        <f t="shared" si="14"/>
        <v>21596</v>
      </c>
      <c r="N39" s="347">
        <f t="shared" si="1"/>
        <v>65.641337386018236</v>
      </c>
    </row>
    <row r="40" spans="1:16" ht="12.95" customHeight="1">
      <c r="B40" s="10"/>
      <c r="C40" s="11"/>
      <c r="D40" s="11"/>
      <c r="E40" s="306"/>
      <c r="F40" s="332"/>
      <c r="G40" s="11"/>
      <c r="H40" s="295"/>
      <c r="I40" s="295"/>
      <c r="J40" s="387"/>
      <c r="K40" s="295"/>
      <c r="L40" s="295"/>
      <c r="M40" s="387"/>
      <c r="N40" s="347" t="str">
        <f t="shared" si="1"/>
        <v/>
      </c>
    </row>
    <row r="41" spans="1:16" ht="12.95" customHeight="1">
      <c r="B41" s="12"/>
      <c r="C41" s="8"/>
      <c r="D41" s="8"/>
      <c r="E41" s="305">
        <v>821000</v>
      </c>
      <c r="F41" s="331"/>
      <c r="G41" s="8" t="s">
        <v>90</v>
      </c>
      <c r="H41" s="295">
        <f t="shared" ref="H41:M41" si="15">SUM(H42:H43)</f>
        <v>1500</v>
      </c>
      <c r="I41" s="295">
        <f t="shared" si="15"/>
        <v>0</v>
      </c>
      <c r="J41" s="387">
        <f t="shared" si="15"/>
        <v>1500</v>
      </c>
      <c r="K41" s="295">
        <f t="shared" si="15"/>
        <v>1377</v>
      </c>
      <c r="L41" s="295">
        <f t="shared" si="15"/>
        <v>0</v>
      </c>
      <c r="M41" s="387">
        <f t="shared" si="15"/>
        <v>1377</v>
      </c>
      <c r="N41" s="346">
        <f t="shared" si="1"/>
        <v>91.8</v>
      </c>
    </row>
    <row r="42" spans="1:16" ht="12.95" customHeight="1">
      <c r="B42" s="10"/>
      <c r="C42" s="11"/>
      <c r="D42" s="11"/>
      <c r="E42" s="306">
        <v>821200</v>
      </c>
      <c r="F42" s="332"/>
      <c r="G42" s="11" t="s">
        <v>91</v>
      </c>
      <c r="H42" s="296">
        <v>0</v>
      </c>
      <c r="I42" s="296">
        <v>0</v>
      </c>
      <c r="J42" s="386">
        <f t="shared" ref="J42:J43" si="16">SUM(H42:I42)</f>
        <v>0</v>
      </c>
      <c r="K42" s="296">
        <v>0</v>
      </c>
      <c r="L42" s="296">
        <v>0</v>
      </c>
      <c r="M42" s="386">
        <f t="shared" ref="M42:M43" si="17">SUM(K42:L42)</f>
        <v>0</v>
      </c>
      <c r="N42" s="347" t="str">
        <f t="shared" si="1"/>
        <v/>
      </c>
    </row>
    <row r="43" spans="1:16" s="1" customFormat="1" ht="12.95" customHeight="1">
      <c r="A43" s="281"/>
      <c r="B43" s="10"/>
      <c r="C43" s="11"/>
      <c r="D43" s="11"/>
      <c r="E43" s="306">
        <v>821300</v>
      </c>
      <c r="F43" s="332"/>
      <c r="G43" s="11" t="s">
        <v>92</v>
      </c>
      <c r="H43" s="296">
        <v>1500</v>
      </c>
      <c r="I43" s="296">
        <v>0</v>
      </c>
      <c r="J43" s="386">
        <f t="shared" si="16"/>
        <v>1500</v>
      </c>
      <c r="K43" s="296">
        <v>1377</v>
      </c>
      <c r="L43" s="296">
        <v>0</v>
      </c>
      <c r="M43" s="386">
        <f t="shared" si="17"/>
        <v>1377</v>
      </c>
      <c r="N43" s="347">
        <f t="shared" si="1"/>
        <v>91.8</v>
      </c>
    </row>
    <row r="44" spans="1:16" ht="12.95" customHeight="1">
      <c r="B44" s="10"/>
      <c r="C44" s="11"/>
      <c r="D44" s="11"/>
      <c r="E44" s="306"/>
      <c r="F44" s="332"/>
      <c r="G44" s="11"/>
      <c r="H44" s="280"/>
      <c r="I44" s="280"/>
      <c r="J44" s="386"/>
      <c r="K44" s="280"/>
      <c r="L44" s="280"/>
      <c r="M44" s="386"/>
      <c r="N44" s="347" t="str">
        <f t="shared" si="1"/>
        <v/>
      </c>
    </row>
    <row r="45" spans="1:16" ht="12.95" customHeight="1">
      <c r="B45" s="12"/>
      <c r="C45" s="8"/>
      <c r="D45" s="8"/>
      <c r="E45" s="305">
        <v>823000</v>
      </c>
      <c r="F45" s="331"/>
      <c r="G45" s="8" t="s">
        <v>211</v>
      </c>
      <c r="H45" s="295">
        <f t="shared" ref="H45:M45" si="18">SUM(H46:H47)</f>
        <v>523890</v>
      </c>
      <c r="I45" s="295">
        <f t="shared" si="18"/>
        <v>0</v>
      </c>
      <c r="J45" s="387">
        <f t="shared" si="18"/>
        <v>523890</v>
      </c>
      <c r="K45" s="295">
        <f t="shared" si="18"/>
        <v>519698</v>
      </c>
      <c r="L45" s="295">
        <f t="shared" si="18"/>
        <v>0</v>
      </c>
      <c r="M45" s="387">
        <f t="shared" si="18"/>
        <v>519698</v>
      </c>
      <c r="N45" s="346">
        <f t="shared" si="1"/>
        <v>99.199832025806941</v>
      </c>
    </row>
    <row r="46" spans="1:16" ht="12.95" customHeight="1">
      <c r="B46" s="10"/>
      <c r="C46" s="11"/>
      <c r="D46" s="11"/>
      <c r="E46" s="306">
        <v>823300</v>
      </c>
      <c r="F46" s="332" t="s">
        <v>674</v>
      </c>
      <c r="G46" s="18" t="s">
        <v>599</v>
      </c>
      <c r="H46" s="296">
        <v>93600</v>
      </c>
      <c r="I46" s="296">
        <v>0</v>
      </c>
      <c r="J46" s="386">
        <f t="shared" ref="J46:J47" si="19">SUM(H46:I46)</f>
        <v>93600</v>
      </c>
      <c r="K46" s="296">
        <v>89415</v>
      </c>
      <c r="L46" s="296">
        <v>0</v>
      </c>
      <c r="M46" s="386">
        <f t="shared" ref="M46:M47" si="20">SUM(K46:L46)</f>
        <v>89415</v>
      </c>
      <c r="N46" s="347">
        <f t="shared" si="1"/>
        <v>95.52884615384616</v>
      </c>
    </row>
    <row r="47" spans="1:16" ht="12.95" customHeight="1">
      <c r="B47" s="10"/>
      <c r="C47" s="11"/>
      <c r="D47" s="11"/>
      <c r="E47" s="306">
        <v>823300</v>
      </c>
      <c r="F47" s="332" t="s">
        <v>675</v>
      </c>
      <c r="G47" s="18" t="s">
        <v>598</v>
      </c>
      <c r="H47" s="296">
        <v>430290</v>
      </c>
      <c r="I47" s="296">
        <v>0</v>
      </c>
      <c r="J47" s="386">
        <f t="shared" si="19"/>
        <v>430290</v>
      </c>
      <c r="K47" s="296">
        <v>430283</v>
      </c>
      <c r="L47" s="296">
        <v>0</v>
      </c>
      <c r="M47" s="386">
        <f t="shared" si="20"/>
        <v>430283</v>
      </c>
      <c r="N47" s="347">
        <f t="shared" si="1"/>
        <v>99.998373190174078</v>
      </c>
    </row>
    <row r="48" spans="1:16" ht="12.95" customHeight="1">
      <c r="B48" s="10"/>
      <c r="C48" s="11"/>
      <c r="D48" s="11"/>
      <c r="E48" s="306"/>
      <c r="F48" s="332"/>
      <c r="G48" s="11"/>
      <c r="H48" s="286"/>
      <c r="I48" s="286"/>
      <c r="J48" s="397"/>
      <c r="K48" s="286"/>
      <c r="L48" s="286"/>
      <c r="M48" s="397"/>
      <c r="N48" s="347" t="str">
        <f t="shared" si="1"/>
        <v/>
      </c>
    </row>
    <row r="49" spans="1:14" ht="12.95" customHeight="1">
      <c r="B49" s="12"/>
      <c r="C49" s="8"/>
      <c r="D49" s="8"/>
      <c r="E49" s="305"/>
      <c r="F49" s="331"/>
      <c r="G49" s="8" t="s">
        <v>93</v>
      </c>
      <c r="H49" s="274">
        <v>16</v>
      </c>
      <c r="I49" s="274"/>
      <c r="J49" s="404">
        <v>16</v>
      </c>
      <c r="K49" s="274">
        <v>14</v>
      </c>
      <c r="L49" s="274"/>
      <c r="M49" s="404">
        <v>14</v>
      </c>
      <c r="N49" s="347"/>
    </row>
    <row r="50" spans="1:14" ht="12.95" customHeight="1">
      <c r="B50" s="12"/>
      <c r="C50" s="8"/>
      <c r="D50" s="8"/>
      <c r="E50" s="305"/>
      <c r="F50" s="331"/>
      <c r="G50" s="8" t="s">
        <v>113</v>
      </c>
      <c r="H50" s="288">
        <f t="shared" ref="H50:J50" si="21">H8+H11+H16+H19+H32+H37+H41+H45</f>
        <v>1412210</v>
      </c>
      <c r="I50" s="288">
        <f t="shared" si="21"/>
        <v>0</v>
      </c>
      <c r="J50" s="387">
        <f t="shared" si="21"/>
        <v>1412210</v>
      </c>
      <c r="K50" s="288">
        <f t="shared" ref="K50:M50" si="22">K8+K11+K16+K19+K32+K37+K41+K45</f>
        <v>1127757</v>
      </c>
      <c r="L50" s="288">
        <f t="shared" si="22"/>
        <v>0</v>
      </c>
      <c r="M50" s="387">
        <f t="shared" si="22"/>
        <v>1127757</v>
      </c>
      <c r="N50" s="346">
        <f t="shared" si="1"/>
        <v>79.857599082289468</v>
      </c>
    </row>
    <row r="51" spans="1:14" s="1" customFormat="1" ht="12.95" customHeight="1">
      <c r="A51" s="281"/>
      <c r="B51" s="12"/>
      <c r="C51" s="8"/>
      <c r="D51" s="8"/>
      <c r="E51" s="305"/>
      <c r="F51" s="331"/>
      <c r="G51" s="8" t="s">
        <v>94</v>
      </c>
      <c r="H51" s="288">
        <f t="shared" ref="H51:J52" si="23">H50</f>
        <v>1412210</v>
      </c>
      <c r="I51" s="288">
        <f t="shared" si="23"/>
        <v>0</v>
      </c>
      <c r="J51" s="387">
        <f t="shared" si="23"/>
        <v>1412210</v>
      </c>
      <c r="K51" s="288">
        <f t="shared" ref="K51:M51" si="24">K50</f>
        <v>1127757</v>
      </c>
      <c r="L51" s="288">
        <f t="shared" si="24"/>
        <v>0</v>
      </c>
      <c r="M51" s="387">
        <f t="shared" si="24"/>
        <v>1127757</v>
      </c>
      <c r="N51" s="346">
        <f t="shared" si="1"/>
        <v>79.857599082289468</v>
      </c>
    </row>
    <row r="52" spans="1:14" s="1" customFormat="1" ht="12.95" customHeight="1">
      <c r="A52" s="281"/>
      <c r="B52" s="12"/>
      <c r="C52" s="8"/>
      <c r="D52" s="8"/>
      <c r="E52" s="305"/>
      <c r="F52" s="331"/>
      <c r="G52" s="8" t="s">
        <v>95</v>
      </c>
      <c r="H52" s="288">
        <f t="shared" si="23"/>
        <v>1412210</v>
      </c>
      <c r="I52" s="288">
        <f t="shared" si="23"/>
        <v>0</v>
      </c>
      <c r="J52" s="387">
        <f t="shared" si="23"/>
        <v>1412210</v>
      </c>
      <c r="K52" s="288">
        <f t="shared" ref="K52:M52" si="25">K51</f>
        <v>1127757</v>
      </c>
      <c r="L52" s="288">
        <f t="shared" si="25"/>
        <v>0</v>
      </c>
      <c r="M52" s="387">
        <f t="shared" si="25"/>
        <v>1127757</v>
      </c>
      <c r="N52" s="346">
        <f t="shared" si="1"/>
        <v>79.857599082289468</v>
      </c>
    </row>
    <row r="53" spans="1:14" s="1" customFormat="1" ht="12.95" customHeight="1" thickBot="1">
      <c r="A53" s="281"/>
      <c r="B53" s="15"/>
      <c r="C53" s="16"/>
      <c r="D53" s="16"/>
      <c r="E53" s="307"/>
      <c r="F53" s="333"/>
      <c r="G53" s="16"/>
      <c r="H53" s="16"/>
      <c r="I53" s="16"/>
      <c r="J53" s="394"/>
      <c r="K53" s="16"/>
      <c r="L53" s="16"/>
      <c r="M53" s="394"/>
      <c r="N53" s="349" t="str">
        <f t="shared" si="1"/>
        <v/>
      </c>
    </row>
    <row r="54" spans="1:14" s="1" customFormat="1" ht="12.95" customHeight="1">
      <c r="A54" s="281"/>
      <c r="B54" s="9"/>
      <c r="C54" s="9"/>
      <c r="D54" s="9"/>
      <c r="E54" s="308"/>
      <c r="F54" s="334"/>
      <c r="G54" s="9"/>
      <c r="H54" s="284"/>
      <c r="I54" s="284"/>
      <c r="J54" s="391"/>
      <c r="K54" s="284"/>
      <c r="L54" s="284"/>
      <c r="M54" s="391"/>
      <c r="N54" s="350" t="str">
        <f t="shared" si="1"/>
        <v/>
      </c>
    </row>
    <row r="55" spans="1:14" ht="12.95" customHeight="1">
      <c r="E55" s="308"/>
      <c r="F55" s="334"/>
      <c r="J55" s="391"/>
      <c r="M55" s="391"/>
      <c r="N55" s="350" t="str">
        <f t="shared" si="1"/>
        <v/>
      </c>
    </row>
    <row r="56" spans="1:14" ht="12.95" customHeight="1">
      <c r="E56" s="308"/>
      <c r="F56" s="334"/>
      <c r="J56" s="391"/>
      <c r="M56" s="391"/>
      <c r="N56" s="350" t="str">
        <f t="shared" si="1"/>
        <v/>
      </c>
    </row>
    <row r="57" spans="1:14" ht="12.95" customHeight="1">
      <c r="E57" s="308"/>
      <c r="F57" s="334"/>
      <c r="J57" s="391"/>
      <c r="M57" s="391"/>
      <c r="N57" s="350" t="str">
        <f t="shared" si="1"/>
        <v/>
      </c>
    </row>
    <row r="58" spans="1:14" ht="12.95" customHeight="1">
      <c r="E58" s="308"/>
      <c r="F58" s="334"/>
      <c r="J58" s="391"/>
      <c r="M58" s="391"/>
      <c r="N58" s="350" t="str">
        <f t="shared" si="1"/>
        <v/>
      </c>
    </row>
    <row r="59" spans="1:14" ht="12.95" customHeight="1">
      <c r="E59" s="308"/>
      <c r="F59" s="334"/>
      <c r="J59" s="391"/>
      <c r="M59" s="391"/>
      <c r="N59" s="350" t="str">
        <f t="shared" si="1"/>
        <v/>
      </c>
    </row>
    <row r="60" spans="1:14" ht="17.100000000000001" customHeight="1">
      <c r="E60" s="308"/>
      <c r="F60" s="334"/>
      <c r="J60" s="391"/>
      <c r="M60" s="391"/>
      <c r="N60" s="350" t="str">
        <f t="shared" si="1"/>
        <v/>
      </c>
    </row>
    <row r="61" spans="1:14" ht="14.25">
      <c r="E61" s="308"/>
      <c r="F61" s="334"/>
      <c r="J61" s="391"/>
      <c r="M61" s="391"/>
      <c r="N61" s="350" t="str">
        <f t="shared" si="1"/>
        <v/>
      </c>
    </row>
    <row r="62" spans="1:14" ht="14.25">
      <c r="E62" s="308"/>
      <c r="F62" s="334"/>
      <c r="J62" s="391"/>
      <c r="M62" s="391"/>
      <c r="N62" s="350" t="str">
        <f t="shared" si="1"/>
        <v/>
      </c>
    </row>
    <row r="63" spans="1:14" ht="14.25">
      <c r="E63" s="308"/>
      <c r="F63" s="334"/>
      <c r="J63" s="391"/>
      <c r="M63" s="391"/>
      <c r="N63" s="350" t="str">
        <f t="shared" si="1"/>
        <v/>
      </c>
    </row>
    <row r="64" spans="1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P96"/>
  <sheetViews>
    <sheetView zoomScaleNormal="100" zoomScaleSheetLayoutView="130" workbookViewId="0">
      <selection activeCell="L32" sqref="L32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137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138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255980</v>
      </c>
      <c r="I8" s="210">
        <f t="shared" si="0"/>
        <v>0</v>
      </c>
      <c r="J8" s="384">
        <f t="shared" si="0"/>
        <v>255980</v>
      </c>
      <c r="K8" s="210">
        <f t="shared" si="0"/>
        <v>191534</v>
      </c>
      <c r="L8" s="210">
        <f t="shared" si="0"/>
        <v>0</v>
      </c>
      <c r="M8" s="384">
        <f t="shared" si="0"/>
        <v>191534</v>
      </c>
      <c r="N8" s="346">
        <f>IF(J8=0,"",M8/J8*100)</f>
        <v>74.823814360496911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200220+2000+4*500+8530</f>
        <v>212750</v>
      </c>
      <c r="I9" s="209">
        <v>0</v>
      </c>
      <c r="J9" s="385">
        <f>SUM(H9:I9)</f>
        <v>212750</v>
      </c>
      <c r="K9" s="209">
        <v>161009</v>
      </c>
      <c r="L9" s="209">
        <v>0</v>
      </c>
      <c r="M9" s="385">
        <f>SUM(K9:L9)</f>
        <v>161009</v>
      </c>
      <c r="N9" s="347">
        <f t="shared" ref="N9:N66" si="1">IF(J9=0,"",M9/J9*100)</f>
        <v>75.679905992949472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35260+950+4*900+3020+400</f>
        <v>43230</v>
      </c>
      <c r="I10" s="209">
        <v>0</v>
      </c>
      <c r="J10" s="385">
        <f t="shared" ref="J10:J11" si="2">SUM(H10:I10)</f>
        <v>43230</v>
      </c>
      <c r="K10" s="209">
        <v>30525</v>
      </c>
      <c r="L10" s="209">
        <v>0</v>
      </c>
      <c r="M10" s="385">
        <f t="shared" ref="M10:M11" si="3">SUM(K10:L10)</f>
        <v>30525</v>
      </c>
      <c r="N10" s="347">
        <f t="shared" si="1"/>
        <v>70.610687022900763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22720</v>
      </c>
      <c r="I13" s="210">
        <f t="shared" si="4"/>
        <v>0</v>
      </c>
      <c r="J13" s="384">
        <f t="shared" si="4"/>
        <v>22720</v>
      </c>
      <c r="K13" s="210">
        <f t="shared" si="4"/>
        <v>17371</v>
      </c>
      <c r="L13" s="210">
        <f t="shared" si="4"/>
        <v>0</v>
      </c>
      <c r="M13" s="384">
        <f t="shared" si="4"/>
        <v>17371</v>
      </c>
      <c r="N13" s="346">
        <f t="shared" si="1"/>
        <v>76.456866197183089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21250+250+4*70+940</f>
        <v>22720</v>
      </c>
      <c r="I14" s="209">
        <v>0</v>
      </c>
      <c r="J14" s="385">
        <f>SUM(H14:I14)</f>
        <v>22720</v>
      </c>
      <c r="K14" s="209">
        <v>17371</v>
      </c>
      <c r="L14" s="209">
        <v>0</v>
      </c>
      <c r="M14" s="385">
        <f>SUM(K14:L14)</f>
        <v>17371</v>
      </c>
      <c r="N14" s="347">
        <f t="shared" si="1"/>
        <v>76.456866197183089</v>
      </c>
    </row>
    <row r="15" spans="1:16" ht="12.95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80100</v>
      </c>
      <c r="I16" s="293">
        <f t="shared" si="5"/>
        <v>0</v>
      </c>
      <c r="J16" s="387">
        <f t="shared" si="5"/>
        <v>80100</v>
      </c>
      <c r="K16" s="293">
        <f t="shared" si="5"/>
        <v>47481</v>
      </c>
      <c r="L16" s="293">
        <f t="shared" si="5"/>
        <v>0</v>
      </c>
      <c r="M16" s="387">
        <f t="shared" si="5"/>
        <v>47481</v>
      </c>
      <c r="N16" s="346">
        <f t="shared" si="1"/>
        <v>59.277153558052433</v>
      </c>
      <c r="P16" s="58"/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3500</v>
      </c>
      <c r="I17" s="362">
        <v>0</v>
      </c>
      <c r="J17" s="385">
        <f t="shared" ref="J17:J26" si="6">SUM(H17:I17)</f>
        <v>3500</v>
      </c>
      <c r="K17" s="362">
        <v>1985</v>
      </c>
      <c r="L17" s="362">
        <v>0</v>
      </c>
      <c r="M17" s="385">
        <f t="shared" ref="M17:M26" si="7">SUM(K17:L17)</f>
        <v>1985</v>
      </c>
      <c r="N17" s="347">
        <f t="shared" si="1"/>
        <v>56.714285714285715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16000</v>
      </c>
      <c r="I19" s="362">
        <v>0</v>
      </c>
      <c r="J19" s="385">
        <f t="shared" si="6"/>
        <v>16000</v>
      </c>
      <c r="K19" s="362">
        <v>11092</v>
      </c>
      <c r="L19" s="362">
        <v>0</v>
      </c>
      <c r="M19" s="385">
        <f t="shared" si="7"/>
        <v>11092</v>
      </c>
      <c r="N19" s="347">
        <f t="shared" si="1"/>
        <v>69.325000000000003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300</v>
      </c>
      <c r="I20" s="364">
        <v>0</v>
      </c>
      <c r="J20" s="385">
        <f t="shared" si="6"/>
        <v>300</v>
      </c>
      <c r="K20" s="364">
        <v>300</v>
      </c>
      <c r="L20" s="364">
        <v>0</v>
      </c>
      <c r="M20" s="385">
        <f t="shared" si="7"/>
        <v>300</v>
      </c>
      <c r="N20" s="347">
        <f t="shared" si="1"/>
        <v>100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0</v>
      </c>
      <c r="I21" s="364">
        <v>0</v>
      </c>
      <c r="J21" s="385">
        <f t="shared" si="6"/>
        <v>0</v>
      </c>
      <c r="K21" s="364">
        <v>0</v>
      </c>
      <c r="L21" s="364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0</v>
      </c>
      <c r="I22" s="364">
        <v>0</v>
      </c>
      <c r="J22" s="385">
        <f t="shared" si="6"/>
        <v>0</v>
      </c>
      <c r="K22" s="364">
        <v>0</v>
      </c>
      <c r="L22" s="364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300</v>
      </c>
      <c r="I23" s="364">
        <v>0</v>
      </c>
      <c r="J23" s="385">
        <f t="shared" si="6"/>
        <v>300</v>
      </c>
      <c r="K23" s="364">
        <v>177</v>
      </c>
      <c r="L23" s="364">
        <v>0</v>
      </c>
      <c r="M23" s="385">
        <f t="shared" si="7"/>
        <v>177</v>
      </c>
      <c r="N23" s="347">
        <f t="shared" si="1"/>
        <v>59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0</v>
      </c>
      <c r="I24" s="364">
        <v>0</v>
      </c>
      <c r="J24" s="385">
        <f t="shared" si="6"/>
        <v>0</v>
      </c>
      <c r="K24" s="364">
        <v>0</v>
      </c>
      <c r="L24" s="364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60000</v>
      </c>
      <c r="I25" s="365">
        <v>0</v>
      </c>
      <c r="J25" s="385">
        <f t="shared" si="6"/>
        <v>60000</v>
      </c>
      <c r="K25" s="365">
        <v>33927</v>
      </c>
      <c r="L25" s="365">
        <v>0</v>
      </c>
      <c r="M25" s="385">
        <f t="shared" si="7"/>
        <v>33927</v>
      </c>
      <c r="N25" s="347">
        <f t="shared" si="1"/>
        <v>56.545000000000002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4">
        <v>0</v>
      </c>
      <c r="I26" s="364">
        <v>0</v>
      </c>
      <c r="J26" s="385">
        <f t="shared" si="6"/>
        <v>0</v>
      </c>
      <c r="K26" s="364">
        <v>0</v>
      </c>
      <c r="L26" s="364">
        <v>0</v>
      </c>
      <c r="M26" s="385">
        <f t="shared" si="7"/>
        <v>0</v>
      </c>
      <c r="N26" s="347" t="str">
        <f t="shared" si="1"/>
        <v/>
      </c>
    </row>
    <row r="27" spans="1:14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614000</v>
      </c>
      <c r="F28" s="331"/>
      <c r="G28" s="8" t="s">
        <v>202</v>
      </c>
      <c r="H28" s="295">
        <f t="shared" ref="H28:I28" si="8">SUM(H29:H32)</f>
        <v>3734000</v>
      </c>
      <c r="I28" s="295">
        <f t="shared" si="8"/>
        <v>266000</v>
      </c>
      <c r="J28" s="387">
        <f t="shared" ref="J28:L28" si="9">SUM(J29:J32)</f>
        <v>4000000</v>
      </c>
      <c r="K28" s="295">
        <f t="shared" si="9"/>
        <v>2458143</v>
      </c>
      <c r="L28" s="295">
        <f t="shared" si="9"/>
        <v>196693</v>
      </c>
      <c r="M28" s="387">
        <f t="shared" ref="M28" si="10">SUM(M29:M32)</f>
        <v>2654836</v>
      </c>
      <c r="N28" s="346">
        <f t="shared" si="1"/>
        <v>66.370900000000006</v>
      </c>
    </row>
    <row r="29" spans="1:14" ht="12.95" customHeight="1">
      <c r="B29" s="10"/>
      <c r="C29" s="11"/>
      <c r="D29" s="22"/>
      <c r="E29" s="306">
        <v>614100</v>
      </c>
      <c r="F29" s="332" t="s">
        <v>676</v>
      </c>
      <c r="G29" s="526" t="s">
        <v>789</v>
      </c>
      <c r="H29" s="296">
        <v>420000</v>
      </c>
      <c r="I29" s="296">
        <v>0</v>
      </c>
      <c r="J29" s="385">
        <f t="shared" ref="J29:J32" si="11">SUM(H29:I29)</f>
        <v>420000</v>
      </c>
      <c r="K29" s="296">
        <v>270000</v>
      </c>
      <c r="L29" s="296">
        <v>0</v>
      </c>
      <c r="M29" s="385">
        <f t="shared" ref="M29" si="12">SUM(K29:L29)</f>
        <v>270000</v>
      </c>
      <c r="N29" s="347">
        <f t="shared" si="1"/>
        <v>64.285714285714292</v>
      </c>
    </row>
    <row r="30" spans="1:14" ht="12.95" customHeight="1">
      <c r="B30" s="10"/>
      <c r="C30" s="11"/>
      <c r="D30" s="11"/>
      <c r="E30" s="306">
        <v>614200</v>
      </c>
      <c r="F30" s="332"/>
      <c r="G30" s="18" t="s">
        <v>105</v>
      </c>
      <c r="H30" s="296">
        <v>0</v>
      </c>
      <c r="I30" s="296">
        <v>0</v>
      </c>
      <c r="J30" s="385">
        <f>SUM(H30:I30)</f>
        <v>0</v>
      </c>
      <c r="K30" s="296">
        <v>0</v>
      </c>
      <c r="L30" s="296">
        <v>0</v>
      </c>
      <c r="M30" s="385">
        <f>SUM(K30:L30)</f>
        <v>0</v>
      </c>
      <c r="N30" s="347" t="str">
        <f t="shared" si="1"/>
        <v/>
      </c>
    </row>
    <row r="31" spans="1:14" s="284" customFormat="1" ht="12.95" customHeight="1">
      <c r="B31" s="285"/>
      <c r="C31" s="286"/>
      <c r="D31" s="286"/>
      <c r="E31" s="306">
        <v>614200</v>
      </c>
      <c r="F31" s="335" t="s">
        <v>795</v>
      </c>
      <c r="G31" s="290" t="s">
        <v>697</v>
      </c>
      <c r="H31" s="296">
        <v>60000</v>
      </c>
      <c r="I31" s="296">
        <v>0</v>
      </c>
      <c r="J31" s="385">
        <f t="shared" si="11"/>
        <v>60000</v>
      </c>
      <c r="K31" s="296">
        <v>45200</v>
      </c>
      <c r="L31" s="296">
        <v>0</v>
      </c>
      <c r="M31" s="385">
        <f t="shared" ref="M31:M32" si="13">SUM(K31:L31)</f>
        <v>45200</v>
      </c>
      <c r="N31" s="347">
        <f t="shared" si="1"/>
        <v>75.333333333333329</v>
      </c>
    </row>
    <row r="32" spans="1:14" s="284" customFormat="1" ht="12.95" customHeight="1">
      <c r="B32" s="285"/>
      <c r="C32" s="286"/>
      <c r="D32" s="286"/>
      <c r="E32" s="306">
        <v>614200</v>
      </c>
      <c r="F32" s="335" t="s">
        <v>796</v>
      </c>
      <c r="G32" s="290" t="s">
        <v>698</v>
      </c>
      <c r="H32" s="296">
        <f>3580000-60000-266000</f>
        <v>3254000</v>
      </c>
      <c r="I32" s="296">
        <v>266000</v>
      </c>
      <c r="J32" s="385">
        <f t="shared" si="11"/>
        <v>3520000</v>
      </c>
      <c r="K32" s="296">
        <f>2339636-196693</f>
        <v>2142943</v>
      </c>
      <c r="L32" s="296">
        <v>196693</v>
      </c>
      <c r="M32" s="385">
        <f t="shared" si="13"/>
        <v>2339636</v>
      </c>
      <c r="N32" s="347">
        <f t="shared" si="1"/>
        <v>66.46693181818182</v>
      </c>
    </row>
    <row r="33" spans="1:15" ht="12.95" customHeight="1">
      <c r="B33" s="10"/>
      <c r="C33" s="11"/>
      <c r="D33" s="11"/>
      <c r="E33" s="306"/>
      <c r="F33" s="332"/>
      <c r="G33" s="11"/>
      <c r="H33" s="280"/>
      <c r="I33" s="280"/>
      <c r="J33" s="386"/>
      <c r="K33" s="280"/>
      <c r="L33" s="280"/>
      <c r="M33" s="386"/>
      <c r="N33" s="347" t="str">
        <f t="shared" si="1"/>
        <v/>
      </c>
    </row>
    <row r="34" spans="1:15" ht="12.95" customHeight="1">
      <c r="B34" s="12"/>
      <c r="C34" s="8"/>
      <c r="D34" s="8"/>
      <c r="E34" s="305">
        <v>821000</v>
      </c>
      <c r="F34" s="331"/>
      <c r="G34" s="8" t="s">
        <v>90</v>
      </c>
      <c r="H34" s="295">
        <f t="shared" ref="H34:M34" si="14">H35+H36</f>
        <v>1500</v>
      </c>
      <c r="I34" s="295">
        <f t="shared" si="14"/>
        <v>0</v>
      </c>
      <c r="J34" s="387">
        <f t="shared" si="14"/>
        <v>1500</v>
      </c>
      <c r="K34" s="295">
        <f t="shared" si="14"/>
        <v>1180</v>
      </c>
      <c r="L34" s="295">
        <f t="shared" si="14"/>
        <v>0</v>
      </c>
      <c r="M34" s="387">
        <f t="shared" si="14"/>
        <v>1180</v>
      </c>
      <c r="N34" s="346">
        <f t="shared" si="1"/>
        <v>78.666666666666657</v>
      </c>
    </row>
    <row r="35" spans="1:15" s="1" customFormat="1" ht="12.95" customHeight="1">
      <c r="A35" s="281"/>
      <c r="B35" s="10"/>
      <c r="C35" s="11"/>
      <c r="D35" s="11"/>
      <c r="E35" s="306">
        <v>821200</v>
      </c>
      <c r="F35" s="332"/>
      <c r="G35" s="11" t="s">
        <v>91</v>
      </c>
      <c r="H35" s="280">
        <v>0</v>
      </c>
      <c r="I35" s="280">
        <v>0</v>
      </c>
      <c r="J35" s="385">
        <f t="shared" ref="J35:J36" si="15">SUM(H35:I35)</f>
        <v>0</v>
      </c>
      <c r="K35" s="280">
        <v>0</v>
      </c>
      <c r="L35" s="280">
        <v>0</v>
      </c>
      <c r="M35" s="385">
        <f t="shared" ref="M35:M36" si="16">SUM(K35:L35)</f>
        <v>0</v>
      </c>
      <c r="N35" s="347" t="str">
        <f t="shared" si="1"/>
        <v/>
      </c>
      <c r="O35" s="1" t="s">
        <v>175</v>
      </c>
    </row>
    <row r="36" spans="1:15" ht="12.95" customHeight="1">
      <c r="B36" s="10"/>
      <c r="C36" s="11"/>
      <c r="D36" s="11"/>
      <c r="E36" s="306">
        <v>821300</v>
      </c>
      <c r="F36" s="332"/>
      <c r="G36" s="11" t="s">
        <v>92</v>
      </c>
      <c r="H36" s="280">
        <v>1500</v>
      </c>
      <c r="I36" s="280">
        <v>0</v>
      </c>
      <c r="J36" s="385">
        <f t="shared" si="15"/>
        <v>1500</v>
      </c>
      <c r="K36" s="280">
        <v>1180</v>
      </c>
      <c r="L36" s="280">
        <v>0</v>
      </c>
      <c r="M36" s="385">
        <f t="shared" si="16"/>
        <v>1180</v>
      </c>
      <c r="N36" s="347">
        <f t="shared" si="1"/>
        <v>78.666666666666657</v>
      </c>
    </row>
    <row r="37" spans="1:15" ht="12.95" customHeight="1">
      <c r="B37" s="10"/>
      <c r="C37" s="11"/>
      <c r="D37" s="11"/>
      <c r="E37" s="306"/>
      <c r="F37" s="332"/>
      <c r="G37" s="11"/>
      <c r="H37" s="280"/>
      <c r="I37" s="280"/>
      <c r="J37" s="386"/>
      <c r="K37" s="280"/>
      <c r="L37" s="280"/>
      <c r="M37" s="386"/>
      <c r="N37" s="347" t="str">
        <f t="shared" si="1"/>
        <v/>
      </c>
    </row>
    <row r="38" spans="1:15" ht="12.95" customHeight="1">
      <c r="B38" s="12"/>
      <c r="C38" s="8"/>
      <c r="D38" s="8"/>
      <c r="E38" s="305"/>
      <c r="F38" s="331"/>
      <c r="G38" s="8" t="s">
        <v>93</v>
      </c>
      <c r="H38" s="295">
        <v>10</v>
      </c>
      <c r="I38" s="295"/>
      <c r="J38" s="387">
        <v>10</v>
      </c>
      <c r="K38" s="295">
        <v>10</v>
      </c>
      <c r="L38" s="295"/>
      <c r="M38" s="387">
        <v>10</v>
      </c>
      <c r="N38" s="347"/>
    </row>
    <row r="39" spans="1:15" s="1" customFormat="1" ht="12.95" customHeight="1">
      <c r="A39" s="281"/>
      <c r="B39" s="12"/>
      <c r="C39" s="8"/>
      <c r="D39" s="8"/>
      <c r="E39" s="305"/>
      <c r="F39" s="331"/>
      <c r="G39" s="8" t="s">
        <v>113</v>
      </c>
      <c r="H39" s="288">
        <f t="shared" ref="H39:M39" si="17">H8+H13+H16+H28+H34</f>
        <v>4094300</v>
      </c>
      <c r="I39" s="288">
        <f t="shared" si="17"/>
        <v>266000</v>
      </c>
      <c r="J39" s="387">
        <f t="shared" si="17"/>
        <v>4360300</v>
      </c>
      <c r="K39" s="288">
        <f t="shared" si="17"/>
        <v>2715709</v>
      </c>
      <c r="L39" s="288">
        <f t="shared" si="17"/>
        <v>196693</v>
      </c>
      <c r="M39" s="387">
        <f t="shared" si="17"/>
        <v>2912402</v>
      </c>
      <c r="N39" s="346">
        <f t="shared" si="1"/>
        <v>66.793615118225816</v>
      </c>
    </row>
    <row r="40" spans="1:15" s="1" customFormat="1" ht="12.95" customHeight="1">
      <c r="A40" s="281"/>
      <c r="B40" s="12"/>
      <c r="C40" s="8"/>
      <c r="D40" s="8"/>
      <c r="E40" s="305"/>
      <c r="F40" s="331"/>
      <c r="G40" s="8" t="s">
        <v>94</v>
      </c>
      <c r="H40" s="288">
        <f t="shared" ref="H40:J41" si="18">H39</f>
        <v>4094300</v>
      </c>
      <c r="I40" s="288">
        <f t="shared" si="18"/>
        <v>266000</v>
      </c>
      <c r="J40" s="387">
        <f t="shared" si="18"/>
        <v>4360300</v>
      </c>
      <c r="K40" s="288">
        <f t="shared" ref="K40:M40" si="19">K39</f>
        <v>2715709</v>
      </c>
      <c r="L40" s="288">
        <f t="shared" si="19"/>
        <v>196693</v>
      </c>
      <c r="M40" s="387">
        <f t="shared" si="19"/>
        <v>2912402</v>
      </c>
      <c r="N40" s="346">
        <f t="shared" si="1"/>
        <v>66.793615118225816</v>
      </c>
    </row>
    <row r="41" spans="1:15" s="1" customFormat="1" ht="12.95" customHeight="1">
      <c r="A41" s="281"/>
      <c r="B41" s="12"/>
      <c r="C41" s="8"/>
      <c r="D41" s="8"/>
      <c r="E41" s="305"/>
      <c r="F41" s="331"/>
      <c r="G41" s="8" t="s">
        <v>95</v>
      </c>
      <c r="H41" s="288">
        <f t="shared" si="18"/>
        <v>4094300</v>
      </c>
      <c r="I41" s="288">
        <f t="shared" si="18"/>
        <v>266000</v>
      </c>
      <c r="J41" s="387">
        <f t="shared" si="18"/>
        <v>4360300</v>
      </c>
      <c r="K41" s="288">
        <f t="shared" ref="K41:M41" si="20">K40</f>
        <v>2715709</v>
      </c>
      <c r="L41" s="288">
        <f t="shared" si="20"/>
        <v>196693</v>
      </c>
      <c r="M41" s="387">
        <f t="shared" si="20"/>
        <v>2912402</v>
      </c>
      <c r="N41" s="346">
        <f t="shared" si="1"/>
        <v>66.793615118225816</v>
      </c>
    </row>
    <row r="42" spans="1:15" s="1" customFormat="1" ht="12.95" customHeight="1" thickBot="1">
      <c r="A42" s="281"/>
      <c r="B42" s="15"/>
      <c r="C42" s="16"/>
      <c r="D42" s="16"/>
      <c r="E42" s="307"/>
      <c r="F42" s="333"/>
      <c r="G42" s="16"/>
      <c r="H42" s="16"/>
      <c r="I42" s="16"/>
      <c r="J42" s="394"/>
      <c r="K42" s="16"/>
      <c r="L42" s="16"/>
      <c r="M42" s="394"/>
      <c r="N42" s="349" t="str">
        <f t="shared" si="1"/>
        <v/>
      </c>
    </row>
    <row r="43" spans="1:15" ht="12.95" customHeight="1">
      <c r="E43" s="308"/>
      <c r="F43" s="334"/>
      <c r="J43" s="391"/>
      <c r="M43" s="391"/>
      <c r="N43" s="350" t="str">
        <f t="shared" si="1"/>
        <v/>
      </c>
    </row>
    <row r="44" spans="1:15" ht="12.95" customHeight="1">
      <c r="E44" s="308"/>
      <c r="F44" s="334"/>
      <c r="J44" s="391"/>
      <c r="M44" s="391"/>
      <c r="N44" s="350" t="str">
        <f t="shared" si="1"/>
        <v/>
      </c>
    </row>
    <row r="45" spans="1:15" ht="12.95" customHeight="1">
      <c r="B45" s="50"/>
      <c r="E45" s="308"/>
      <c r="F45" s="334"/>
      <c r="J45" s="391"/>
      <c r="M45" s="391"/>
      <c r="N45" s="350" t="str">
        <f t="shared" si="1"/>
        <v/>
      </c>
    </row>
    <row r="46" spans="1:15" ht="12.95" customHeight="1">
      <c r="B46" s="50"/>
      <c r="E46" s="308"/>
      <c r="F46" s="334"/>
      <c r="J46" s="391"/>
      <c r="M46" s="391"/>
      <c r="N46" s="350" t="str">
        <f t="shared" si="1"/>
        <v/>
      </c>
    </row>
    <row r="47" spans="1:15" ht="12.95" customHeight="1">
      <c r="B47" s="50"/>
      <c r="E47" s="308"/>
      <c r="F47" s="334"/>
      <c r="J47" s="391"/>
      <c r="M47" s="391"/>
      <c r="N47" s="350" t="str">
        <f t="shared" si="1"/>
        <v/>
      </c>
    </row>
    <row r="48" spans="1:15" ht="12.95" customHeight="1">
      <c r="B48" s="50"/>
      <c r="E48" s="308"/>
      <c r="F48" s="334"/>
      <c r="J48" s="391"/>
      <c r="M48" s="391"/>
      <c r="N48" s="350" t="str">
        <f t="shared" si="1"/>
        <v/>
      </c>
    </row>
    <row r="49" spans="2:14" ht="12.95" customHeight="1">
      <c r="B49" s="50"/>
      <c r="E49" s="308"/>
      <c r="F49" s="334"/>
      <c r="J49" s="391"/>
      <c r="M49" s="391"/>
      <c r="N49" s="350" t="str">
        <f t="shared" si="1"/>
        <v/>
      </c>
    </row>
    <row r="50" spans="2:14" ht="12.95" customHeight="1">
      <c r="E50" s="308"/>
      <c r="F50" s="334"/>
      <c r="J50" s="391"/>
      <c r="M50" s="391"/>
      <c r="N50" s="350" t="str">
        <f t="shared" si="1"/>
        <v/>
      </c>
    </row>
    <row r="51" spans="2:14" ht="12.95" customHeight="1">
      <c r="E51" s="308"/>
      <c r="F51" s="334"/>
      <c r="J51" s="391"/>
      <c r="M51" s="391"/>
      <c r="N51" s="350" t="str">
        <f t="shared" si="1"/>
        <v/>
      </c>
    </row>
    <row r="52" spans="2:14" ht="12.95" customHeight="1">
      <c r="E52" s="308"/>
      <c r="F52" s="334"/>
      <c r="J52" s="391"/>
      <c r="M52" s="391"/>
      <c r="N52" s="350" t="str">
        <f t="shared" si="1"/>
        <v/>
      </c>
    </row>
    <row r="53" spans="2:14" ht="12.95" customHeight="1">
      <c r="E53" s="308"/>
      <c r="F53" s="334"/>
      <c r="J53" s="391"/>
      <c r="M53" s="391"/>
      <c r="N53" s="350" t="str">
        <f t="shared" si="1"/>
        <v/>
      </c>
    </row>
    <row r="54" spans="2:14" ht="12.95" customHeight="1">
      <c r="E54" s="308"/>
      <c r="F54" s="334"/>
      <c r="J54" s="391"/>
      <c r="M54" s="391"/>
      <c r="N54" s="350" t="str">
        <f t="shared" si="1"/>
        <v/>
      </c>
    </row>
    <row r="55" spans="2:14" ht="12.95" customHeight="1">
      <c r="E55" s="308"/>
      <c r="F55" s="334"/>
      <c r="J55" s="391"/>
      <c r="M55" s="391"/>
      <c r="N55" s="350" t="str">
        <f t="shared" si="1"/>
        <v/>
      </c>
    </row>
    <row r="56" spans="2:14" ht="12.95" customHeight="1">
      <c r="E56" s="308"/>
      <c r="F56" s="334"/>
      <c r="J56" s="391"/>
      <c r="M56" s="391"/>
      <c r="N56" s="350" t="str">
        <f t="shared" si="1"/>
        <v/>
      </c>
    </row>
    <row r="57" spans="2:14" ht="12.95" customHeight="1">
      <c r="E57" s="308"/>
      <c r="F57" s="334"/>
      <c r="J57" s="391"/>
      <c r="M57" s="391"/>
      <c r="N57" s="350" t="str">
        <f t="shared" si="1"/>
        <v/>
      </c>
    </row>
    <row r="58" spans="2:14" ht="12.95" customHeight="1">
      <c r="E58" s="308"/>
      <c r="F58" s="334"/>
      <c r="J58" s="391"/>
      <c r="M58" s="391"/>
      <c r="N58" s="350" t="str">
        <f t="shared" si="1"/>
        <v/>
      </c>
    </row>
    <row r="59" spans="2:14" ht="12.95" customHeight="1">
      <c r="E59" s="308"/>
      <c r="F59" s="334"/>
      <c r="J59" s="391"/>
      <c r="M59" s="391"/>
      <c r="N59" s="350" t="str">
        <f t="shared" si="1"/>
        <v/>
      </c>
    </row>
    <row r="60" spans="2:14" ht="17.100000000000001" customHeight="1">
      <c r="E60" s="308"/>
      <c r="F60" s="334"/>
      <c r="J60" s="391"/>
      <c r="M60" s="391"/>
      <c r="N60" s="350" t="str">
        <f t="shared" si="1"/>
        <v/>
      </c>
    </row>
    <row r="61" spans="2:14" ht="17.100000000000001" customHeight="1">
      <c r="E61" s="308"/>
      <c r="F61" s="334"/>
      <c r="J61" s="391"/>
      <c r="M61" s="391"/>
      <c r="N61" s="350" t="str">
        <f t="shared" si="1"/>
        <v/>
      </c>
    </row>
    <row r="62" spans="2:14" ht="17.100000000000001" customHeight="1">
      <c r="E62" s="308"/>
      <c r="F62" s="334"/>
      <c r="J62" s="391"/>
      <c r="M62" s="391"/>
      <c r="N62" s="350" t="str">
        <f t="shared" si="1"/>
        <v/>
      </c>
    </row>
    <row r="63" spans="2:14" ht="14.25">
      <c r="E63" s="308"/>
      <c r="F63" s="334"/>
      <c r="J63" s="391"/>
      <c r="M63" s="391"/>
      <c r="N63" s="350" t="str">
        <f t="shared" si="1"/>
        <v/>
      </c>
    </row>
    <row r="64" spans="2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P96"/>
  <sheetViews>
    <sheetView zoomScaleNormal="100" zoomScaleSheetLayoutView="100" workbookViewId="0">
      <selection activeCell="Q26" sqref="Q26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178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139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247350</v>
      </c>
      <c r="I8" s="210">
        <f t="shared" si="0"/>
        <v>0</v>
      </c>
      <c r="J8" s="384">
        <f t="shared" si="0"/>
        <v>247350</v>
      </c>
      <c r="K8" s="210">
        <f t="shared" si="0"/>
        <v>187394</v>
      </c>
      <c r="L8" s="210">
        <f t="shared" si="0"/>
        <v>0</v>
      </c>
      <c r="M8" s="384">
        <f t="shared" si="0"/>
        <v>187394</v>
      </c>
      <c r="N8" s="346">
        <f>IF(J8=0,"",M8/J8*100)</f>
        <v>75.760663028097838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197600+1970+11700-4170</f>
        <v>207100</v>
      </c>
      <c r="I9" s="212">
        <v>0</v>
      </c>
      <c r="J9" s="385">
        <f>SUM(H9:I9)</f>
        <v>207100</v>
      </c>
      <c r="K9" s="212">
        <v>152817</v>
      </c>
      <c r="L9" s="212">
        <v>0</v>
      </c>
      <c r="M9" s="385">
        <f>SUM(K9:L9)</f>
        <v>152817</v>
      </c>
      <c r="N9" s="347">
        <f t="shared" ref="N9:N66" si="1">IF(J9=0,"",M9/J9*100)</f>
        <v>73.788990825688074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36500+750+3000</f>
        <v>40250</v>
      </c>
      <c r="I10" s="212">
        <v>0</v>
      </c>
      <c r="J10" s="385">
        <f t="shared" ref="J10:J11" si="2">SUM(H10:I10)</f>
        <v>40250</v>
      </c>
      <c r="K10" s="212">
        <v>34577</v>
      </c>
      <c r="L10" s="212">
        <v>0</v>
      </c>
      <c r="M10" s="385">
        <f t="shared" ref="M10:M11" si="3">SUM(K10:L10)</f>
        <v>34577</v>
      </c>
      <c r="N10" s="347">
        <f t="shared" si="1"/>
        <v>85.905590062111798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21930</v>
      </c>
      <c r="I13" s="210">
        <f t="shared" si="4"/>
        <v>0</v>
      </c>
      <c r="J13" s="384">
        <f t="shared" si="4"/>
        <v>21930</v>
      </c>
      <c r="K13" s="210">
        <f t="shared" si="4"/>
        <v>16175</v>
      </c>
      <c r="L13" s="210">
        <f t="shared" si="4"/>
        <v>0</v>
      </c>
      <c r="M13" s="384">
        <f t="shared" si="4"/>
        <v>16175</v>
      </c>
      <c r="N13" s="346">
        <f t="shared" si="1"/>
        <v>73.757409940720478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21020+210+700</f>
        <v>21930</v>
      </c>
      <c r="I14" s="212">
        <v>0</v>
      </c>
      <c r="J14" s="385">
        <f>SUM(H14:I14)</f>
        <v>21930</v>
      </c>
      <c r="K14" s="212">
        <v>16175</v>
      </c>
      <c r="L14" s="212">
        <v>0</v>
      </c>
      <c r="M14" s="385">
        <f>SUM(K14:L14)</f>
        <v>16175</v>
      </c>
      <c r="N14" s="347">
        <f t="shared" si="1"/>
        <v>73.757409940720478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SUM(H17:H27)</f>
        <v>19600</v>
      </c>
      <c r="I16" s="293">
        <f t="shared" si="5"/>
        <v>200000</v>
      </c>
      <c r="J16" s="387">
        <f t="shared" si="5"/>
        <v>219600</v>
      </c>
      <c r="K16" s="293">
        <f t="shared" si="5"/>
        <v>13386</v>
      </c>
      <c r="L16" s="293">
        <f t="shared" si="5"/>
        <v>126947</v>
      </c>
      <c r="M16" s="387">
        <f t="shared" si="5"/>
        <v>140333</v>
      </c>
      <c r="N16" s="346">
        <f t="shared" si="1"/>
        <v>63.903916211293264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291">
        <v>1800</v>
      </c>
      <c r="I17" s="291">
        <v>0</v>
      </c>
      <c r="J17" s="385">
        <f t="shared" ref="J17:J27" si="6">SUM(H17:I17)</f>
        <v>1800</v>
      </c>
      <c r="K17" s="291">
        <v>1416</v>
      </c>
      <c r="L17" s="291">
        <v>0</v>
      </c>
      <c r="M17" s="385">
        <f t="shared" ref="M17:M27" si="7">SUM(K17:L17)</f>
        <v>1416</v>
      </c>
      <c r="N17" s="347">
        <f t="shared" si="1"/>
        <v>78.666666666666657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291">
        <v>0</v>
      </c>
      <c r="I18" s="291">
        <v>0</v>
      </c>
      <c r="J18" s="385">
        <f t="shared" si="6"/>
        <v>0</v>
      </c>
      <c r="K18" s="291">
        <v>0</v>
      </c>
      <c r="L18" s="291">
        <v>0</v>
      </c>
      <c r="M18" s="385">
        <f t="shared" si="7"/>
        <v>0</v>
      </c>
      <c r="N18" s="347" t="str">
        <f t="shared" si="1"/>
        <v/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6800</v>
      </c>
      <c r="I19" s="363">
        <v>0</v>
      </c>
      <c r="J19" s="385">
        <f t="shared" si="6"/>
        <v>6800</v>
      </c>
      <c r="K19" s="363">
        <v>5148</v>
      </c>
      <c r="L19" s="363">
        <v>0</v>
      </c>
      <c r="M19" s="385">
        <f t="shared" si="7"/>
        <v>5148</v>
      </c>
      <c r="N19" s="347">
        <f t="shared" si="1"/>
        <v>75.705882352941174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0</v>
      </c>
      <c r="I20" s="363">
        <v>0</v>
      </c>
      <c r="J20" s="385">
        <f t="shared" si="6"/>
        <v>0</v>
      </c>
      <c r="K20" s="363">
        <v>0</v>
      </c>
      <c r="L20" s="363">
        <v>0</v>
      </c>
      <c r="M20" s="385">
        <f t="shared" si="7"/>
        <v>0</v>
      </c>
      <c r="N20" s="347" t="str">
        <f t="shared" si="1"/>
        <v/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0</v>
      </c>
      <c r="I21" s="365">
        <v>0</v>
      </c>
      <c r="J21" s="385">
        <f t="shared" si="6"/>
        <v>0</v>
      </c>
      <c r="K21" s="365">
        <v>0</v>
      </c>
      <c r="L21" s="365">
        <v>0</v>
      </c>
      <c r="M21" s="385">
        <f t="shared" si="7"/>
        <v>0</v>
      </c>
      <c r="N21" s="347" t="str">
        <f t="shared" si="1"/>
        <v/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12">
        <v>613700</v>
      </c>
      <c r="F23" s="338"/>
      <c r="G23" s="11" t="s">
        <v>87</v>
      </c>
      <c r="H23" s="365">
        <v>1000</v>
      </c>
      <c r="I23" s="365">
        <v>0</v>
      </c>
      <c r="J23" s="385">
        <f t="shared" si="6"/>
        <v>1000</v>
      </c>
      <c r="K23" s="365">
        <v>309</v>
      </c>
      <c r="L23" s="365">
        <v>0</v>
      </c>
      <c r="M23" s="385">
        <f t="shared" si="7"/>
        <v>309</v>
      </c>
      <c r="N23" s="347">
        <f t="shared" si="1"/>
        <v>30.9</v>
      </c>
    </row>
    <row r="24" spans="1:15" ht="12.95" customHeight="1">
      <c r="B24" s="10"/>
      <c r="C24" s="11"/>
      <c r="D24" s="22"/>
      <c r="E24" s="306">
        <v>613700</v>
      </c>
      <c r="F24" s="329" t="s">
        <v>677</v>
      </c>
      <c r="G24" s="37" t="s">
        <v>88</v>
      </c>
      <c r="H24" s="365">
        <v>0</v>
      </c>
      <c r="I24" s="365">
        <v>200000</v>
      </c>
      <c r="J24" s="385">
        <f t="shared" si="6"/>
        <v>200000</v>
      </c>
      <c r="K24" s="365">
        <v>0</v>
      </c>
      <c r="L24" s="365">
        <v>126947</v>
      </c>
      <c r="M24" s="385">
        <f t="shared" si="7"/>
        <v>126947</v>
      </c>
      <c r="N24" s="347">
        <f t="shared" si="1"/>
        <v>63.473500000000001</v>
      </c>
    </row>
    <row r="25" spans="1:15" ht="12.95" customHeight="1">
      <c r="B25" s="10"/>
      <c r="C25" s="11"/>
      <c r="D25" s="11"/>
      <c r="E25" s="314">
        <v>613800</v>
      </c>
      <c r="F25" s="339"/>
      <c r="G25" s="11" t="s">
        <v>166</v>
      </c>
      <c r="H25" s="365">
        <v>0</v>
      </c>
      <c r="I25" s="365">
        <v>0</v>
      </c>
      <c r="J25" s="385">
        <f t="shared" si="6"/>
        <v>0</v>
      </c>
      <c r="K25" s="365">
        <v>0</v>
      </c>
      <c r="L25" s="365">
        <v>0</v>
      </c>
      <c r="M25" s="385">
        <f t="shared" si="7"/>
        <v>0</v>
      </c>
      <c r="N25" s="347" t="str">
        <f t="shared" si="1"/>
        <v/>
      </c>
    </row>
    <row r="26" spans="1:15" ht="12.95" customHeight="1">
      <c r="B26" s="10"/>
      <c r="C26" s="11"/>
      <c r="D26" s="11"/>
      <c r="E26" s="306">
        <v>613900</v>
      </c>
      <c r="F26" s="332"/>
      <c r="G26" s="11" t="s">
        <v>167</v>
      </c>
      <c r="H26" s="365">
        <v>10000</v>
      </c>
      <c r="I26" s="365">
        <v>0</v>
      </c>
      <c r="J26" s="385">
        <f t="shared" si="6"/>
        <v>10000</v>
      </c>
      <c r="K26" s="365">
        <v>6513</v>
      </c>
      <c r="L26" s="365">
        <v>0</v>
      </c>
      <c r="M26" s="385">
        <f t="shared" si="7"/>
        <v>6513</v>
      </c>
      <c r="N26" s="347">
        <f t="shared" si="1"/>
        <v>65.13</v>
      </c>
      <c r="O26" s="68"/>
    </row>
    <row r="27" spans="1:15" ht="12.95" customHeight="1">
      <c r="B27" s="10"/>
      <c r="C27" s="11"/>
      <c r="D27" s="11"/>
      <c r="E27" s="306">
        <v>613900</v>
      </c>
      <c r="F27" s="332"/>
      <c r="G27" s="189" t="s">
        <v>535</v>
      </c>
      <c r="H27" s="365">
        <v>0</v>
      </c>
      <c r="I27" s="365">
        <v>0</v>
      </c>
      <c r="J27" s="385">
        <f t="shared" si="6"/>
        <v>0</v>
      </c>
      <c r="K27" s="365">
        <v>0</v>
      </c>
      <c r="L27" s="365">
        <v>0</v>
      </c>
      <c r="M27" s="385">
        <f t="shared" si="7"/>
        <v>0</v>
      </c>
      <c r="N27" s="347" t="str">
        <f t="shared" si="1"/>
        <v/>
      </c>
    </row>
    <row r="28" spans="1:15" ht="12.95" customHeight="1">
      <c r="B28" s="10"/>
      <c r="C28" s="11"/>
      <c r="D28" s="11"/>
      <c r="E28" s="306"/>
      <c r="F28" s="332"/>
      <c r="G28" s="11"/>
      <c r="H28" s="296"/>
      <c r="I28" s="296"/>
      <c r="J28" s="386"/>
      <c r="K28" s="296"/>
      <c r="L28" s="296"/>
      <c r="M28" s="386"/>
      <c r="N28" s="347" t="str">
        <f t="shared" si="1"/>
        <v/>
      </c>
    </row>
    <row r="29" spans="1:15" s="1" customFormat="1" ht="12.95" customHeight="1">
      <c r="A29" s="281"/>
      <c r="B29" s="12"/>
      <c r="C29" s="8"/>
      <c r="D29" s="8"/>
      <c r="E29" s="305">
        <v>614000</v>
      </c>
      <c r="F29" s="331"/>
      <c r="G29" s="8" t="s">
        <v>202</v>
      </c>
      <c r="H29" s="295">
        <f t="shared" ref="H29:M29" si="8">SUM(H30:H31)</f>
        <v>30000</v>
      </c>
      <c r="I29" s="295">
        <f t="shared" si="8"/>
        <v>180000</v>
      </c>
      <c r="J29" s="387">
        <f t="shared" si="8"/>
        <v>210000</v>
      </c>
      <c r="K29" s="295">
        <f t="shared" si="8"/>
        <v>0</v>
      </c>
      <c r="L29" s="295">
        <f t="shared" si="8"/>
        <v>17500</v>
      </c>
      <c r="M29" s="387">
        <f t="shared" si="8"/>
        <v>17500</v>
      </c>
      <c r="N29" s="346">
        <f t="shared" si="1"/>
        <v>8.3333333333333321</v>
      </c>
    </row>
    <row r="30" spans="1:15" ht="12.95" customHeight="1">
      <c r="B30" s="10"/>
      <c r="C30" s="11"/>
      <c r="D30" s="22"/>
      <c r="E30" s="314">
        <v>614100</v>
      </c>
      <c r="F30" s="339" t="s">
        <v>678</v>
      </c>
      <c r="G30" s="41" t="s">
        <v>176</v>
      </c>
      <c r="H30" s="296">
        <v>0</v>
      </c>
      <c r="I30" s="296">
        <v>180000</v>
      </c>
      <c r="J30" s="385">
        <f t="shared" ref="J30:J31" si="9">SUM(H30:I30)</f>
        <v>180000</v>
      </c>
      <c r="K30" s="296">
        <v>0</v>
      </c>
      <c r="L30" s="296">
        <v>17500</v>
      </c>
      <c r="M30" s="385">
        <f t="shared" ref="M30:M31" si="10">SUM(K30:L30)</f>
        <v>17500</v>
      </c>
      <c r="N30" s="347">
        <f t="shared" si="1"/>
        <v>9.7222222222222232</v>
      </c>
    </row>
    <row r="31" spans="1:15" ht="12.95" customHeight="1">
      <c r="B31" s="10"/>
      <c r="C31" s="11"/>
      <c r="D31" s="11"/>
      <c r="E31" s="306">
        <v>614100</v>
      </c>
      <c r="F31" s="332" t="s">
        <v>679</v>
      </c>
      <c r="G31" s="18" t="s">
        <v>215</v>
      </c>
      <c r="H31" s="296">
        <v>30000</v>
      </c>
      <c r="I31" s="296">
        <v>0</v>
      </c>
      <c r="J31" s="385">
        <f t="shared" si="9"/>
        <v>30000</v>
      </c>
      <c r="K31" s="296">
        <v>0</v>
      </c>
      <c r="L31" s="296">
        <v>0</v>
      </c>
      <c r="M31" s="385">
        <f t="shared" si="10"/>
        <v>0</v>
      </c>
      <c r="N31" s="347">
        <f t="shared" si="1"/>
        <v>0</v>
      </c>
    </row>
    <row r="32" spans="1:15" ht="12.95" customHeight="1">
      <c r="B32" s="10"/>
      <c r="C32" s="11"/>
      <c r="D32" s="11"/>
      <c r="E32" s="306"/>
      <c r="F32" s="332"/>
      <c r="G32" s="11"/>
      <c r="H32" s="296"/>
      <c r="I32" s="296"/>
      <c r="J32" s="386"/>
      <c r="K32" s="296"/>
      <c r="L32" s="296"/>
      <c r="M32" s="386"/>
      <c r="N32" s="347" t="str">
        <f t="shared" si="1"/>
        <v/>
      </c>
    </row>
    <row r="33" spans="1:16" s="1" customFormat="1" ht="12.95" customHeight="1">
      <c r="A33" s="281"/>
      <c r="B33" s="12"/>
      <c r="C33" s="8"/>
      <c r="D33" s="8"/>
      <c r="E33" s="305">
        <v>821000</v>
      </c>
      <c r="F33" s="331"/>
      <c r="G33" s="8" t="s">
        <v>90</v>
      </c>
      <c r="H33" s="295">
        <f t="shared" ref="H33:M33" si="11">SUM(H34:H36)</f>
        <v>2000</v>
      </c>
      <c r="I33" s="295">
        <f t="shared" si="11"/>
        <v>892000</v>
      </c>
      <c r="J33" s="387">
        <f t="shared" si="11"/>
        <v>894000</v>
      </c>
      <c r="K33" s="295">
        <f t="shared" si="11"/>
        <v>1551</v>
      </c>
      <c r="L33" s="295">
        <f t="shared" si="11"/>
        <v>6978</v>
      </c>
      <c r="M33" s="387">
        <f t="shared" si="11"/>
        <v>8529</v>
      </c>
      <c r="N33" s="346">
        <f t="shared" si="1"/>
        <v>0.95402684563758389</v>
      </c>
    </row>
    <row r="34" spans="1:16" ht="12.95" customHeight="1">
      <c r="B34" s="10"/>
      <c r="C34" s="11"/>
      <c r="D34" s="11"/>
      <c r="E34" s="306">
        <v>821200</v>
      </c>
      <c r="F34" s="332"/>
      <c r="G34" s="11" t="s">
        <v>91</v>
      </c>
      <c r="H34" s="296">
        <v>0</v>
      </c>
      <c r="I34" s="296">
        <v>0</v>
      </c>
      <c r="J34" s="385">
        <f t="shared" ref="J34:J36" si="12">SUM(H34:I34)</f>
        <v>0</v>
      </c>
      <c r="K34" s="296">
        <v>0</v>
      </c>
      <c r="L34" s="296">
        <v>0</v>
      </c>
      <c r="M34" s="385">
        <f t="shared" ref="M34:M36" si="13">SUM(K34:L34)</f>
        <v>0</v>
      </c>
      <c r="N34" s="347" t="str">
        <f t="shared" si="1"/>
        <v/>
      </c>
    </row>
    <row r="35" spans="1:16" ht="12.95" customHeight="1">
      <c r="B35" s="10"/>
      <c r="C35" s="11"/>
      <c r="D35" s="11"/>
      <c r="E35" s="306">
        <v>821300</v>
      </c>
      <c r="F35" s="332"/>
      <c r="G35" s="11" t="s">
        <v>92</v>
      </c>
      <c r="H35" s="296">
        <v>2000</v>
      </c>
      <c r="I35" s="296">
        <v>0</v>
      </c>
      <c r="J35" s="385">
        <f t="shared" si="12"/>
        <v>2000</v>
      </c>
      <c r="K35" s="296">
        <v>1551</v>
      </c>
      <c r="L35" s="296">
        <v>0</v>
      </c>
      <c r="M35" s="385">
        <f t="shared" si="13"/>
        <v>1551</v>
      </c>
      <c r="N35" s="347">
        <f t="shared" si="1"/>
        <v>77.55</v>
      </c>
    </row>
    <row r="36" spans="1:16" ht="12.95" customHeight="1">
      <c r="B36" s="10"/>
      <c r="C36" s="11"/>
      <c r="D36" s="11"/>
      <c r="E36" s="309">
        <v>821600</v>
      </c>
      <c r="F36" s="335"/>
      <c r="G36" s="69" t="s">
        <v>104</v>
      </c>
      <c r="H36" s="296">
        <v>0</v>
      </c>
      <c r="I36" s="296">
        <v>892000</v>
      </c>
      <c r="J36" s="385">
        <f t="shared" si="12"/>
        <v>892000</v>
      </c>
      <c r="K36" s="296">
        <v>0</v>
      </c>
      <c r="L36" s="296">
        <v>6978</v>
      </c>
      <c r="M36" s="385">
        <f t="shared" si="13"/>
        <v>6978</v>
      </c>
      <c r="N36" s="347">
        <f t="shared" si="1"/>
        <v>0.78228699551569514</v>
      </c>
      <c r="P36" s="57"/>
    </row>
    <row r="37" spans="1:16" ht="12.95" customHeight="1">
      <c r="B37" s="10"/>
      <c r="C37" s="11"/>
      <c r="D37" s="11"/>
      <c r="E37" s="306"/>
      <c r="F37" s="332"/>
      <c r="G37" s="11"/>
      <c r="H37" s="295"/>
      <c r="I37" s="295"/>
      <c r="J37" s="387"/>
      <c r="K37" s="295"/>
      <c r="L37" s="295"/>
      <c r="M37" s="387"/>
      <c r="N37" s="347" t="str">
        <f t="shared" si="1"/>
        <v/>
      </c>
    </row>
    <row r="38" spans="1:16" s="1" customFormat="1" ht="12.95" customHeight="1">
      <c r="A38" s="281"/>
      <c r="B38" s="12"/>
      <c r="C38" s="8"/>
      <c r="D38" s="8"/>
      <c r="E38" s="305"/>
      <c r="F38" s="331"/>
      <c r="G38" s="8" t="s">
        <v>93</v>
      </c>
      <c r="H38" s="295">
        <v>10</v>
      </c>
      <c r="I38" s="295"/>
      <c r="J38" s="387">
        <v>10</v>
      </c>
      <c r="K38" s="295">
        <v>10</v>
      </c>
      <c r="L38" s="295"/>
      <c r="M38" s="387">
        <v>10</v>
      </c>
      <c r="N38" s="347"/>
    </row>
    <row r="39" spans="1:16" s="1" customFormat="1" ht="12.95" customHeight="1">
      <c r="A39" s="281"/>
      <c r="B39" s="12"/>
      <c r="C39" s="8"/>
      <c r="D39" s="8"/>
      <c r="E39" s="305"/>
      <c r="F39" s="331"/>
      <c r="G39" s="8" t="s">
        <v>113</v>
      </c>
      <c r="H39" s="288">
        <f t="shared" ref="H39:M39" si="14">H8+H13+H16+H29+H33</f>
        <v>320880</v>
      </c>
      <c r="I39" s="288">
        <f t="shared" si="14"/>
        <v>1272000</v>
      </c>
      <c r="J39" s="387">
        <f t="shared" si="14"/>
        <v>1592880</v>
      </c>
      <c r="K39" s="288">
        <f t="shared" si="14"/>
        <v>218506</v>
      </c>
      <c r="L39" s="288">
        <f t="shared" si="14"/>
        <v>151425</v>
      </c>
      <c r="M39" s="387">
        <f t="shared" si="14"/>
        <v>369931</v>
      </c>
      <c r="N39" s="346">
        <f t="shared" si="1"/>
        <v>23.224034453317259</v>
      </c>
    </row>
    <row r="40" spans="1:16" s="1" customFormat="1" ht="12.95" customHeight="1">
      <c r="A40" s="281"/>
      <c r="B40" s="12"/>
      <c r="C40" s="8"/>
      <c r="D40" s="8"/>
      <c r="E40" s="305"/>
      <c r="F40" s="331"/>
      <c r="G40" s="8" t="s">
        <v>94</v>
      </c>
      <c r="H40" s="288">
        <f t="shared" ref="H40:J41" si="15">H39</f>
        <v>320880</v>
      </c>
      <c r="I40" s="288">
        <f t="shared" si="15"/>
        <v>1272000</v>
      </c>
      <c r="J40" s="387">
        <f t="shared" si="15"/>
        <v>1592880</v>
      </c>
      <c r="K40" s="288">
        <f t="shared" ref="K40:M40" si="16">K39</f>
        <v>218506</v>
      </c>
      <c r="L40" s="288">
        <f t="shared" si="16"/>
        <v>151425</v>
      </c>
      <c r="M40" s="387">
        <f t="shared" si="16"/>
        <v>369931</v>
      </c>
      <c r="N40" s="346">
        <f t="shared" si="1"/>
        <v>23.224034453317259</v>
      </c>
    </row>
    <row r="41" spans="1:16" s="1" customFormat="1" ht="12.95" customHeight="1">
      <c r="A41" s="281"/>
      <c r="B41" s="12"/>
      <c r="C41" s="8"/>
      <c r="D41" s="8"/>
      <c r="E41" s="305"/>
      <c r="F41" s="331"/>
      <c r="G41" s="8" t="s">
        <v>95</v>
      </c>
      <c r="H41" s="288">
        <f t="shared" si="15"/>
        <v>320880</v>
      </c>
      <c r="I41" s="288">
        <f t="shared" si="15"/>
        <v>1272000</v>
      </c>
      <c r="J41" s="387">
        <f t="shared" si="15"/>
        <v>1592880</v>
      </c>
      <c r="K41" s="288">
        <f t="shared" ref="K41:M41" si="17">K40</f>
        <v>218506</v>
      </c>
      <c r="L41" s="288">
        <f t="shared" si="17"/>
        <v>151425</v>
      </c>
      <c r="M41" s="387">
        <f t="shared" si="17"/>
        <v>369931</v>
      </c>
      <c r="N41" s="346">
        <f t="shared" si="1"/>
        <v>23.224034453317259</v>
      </c>
    </row>
    <row r="42" spans="1:16" ht="12.95" customHeight="1" thickBot="1">
      <c r="B42" s="15"/>
      <c r="C42" s="16"/>
      <c r="D42" s="16"/>
      <c r="E42" s="307"/>
      <c r="F42" s="333"/>
      <c r="G42" s="16"/>
      <c r="H42" s="27"/>
      <c r="I42" s="27"/>
      <c r="J42" s="390"/>
      <c r="K42" s="27"/>
      <c r="L42" s="27"/>
      <c r="M42" s="390"/>
      <c r="N42" s="349" t="str">
        <f t="shared" si="1"/>
        <v/>
      </c>
    </row>
    <row r="43" spans="1:16" ht="12.95" customHeight="1">
      <c r="E43" s="308"/>
      <c r="F43" s="334"/>
      <c r="J43" s="393"/>
      <c r="M43" s="393"/>
      <c r="N43" s="350" t="str">
        <f t="shared" si="1"/>
        <v/>
      </c>
    </row>
    <row r="44" spans="1:16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6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6" ht="12.95" customHeight="1">
      <c r="B46" s="50"/>
      <c r="E46" s="308"/>
      <c r="F46" s="334"/>
      <c r="J46" s="393"/>
      <c r="M46" s="393"/>
      <c r="N46" s="350" t="str">
        <f t="shared" si="1"/>
        <v/>
      </c>
    </row>
    <row r="47" spans="1:16" ht="12.95" customHeight="1">
      <c r="E47" s="308"/>
      <c r="F47" s="334"/>
      <c r="J47" s="393"/>
      <c r="M47" s="393"/>
      <c r="N47" s="350" t="str">
        <f t="shared" si="1"/>
        <v/>
      </c>
    </row>
    <row r="48" spans="1:16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P96"/>
  <sheetViews>
    <sheetView zoomScaleNormal="100" zoomScaleSheetLayoutView="100" workbookViewId="0">
      <selection activeCell="K39" sqref="K39:L39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140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141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608050</v>
      </c>
      <c r="I8" s="210">
        <f t="shared" si="0"/>
        <v>0</v>
      </c>
      <c r="J8" s="384">
        <f t="shared" si="0"/>
        <v>608050</v>
      </c>
      <c r="K8" s="210">
        <f t="shared" si="0"/>
        <v>441334</v>
      </c>
      <c r="L8" s="210">
        <f t="shared" si="0"/>
        <v>0</v>
      </c>
      <c r="M8" s="384">
        <f t="shared" si="0"/>
        <v>441334</v>
      </c>
      <c r="N8" s="346">
        <f>IF(J8=0,"",M8/J8*100)</f>
        <v>72.581860044404252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496000+3500+1*9*1430</f>
        <v>512370</v>
      </c>
      <c r="I9" s="209">
        <v>0</v>
      </c>
      <c r="J9" s="385">
        <f>SUM(H9:I9)</f>
        <v>512370</v>
      </c>
      <c r="K9" s="209">
        <v>365207</v>
      </c>
      <c r="L9" s="209">
        <v>0</v>
      </c>
      <c r="M9" s="385">
        <f>SUM(K9:L9)</f>
        <v>365207</v>
      </c>
      <c r="N9" s="347">
        <f t="shared" ref="N9:N66" si="1">IF(J9=0,"",M9/J9*100)</f>
        <v>71.277982707808803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3">
        <f>91500+1300+9*320</f>
        <v>95680</v>
      </c>
      <c r="I10" s="213">
        <v>0</v>
      </c>
      <c r="J10" s="385">
        <f t="shared" ref="J10:J11" si="2">SUM(H10:I10)</f>
        <v>95680</v>
      </c>
      <c r="K10" s="213">
        <v>76127</v>
      </c>
      <c r="L10" s="213">
        <v>0</v>
      </c>
      <c r="M10" s="385">
        <f t="shared" ref="M10:M11" si="3">SUM(K10:L10)</f>
        <v>76127</v>
      </c>
      <c r="N10" s="347">
        <f t="shared" si="1"/>
        <v>79.564172240802677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54570</v>
      </c>
      <c r="I13" s="210">
        <f t="shared" si="4"/>
        <v>0</v>
      </c>
      <c r="J13" s="384">
        <f t="shared" si="4"/>
        <v>54570</v>
      </c>
      <c r="K13" s="210">
        <f t="shared" si="4"/>
        <v>39904</v>
      </c>
      <c r="L13" s="210">
        <f t="shared" si="4"/>
        <v>0</v>
      </c>
      <c r="M13" s="384">
        <f t="shared" si="4"/>
        <v>39904</v>
      </c>
      <c r="N13" s="346">
        <f t="shared" si="1"/>
        <v>73.124427341029872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52700+430+1*9*160</f>
        <v>54570</v>
      </c>
      <c r="I14" s="209">
        <v>0</v>
      </c>
      <c r="J14" s="385">
        <f>SUM(H14:I14)</f>
        <v>54570</v>
      </c>
      <c r="K14" s="209">
        <v>39904</v>
      </c>
      <c r="L14" s="209">
        <v>0</v>
      </c>
      <c r="M14" s="385">
        <f>SUM(K14:L14)</f>
        <v>39904</v>
      </c>
      <c r="N14" s="347">
        <f t="shared" si="1"/>
        <v>73.124427341029872</v>
      </c>
    </row>
    <row r="15" spans="1:16" ht="12.95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82610</v>
      </c>
      <c r="I16" s="293">
        <f t="shared" si="5"/>
        <v>0</v>
      </c>
      <c r="J16" s="387">
        <f t="shared" si="5"/>
        <v>82610</v>
      </c>
      <c r="K16" s="293">
        <f t="shared" si="5"/>
        <v>56881</v>
      </c>
      <c r="L16" s="293">
        <f t="shared" si="5"/>
        <v>0</v>
      </c>
      <c r="M16" s="387">
        <f t="shared" si="5"/>
        <v>56881</v>
      </c>
      <c r="N16" s="346">
        <f t="shared" si="1"/>
        <v>68.854860186418108</v>
      </c>
    </row>
    <row r="17" spans="1:16" ht="12.95" customHeight="1">
      <c r="B17" s="10"/>
      <c r="C17" s="11"/>
      <c r="D17" s="11"/>
      <c r="E17" s="306">
        <v>613100</v>
      </c>
      <c r="F17" s="332"/>
      <c r="G17" s="11" t="s">
        <v>84</v>
      </c>
      <c r="H17" s="364">
        <v>10500</v>
      </c>
      <c r="I17" s="364">
        <v>0</v>
      </c>
      <c r="J17" s="385">
        <f t="shared" ref="J17:J26" si="6">SUM(H17:I17)</f>
        <v>10500</v>
      </c>
      <c r="K17" s="364">
        <v>5821</v>
      </c>
      <c r="L17" s="364">
        <v>0</v>
      </c>
      <c r="M17" s="385">
        <f t="shared" ref="M17:M26" si="7">SUM(K17:L17)</f>
        <v>5821</v>
      </c>
      <c r="N17" s="347">
        <f t="shared" si="1"/>
        <v>55.438095238095244</v>
      </c>
    </row>
    <row r="18" spans="1:16" ht="12.95" customHeight="1">
      <c r="B18" s="10"/>
      <c r="C18" s="11"/>
      <c r="D18" s="11"/>
      <c r="E18" s="306">
        <v>613200</v>
      </c>
      <c r="F18" s="332"/>
      <c r="G18" s="11" t="s">
        <v>85</v>
      </c>
      <c r="H18" s="364">
        <v>0</v>
      </c>
      <c r="I18" s="364">
        <v>0</v>
      </c>
      <c r="J18" s="385">
        <f t="shared" si="6"/>
        <v>0</v>
      </c>
      <c r="K18" s="364">
        <v>0</v>
      </c>
      <c r="L18" s="364">
        <v>0</v>
      </c>
      <c r="M18" s="385">
        <f t="shared" si="7"/>
        <v>0</v>
      </c>
      <c r="N18" s="347" t="str">
        <f t="shared" si="1"/>
        <v/>
      </c>
    </row>
    <row r="19" spans="1:16" ht="12.95" customHeight="1">
      <c r="B19" s="10"/>
      <c r="C19" s="11"/>
      <c r="D19" s="11"/>
      <c r="E19" s="306">
        <v>613300</v>
      </c>
      <c r="F19" s="332"/>
      <c r="G19" s="18" t="s">
        <v>200</v>
      </c>
      <c r="H19" s="364">
        <v>5800</v>
      </c>
      <c r="I19" s="364">
        <v>0</v>
      </c>
      <c r="J19" s="385">
        <f t="shared" si="6"/>
        <v>5800</v>
      </c>
      <c r="K19" s="364">
        <v>3642</v>
      </c>
      <c r="L19" s="364">
        <v>0</v>
      </c>
      <c r="M19" s="385">
        <f t="shared" si="7"/>
        <v>3642</v>
      </c>
      <c r="N19" s="347">
        <f t="shared" si="1"/>
        <v>62.793103448275865</v>
      </c>
    </row>
    <row r="20" spans="1:16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2100</v>
      </c>
      <c r="I20" s="364">
        <v>0</v>
      </c>
      <c r="J20" s="385">
        <f t="shared" si="6"/>
        <v>2100</v>
      </c>
      <c r="K20" s="364">
        <v>1591</v>
      </c>
      <c r="L20" s="364">
        <v>0</v>
      </c>
      <c r="M20" s="385">
        <f t="shared" si="7"/>
        <v>1591</v>
      </c>
      <c r="N20" s="347">
        <f t="shared" si="1"/>
        <v>75.761904761904759</v>
      </c>
    </row>
    <row r="21" spans="1:16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500</v>
      </c>
      <c r="I21" s="364">
        <v>0</v>
      </c>
      <c r="J21" s="385">
        <f t="shared" si="6"/>
        <v>500</v>
      </c>
      <c r="K21" s="364">
        <v>94</v>
      </c>
      <c r="L21" s="364">
        <v>0</v>
      </c>
      <c r="M21" s="385">
        <f t="shared" si="7"/>
        <v>94</v>
      </c>
      <c r="N21" s="347">
        <f t="shared" si="1"/>
        <v>18.8</v>
      </c>
    </row>
    <row r="22" spans="1:16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5500</v>
      </c>
      <c r="I22" s="364">
        <v>0</v>
      </c>
      <c r="J22" s="385">
        <f t="shared" si="6"/>
        <v>5500</v>
      </c>
      <c r="K22" s="364">
        <v>3336</v>
      </c>
      <c r="L22" s="364">
        <v>0</v>
      </c>
      <c r="M22" s="385">
        <f t="shared" si="7"/>
        <v>3336</v>
      </c>
      <c r="N22" s="347">
        <f t="shared" si="1"/>
        <v>60.654545454545449</v>
      </c>
    </row>
    <row r="23" spans="1:16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7500</v>
      </c>
      <c r="I23" s="364">
        <v>0</v>
      </c>
      <c r="J23" s="385">
        <f t="shared" si="6"/>
        <v>7500</v>
      </c>
      <c r="K23" s="364">
        <v>6191</v>
      </c>
      <c r="L23" s="364">
        <v>0</v>
      </c>
      <c r="M23" s="385">
        <f t="shared" si="7"/>
        <v>6191</v>
      </c>
      <c r="N23" s="347">
        <f t="shared" si="1"/>
        <v>82.546666666666667</v>
      </c>
    </row>
    <row r="24" spans="1:16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710</v>
      </c>
      <c r="I24" s="364">
        <v>0</v>
      </c>
      <c r="J24" s="385">
        <f t="shared" si="6"/>
        <v>710</v>
      </c>
      <c r="K24" s="364">
        <v>0</v>
      </c>
      <c r="L24" s="364">
        <v>0</v>
      </c>
      <c r="M24" s="385">
        <f t="shared" si="7"/>
        <v>0</v>
      </c>
      <c r="N24" s="347">
        <f t="shared" si="1"/>
        <v>0</v>
      </c>
    </row>
    <row r="25" spans="1:16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50000</v>
      </c>
      <c r="I25" s="364">
        <v>0</v>
      </c>
      <c r="J25" s="385">
        <f t="shared" si="6"/>
        <v>50000</v>
      </c>
      <c r="K25" s="364">
        <v>36206</v>
      </c>
      <c r="L25" s="364">
        <v>0</v>
      </c>
      <c r="M25" s="385">
        <f t="shared" si="7"/>
        <v>36206</v>
      </c>
      <c r="N25" s="347">
        <f t="shared" si="1"/>
        <v>72.411999999999992</v>
      </c>
      <c r="O25" s="68"/>
    </row>
    <row r="26" spans="1:16" ht="12.95" customHeight="1">
      <c r="B26" s="10"/>
      <c r="C26" s="11"/>
      <c r="D26" s="11"/>
      <c r="E26" s="306">
        <v>613900</v>
      </c>
      <c r="F26" s="332"/>
      <c r="G26" s="189" t="s">
        <v>535</v>
      </c>
      <c r="H26" s="364">
        <v>0</v>
      </c>
      <c r="I26" s="364">
        <v>0</v>
      </c>
      <c r="J26" s="385">
        <f t="shared" si="6"/>
        <v>0</v>
      </c>
      <c r="K26" s="364">
        <v>0</v>
      </c>
      <c r="L26" s="364">
        <v>0</v>
      </c>
      <c r="M26" s="385">
        <f t="shared" si="7"/>
        <v>0</v>
      </c>
      <c r="N26" s="347" t="str">
        <f t="shared" si="1"/>
        <v/>
      </c>
    </row>
    <row r="27" spans="1:16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6" s="1" customFormat="1" ht="12.95" customHeight="1">
      <c r="A28" s="281"/>
      <c r="B28" s="12"/>
      <c r="C28" s="8"/>
      <c r="D28" s="8"/>
      <c r="E28" s="305">
        <v>614000</v>
      </c>
      <c r="F28" s="331"/>
      <c r="G28" s="8" t="s">
        <v>202</v>
      </c>
      <c r="H28" s="295">
        <f t="shared" ref="H28" si="8">SUM(H29:H32)</f>
        <v>1172220</v>
      </c>
      <c r="I28" s="295">
        <f t="shared" ref="I28:K28" si="9">SUM(I29:I32)</f>
        <v>577780</v>
      </c>
      <c r="J28" s="387">
        <f t="shared" si="9"/>
        <v>1750000</v>
      </c>
      <c r="K28" s="295">
        <f t="shared" si="9"/>
        <v>805304</v>
      </c>
      <c r="L28" s="295">
        <f t="shared" ref="L28:M28" si="10">SUM(L29:L32)</f>
        <v>95519</v>
      </c>
      <c r="M28" s="387">
        <f t="shared" si="10"/>
        <v>900823</v>
      </c>
      <c r="N28" s="346">
        <f t="shared" si="1"/>
        <v>51.4756</v>
      </c>
    </row>
    <row r="29" spans="1:16" s="1" customFormat="1" ht="12.95" customHeight="1">
      <c r="A29" s="281"/>
      <c r="B29" s="12"/>
      <c r="C29" s="8"/>
      <c r="D29" s="23"/>
      <c r="E29" s="306">
        <v>614100</v>
      </c>
      <c r="F29" s="332" t="s">
        <v>681</v>
      </c>
      <c r="G29" s="13" t="s">
        <v>161</v>
      </c>
      <c r="H29" s="296">
        <v>0</v>
      </c>
      <c r="I29" s="296">
        <v>150000</v>
      </c>
      <c r="J29" s="385">
        <f t="shared" ref="J29:J32" si="11">SUM(H29:I29)</f>
        <v>150000</v>
      </c>
      <c r="K29" s="296">
        <v>0</v>
      </c>
      <c r="L29" s="296">
        <v>12029</v>
      </c>
      <c r="M29" s="385">
        <f t="shared" ref="M29:M32" si="12">SUM(K29:L29)</f>
        <v>12029</v>
      </c>
      <c r="N29" s="347">
        <f t="shared" si="1"/>
        <v>8.0193333333333339</v>
      </c>
    </row>
    <row r="30" spans="1:16" ht="12.95" customHeight="1">
      <c r="B30" s="10"/>
      <c r="C30" s="11"/>
      <c r="D30" s="11"/>
      <c r="E30" s="306">
        <v>614500</v>
      </c>
      <c r="F30" s="332" t="s">
        <v>680</v>
      </c>
      <c r="G30" s="21" t="s">
        <v>391</v>
      </c>
      <c r="H30" s="296">
        <v>1100000</v>
      </c>
      <c r="I30" s="296">
        <v>0</v>
      </c>
      <c r="J30" s="385">
        <f t="shared" si="11"/>
        <v>1100000</v>
      </c>
      <c r="K30" s="296">
        <v>805304</v>
      </c>
      <c r="L30" s="296">
        <v>0</v>
      </c>
      <c r="M30" s="385">
        <f t="shared" si="12"/>
        <v>805304</v>
      </c>
      <c r="N30" s="347">
        <f t="shared" si="1"/>
        <v>73.209454545454548</v>
      </c>
    </row>
    <row r="31" spans="1:16" ht="12.95" customHeight="1">
      <c r="B31" s="10"/>
      <c r="C31" s="11"/>
      <c r="D31" s="11"/>
      <c r="E31" s="306">
        <v>614500</v>
      </c>
      <c r="F31" s="332" t="s">
        <v>682</v>
      </c>
      <c r="G31" s="21" t="s">
        <v>392</v>
      </c>
      <c r="H31" s="296">
        <v>32220</v>
      </c>
      <c r="I31" s="296">
        <f>259680+8100</f>
        <v>267780</v>
      </c>
      <c r="J31" s="385">
        <f t="shared" si="11"/>
        <v>300000</v>
      </c>
      <c r="K31" s="296">
        <v>0</v>
      </c>
      <c r="L31" s="296">
        <v>83490</v>
      </c>
      <c r="M31" s="385">
        <f t="shared" si="12"/>
        <v>83490</v>
      </c>
      <c r="N31" s="347">
        <f t="shared" si="1"/>
        <v>27.83</v>
      </c>
      <c r="P31" s="57"/>
    </row>
    <row r="32" spans="1:16" ht="12.95" customHeight="1">
      <c r="B32" s="10"/>
      <c r="C32" s="11"/>
      <c r="D32" s="11"/>
      <c r="E32" s="306">
        <v>614500</v>
      </c>
      <c r="F32" s="332" t="s">
        <v>683</v>
      </c>
      <c r="G32" s="21" t="s">
        <v>393</v>
      </c>
      <c r="H32" s="296">
        <v>40000</v>
      </c>
      <c r="I32" s="296">
        <f>110000+50000</f>
        <v>160000</v>
      </c>
      <c r="J32" s="385">
        <f t="shared" si="11"/>
        <v>200000</v>
      </c>
      <c r="K32" s="296">
        <v>0</v>
      </c>
      <c r="L32" s="296">
        <v>0</v>
      </c>
      <c r="M32" s="385">
        <f t="shared" si="12"/>
        <v>0</v>
      </c>
      <c r="N32" s="347">
        <f t="shared" si="1"/>
        <v>0</v>
      </c>
    </row>
    <row r="33" spans="1:14" ht="12.95" customHeight="1">
      <c r="B33" s="10"/>
      <c r="C33" s="11"/>
      <c r="D33" s="11"/>
      <c r="E33" s="306"/>
      <c r="F33" s="332"/>
      <c r="G33" s="18"/>
      <c r="H33" s="280"/>
      <c r="I33" s="280"/>
      <c r="J33" s="386"/>
      <c r="K33" s="280"/>
      <c r="L33" s="280"/>
      <c r="M33" s="386"/>
      <c r="N33" s="347" t="str">
        <f t="shared" si="1"/>
        <v/>
      </c>
    </row>
    <row r="34" spans="1:14" s="1" customFormat="1" ht="12.95" customHeight="1">
      <c r="A34" s="281"/>
      <c r="B34" s="12"/>
      <c r="C34" s="8"/>
      <c r="D34" s="8"/>
      <c r="E34" s="305">
        <v>821000</v>
      </c>
      <c r="F34" s="331"/>
      <c r="G34" s="8" t="s">
        <v>90</v>
      </c>
      <c r="H34" s="295">
        <f t="shared" ref="H34:M34" si="13">SUM(H35:H37)</f>
        <v>10000</v>
      </c>
      <c r="I34" s="295">
        <f t="shared" si="13"/>
        <v>30000</v>
      </c>
      <c r="J34" s="387">
        <f t="shared" si="13"/>
        <v>40000</v>
      </c>
      <c r="K34" s="295">
        <f t="shared" si="13"/>
        <v>9169</v>
      </c>
      <c r="L34" s="295">
        <f t="shared" si="13"/>
        <v>30000</v>
      </c>
      <c r="M34" s="387">
        <f t="shared" si="13"/>
        <v>39169</v>
      </c>
      <c r="N34" s="346">
        <f t="shared" si="1"/>
        <v>97.922499999999999</v>
      </c>
    </row>
    <row r="35" spans="1:14" ht="12.95" customHeight="1">
      <c r="B35" s="10"/>
      <c r="C35" s="11"/>
      <c r="D35" s="11"/>
      <c r="E35" s="306">
        <v>821200</v>
      </c>
      <c r="F35" s="332"/>
      <c r="G35" s="11" t="s">
        <v>91</v>
      </c>
      <c r="H35" s="280">
        <v>0</v>
      </c>
      <c r="I35" s="280">
        <v>0</v>
      </c>
      <c r="J35" s="385">
        <f t="shared" ref="J35:J36" si="14">SUM(H35:I35)</f>
        <v>0</v>
      </c>
      <c r="K35" s="280">
        <v>0</v>
      </c>
      <c r="L35" s="280">
        <v>0</v>
      </c>
      <c r="M35" s="385">
        <f t="shared" ref="M35:M36" si="15">SUM(K35:L35)</f>
        <v>0</v>
      </c>
      <c r="N35" s="347" t="str">
        <f t="shared" si="1"/>
        <v/>
      </c>
    </row>
    <row r="36" spans="1:14" ht="12.95" customHeight="1">
      <c r="B36" s="10"/>
      <c r="C36" s="11"/>
      <c r="D36" s="11"/>
      <c r="E36" s="306">
        <v>821300</v>
      </c>
      <c r="F36" s="332"/>
      <c r="G36" s="11" t="s">
        <v>92</v>
      </c>
      <c r="H36" s="280">
        <v>10000</v>
      </c>
      <c r="I36" s="280">
        <v>30000</v>
      </c>
      <c r="J36" s="385">
        <f t="shared" si="14"/>
        <v>40000</v>
      </c>
      <c r="K36" s="280">
        <v>9169</v>
      </c>
      <c r="L36" s="280">
        <v>30000</v>
      </c>
      <c r="M36" s="385">
        <f t="shared" si="15"/>
        <v>39169</v>
      </c>
      <c r="N36" s="347">
        <f t="shared" si="1"/>
        <v>97.922499999999999</v>
      </c>
    </row>
    <row r="37" spans="1:14" ht="12.95" customHeight="1">
      <c r="B37" s="10"/>
      <c r="C37" s="11"/>
      <c r="D37" s="11"/>
      <c r="E37" s="306"/>
      <c r="F37" s="332"/>
      <c r="G37" s="18"/>
      <c r="H37" s="280"/>
      <c r="I37" s="280"/>
      <c r="J37" s="386"/>
      <c r="K37" s="280"/>
      <c r="L37" s="280"/>
      <c r="M37" s="386"/>
      <c r="N37" s="347" t="str">
        <f t="shared" si="1"/>
        <v/>
      </c>
    </row>
    <row r="38" spans="1:14" s="1" customFormat="1" ht="12.95" customHeight="1">
      <c r="A38" s="281"/>
      <c r="B38" s="12"/>
      <c r="C38" s="8"/>
      <c r="D38" s="8"/>
      <c r="E38" s="305"/>
      <c r="F38" s="331"/>
      <c r="G38" s="8" t="s">
        <v>93</v>
      </c>
      <c r="H38" s="288">
        <v>24</v>
      </c>
      <c r="I38" s="288"/>
      <c r="J38" s="387">
        <v>24</v>
      </c>
      <c r="K38" s="288">
        <v>24</v>
      </c>
      <c r="L38" s="288"/>
      <c r="M38" s="387">
        <v>24</v>
      </c>
      <c r="N38" s="347"/>
    </row>
    <row r="39" spans="1:14" s="1" customFormat="1" ht="12.95" customHeight="1">
      <c r="A39" s="281"/>
      <c r="B39" s="12"/>
      <c r="C39" s="8"/>
      <c r="D39" s="8"/>
      <c r="E39" s="305"/>
      <c r="F39" s="331"/>
      <c r="G39" s="8" t="s">
        <v>113</v>
      </c>
      <c r="H39" s="288">
        <f t="shared" ref="H39:M39" si="16">H8+H13+H16+H28+H34</f>
        <v>1927450</v>
      </c>
      <c r="I39" s="288">
        <f t="shared" si="16"/>
        <v>607780</v>
      </c>
      <c r="J39" s="387">
        <f t="shared" si="16"/>
        <v>2535230</v>
      </c>
      <c r="K39" s="288">
        <f t="shared" si="16"/>
        <v>1352592</v>
      </c>
      <c r="L39" s="288">
        <f t="shared" si="16"/>
        <v>125519</v>
      </c>
      <c r="M39" s="387">
        <f t="shared" si="16"/>
        <v>1478111</v>
      </c>
      <c r="N39" s="346">
        <f t="shared" si="1"/>
        <v>58.302836429041939</v>
      </c>
    </row>
    <row r="40" spans="1:14" s="1" customFormat="1" ht="12.95" customHeight="1">
      <c r="A40" s="281"/>
      <c r="B40" s="12"/>
      <c r="C40" s="8"/>
      <c r="D40" s="8"/>
      <c r="E40" s="305"/>
      <c r="F40" s="331"/>
      <c r="G40" s="8" t="s">
        <v>94</v>
      </c>
      <c r="H40" s="288">
        <f t="shared" ref="H40:J41" si="17">H39</f>
        <v>1927450</v>
      </c>
      <c r="I40" s="288">
        <f t="shared" si="17"/>
        <v>607780</v>
      </c>
      <c r="J40" s="387">
        <f t="shared" si="17"/>
        <v>2535230</v>
      </c>
      <c r="K40" s="288">
        <f t="shared" ref="K40:M40" si="18">K39</f>
        <v>1352592</v>
      </c>
      <c r="L40" s="288">
        <f t="shared" si="18"/>
        <v>125519</v>
      </c>
      <c r="M40" s="387">
        <f t="shared" si="18"/>
        <v>1478111</v>
      </c>
      <c r="N40" s="346">
        <f t="shared" si="1"/>
        <v>58.302836429041939</v>
      </c>
    </row>
    <row r="41" spans="1:14" s="1" customFormat="1" ht="12.95" customHeight="1">
      <c r="A41" s="281"/>
      <c r="B41" s="12"/>
      <c r="C41" s="8"/>
      <c r="D41" s="8"/>
      <c r="E41" s="305"/>
      <c r="F41" s="331"/>
      <c r="G41" s="8" t="s">
        <v>95</v>
      </c>
      <c r="H41" s="288">
        <f t="shared" si="17"/>
        <v>1927450</v>
      </c>
      <c r="I41" s="288">
        <f t="shared" si="17"/>
        <v>607780</v>
      </c>
      <c r="J41" s="387">
        <f t="shared" si="17"/>
        <v>2535230</v>
      </c>
      <c r="K41" s="288">
        <f t="shared" ref="K41:M41" si="19">K40</f>
        <v>1352592</v>
      </c>
      <c r="L41" s="288">
        <f t="shared" si="19"/>
        <v>125519</v>
      </c>
      <c r="M41" s="387">
        <f t="shared" si="19"/>
        <v>1478111</v>
      </c>
      <c r="N41" s="346">
        <f t="shared" si="1"/>
        <v>58.302836429041939</v>
      </c>
    </row>
    <row r="42" spans="1:14" ht="12.95" customHeight="1" thickBot="1">
      <c r="B42" s="15"/>
      <c r="C42" s="16"/>
      <c r="D42" s="16"/>
      <c r="E42" s="307"/>
      <c r="F42" s="333"/>
      <c r="G42" s="16"/>
      <c r="H42" s="27"/>
      <c r="I42" s="27"/>
      <c r="J42" s="390"/>
      <c r="K42" s="27"/>
      <c r="L42" s="27"/>
      <c r="M42" s="390"/>
      <c r="N42" s="349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B44" s="50"/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B45" s="50"/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B46" s="50"/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P93"/>
  <sheetViews>
    <sheetView zoomScaleNormal="100" zoomScaleSheetLayoutView="100" workbookViewId="0">
      <selection activeCell="K52" sqref="K52:L52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142</v>
      </c>
      <c r="C2" s="599"/>
      <c r="D2" s="599"/>
      <c r="E2" s="599"/>
      <c r="F2" s="599"/>
      <c r="G2" s="599"/>
      <c r="H2" s="378"/>
      <c r="I2" s="378"/>
      <c r="J2" s="378"/>
      <c r="K2" s="378"/>
      <c r="L2" s="378"/>
      <c r="M2" s="378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524" customFormat="1" ht="11.1" customHeight="1"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22">
        <f t="shared" ref="H8:M8" si="0">SUM(H9:H12)</f>
        <v>301600</v>
      </c>
      <c r="I8" s="222">
        <f t="shared" si="0"/>
        <v>0</v>
      </c>
      <c r="J8" s="384">
        <f t="shared" si="0"/>
        <v>301600</v>
      </c>
      <c r="K8" s="222">
        <f t="shared" si="0"/>
        <v>227188</v>
      </c>
      <c r="L8" s="222">
        <f t="shared" si="0"/>
        <v>0</v>
      </c>
      <c r="M8" s="384">
        <f t="shared" si="0"/>
        <v>227188</v>
      </c>
      <c r="N8" s="346">
        <f>IF(J8=0,"",M8/J8*100)</f>
        <v>75.327586206896541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24">
        <f>242100+2100+2*500+1*10*1430</f>
        <v>259500</v>
      </c>
      <c r="I9" s="224">
        <v>0</v>
      </c>
      <c r="J9" s="385">
        <f>SUM(H9:I9)</f>
        <v>259500</v>
      </c>
      <c r="K9" s="224">
        <v>195306</v>
      </c>
      <c r="L9" s="224">
        <v>0</v>
      </c>
      <c r="M9" s="385">
        <f>SUM(K9:L9)</f>
        <v>195306</v>
      </c>
      <c r="N9" s="347">
        <f t="shared" ref="N9:N66" si="1">IF(J9=0,"",M9/J9*100)</f>
        <v>75.262427745664738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24">
        <f>36400+750+2*900+1*10*21*15</f>
        <v>42100</v>
      </c>
      <c r="I10" s="224">
        <v>0</v>
      </c>
      <c r="J10" s="385">
        <f t="shared" ref="J10:J11" si="2">SUM(H10:I10)</f>
        <v>42100</v>
      </c>
      <c r="K10" s="224">
        <v>31882</v>
      </c>
      <c r="L10" s="224">
        <v>0</v>
      </c>
      <c r="M10" s="385">
        <f t="shared" ref="M10:M11" si="3">SUM(K10:L10)</f>
        <v>31882</v>
      </c>
      <c r="N10" s="347">
        <f t="shared" si="1"/>
        <v>75.729216152019006</v>
      </c>
      <c r="P10" s="57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23">
        <v>0</v>
      </c>
      <c r="I11" s="223">
        <v>0</v>
      </c>
      <c r="J11" s="385">
        <f t="shared" si="2"/>
        <v>0</v>
      </c>
      <c r="K11" s="223">
        <v>0</v>
      </c>
      <c r="L11" s="223">
        <v>0</v>
      </c>
      <c r="M11" s="385">
        <f t="shared" si="3"/>
        <v>0</v>
      </c>
      <c r="N11" s="347" t="str">
        <f t="shared" si="1"/>
        <v/>
      </c>
      <c r="P11" s="56"/>
    </row>
    <row r="12" spans="1:16" ht="8.1" customHeight="1">
      <c r="B12" s="10"/>
      <c r="C12" s="11"/>
      <c r="D12" s="11"/>
      <c r="E12" s="306"/>
      <c r="F12" s="332"/>
      <c r="G12" s="18"/>
      <c r="H12" s="224"/>
      <c r="I12" s="224"/>
      <c r="J12" s="385"/>
      <c r="K12" s="224"/>
      <c r="L12" s="224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22">
        <f t="shared" ref="H13:M13" si="4">H14</f>
        <v>27660</v>
      </c>
      <c r="I13" s="222">
        <f t="shared" si="4"/>
        <v>0</v>
      </c>
      <c r="J13" s="384">
        <f t="shared" si="4"/>
        <v>27660</v>
      </c>
      <c r="K13" s="222">
        <f t="shared" si="4"/>
        <v>20831</v>
      </c>
      <c r="L13" s="222">
        <f t="shared" si="4"/>
        <v>0</v>
      </c>
      <c r="M13" s="384">
        <f t="shared" si="4"/>
        <v>20831</v>
      </c>
      <c r="N13" s="346">
        <f t="shared" si="1"/>
        <v>75.310918293564711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24">
        <f>25700+220+2*70+1*10*160</f>
        <v>27660</v>
      </c>
      <c r="I14" s="224">
        <v>0</v>
      </c>
      <c r="J14" s="385">
        <f>SUM(H14:I14)</f>
        <v>27660</v>
      </c>
      <c r="K14" s="224">
        <v>20831</v>
      </c>
      <c r="L14" s="224">
        <v>0</v>
      </c>
      <c r="M14" s="385">
        <f>SUM(K14:L14)</f>
        <v>20831</v>
      </c>
      <c r="N14" s="347">
        <f t="shared" si="1"/>
        <v>75.310918293564711</v>
      </c>
    </row>
    <row r="15" spans="1:16" ht="8.1" customHeight="1">
      <c r="B15" s="10"/>
      <c r="C15" s="11"/>
      <c r="D15" s="11"/>
      <c r="E15" s="306"/>
      <c r="F15" s="332"/>
      <c r="G15" s="11"/>
      <c r="H15" s="296"/>
      <c r="I15" s="296"/>
      <c r="J15" s="386"/>
      <c r="K15" s="296"/>
      <c r="L15" s="296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5">
        <f t="shared" ref="H16:M16" si="5">SUM(H17:H28)</f>
        <v>87900</v>
      </c>
      <c r="I16" s="295">
        <f t="shared" si="5"/>
        <v>8160</v>
      </c>
      <c r="J16" s="387">
        <f t="shared" si="5"/>
        <v>96060</v>
      </c>
      <c r="K16" s="295">
        <f t="shared" si="5"/>
        <v>54043</v>
      </c>
      <c r="L16" s="295">
        <f t="shared" si="5"/>
        <v>1951</v>
      </c>
      <c r="M16" s="387">
        <f t="shared" si="5"/>
        <v>55994</v>
      </c>
      <c r="N16" s="346">
        <f t="shared" si="1"/>
        <v>58.290651676035807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5">
        <v>4500</v>
      </c>
      <c r="I17" s="365">
        <v>0</v>
      </c>
      <c r="J17" s="385">
        <f t="shared" ref="J17:J28" si="6">SUM(H17:I17)</f>
        <v>4500</v>
      </c>
      <c r="K17" s="365">
        <v>3539</v>
      </c>
      <c r="L17" s="365">
        <v>0</v>
      </c>
      <c r="M17" s="385">
        <f t="shared" ref="M17:M28" si="7">SUM(K17:L17)</f>
        <v>3539</v>
      </c>
      <c r="N17" s="347">
        <f t="shared" si="1"/>
        <v>78.644444444444446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5">
        <v>0</v>
      </c>
      <c r="I18" s="365">
        <v>0</v>
      </c>
      <c r="J18" s="385">
        <f t="shared" si="6"/>
        <v>0</v>
      </c>
      <c r="K18" s="365">
        <v>0</v>
      </c>
      <c r="L18" s="365">
        <v>0</v>
      </c>
      <c r="M18" s="385">
        <f t="shared" si="7"/>
        <v>0</v>
      </c>
      <c r="N18" s="347" t="str">
        <f t="shared" si="1"/>
        <v/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3700</v>
      </c>
      <c r="I19" s="365">
        <v>0</v>
      </c>
      <c r="J19" s="385">
        <f t="shared" si="6"/>
        <v>3700</v>
      </c>
      <c r="K19" s="365">
        <v>2547</v>
      </c>
      <c r="L19" s="365">
        <v>0</v>
      </c>
      <c r="M19" s="385">
        <f t="shared" si="7"/>
        <v>2547</v>
      </c>
      <c r="N19" s="347">
        <f t="shared" si="1"/>
        <v>68.837837837837839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7700</v>
      </c>
      <c r="I20" s="365">
        <v>8160</v>
      </c>
      <c r="J20" s="385">
        <f t="shared" si="6"/>
        <v>15860</v>
      </c>
      <c r="K20" s="365">
        <f>6749-1951</f>
        <v>4798</v>
      </c>
      <c r="L20" s="365">
        <v>1951</v>
      </c>
      <c r="M20" s="385">
        <f t="shared" si="7"/>
        <v>6749</v>
      </c>
      <c r="N20" s="347">
        <f t="shared" si="1"/>
        <v>42.553593947036575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0</v>
      </c>
      <c r="I21" s="365">
        <v>0</v>
      </c>
      <c r="J21" s="385">
        <f t="shared" si="6"/>
        <v>0</v>
      </c>
      <c r="K21" s="365">
        <v>0</v>
      </c>
      <c r="L21" s="365">
        <v>0</v>
      </c>
      <c r="M21" s="385">
        <f t="shared" si="7"/>
        <v>0</v>
      </c>
      <c r="N21" s="347" t="str">
        <f t="shared" si="1"/>
        <v/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1000</v>
      </c>
      <c r="I23" s="365">
        <v>0</v>
      </c>
      <c r="J23" s="385">
        <f t="shared" si="6"/>
        <v>1000</v>
      </c>
      <c r="K23" s="365">
        <v>811</v>
      </c>
      <c r="L23" s="365">
        <v>0</v>
      </c>
      <c r="M23" s="385">
        <f t="shared" si="7"/>
        <v>811</v>
      </c>
      <c r="N23" s="347">
        <f t="shared" si="1"/>
        <v>81.100000000000009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613800</v>
      </c>
      <c r="F25" s="332"/>
      <c r="G25" s="18" t="s">
        <v>186</v>
      </c>
      <c r="H25" s="365">
        <v>0</v>
      </c>
      <c r="I25" s="365">
        <v>0</v>
      </c>
      <c r="J25" s="385">
        <f t="shared" si="6"/>
        <v>0</v>
      </c>
      <c r="K25" s="365">
        <v>0</v>
      </c>
      <c r="L25" s="365">
        <v>0</v>
      </c>
      <c r="M25" s="385">
        <f t="shared" si="7"/>
        <v>0</v>
      </c>
      <c r="N25" s="347" t="str">
        <f t="shared" si="1"/>
        <v/>
      </c>
    </row>
    <row r="26" spans="1:15" ht="12.95" customHeight="1">
      <c r="B26" s="10"/>
      <c r="C26" s="11"/>
      <c r="D26" s="11"/>
      <c r="E26" s="306">
        <v>613900</v>
      </c>
      <c r="F26" s="332"/>
      <c r="G26" s="18" t="s">
        <v>167</v>
      </c>
      <c r="H26" s="365">
        <v>11000</v>
      </c>
      <c r="I26" s="365">
        <v>0</v>
      </c>
      <c r="J26" s="385">
        <f t="shared" si="6"/>
        <v>11000</v>
      </c>
      <c r="K26" s="365">
        <v>9834</v>
      </c>
      <c r="L26" s="365">
        <v>0</v>
      </c>
      <c r="M26" s="385">
        <f t="shared" si="7"/>
        <v>9834</v>
      </c>
      <c r="N26" s="347">
        <f t="shared" si="1"/>
        <v>89.4</v>
      </c>
    </row>
    <row r="27" spans="1:15" ht="12.95" customHeight="1">
      <c r="B27" s="10"/>
      <c r="C27" s="11"/>
      <c r="D27" s="11"/>
      <c r="E27" s="306">
        <v>613900</v>
      </c>
      <c r="F27" s="332" t="s">
        <v>684</v>
      </c>
      <c r="G27" s="18" t="s">
        <v>180</v>
      </c>
      <c r="H27" s="365">
        <v>60000</v>
      </c>
      <c r="I27" s="365">
        <v>0</v>
      </c>
      <c r="J27" s="385">
        <f t="shared" si="6"/>
        <v>60000</v>
      </c>
      <c r="K27" s="365">
        <v>32514</v>
      </c>
      <c r="L27" s="365">
        <v>0</v>
      </c>
      <c r="M27" s="385">
        <f t="shared" si="7"/>
        <v>32514</v>
      </c>
      <c r="N27" s="347">
        <f t="shared" si="1"/>
        <v>54.190000000000005</v>
      </c>
    </row>
    <row r="28" spans="1:15" ht="12.95" customHeight="1">
      <c r="B28" s="10"/>
      <c r="C28" s="11"/>
      <c r="D28" s="11"/>
      <c r="E28" s="306">
        <v>613900</v>
      </c>
      <c r="F28" s="332"/>
      <c r="G28" s="189" t="s">
        <v>535</v>
      </c>
      <c r="H28" s="365">
        <v>0</v>
      </c>
      <c r="I28" s="365">
        <v>0</v>
      </c>
      <c r="J28" s="385">
        <f t="shared" si="6"/>
        <v>0</v>
      </c>
      <c r="K28" s="365">
        <v>0</v>
      </c>
      <c r="L28" s="365">
        <v>0</v>
      </c>
      <c r="M28" s="385">
        <f t="shared" si="7"/>
        <v>0</v>
      </c>
      <c r="N28" s="347" t="str">
        <f t="shared" si="1"/>
        <v/>
      </c>
    </row>
    <row r="29" spans="1:15" ht="8.1" customHeight="1">
      <c r="B29" s="10"/>
      <c r="C29" s="11"/>
      <c r="D29" s="11"/>
      <c r="E29" s="306"/>
      <c r="F29" s="332"/>
      <c r="G29" s="11"/>
      <c r="H29" s="296"/>
      <c r="I29" s="296"/>
      <c r="J29" s="386"/>
      <c r="K29" s="296"/>
      <c r="L29" s="296"/>
      <c r="M29" s="386"/>
      <c r="N29" s="347" t="str">
        <f t="shared" si="1"/>
        <v/>
      </c>
    </row>
    <row r="30" spans="1:15" s="1" customFormat="1" ht="12.95" customHeight="1">
      <c r="A30" s="281"/>
      <c r="B30" s="12"/>
      <c r="C30" s="8"/>
      <c r="D30" s="8"/>
      <c r="E30" s="305">
        <v>614000</v>
      </c>
      <c r="F30" s="331"/>
      <c r="G30" s="8" t="s">
        <v>202</v>
      </c>
      <c r="H30" s="295">
        <f t="shared" ref="H30:M30" si="8">SUM(H31:H39)</f>
        <v>1180000</v>
      </c>
      <c r="I30" s="295">
        <f t="shared" si="8"/>
        <v>0</v>
      </c>
      <c r="J30" s="387">
        <f t="shared" si="8"/>
        <v>1180000</v>
      </c>
      <c r="K30" s="295">
        <f t="shared" si="8"/>
        <v>886160</v>
      </c>
      <c r="L30" s="295">
        <f t="shared" si="8"/>
        <v>0</v>
      </c>
      <c r="M30" s="387">
        <f t="shared" si="8"/>
        <v>886160</v>
      </c>
      <c r="N30" s="346">
        <f t="shared" si="1"/>
        <v>75.09830508474576</v>
      </c>
    </row>
    <row r="31" spans="1:15" s="98" customFormat="1" ht="28.5" customHeight="1">
      <c r="B31" s="93"/>
      <c r="C31" s="94"/>
      <c r="D31" s="95"/>
      <c r="E31" s="310">
        <v>614100</v>
      </c>
      <c r="F31" s="336" t="s">
        <v>685</v>
      </c>
      <c r="G31" s="96" t="s">
        <v>218</v>
      </c>
      <c r="H31" s="275">
        <v>150000</v>
      </c>
      <c r="I31" s="275">
        <v>0</v>
      </c>
      <c r="J31" s="535">
        <f t="shared" ref="J31:J39" si="9">SUM(H31:I31)</f>
        <v>150000</v>
      </c>
      <c r="K31" s="275">
        <v>101750</v>
      </c>
      <c r="L31" s="275">
        <v>0</v>
      </c>
      <c r="M31" s="535">
        <f t="shared" ref="M31:M39" si="10">SUM(K31:L31)</f>
        <v>101750</v>
      </c>
      <c r="N31" s="347">
        <f t="shared" si="1"/>
        <v>67.833333333333329</v>
      </c>
      <c r="O31" s="97"/>
    </row>
    <row r="32" spans="1:15" ht="12.95" customHeight="1">
      <c r="B32" s="10"/>
      <c r="C32" s="11"/>
      <c r="D32" s="11"/>
      <c r="E32" s="311">
        <v>614100</v>
      </c>
      <c r="F32" s="337"/>
      <c r="G32" s="74" t="s">
        <v>100</v>
      </c>
      <c r="H32" s="296">
        <v>0</v>
      </c>
      <c r="I32" s="296">
        <v>0</v>
      </c>
      <c r="J32" s="535">
        <f t="shared" si="9"/>
        <v>0</v>
      </c>
      <c r="K32" s="275">
        <v>0</v>
      </c>
      <c r="L32" s="275">
        <v>0</v>
      </c>
      <c r="M32" s="535">
        <f t="shared" si="10"/>
        <v>0</v>
      </c>
      <c r="N32" s="347" t="str">
        <f t="shared" si="1"/>
        <v/>
      </c>
    </row>
    <row r="33" spans="1:15" s="284" customFormat="1" ht="12.95" customHeight="1">
      <c r="B33" s="285"/>
      <c r="C33" s="286"/>
      <c r="D33" s="286"/>
      <c r="E33" s="311">
        <v>614100</v>
      </c>
      <c r="F33" s="337" t="s">
        <v>793</v>
      </c>
      <c r="G33" s="235" t="s">
        <v>686</v>
      </c>
      <c r="H33" s="296">
        <v>280000</v>
      </c>
      <c r="I33" s="296">
        <v>0</v>
      </c>
      <c r="J33" s="535">
        <f t="shared" si="9"/>
        <v>280000</v>
      </c>
      <c r="K33" s="275">
        <v>270400</v>
      </c>
      <c r="L33" s="275">
        <v>0</v>
      </c>
      <c r="M33" s="535">
        <f t="shared" si="10"/>
        <v>270400</v>
      </c>
      <c r="N33" s="347">
        <f t="shared" si="1"/>
        <v>96.571428571428569</v>
      </c>
    </row>
    <row r="34" spans="1:15" s="284" customFormat="1" ht="12.95" customHeight="1">
      <c r="B34" s="285"/>
      <c r="C34" s="286"/>
      <c r="D34" s="286"/>
      <c r="E34" s="311">
        <v>614100</v>
      </c>
      <c r="F34" s="337" t="s">
        <v>794</v>
      </c>
      <c r="G34" s="235" t="s">
        <v>687</v>
      </c>
      <c r="H34" s="296">
        <v>60000</v>
      </c>
      <c r="I34" s="296">
        <v>0</v>
      </c>
      <c r="J34" s="535">
        <f t="shared" si="9"/>
        <v>60000</v>
      </c>
      <c r="K34" s="275">
        <v>51100</v>
      </c>
      <c r="L34" s="275">
        <v>0</v>
      </c>
      <c r="M34" s="535">
        <f t="shared" si="10"/>
        <v>51100</v>
      </c>
      <c r="N34" s="347">
        <f t="shared" si="1"/>
        <v>85.166666666666671</v>
      </c>
    </row>
    <row r="35" spans="1:15" ht="12.95" customHeight="1">
      <c r="B35" s="10"/>
      <c r="C35" s="11"/>
      <c r="D35" s="11"/>
      <c r="E35" s="311">
        <v>614100</v>
      </c>
      <c r="F35" s="337" t="s">
        <v>688</v>
      </c>
      <c r="G35" s="74" t="s">
        <v>394</v>
      </c>
      <c r="H35" s="296">
        <v>335000</v>
      </c>
      <c r="I35" s="296">
        <v>0</v>
      </c>
      <c r="J35" s="535">
        <f t="shared" si="9"/>
        <v>335000</v>
      </c>
      <c r="K35" s="275">
        <v>193810</v>
      </c>
      <c r="L35" s="275">
        <v>0</v>
      </c>
      <c r="M35" s="535">
        <f t="shared" si="10"/>
        <v>193810</v>
      </c>
      <c r="N35" s="347">
        <f t="shared" si="1"/>
        <v>57.853731343283584</v>
      </c>
    </row>
    <row r="36" spans="1:15" ht="12.95" customHeight="1">
      <c r="B36" s="10"/>
      <c r="C36" s="11"/>
      <c r="D36" s="11"/>
      <c r="E36" s="306">
        <v>614200</v>
      </c>
      <c r="F36" s="332" t="s">
        <v>689</v>
      </c>
      <c r="G36" s="21" t="s">
        <v>112</v>
      </c>
      <c r="H36" s="296">
        <v>150000</v>
      </c>
      <c r="I36" s="296">
        <v>0</v>
      </c>
      <c r="J36" s="535">
        <f t="shared" si="9"/>
        <v>150000</v>
      </c>
      <c r="K36" s="275">
        <v>114000</v>
      </c>
      <c r="L36" s="275">
        <v>0</v>
      </c>
      <c r="M36" s="535">
        <f t="shared" si="10"/>
        <v>114000</v>
      </c>
      <c r="N36" s="347">
        <f t="shared" si="1"/>
        <v>76</v>
      </c>
    </row>
    <row r="37" spans="1:15" s="98" customFormat="1" ht="27.75" customHeight="1">
      <c r="B37" s="93"/>
      <c r="C37" s="94"/>
      <c r="D37" s="94"/>
      <c r="E37" s="310">
        <v>614200</v>
      </c>
      <c r="F37" s="336" t="s">
        <v>690</v>
      </c>
      <c r="G37" s="99" t="s">
        <v>779</v>
      </c>
      <c r="H37" s="275">
        <v>15000</v>
      </c>
      <c r="I37" s="275">
        <v>0</v>
      </c>
      <c r="J37" s="535">
        <f t="shared" si="9"/>
        <v>15000</v>
      </c>
      <c r="K37" s="275">
        <v>0</v>
      </c>
      <c r="L37" s="275">
        <v>0</v>
      </c>
      <c r="M37" s="535">
        <f t="shared" si="10"/>
        <v>0</v>
      </c>
      <c r="N37" s="347">
        <f t="shared" si="1"/>
        <v>0</v>
      </c>
    </row>
    <row r="38" spans="1:15" ht="12.95" customHeight="1">
      <c r="B38" s="10"/>
      <c r="C38" s="11"/>
      <c r="D38" s="11"/>
      <c r="E38" s="306">
        <v>614300</v>
      </c>
      <c r="F38" s="332" t="s">
        <v>691</v>
      </c>
      <c r="G38" s="21" t="s">
        <v>101</v>
      </c>
      <c r="H38" s="296">
        <v>40000</v>
      </c>
      <c r="I38" s="296">
        <v>0</v>
      </c>
      <c r="J38" s="535">
        <f t="shared" si="9"/>
        <v>40000</v>
      </c>
      <c r="K38" s="275">
        <v>23100</v>
      </c>
      <c r="L38" s="275">
        <v>0</v>
      </c>
      <c r="M38" s="535">
        <f t="shared" si="10"/>
        <v>23100</v>
      </c>
      <c r="N38" s="347">
        <f t="shared" si="1"/>
        <v>57.75</v>
      </c>
    </row>
    <row r="39" spans="1:15" ht="12.95" customHeight="1">
      <c r="B39" s="10"/>
      <c r="C39" s="11"/>
      <c r="D39" s="11"/>
      <c r="E39" s="306">
        <v>614300</v>
      </c>
      <c r="F39" s="332" t="s">
        <v>692</v>
      </c>
      <c r="G39" s="21" t="s">
        <v>102</v>
      </c>
      <c r="H39" s="296">
        <v>150000</v>
      </c>
      <c r="I39" s="296">
        <v>0</v>
      </c>
      <c r="J39" s="535">
        <f t="shared" si="9"/>
        <v>150000</v>
      </c>
      <c r="K39" s="275">
        <v>132000</v>
      </c>
      <c r="L39" s="275">
        <v>0</v>
      </c>
      <c r="M39" s="535">
        <f t="shared" si="10"/>
        <v>132000</v>
      </c>
      <c r="N39" s="347">
        <f t="shared" si="1"/>
        <v>88</v>
      </c>
      <c r="O39" s="68"/>
    </row>
    <row r="40" spans="1:15" ht="8.1" customHeight="1">
      <c r="B40" s="10"/>
      <c r="C40" s="11"/>
      <c r="D40" s="11"/>
      <c r="E40" s="306"/>
      <c r="F40" s="332"/>
      <c r="G40" s="21"/>
      <c r="H40" s="296"/>
      <c r="I40" s="296"/>
      <c r="J40" s="386"/>
      <c r="K40" s="296"/>
      <c r="L40" s="296"/>
      <c r="M40" s="386"/>
      <c r="N40" s="347" t="str">
        <f t="shared" si="1"/>
        <v/>
      </c>
      <c r="O40" s="68"/>
    </row>
    <row r="41" spans="1:15" ht="12.95" customHeight="1">
      <c r="B41" s="10"/>
      <c r="C41" s="11"/>
      <c r="D41" s="11"/>
      <c r="E41" s="305">
        <v>616000</v>
      </c>
      <c r="F41" s="331"/>
      <c r="G41" s="24" t="s">
        <v>203</v>
      </c>
      <c r="H41" s="295">
        <f t="shared" ref="H41:M41" si="11">H42</f>
        <v>2560</v>
      </c>
      <c r="I41" s="295">
        <f t="shared" si="11"/>
        <v>0</v>
      </c>
      <c r="J41" s="387">
        <f t="shared" si="11"/>
        <v>2560</v>
      </c>
      <c r="K41" s="295">
        <f t="shared" si="11"/>
        <v>2415</v>
      </c>
      <c r="L41" s="295">
        <f t="shared" si="11"/>
        <v>0</v>
      </c>
      <c r="M41" s="387">
        <f t="shared" si="11"/>
        <v>2415</v>
      </c>
      <c r="N41" s="346">
        <f t="shared" si="1"/>
        <v>94.3359375</v>
      </c>
    </row>
    <row r="42" spans="1:15" ht="12.95" customHeight="1">
      <c r="B42" s="10"/>
      <c r="C42" s="11"/>
      <c r="D42" s="11"/>
      <c r="E42" s="306">
        <v>616300</v>
      </c>
      <c r="F42" s="332"/>
      <c r="G42" s="39" t="s">
        <v>212</v>
      </c>
      <c r="H42" s="296">
        <v>2560</v>
      </c>
      <c r="I42" s="296">
        <v>0</v>
      </c>
      <c r="J42" s="385">
        <f>SUM(H42:I42)</f>
        <v>2560</v>
      </c>
      <c r="K42" s="296">
        <v>2415</v>
      </c>
      <c r="L42" s="296">
        <v>0</v>
      </c>
      <c r="M42" s="385">
        <f>SUM(K42:L42)</f>
        <v>2415</v>
      </c>
      <c r="N42" s="347">
        <f t="shared" si="1"/>
        <v>94.3359375</v>
      </c>
    </row>
    <row r="43" spans="1:15" ht="8.1" customHeight="1">
      <c r="B43" s="10"/>
      <c r="C43" s="11"/>
      <c r="D43" s="11"/>
      <c r="E43" s="306"/>
      <c r="F43" s="332"/>
      <c r="G43" s="11"/>
      <c r="H43" s="280"/>
      <c r="I43" s="280"/>
      <c r="J43" s="386"/>
      <c r="K43" s="280"/>
      <c r="L43" s="280"/>
      <c r="M43" s="386"/>
      <c r="N43" s="347" t="str">
        <f t="shared" si="1"/>
        <v/>
      </c>
    </row>
    <row r="44" spans="1:15" s="1" customFormat="1" ht="12.95" customHeight="1">
      <c r="A44" s="281"/>
      <c r="B44" s="12"/>
      <c r="C44" s="8"/>
      <c r="D44" s="8"/>
      <c r="E44" s="305">
        <v>821000</v>
      </c>
      <c r="F44" s="331"/>
      <c r="G44" s="8" t="s">
        <v>90</v>
      </c>
      <c r="H44" s="295">
        <f t="shared" ref="H44:M44" si="12">SUM(H45:H46)</f>
        <v>2500</v>
      </c>
      <c r="I44" s="295">
        <f t="shared" si="12"/>
        <v>0</v>
      </c>
      <c r="J44" s="387">
        <f t="shared" si="12"/>
        <v>2500</v>
      </c>
      <c r="K44" s="295">
        <f t="shared" si="12"/>
        <v>2388</v>
      </c>
      <c r="L44" s="295">
        <f t="shared" si="12"/>
        <v>0</v>
      </c>
      <c r="M44" s="387">
        <f t="shared" si="12"/>
        <v>2388</v>
      </c>
      <c r="N44" s="346">
        <f t="shared" si="1"/>
        <v>95.52000000000001</v>
      </c>
    </row>
    <row r="45" spans="1:15" ht="12.95" customHeight="1">
      <c r="B45" s="10"/>
      <c r="C45" s="11"/>
      <c r="D45" s="11"/>
      <c r="E45" s="306">
        <v>821200</v>
      </c>
      <c r="F45" s="332"/>
      <c r="G45" s="11" t="s">
        <v>91</v>
      </c>
      <c r="H45" s="280">
        <v>0</v>
      </c>
      <c r="I45" s="280">
        <v>0</v>
      </c>
      <c r="J45" s="385">
        <f t="shared" ref="J45:J46" si="13">SUM(H45:I45)</f>
        <v>0</v>
      </c>
      <c r="K45" s="280">
        <v>0</v>
      </c>
      <c r="L45" s="280">
        <v>0</v>
      </c>
      <c r="M45" s="385">
        <f t="shared" ref="M45:M46" si="14">SUM(K45:L45)</f>
        <v>0</v>
      </c>
      <c r="N45" s="347" t="str">
        <f t="shared" si="1"/>
        <v/>
      </c>
    </row>
    <row r="46" spans="1:15" ht="12.95" customHeight="1">
      <c r="B46" s="10"/>
      <c r="C46" s="11"/>
      <c r="D46" s="11"/>
      <c r="E46" s="306">
        <v>821300</v>
      </c>
      <c r="F46" s="332"/>
      <c r="G46" s="11" t="s">
        <v>92</v>
      </c>
      <c r="H46" s="296">
        <v>2500</v>
      </c>
      <c r="I46" s="296">
        <v>0</v>
      </c>
      <c r="J46" s="385">
        <f t="shared" si="13"/>
        <v>2500</v>
      </c>
      <c r="K46" s="296">
        <v>2388</v>
      </c>
      <c r="L46" s="296">
        <v>0</v>
      </c>
      <c r="M46" s="385">
        <f t="shared" si="14"/>
        <v>2388</v>
      </c>
      <c r="N46" s="347">
        <f t="shared" si="1"/>
        <v>95.52000000000001</v>
      </c>
    </row>
    <row r="47" spans="1:15" ht="8.1" customHeight="1">
      <c r="B47" s="10"/>
      <c r="C47" s="11"/>
      <c r="D47" s="11"/>
      <c r="E47" s="306"/>
      <c r="F47" s="332"/>
      <c r="G47" s="11"/>
      <c r="H47" s="280"/>
      <c r="I47" s="280"/>
      <c r="J47" s="386"/>
      <c r="K47" s="280"/>
      <c r="L47" s="280"/>
      <c r="M47" s="386"/>
      <c r="N47" s="347" t="str">
        <f t="shared" si="1"/>
        <v/>
      </c>
    </row>
    <row r="48" spans="1:15" ht="12.95" customHeight="1">
      <c r="B48" s="10"/>
      <c r="C48" s="11"/>
      <c r="D48" s="11"/>
      <c r="E48" s="305">
        <v>823000</v>
      </c>
      <c r="F48" s="331"/>
      <c r="G48" s="8" t="s">
        <v>204</v>
      </c>
      <c r="H48" s="295">
        <f t="shared" ref="H48:M48" si="15">H49</f>
        <v>75000</v>
      </c>
      <c r="I48" s="295">
        <f t="shared" si="15"/>
        <v>0</v>
      </c>
      <c r="J48" s="387">
        <f t="shared" si="15"/>
        <v>75000</v>
      </c>
      <c r="K48" s="295">
        <f t="shared" si="15"/>
        <v>71436</v>
      </c>
      <c r="L48" s="295">
        <f t="shared" si="15"/>
        <v>0</v>
      </c>
      <c r="M48" s="387">
        <f t="shared" si="15"/>
        <v>71436</v>
      </c>
      <c r="N48" s="346">
        <f t="shared" si="1"/>
        <v>95.248000000000005</v>
      </c>
    </row>
    <row r="49" spans="1:14" ht="12.95" customHeight="1">
      <c r="B49" s="10"/>
      <c r="C49" s="11"/>
      <c r="D49" s="11"/>
      <c r="E49" s="306">
        <v>823300</v>
      </c>
      <c r="F49" s="332"/>
      <c r="G49" s="18" t="s">
        <v>185</v>
      </c>
      <c r="H49" s="296">
        <v>75000</v>
      </c>
      <c r="I49" s="296">
        <v>0</v>
      </c>
      <c r="J49" s="385">
        <f>SUM(H49:I49)</f>
        <v>75000</v>
      </c>
      <c r="K49" s="296">
        <v>71436</v>
      </c>
      <c r="L49" s="296">
        <v>0</v>
      </c>
      <c r="M49" s="385">
        <f>SUM(K49:L49)</f>
        <v>71436</v>
      </c>
      <c r="N49" s="347">
        <f t="shared" si="1"/>
        <v>95.248000000000005</v>
      </c>
    </row>
    <row r="50" spans="1:14" ht="8.1" customHeight="1">
      <c r="B50" s="10"/>
      <c r="C50" s="11"/>
      <c r="D50" s="11"/>
      <c r="E50" s="306"/>
      <c r="F50" s="332"/>
      <c r="G50" s="18"/>
      <c r="H50" s="280"/>
      <c r="I50" s="280"/>
      <c r="J50" s="386"/>
      <c r="K50" s="280"/>
      <c r="L50" s="280"/>
      <c r="M50" s="386"/>
      <c r="N50" s="347" t="str">
        <f t="shared" si="1"/>
        <v/>
      </c>
    </row>
    <row r="51" spans="1:14" s="1" customFormat="1" ht="12.95" customHeight="1">
      <c r="A51" s="281"/>
      <c r="B51" s="12"/>
      <c r="C51" s="8"/>
      <c r="D51" s="8"/>
      <c r="E51" s="305"/>
      <c r="F51" s="331"/>
      <c r="G51" s="8" t="s">
        <v>93</v>
      </c>
      <c r="H51" s="288">
        <v>11</v>
      </c>
      <c r="I51" s="288"/>
      <c r="J51" s="387">
        <v>11</v>
      </c>
      <c r="K51" s="288">
        <v>11</v>
      </c>
      <c r="L51" s="288"/>
      <c r="M51" s="387">
        <v>11</v>
      </c>
      <c r="N51" s="347"/>
    </row>
    <row r="52" spans="1:14" s="1" customFormat="1" ht="12.95" customHeight="1">
      <c r="A52" s="281"/>
      <c r="B52" s="12"/>
      <c r="C52" s="8"/>
      <c r="D52" s="8"/>
      <c r="E52" s="305"/>
      <c r="F52" s="331"/>
      <c r="G52" s="8" t="s">
        <v>113</v>
      </c>
      <c r="H52" s="288">
        <f t="shared" ref="H52:I52" si="16">H8+H13+H16+H30+H41+H44+H48</f>
        <v>1677220</v>
      </c>
      <c r="I52" s="288">
        <f t="shared" si="16"/>
        <v>8160</v>
      </c>
      <c r="J52" s="387">
        <f>J8+J13+J16+J30+J41+J44+J48</f>
        <v>1685380</v>
      </c>
      <c r="K52" s="288">
        <f t="shared" ref="K52:L52" si="17">K8+K13+K16+K30+K41+K44+K48</f>
        <v>1264461</v>
      </c>
      <c r="L52" s="288">
        <f t="shared" si="17"/>
        <v>1951</v>
      </c>
      <c r="M52" s="387">
        <f>M8+M13+M16+M30+M41+M44+M48</f>
        <v>1266412</v>
      </c>
      <c r="N52" s="346">
        <f t="shared" si="1"/>
        <v>75.141036442820024</v>
      </c>
    </row>
    <row r="53" spans="1:14" s="1" customFormat="1" ht="12.95" customHeight="1">
      <c r="A53" s="281"/>
      <c r="B53" s="12"/>
      <c r="C53" s="8"/>
      <c r="D53" s="8"/>
      <c r="E53" s="305"/>
      <c r="F53" s="331"/>
      <c r="G53" s="8" t="s">
        <v>94</v>
      </c>
      <c r="H53" s="286"/>
      <c r="I53" s="286"/>
      <c r="J53" s="397"/>
      <c r="K53" s="286"/>
      <c r="L53" s="286"/>
      <c r="M53" s="397"/>
      <c r="N53" s="348" t="str">
        <f t="shared" si="1"/>
        <v/>
      </c>
    </row>
    <row r="54" spans="1:14" s="1" customFormat="1" ht="12.95" customHeight="1">
      <c r="A54" s="281"/>
      <c r="B54" s="12"/>
      <c r="C54" s="8"/>
      <c r="D54" s="8"/>
      <c r="E54" s="305"/>
      <c r="F54" s="331"/>
      <c r="G54" s="8" t="s">
        <v>95</v>
      </c>
      <c r="H54" s="286"/>
      <c r="I54" s="286"/>
      <c r="J54" s="397"/>
      <c r="K54" s="286"/>
      <c r="L54" s="286"/>
      <c r="M54" s="397"/>
      <c r="N54" s="348" t="str">
        <f t="shared" si="1"/>
        <v/>
      </c>
    </row>
    <row r="55" spans="1:14" ht="8.1" customHeight="1" thickBot="1">
      <c r="B55" s="15"/>
      <c r="C55" s="16"/>
      <c r="D55" s="16"/>
      <c r="E55" s="307"/>
      <c r="F55" s="333"/>
      <c r="G55" s="16"/>
      <c r="H55" s="16"/>
      <c r="I55" s="16"/>
      <c r="J55" s="394"/>
      <c r="K55" s="16"/>
      <c r="L55" s="16"/>
      <c r="M55" s="394"/>
      <c r="N55" s="349" t="str">
        <f t="shared" si="1"/>
        <v/>
      </c>
    </row>
    <row r="56" spans="1:14" ht="12.95" customHeight="1">
      <c r="E56" s="308"/>
      <c r="F56" s="334"/>
      <c r="J56" s="391"/>
      <c r="M56" s="391"/>
      <c r="N56" s="350" t="str">
        <f t="shared" si="1"/>
        <v/>
      </c>
    </row>
    <row r="57" spans="1:14" ht="17.100000000000001" customHeight="1">
      <c r="E57" s="308"/>
      <c r="F57" s="334"/>
      <c r="J57" s="391"/>
      <c r="M57" s="391"/>
      <c r="N57" s="350" t="str">
        <f t="shared" si="1"/>
        <v/>
      </c>
    </row>
    <row r="58" spans="1:14" ht="17.100000000000001" customHeight="1">
      <c r="B58" s="50"/>
      <c r="E58" s="308"/>
      <c r="F58" s="334"/>
      <c r="J58" s="391"/>
      <c r="M58" s="391"/>
      <c r="N58" s="350" t="str">
        <f t="shared" si="1"/>
        <v/>
      </c>
    </row>
    <row r="59" spans="1:14" ht="17.100000000000001" customHeight="1">
      <c r="B59" s="50"/>
      <c r="E59" s="308"/>
      <c r="F59" s="334"/>
      <c r="J59" s="391"/>
      <c r="M59" s="391"/>
      <c r="N59" s="350" t="str">
        <f t="shared" si="1"/>
        <v/>
      </c>
    </row>
    <row r="60" spans="1:14" ht="14.25">
      <c r="B60" s="50"/>
      <c r="E60" s="308"/>
      <c r="F60" s="334"/>
      <c r="J60" s="391"/>
      <c r="M60" s="391"/>
      <c r="N60" s="350" t="str">
        <f t="shared" si="1"/>
        <v/>
      </c>
    </row>
    <row r="61" spans="1:14" ht="14.25">
      <c r="B61" s="50"/>
      <c r="E61" s="308"/>
      <c r="F61" s="334"/>
      <c r="J61" s="391"/>
      <c r="M61" s="391"/>
      <c r="N61" s="350" t="str">
        <f t="shared" si="1"/>
        <v/>
      </c>
    </row>
    <row r="62" spans="1:14" ht="14.25">
      <c r="E62" s="308"/>
      <c r="F62" s="334"/>
      <c r="J62" s="391"/>
      <c r="M62" s="391"/>
      <c r="N62" s="350" t="str">
        <f t="shared" si="1"/>
        <v/>
      </c>
    </row>
    <row r="63" spans="1:14" ht="14.25">
      <c r="E63" s="308"/>
      <c r="F63" s="334"/>
      <c r="J63" s="391"/>
      <c r="M63" s="391"/>
      <c r="N63" s="350" t="str">
        <f t="shared" si="1"/>
        <v/>
      </c>
    </row>
    <row r="64" spans="1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08"/>
      <c r="J71" s="391"/>
      <c r="M71" s="391"/>
    </row>
    <row r="72" spans="5:14" ht="14.25">
      <c r="E72" s="308"/>
      <c r="F72" s="308"/>
      <c r="J72" s="391"/>
      <c r="M72" s="391"/>
    </row>
    <row r="73" spans="5:14" ht="14.25">
      <c r="E73" s="308"/>
      <c r="F73" s="308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>
      <c r="F88" s="308"/>
    </row>
    <row r="89" spans="5:13">
      <c r="F89" s="308"/>
    </row>
    <row r="90" spans="5:13">
      <c r="F90" s="308"/>
    </row>
    <row r="91" spans="5:13">
      <c r="F91" s="308"/>
    </row>
    <row r="92" spans="5:13">
      <c r="F92" s="308"/>
    </row>
    <row r="93" spans="5:13">
      <c r="F93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Q96"/>
  <sheetViews>
    <sheetView zoomScaleNormal="100" zoomScaleSheetLayoutView="100" workbookViewId="0">
      <selection activeCell="P39" sqref="P39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5" width="9.140625" style="9"/>
    <col min="16" max="16" width="10.140625" style="9" bestFit="1" customWidth="1"/>
    <col min="17" max="16384" width="9.140625" style="9"/>
  </cols>
  <sheetData>
    <row r="1" spans="1:17" ht="13.5" thickBot="1"/>
    <row r="2" spans="1:17" s="98" customFormat="1" ht="20.100000000000001" customHeight="1" thickTop="1" thickBot="1">
      <c r="B2" s="598" t="s">
        <v>168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7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7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7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7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7" s="2" customFormat="1" ht="12.95" customHeight="1">
      <c r="A7" s="282"/>
      <c r="B7" s="6" t="s">
        <v>143</v>
      </c>
      <c r="C7" s="7" t="s">
        <v>132</v>
      </c>
      <c r="D7" s="7" t="s">
        <v>117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7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1130030</v>
      </c>
      <c r="I8" s="210">
        <f t="shared" si="0"/>
        <v>0</v>
      </c>
      <c r="J8" s="384">
        <f t="shared" si="0"/>
        <v>1130030</v>
      </c>
      <c r="K8" s="210">
        <f t="shared" si="0"/>
        <v>764305</v>
      </c>
      <c r="L8" s="210">
        <f t="shared" si="0"/>
        <v>0</v>
      </c>
      <c r="M8" s="384">
        <f t="shared" si="0"/>
        <v>764305</v>
      </c>
      <c r="N8" s="346">
        <f>IF(J8=0,"",M8/J8*100)</f>
        <v>67.635814978363413</v>
      </c>
      <c r="P8" s="58"/>
      <c r="Q8" s="58"/>
    </row>
    <row r="9" spans="1:17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899200+0+11310+4*500</f>
        <v>912510</v>
      </c>
      <c r="I9" s="212">
        <v>0</v>
      </c>
      <c r="J9" s="385">
        <f>SUM(H9:I9)</f>
        <v>912510</v>
      </c>
      <c r="K9" s="212">
        <v>636994</v>
      </c>
      <c r="L9" s="212">
        <v>0</v>
      </c>
      <c r="M9" s="385">
        <f>SUM(K9:L9)</f>
        <v>636994</v>
      </c>
      <c r="N9" s="347">
        <f t="shared" ref="N9:N66" si="1">IF(J9=0,"",M9/J9*100)</f>
        <v>69.806796637845068</v>
      </c>
    </row>
    <row r="10" spans="1:17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199200+3000+11720+4*900</f>
        <v>217520</v>
      </c>
      <c r="I10" s="212">
        <v>0</v>
      </c>
      <c r="J10" s="385">
        <f t="shared" ref="J10:J11" si="2">SUM(H10:I10)</f>
        <v>217520</v>
      </c>
      <c r="K10" s="212">
        <v>127311</v>
      </c>
      <c r="L10" s="212">
        <v>0</v>
      </c>
      <c r="M10" s="385">
        <f t="shared" ref="M10:M11" si="3">SUM(K10:L10)</f>
        <v>127311</v>
      </c>
      <c r="N10" s="347">
        <f t="shared" si="1"/>
        <v>58.528411180581095</v>
      </c>
      <c r="P10" s="57"/>
    </row>
    <row r="11" spans="1:17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7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7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95990</v>
      </c>
      <c r="I13" s="210">
        <f t="shared" si="4"/>
        <v>0</v>
      </c>
      <c r="J13" s="384">
        <f t="shared" si="4"/>
        <v>95990</v>
      </c>
      <c r="K13" s="210">
        <f t="shared" si="4"/>
        <v>70195</v>
      </c>
      <c r="L13" s="210">
        <f t="shared" si="4"/>
        <v>0</v>
      </c>
      <c r="M13" s="384">
        <f t="shared" si="4"/>
        <v>70195</v>
      </c>
      <c r="N13" s="346">
        <f t="shared" si="1"/>
        <v>73.12740910511512</v>
      </c>
    </row>
    <row r="14" spans="1:17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95200+510+4*70</f>
        <v>95990</v>
      </c>
      <c r="I14" s="212">
        <v>0</v>
      </c>
      <c r="J14" s="385">
        <f>SUM(H14:I14)</f>
        <v>95990</v>
      </c>
      <c r="K14" s="212">
        <v>70195</v>
      </c>
      <c r="L14" s="212">
        <v>0</v>
      </c>
      <c r="M14" s="385">
        <f>SUM(K14:L14)</f>
        <v>70195</v>
      </c>
      <c r="N14" s="347">
        <f t="shared" si="1"/>
        <v>73.12740910511512</v>
      </c>
    </row>
    <row r="15" spans="1:17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7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153500</v>
      </c>
      <c r="I16" s="293">
        <f t="shared" si="5"/>
        <v>0</v>
      </c>
      <c r="J16" s="387">
        <f t="shared" si="5"/>
        <v>153500</v>
      </c>
      <c r="K16" s="293">
        <f t="shared" si="5"/>
        <v>116404</v>
      </c>
      <c r="L16" s="293">
        <f t="shared" si="5"/>
        <v>0</v>
      </c>
      <c r="M16" s="387">
        <f t="shared" si="5"/>
        <v>116404</v>
      </c>
      <c r="N16" s="346">
        <f t="shared" si="1"/>
        <v>75.833224755700329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5000</v>
      </c>
      <c r="I17" s="363">
        <v>0</v>
      </c>
      <c r="J17" s="385">
        <f t="shared" ref="J17:J26" si="6">SUM(H17:I17)</f>
        <v>5000</v>
      </c>
      <c r="K17" s="363">
        <v>1877</v>
      </c>
      <c r="L17" s="363">
        <v>0</v>
      </c>
      <c r="M17" s="385">
        <f t="shared" ref="M17:M26" si="7">SUM(K17:L17)</f>
        <v>1877</v>
      </c>
      <c r="N17" s="347">
        <f t="shared" si="1"/>
        <v>37.54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60000</v>
      </c>
      <c r="I18" s="363">
        <v>0</v>
      </c>
      <c r="J18" s="385">
        <f t="shared" si="6"/>
        <v>60000</v>
      </c>
      <c r="K18" s="363">
        <v>58538</v>
      </c>
      <c r="L18" s="363">
        <v>0</v>
      </c>
      <c r="M18" s="385">
        <f t="shared" si="7"/>
        <v>58538</v>
      </c>
      <c r="N18" s="347">
        <f t="shared" si="1"/>
        <v>97.563333333333333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10500</v>
      </c>
      <c r="I19" s="363">
        <v>0</v>
      </c>
      <c r="J19" s="385">
        <f t="shared" si="6"/>
        <v>10500</v>
      </c>
      <c r="K19" s="363">
        <v>6215</v>
      </c>
      <c r="L19" s="363">
        <v>0</v>
      </c>
      <c r="M19" s="385">
        <f t="shared" si="7"/>
        <v>6215</v>
      </c>
      <c r="N19" s="347">
        <f t="shared" si="1"/>
        <v>59.19047619047619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22000</v>
      </c>
      <c r="I20" s="363">
        <v>0</v>
      </c>
      <c r="J20" s="385">
        <f t="shared" si="6"/>
        <v>22000</v>
      </c>
      <c r="K20" s="363">
        <v>17701</v>
      </c>
      <c r="L20" s="363">
        <v>0</v>
      </c>
      <c r="M20" s="385">
        <f t="shared" si="7"/>
        <v>17701</v>
      </c>
      <c r="N20" s="347">
        <f t="shared" si="1"/>
        <v>80.459090909090918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2000</v>
      </c>
      <c r="I21" s="365">
        <v>0</v>
      </c>
      <c r="J21" s="385">
        <f t="shared" si="6"/>
        <v>2000</v>
      </c>
      <c r="K21" s="365">
        <v>1314</v>
      </c>
      <c r="L21" s="365">
        <v>0</v>
      </c>
      <c r="M21" s="385">
        <f t="shared" si="7"/>
        <v>1314</v>
      </c>
      <c r="N21" s="347">
        <f t="shared" si="1"/>
        <v>65.7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15000</v>
      </c>
      <c r="I23" s="363">
        <v>0</v>
      </c>
      <c r="J23" s="385">
        <f t="shared" si="6"/>
        <v>15000</v>
      </c>
      <c r="K23" s="363">
        <v>9736</v>
      </c>
      <c r="L23" s="363">
        <v>0</v>
      </c>
      <c r="M23" s="385">
        <f t="shared" si="7"/>
        <v>9736</v>
      </c>
      <c r="N23" s="347">
        <f t="shared" si="1"/>
        <v>64.906666666666666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3">
        <v>0</v>
      </c>
      <c r="I24" s="363">
        <v>0</v>
      </c>
      <c r="J24" s="385">
        <f t="shared" si="6"/>
        <v>0</v>
      </c>
      <c r="K24" s="363">
        <v>0</v>
      </c>
      <c r="L24" s="363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39000</v>
      </c>
      <c r="I25" s="365">
        <v>0</v>
      </c>
      <c r="J25" s="385">
        <f t="shared" si="6"/>
        <v>39000</v>
      </c>
      <c r="K25" s="365">
        <v>21023</v>
      </c>
      <c r="L25" s="365">
        <v>0</v>
      </c>
      <c r="M25" s="385">
        <f t="shared" si="7"/>
        <v>21023</v>
      </c>
      <c r="N25" s="347">
        <f t="shared" si="1"/>
        <v>53.905128205128207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59">
        <v>0</v>
      </c>
      <c r="I26" s="359">
        <v>0</v>
      </c>
      <c r="J26" s="385">
        <f t="shared" si="6"/>
        <v>0</v>
      </c>
      <c r="K26" s="359">
        <v>0</v>
      </c>
      <c r="L26" s="359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91"/>
      <c r="I27" s="291"/>
      <c r="J27" s="386"/>
      <c r="K27" s="291"/>
      <c r="L27" s="291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SUM(H29:H31)</f>
        <v>10000</v>
      </c>
      <c r="I28" s="288">
        <f t="shared" si="8"/>
        <v>0</v>
      </c>
      <c r="J28" s="387">
        <f t="shared" si="8"/>
        <v>10000</v>
      </c>
      <c r="K28" s="288">
        <f t="shared" si="8"/>
        <v>4932</v>
      </c>
      <c r="L28" s="288">
        <f t="shared" si="8"/>
        <v>0</v>
      </c>
      <c r="M28" s="387">
        <f t="shared" si="8"/>
        <v>4932</v>
      </c>
      <c r="N28" s="346">
        <f t="shared" si="1"/>
        <v>49.32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5000</v>
      </c>
      <c r="I29" s="296">
        <v>0</v>
      </c>
      <c r="J29" s="385">
        <f t="shared" ref="J29:J30" si="9">SUM(H29:I29)</f>
        <v>5000</v>
      </c>
      <c r="K29" s="296">
        <v>0</v>
      </c>
      <c r="L29" s="296">
        <v>0</v>
      </c>
      <c r="M29" s="385">
        <f t="shared" ref="M29:M30" si="10">SUM(K29:L29)</f>
        <v>0</v>
      </c>
      <c r="N29" s="347">
        <f t="shared" si="1"/>
        <v>0</v>
      </c>
      <c r="O29" s="50"/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5000</v>
      </c>
      <c r="I30" s="296">
        <v>0</v>
      </c>
      <c r="J30" s="385">
        <f t="shared" si="9"/>
        <v>5000</v>
      </c>
      <c r="K30" s="296">
        <v>4932</v>
      </c>
      <c r="L30" s="296">
        <v>0</v>
      </c>
      <c r="M30" s="385">
        <f t="shared" si="10"/>
        <v>4932</v>
      </c>
      <c r="N30" s="347">
        <f t="shared" si="1"/>
        <v>98.64</v>
      </c>
    </row>
    <row r="31" spans="1:15" ht="12.95" customHeight="1">
      <c r="B31" s="10"/>
      <c r="C31" s="11"/>
      <c r="D31" s="11"/>
      <c r="E31" s="306"/>
      <c r="F31" s="332"/>
      <c r="G31" s="18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606</v>
      </c>
      <c r="I32" s="278"/>
      <c r="J32" s="389" t="s">
        <v>606</v>
      </c>
      <c r="K32" s="278" t="s">
        <v>848</v>
      </c>
      <c r="L32" s="278"/>
      <c r="M32" s="389" t="s">
        <v>848</v>
      </c>
      <c r="N32" s="347"/>
    </row>
    <row r="33" spans="1:17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1389520</v>
      </c>
      <c r="I33" s="288">
        <f t="shared" si="11"/>
        <v>0</v>
      </c>
      <c r="J33" s="387">
        <f t="shared" si="11"/>
        <v>1389520</v>
      </c>
      <c r="K33" s="288">
        <f t="shared" si="11"/>
        <v>955836</v>
      </c>
      <c r="L33" s="288">
        <f t="shared" si="11"/>
        <v>0</v>
      </c>
      <c r="M33" s="387">
        <f t="shared" si="11"/>
        <v>955836</v>
      </c>
      <c r="N33" s="346">
        <f t="shared" si="1"/>
        <v>68.788934308250333</v>
      </c>
    </row>
    <row r="34" spans="1:17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  <c r="Q34" s="1" t="s">
        <v>175</v>
      </c>
    </row>
    <row r="35" spans="1:17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7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7" ht="12.95" customHeight="1">
      <c r="E37" s="308"/>
      <c r="F37" s="334"/>
      <c r="J37" s="393"/>
      <c r="M37" s="393"/>
      <c r="N37" s="350" t="str">
        <f t="shared" si="1"/>
        <v/>
      </c>
    </row>
    <row r="38" spans="1:17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7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7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7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7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7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7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7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7" ht="12.95" customHeight="1">
      <c r="B46" s="50"/>
      <c r="E46" s="308"/>
      <c r="F46" s="334"/>
      <c r="J46" s="393"/>
      <c r="M46" s="393"/>
      <c r="N46" s="350" t="str">
        <f t="shared" si="1"/>
        <v/>
      </c>
    </row>
    <row r="47" spans="1:17" ht="12.95" customHeight="1">
      <c r="B47" s="50"/>
      <c r="E47" s="308"/>
      <c r="F47" s="334"/>
      <c r="J47" s="393"/>
      <c r="M47" s="393"/>
      <c r="N47" s="350" t="str">
        <f t="shared" si="1"/>
        <v/>
      </c>
    </row>
    <row r="48" spans="1:17" ht="12.95" customHeight="1">
      <c r="B48" s="50"/>
      <c r="E48" s="308"/>
      <c r="F48" s="334"/>
      <c r="J48" s="393"/>
      <c r="M48" s="393"/>
      <c r="N48" s="350" t="str">
        <f t="shared" si="1"/>
        <v/>
      </c>
    </row>
    <row r="49" spans="2:14" ht="12.95" customHeight="1">
      <c r="B49" s="50"/>
      <c r="E49" s="308"/>
      <c r="F49" s="334"/>
      <c r="J49" s="393"/>
      <c r="M49" s="393"/>
      <c r="N49" s="350" t="str">
        <f t="shared" si="1"/>
        <v/>
      </c>
    </row>
    <row r="50" spans="2:14" ht="12.95" customHeight="1">
      <c r="B50" s="50"/>
      <c r="E50" s="308"/>
      <c r="F50" s="334"/>
      <c r="J50" s="393"/>
      <c r="M50" s="393"/>
      <c r="N50" s="350" t="str">
        <f t="shared" si="1"/>
        <v/>
      </c>
    </row>
    <row r="51" spans="2:14" ht="12.95" customHeight="1">
      <c r="B51" s="50"/>
      <c r="E51" s="308"/>
      <c r="F51" s="334"/>
      <c r="J51" s="393"/>
      <c r="M51" s="393"/>
      <c r="N51" s="350" t="str">
        <f t="shared" si="1"/>
        <v/>
      </c>
    </row>
    <row r="52" spans="2:14" ht="12.95" customHeight="1">
      <c r="E52" s="308"/>
      <c r="F52" s="334"/>
      <c r="J52" s="393"/>
      <c r="M52" s="393"/>
      <c r="N52" s="350" t="str">
        <f t="shared" si="1"/>
        <v/>
      </c>
    </row>
    <row r="53" spans="2:14" ht="12.95" customHeight="1">
      <c r="E53" s="308"/>
      <c r="F53" s="334"/>
      <c r="J53" s="393"/>
      <c r="M53" s="393"/>
      <c r="N53" s="350" t="str">
        <f t="shared" si="1"/>
        <v/>
      </c>
    </row>
    <row r="54" spans="2:14" ht="12.95" customHeight="1">
      <c r="E54" s="308"/>
      <c r="F54" s="334"/>
      <c r="J54" s="393"/>
      <c r="M54" s="393"/>
      <c r="N54" s="350" t="str">
        <f t="shared" si="1"/>
        <v/>
      </c>
    </row>
    <row r="55" spans="2:14" ht="12.95" customHeight="1">
      <c r="E55" s="308"/>
      <c r="F55" s="334"/>
      <c r="J55" s="393"/>
      <c r="M55" s="393"/>
      <c r="N55" s="350" t="str">
        <f t="shared" si="1"/>
        <v/>
      </c>
    </row>
    <row r="56" spans="2:14" ht="12.95" customHeight="1">
      <c r="E56" s="308"/>
      <c r="F56" s="334"/>
      <c r="J56" s="393"/>
      <c r="M56" s="393"/>
      <c r="N56" s="350" t="str">
        <f t="shared" si="1"/>
        <v/>
      </c>
    </row>
    <row r="57" spans="2:14" ht="12.95" customHeight="1">
      <c r="E57" s="308"/>
      <c r="F57" s="334"/>
      <c r="J57" s="393"/>
      <c r="M57" s="393"/>
      <c r="N57" s="350" t="str">
        <f t="shared" si="1"/>
        <v/>
      </c>
    </row>
    <row r="58" spans="2:14" ht="12.95" customHeight="1">
      <c r="E58" s="308"/>
      <c r="F58" s="334"/>
      <c r="J58" s="393"/>
      <c r="M58" s="393"/>
      <c r="N58" s="350" t="str">
        <f t="shared" si="1"/>
        <v/>
      </c>
    </row>
    <row r="59" spans="2:14" ht="12.95" customHeight="1">
      <c r="E59" s="308"/>
      <c r="F59" s="334"/>
      <c r="J59" s="393"/>
      <c r="M59" s="393"/>
      <c r="N59" s="350" t="str">
        <f t="shared" si="1"/>
        <v/>
      </c>
    </row>
    <row r="60" spans="2:14" ht="17.100000000000001" customHeight="1">
      <c r="E60" s="308"/>
      <c r="F60" s="334"/>
      <c r="J60" s="393"/>
      <c r="M60" s="393"/>
      <c r="N60" s="350" t="str">
        <f t="shared" si="1"/>
        <v/>
      </c>
    </row>
    <row r="61" spans="2:14" ht="14.25">
      <c r="E61" s="308"/>
      <c r="F61" s="334"/>
      <c r="J61" s="393"/>
      <c r="M61" s="393"/>
      <c r="N61" s="350" t="str">
        <f t="shared" si="1"/>
        <v/>
      </c>
    </row>
    <row r="62" spans="2:14" ht="14.25">
      <c r="E62" s="308"/>
      <c r="F62" s="334"/>
      <c r="J62" s="393"/>
      <c r="M62" s="393"/>
      <c r="N62" s="350" t="str">
        <f t="shared" si="1"/>
        <v/>
      </c>
    </row>
    <row r="63" spans="2:14" ht="14.25">
      <c r="E63" s="308"/>
      <c r="F63" s="334"/>
      <c r="J63" s="393"/>
      <c r="M63" s="393"/>
      <c r="N63" s="350" t="str">
        <f t="shared" si="1"/>
        <v/>
      </c>
    </row>
    <row r="64" spans="2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P96"/>
  <sheetViews>
    <sheetView zoomScaleNormal="100" zoomScaleSheetLayoutView="100" workbookViewId="0">
      <selection activeCell="M33" sqref="M33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268</v>
      </c>
      <c r="C2" s="599"/>
      <c r="D2" s="599"/>
      <c r="E2" s="599"/>
      <c r="F2" s="599"/>
      <c r="G2" s="599"/>
      <c r="H2" s="618"/>
      <c r="I2" s="378"/>
      <c r="J2" s="378"/>
      <c r="K2" s="378"/>
      <c r="L2" s="378"/>
      <c r="M2" s="378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79" t="s">
        <v>143</v>
      </c>
      <c r="C7" s="80" t="s">
        <v>132</v>
      </c>
      <c r="D7" s="80" t="s">
        <v>124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1051100</v>
      </c>
      <c r="I8" s="210">
        <f t="shared" si="0"/>
        <v>0</v>
      </c>
      <c r="J8" s="384">
        <f t="shared" si="0"/>
        <v>1051100</v>
      </c>
      <c r="K8" s="210">
        <f t="shared" si="0"/>
        <v>773008</v>
      </c>
      <c r="L8" s="210">
        <f t="shared" si="0"/>
        <v>0</v>
      </c>
      <c r="M8" s="384">
        <f t="shared" si="0"/>
        <v>773008</v>
      </c>
      <c r="N8" s="346">
        <f>IF(J8=0,"",M8/J8*100)</f>
        <v>73.542764722671478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834200+1500+2000+2*500</f>
        <v>838700</v>
      </c>
      <c r="I9" s="212">
        <v>0</v>
      </c>
      <c r="J9" s="385">
        <f>SUM(H9:I9)</f>
        <v>838700</v>
      </c>
      <c r="K9" s="212">
        <v>630710</v>
      </c>
      <c r="L9" s="212">
        <v>0</v>
      </c>
      <c r="M9" s="385">
        <f>SUM(K9:L9)</f>
        <v>630710</v>
      </c>
      <c r="N9" s="347">
        <f t="shared" ref="N9:N66" si="1">IF(J9=0,"",M9/J9*100)</f>
        <v>75.200906164301898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204400+2700+3500+2*900</f>
        <v>212400</v>
      </c>
      <c r="I10" s="212">
        <v>0</v>
      </c>
      <c r="J10" s="385">
        <f t="shared" ref="J10:J11" si="2">SUM(H10:I10)</f>
        <v>212400</v>
      </c>
      <c r="K10" s="212">
        <v>142298</v>
      </c>
      <c r="L10" s="212">
        <v>0</v>
      </c>
      <c r="M10" s="385">
        <f t="shared" ref="M10:M11" si="3">SUM(K10:L10)</f>
        <v>142298</v>
      </c>
      <c r="N10" s="347">
        <f t="shared" si="1"/>
        <v>66.995291902071557</v>
      </c>
      <c r="P10" s="50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89570</v>
      </c>
      <c r="I13" s="210">
        <f t="shared" si="4"/>
        <v>0</v>
      </c>
      <c r="J13" s="384">
        <f t="shared" si="4"/>
        <v>89570</v>
      </c>
      <c r="K13" s="210">
        <f t="shared" si="4"/>
        <v>68144</v>
      </c>
      <c r="L13" s="210">
        <f t="shared" si="4"/>
        <v>0</v>
      </c>
      <c r="M13" s="384">
        <f t="shared" si="4"/>
        <v>68144</v>
      </c>
      <c r="N13" s="346">
        <f t="shared" si="1"/>
        <v>76.079044322875973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88980+450+2*70</f>
        <v>89570</v>
      </c>
      <c r="I14" s="212">
        <v>0</v>
      </c>
      <c r="J14" s="385">
        <f>SUM(H14:I14)</f>
        <v>89570</v>
      </c>
      <c r="K14" s="212">
        <v>68144</v>
      </c>
      <c r="L14" s="212">
        <v>0</v>
      </c>
      <c r="M14" s="385">
        <f>SUM(K14:L14)</f>
        <v>68144</v>
      </c>
      <c r="N14" s="347">
        <f t="shared" si="1"/>
        <v>76.079044322875973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211950</v>
      </c>
      <c r="I16" s="293">
        <f t="shared" si="5"/>
        <v>0</v>
      </c>
      <c r="J16" s="387">
        <f t="shared" si="5"/>
        <v>211950</v>
      </c>
      <c r="K16" s="293">
        <f t="shared" si="5"/>
        <v>161668</v>
      </c>
      <c r="L16" s="293">
        <f t="shared" si="5"/>
        <v>0</v>
      </c>
      <c r="M16" s="387">
        <f t="shared" si="5"/>
        <v>161668</v>
      </c>
      <c r="N16" s="346">
        <f t="shared" si="1"/>
        <v>76.276480301958003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5">
        <v>5500</v>
      </c>
      <c r="I17" s="365">
        <v>0</v>
      </c>
      <c r="J17" s="385">
        <f t="shared" ref="J17:J26" si="6">SUM(H17:I17)</f>
        <v>5500</v>
      </c>
      <c r="K17" s="365">
        <v>3982</v>
      </c>
      <c r="L17" s="365">
        <v>0</v>
      </c>
      <c r="M17" s="385">
        <f t="shared" ref="M17:M26" si="7">SUM(K17:L17)</f>
        <v>3982</v>
      </c>
      <c r="N17" s="347">
        <f t="shared" si="1"/>
        <v>72.399999999999991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109400</v>
      </c>
      <c r="I18" s="363">
        <v>0</v>
      </c>
      <c r="J18" s="385">
        <f t="shared" si="6"/>
        <v>109400</v>
      </c>
      <c r="K18" s="363">
        <v>92689</v>
      </c>
      <c r="L18" s="363">
        <v>0</v>
      </c>
      <c r="M18" s="385">
        <f t="shared" si="7"/>
        <v>92689</v>
      </c>
      <c r="N18" s="347">
        <f t="shared" si="1"/>
        <v>84.724862888482633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13900</v>
      </c>
      <c r="I19" s="365">
        <v>0</v>
      </c>
      <c r="J19" s="385">
        <f t="shared" si="6"/>
        <v>13900</v>
      </c>
      <c r="K19" s="365">
        <v>8497</v>
      </c>
      <c r="L19" s="365">
        <v>0</v>
      </c>
      <c r="M19" s="385">
        <f t="shared" si="7"/>
        <v>8497</v>
      </c>
      <c r="N19" s="347">
        <f t="shared" si="1"/>
        <v>61.129496402877706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28750</v>
      </c>
      <c r="I20" s="365">
        <v>0</v>
      </c>
      <c r="J20" s="385">
        <f t="shared" si="6"/>
        <v>28750</v>
      </c>
      <c r="K20" s="365">
        <v>21862</v>
      </c>
      <c r="L20" s="365">
        <v>0</v>
      </c>
      <c r="M20" s="385">
        <f t="shared" si="7"/>
        <v>21862</v>
      </c>
      <c r="N20" s="347">
        <f t="shared" si="1"/>
        <v>76.041739130434777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400</v>
      </c>
      <c r="I21" s="365">
        <v>0</v>
      </c>
      <c r="J21" s="385">
        <f t="shared" si="6"/>
        <v>400</v>
      </c>
      <c r="K21" s="365">
        <v>204</v>
      </c>
      <c r="L21" s="365">
        <v>0</v>
      </c>
      <c r="M21" s="385">
        <f t="shared" si="7"/>
        <v>204</v>
      </c>
      <c r="N21" s="347">
        <f t="shared" si="1"/>
        <v>51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30000</v>
      </c>
      <c r="I23" s="365">
        <v>0</v>
      </c>
      <c r="J23" s="385">
        <f t="shared" si="6"/>
        <v>30000</v>
      </c>
      <c r="K23" s="365">
        <v>23270</v>
      </c>
      <c r="L23" s="365">
        <v>0</v>
      </c>
      <c r="M23" s="385">
        <f t="shared" si="7"/>
        <v>23270</v>
      </c>
      <c r="N23" s="347">
        <f t="shared" si="1"/>
        <v>77.566666666666663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24000</v>
      </c>
      <c r="I25" s="365">
        <v>0</v>
      </c>
      <c r="J25" s="385">
        <f t="shared" si="6"/>
        <v>24000</v>
      </c>
      <c r="K25" s="365">
        <v>11164</v>
      </c>
      <c r="L25" s="365">
        <v>0</v>
      </c>
      <c r="M25" s="385">
        <f t="shared" si="7"/>
        <v>11164</v>
      </c>
      <c r="N25" s="347">
        <f t="shared" si="1"/>
        <v>46.516666666666666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1">
        <v>0</v>
      </c>
      <c r="I26" s="361">
        <v>0</v>
      </c>
      <c r="J26" s="385">
        <f t="shared" si="6"/>
        <v>0</v>
      </c>
      <c r="K26" s="361">
        <v>0</v>
      </c>
      <c r="L26" s="361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10000</v>
      </c>
      <c r="I28" s="295">
        <f t="shared" si="8"/>
        <v>0</v>
      </c>
      <c r="J28" s="387">
        <f t="shared" si="8"/>
        <v>10000</v>
      </c>
      <c r="K28" s="295">
        <f t="shared" si="8"/>
        <v>9938</v>
      </c>
      <c r="L28" s="295">
        <f t="shared" si="8"/>
        <v>0</v>
      </c>
      <c r="M28" s="387">
        <f t="shared" si="8"/>
        <v>9938</v>
      </c>
      <c r="N28" s="346">
        <f t="shared" si="1"/>
        <v>99.38</v>
      </c>
    </row>
    <row r="29" spans="1:15" ht="12.95" customHeight="1">
      <c r="B29" s="10"/>
      <c r="C29" s="11"/>
      <c r="D29" s="11"/>
      <c r="E29" s="309">
        <v>821200</v>
      </c>
      <c r="F29" s="335"/>
      <c r="G29" s="14" t="s">
        <v>91</v>
      </c>
      <c r="H29" s="296">
        <v>5000</v>
      </c>
      <c r="I29" s="296">
        <v>0</v>
      </c>
      <c r="J29" s="385">
        <f t="shared" ref="J29:J30" si="9">SUM(H29:I29)</f>
        <v>5000</v>
      </c>
      <c r="K29" s="296">
        <v>4938</v>
      </c>
      <c r="L29" s="296">
        <v>0</v>
      </c>
      <c r="M29" s="385">
        <f t="shared" ref="M29:M30" si="10">SUM(K29:L29)</f>
        <v>4938</v>
      </c>
      <c r="N29" s="347">
        <f t="shared" si="1"/>
        <v>98.76</v>
      </c>
      <c r="O29" s="50"/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5000</v>
      </c>
      <c r="I30" s="296">
        <v>0</v>
      </c>
      <c r="J30" s="385">
        <f t="shared" si="9"/>
        <v>5000</v>
      </c>
      <c r="K30" s="296">
        <v>5000</v>
      </c>
      <c r="L30" s="296">
        <v>0</v>
      </c>
      <c r="M30" s="385">
        <f t="shared" si="10"/>
        <v>5000</v>
      </c>
      <c r="N30" s="347">
        <f t="shared" si="1"/>
        <v>100</v>
      </c>
    </row>
    <row r="31" spans="1:15" ht="12.95" customHeight="1">
      <c r="B31" s="10"/>
      <c r="C31" s="11"/>
      <c r="D31" s="11"/>
      <c r="E31" s="306"/>
      <c r="F31" s="332"/>
      <c r="G31" s="11"/>
      <c r="H31" s="296"/>
      <c r="I31" s="296"/>
      <c r="J31" s="386"/>
      <c r="K31" s="296"/>
      <c r="L31" s="296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797</v>
      </c>
      <c r="I32" s="278"/>
      <c r="J32" s="389" t="s">
        <v>797</v>
      </c>
      <c r="K32" s="278" t="s">
        <v>849</v>
      </c>
      <c r="L32" s="278"/>
      <c r="M32" s="389" t="s">
        <v>849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1362620</v>
      </c>
      <c r="I33" s="288">
        <f t="shared" si="11"/>
        <v>0</v>
      </c>
      <c r="J33" s="387">
        <f t="shared" si="11"/>
        <v>1362620</v>
      </c>
      <c r="K33" s="288">
        <f t="shared" si="11"/>
        <v>1012758</v>
      </c>
      <c r="L33" s="288">
        <f t="shared" si="11"/>
        <v>0</v>
      </c>
      <c r="M33" s="387">
        <f t="shared" si="11"/>
        <v>1012758</v>
      </c>
      <c r="N33" s="346">
        <f t="shared" si="1"/>
        <v>74.324316390483034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B42" s="50"/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P96"/>
  <sheetViews>
    <sheetView tabSelected="1" zoomScaleNormal="100" zoomScaleSheetLayoutView="100" workbookViewId="0">
      <selection activeCell="I32" sqref="I32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5" width="9.140625" style="9"/>
    <col min="16" max="16" width="9.5703125" style="9" bestFit="1" customWidth="1"/>
    <col min="17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269</v>
      </c>
      <c r="C2" s="599"/>
      <c r="D2" s="599"/>
      <c r="E2" s="599"/>
      <c r="F2" s="599"/>
      <c r="G2" s="599"/>
      <c r="H2" s="378"/>
      <c r="I2" s="378"/>
      <c r="J2" s="378"/>
      <c r="K2" s="378"/>
      <c r="L2" s="378"/>
      <c r="M2" s="378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79" t="s">
        <v>143</v>
      </c>
      <c r="C7" s="80" t="s">
        <v>132</v>
      </c>
      <c r="D7" s="80" t="s">
        <v>125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868100</v>
      </c>
      <c r="I8" s="210">
        <f t="shared" si="0"/>
        <v>0</v>
      </c>
      <c r="J8" s="384">
        <f t="shared" si="0"/>
        <v>868100</v>
      </c>
      <c r="K8" s="210">
        <f t="shared" si="0"/>
        <v>625440</v>
      </c>
      <c r="L8" s="210">
        <f t="shared" si="0"/>
        <v>0</v>
      </c>
      <c r="M8" s="384">
        <f t="shared" si="0"/>
        <v>625440</v>
      </c>
      <c r="N8" s="346">
        <f>IF(J8=0,"",M8/J8*100)</f>
        <v>72.046999193641284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703000+1000+2*500</f>
        <v>705000</v>
      </c>
      <c r="I9" s="212">
        <v>0</v>
      </c>
      <c r="J9" s="385">
        <f>SUM(H9:I9)</f>
        <v>705000</v>
      </c>
      <c r="K9" s="212">
        <v>519311</v>
      </c>
      <c r="L9" s="212">
        <v>0</v>
      </c>
      <c r="M9" s="385">
        <f>SUM(K9:L9)</f>
        <v>519311</v>
      </c>
      <c r="N9" s="347">
        <f t="shared" ref="N9:N66" si="1">IF(J9=0,"",M9/J9*100)</f>
        <v>73.661134751773048</v>
      </c>
      <c r="O9" s="50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159400+1900+2*900</f>
        <v>163100</v>
      </c>
      <c r="I10" s="212">
        <v>0</v>
      </c>
      <c r="J10" s="385">
        <f t="shared" ref="J10:J11" si="2">SUM(H10:I10)</f>
        <v>163100</v>
      </c>
      <c r="K10" s="212">
        <v>106129</v>
      </c>
      <c r="L10" s="212">
        <v>0</v>
      </c>
      <c r="M10" s="385">
        <f t="shared" ref="M10:M11" si="3">SUM(K10:L10)</f>
        <v>106129</v>
      </c>
      <c r="N10" s="347">
        <f t="shared" si="1"/>
        <v>65.069895769466584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76640</v>
      </c>
      <c r="I13" s="210">
        <f t="shared" si="4"/>
        <v>0</v>
      </c>
      <c r="J13" s="384">
        <f t="shared" si="4"/>
        <v>76640</v>
      </c>
      <c r="K13" s="210">
        <f t="shared" si="4"/>
        <v>55804</v>
      </c>
      <c r="L13" s="210">
        <f t="shared" si="4"/>
        <v>0</v>
      </c>
      <c r="M13" s="384">
        <f t="shared" si="4"/>
        <v>55804</v>
      </c>
      <c r="N13" s="346">
        <f t="shared" si="1"/>
        <v>72.813152400835065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76100+400+2*70</f>
        <v>76640</v>
      </c>
      <c r="I14" s="212">
        <v>0</v>
      </c>
      <c r="J14" s="385">
        <f>SUM(H14:I14)</f>
        <v>76640</v>
      </c>
      <c r="K14" s="212">
        <v>55804</v>
      </c>
      <c r="L14" s="212">
        <v>0</v>
      </c>
      <c r="M14" s="385">
        <f>SUM(K14:L14)</f>
        <v>55804</v>
      </c>
      <c r="N14" s="347">
        <f t="shared" si="1"/>
        <v>72.813152400835065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SUM(H17:H27)</f>
        <v>123200</v>
      </c>
      <c r="I16" s="293">
        <f t="shared" si="5"/>
        <v>0</v>
      </c>
      <c r="J16" s="387">
        <f t="shared" si="5"/>
        <v>123200</v>
      </c>
      <c r="K16" s="293">
        <f t="shared" si="5"/>
        <v>74205</v>
      </c>
      <c r="L16" s="293">
        <f t="shared" si="5"/>
        <v>0</v>
      </c>
      <c r="M16" s="387">
        <f t="shared" si="5"/>
        <v>74205</v>
      </c>
      <c r="N16" s="346">
        <f t="shared" si="1"/>
        <v>60.231331168831169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5">
        <v>4000</v>
      </c>
      <c r="I17" s="365">
        <v>0</v>
      </c>
      <c r="J17" s="385">
        <f t="shared" ref="J17:J27" si="6">SUM(H17:I17)</f>
        <v>4000</v>
      </c>
      <c r="K17" s="365">
        <v>2540</v>
      </c>
      <c r="L17" s="365">
        <v>0</v>
      </c>
      <c r="M17" s="385">
        <f t="shared" ref="M17:M27" si="7">SUM(K17:L17)</f>
        <v>2540</v>
      </c>
      <c r="N17" s="347">
        <f t="shared" si="1"/>
        <v>63.5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55000</v>
      </c>
      <c r="I18" s="363">
        <v>0</v>
      </c>
      <c r="J18" s="385">
        <f t="shared" si="6"/>
        <v>55000</v>
      </c>
      <c r="K18" s="363">
        <v>28618</v>
      </c>
      <c r="L18" s="363">
        <v>0</v>
      </c>
      <c r="M18" s="385">
        <f t="shared" si="7"/>
        <v>28618</v>
      </c>
      <c r="N18" s="347">
        <f t="shared" si="1"/>
        <v>52.032727272727271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7500</v>
      </c>
      <c r="I19" s="363">
        <v>0</v>
      </c>
      <c r="J19" s="385">
        <f t="shared" si="6"/>
        <v>7500</v>
      </c>
      <c r="K19" s="363">
        <v>4396</v>
      </c>
      <c r="L19" s="363">
        <v>0</v>
      </c>
      <c r="M19" s="385">
        <f t="shared" si="7"/>
        <v>4396</v>
      </c>
      <c r="N19" s="347">
        <f t="shared" si="1"/>
        <v>58.61333333333333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16200</v>
      </c>
      <c r="I20" s="363">
        <v>0</v>
      </c>
      <c r="J20" s="385">
        <f t="shared" si="6"/>
        <v>16200</v>
      </c>
      <c r="K20" s="363">
        <v>13624</v>
      </c>
      <c r="L20" s="363">
        <v>0</v>
      </c>
      <c r="M20" s="385">
        <f t="shared" si="7"/>
        <v>13624</v>
      </c>
      <c r="N20" s="347">
        <f t="shared" si="1"/>
        <v>84.098765432098759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3000</v>
      </c>
      <c r="I21" s="365">
        <v>0</v>
      </c>
      <c r="J21" s="385">
        <f t="shared" si="6"/>
        <v>3000</v>
      </c>
      <c r="K21" s="365">
        <v>2582</v>
      </c>
      <c r="L21" s="365">
        <v>0</v>
      </c>
      <c r="M21" s="385">
        <f t="shared" si="7"/>
        <v>2582</v>
      </c>
      <c r="N21" s="347">
        <f t="shared" si="1"/>
        <v>86.066666666666663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14000</v>
      </c>
      <c r="I23" s="365">
        <v>0</v>
      </c>
      <c r="J23" s="385">
        <f t="shared" si="6"/>
        <v>14000</v>
      </c>
      <c r="K23" s="365">
        <v>8904</v>
      </c>
      <c r="L23" s="365">
        <v>0</v>
      </c>
      <c r="M23" s="385">
        <f t="shared" si="7"/>
        <v>8904</v>
      </c>
      <c r="N23" s="347">
        <f t="shared" si="1"/>
        <v>63.6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0">
        <v>23500</v>
      </c>
      <c r="I25" s="360">
        <v>0</v>
      </c>
      <c r="J25" s="385">
        <f t="shared" si="6"/>
        <v>23500</v>
      </c>
      <c r="K25" s="360">
        <v>13541</v>
      </c>
      <c r="L25" s="360">
        <v>0</v>
      </c>
      <c r="M25" s="385">
        <f t="shared" si="7"/>
        <v>13541</v>
      </c>
      <c r="N25" s="347">
        <f t="shared" si="1"/>
        <v>57.621276595744689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1">
        <v>0</v>
      </c>
      <c r="I26" s="361">
        <v>0</v>
      </c>
      <c r="J26" s="385">
        <f t="shared" si="6"/>
        <v>0</v>
      </c>
      <c r="K26" s="361">
        <v>0</v>
      </c>
      <c r="L26" s="361">
        <v>0</v>
      </c>
      <c r="M26" s="385">
        <f t="shared" si="7"/>
        <v>0</v>
      </c>
      <c r="N26" s="347" t="str">
        <f t="shared" si="1"/>
        <v/>
      </c>
    </row>
    <row r="27" spans="1:15" ht="12.95" customHeight="1">
      <c r="B27" s="10"/>
      <c r="C27" s="11"/>
      <c r="D27" s="11"/>
      <c r="E27" s="306">
        <v>613900</v>
      </c>
      <c r="F27" s="332" t="s">
        <v>693</v>
      </c>
      <c r="G27" s="69" t="s">
        <v>548</v>
      </c>
      <c r="H27" s="365">
        <v>0</v>
      </c>
      <c r="I27" s="365">
        <v>0</v>
      </c>
      <c r="J27" s="385">
        <f t="shared" si="6"/>
        <v>0</v>
      </c>
      <c r="K27" s="365">
        <v>0</v>
      </c>
      <c r="L27" s="365">
        <v>0</v>
      </c>
      <c r="M27" s="385">
        <f t="shared" si="7"/>
        <v>0</v>
      </c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/>
      <c r="F28" s="331"/>
      <c r="G28" s="8"/>
      <c r="H28" s="296"/>
      <c r="I28" s="296"/>
      <c r="J28" s="386"/>
      <c r="K28" s="296"/>
      <c r="L28" s="296"/>
      <c r="M28" s="386"/>
      <c r="N28" s="347" t="str">
        <f t="shared" si="1"/>
        <v/>
      </c>
    </row>
    <row r="29" spans="1:15" s="1" customFormat="1" ht="12.95" customHeight="1">
      <c r="A29" s="281"/>
      <c r="B29" s="12"/>
      <c r="C29" s="8"/>
      <c r="D29" s="8"/>
      <c r="E29" s="305">
        <v>821000</v>
      </c>
      <c r="F29" s="331"/>
      <c r="G29" s="8" t="s">
        <v>90</v>
      </c>
      <c r="H29" s="295">
        <f t="shared" ref="H29:M29" si="8">SUM(H30:H31)</f>
        <v>10000</v>
      </c>
      <c r="I29" s="295">
        <f t="shared" si="8"/>
        <v>22090</v>
      </c>
      <c r="J29" s="387">
        <f t="shared" si="8"/>
        <v>32090</v>
      </c>
      <c r="K29" s="295">
        <f t="shared" si="8"/>
        <v>6542</v>
      </c>
      <c r="L29" s="295">
        <f t="shared" si="8"/>
        <v>17073</v>
      </c>
      <c r="M29" s="387">
        <f t="shared" si="8"/>
        <v>23615</v>
      </c>
      <c r="N29" s="346">
        <f t="shared" si="1"/>
        <v>73.589903396696783</v>
      </c>
    </row>
    <row r="30" spans="1:15" ht="12.95" customHeight="1">
      <c r="B30" s="10"/>
      <c r="C30" s="11"/>
      <c r="D30" s="11"/>
      <c r="E30" s="309">
        <v>821200</v>
      </c>
      <c r="F30" s="335"/>
      <c r="G30" s="14" t="s">
        <v>91</v>
      </c>
      <c r="H30" s="296">
        <v>1530</v>
      </c>
      <c r="I30" s="296">
        <v>0</v>
      </c>
      <c r="J30" s="385">
        <f t="shared" ref="J30:J31" si="9">SUM(H30:I30)</f>
        <v>1530</v>
      </c>
      <c r="K30" s="296">
        <v>1521</v>
      </c>
      <c r="L30" s="296">
        <v>0</v>
      </c>
      <c r="M30" s="385">
        <f t="shared" ref="M30:M31" si="10">SUM(K30:L30)</f>
        <v>1521</v>
      </c>
      <c r="N30" s="347">
        <f t="shared" si="1"/>
        <v>99.411764705882348</v>
      </c>
      <c r="O30" s="50"/>
    </row>
    <row r="31" spans="1:15" ht="12.95" customHeight="1">
      <c r="B31" s="10"/>
      <c r="C31" s="11"/>
      <c r="D31" s="11"/>
      <c r="E31" s="306">
        <v>821300</v>
      </c>
      <c r="F31" s="332"/>
      <c r="G31" s="11" t="s">
        <v>92</v>
      </c>
      <c r="H31" s="296">
        <f>10000-1530</f>
        <v>8470</v>
      </c>
      <c r="I31" s="296">
        <f>5150+11940+5000</f>
        <v>22090</v>
      </c>
      <c r="J31" s="385">
        <f t="shared" si="9"/>
        <v>30560</v>
      </c>
      <c r="K31" s="296">
        <f>22094-17073</f>
        <v>5021</v>
      </c>
      <c r="L31" s="296">
        <v>17073</v>
      </c>
      <c r="M31" s="385">
        <f t="shared" si="10"/>
        <v>22094</v>
      </c>
      <c r="N31" s="347">
        <f t="shared" si="1"/>
        <v>72.297120418848166</v>
      </c>
    </row>
    <row r="32" spans="1:15" ht="12.95" customHeight="1">
      <c r="B32" s="10"/>
      <c r="C32" s="11"/>
      <c r="D32" s="11"/>
      <c r="E32" s="306"/>
      <c r="F32" s="332"/>
      <c r="G32" s="11"/>
      <c r="H32" s="291"/>
      <c r="I32" s="291"/>
      <c r="J32" s="386"/>
      <c r="K32" s="291"/>
      <c r="L32" s="291"/>
      <c r="M32" s="386"/>
      <c r="N32" s="347" t="str">
        <f t="shared" si="1"/>
        <v/>
      </c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93</v>
      </c>
      <c r="H33" s="278" t="s">
        <v>782</v>
      </c>
      <c r="I33" s="278"/>
      <c r="J33" s="389" t="s">
        <v>782</v>
      </c>
      <c r="K33" s="278" t="s">
        <v>850</v>
      </c>
      <c r="L33" s="278"/>
      <c r="M33" s="389" t="s">
        <v>850</v>
      </c>
      <c r="N33" s="347"/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113</v>
      </c>
      <c r="H34" s="288">
        <f t="shared" ref="H34:M34" si="11">H8+H13+H16+H29</f>
        <v>1077940</v>
      </c>
      <c r="I34" s="288">
        <f t="shared" si="11"/>
        <v>22090</v>
      </c>
      <c r="J34" s="387">
        <f t="shared" si="11"/>
        <v>1100030</v>
      </c>
      <c r="K34" s="288">
        <f t="shared" si="11"/>
        <v>761991</v>
      </c>
      <c r="L34" s="288">
        <f t="shared" si="11"/>
        <v>17073</v>
      </c>
      <c r="M34" s="387">
        <f t="shared" si="11"/>
        <v>779064</v>
      </c>
      <c r="N34" s="346">
        <f t="shared" si="1"/>
        <v>70.822068489041214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94</v>
      </c>
      <c r="H35" s="288">
        <f>H34+'22'!H33+'21'!H33</f>
        <v>3830080</v>
      </c>
      <c r="I35" s="288">
        <f>I34+'22'!I33+'21'!I33</f>
        <v>22090</v>
      </c>
      <c r="J35" s="387">
        <f>J34+'22'!J33+'21'!J33</f>
        <v>3852170</v>
      </c>
      <c r="K35" s="288">
        <f>K34+'22'!N33+'21'!N33</f>
        <v>762134.11325069866</v>
      </c>
      <c r="L35" s="288">
        <f>L34+'22'!O33+'21'!O33</f>
        <v>17073</v>
      </c>
      <c r="M35" s="387">
        <f>M34+'22'!P33+'21'!P33</f>
        <v>779064</v>
      </c>
      <c r="N35" s="346">
        <f t="shared" si="1"/>
        <v>20.224029572942005</v>
      </c>
    </row>
    <row r="36" spans="1:14" s="1" customFormat="1" ht="12.95" customHeight="1">
      <c r="A36" s="281"/>
      <c r="B36" s="12"/>
      <c r="C36" s="8"/>
      <c r="D36" s="8"/>
      <c r="E36" s="305"/>
      <c r="F36" s="331"/>
      <c r="G36" s="8" t="s">
        <v>95</v>
      </c>
      <c r="H36" s="279"/>
      <c r="I36" s="279"/>
      <c r="J36" s="386"/>
      <c r="K36" s="279"/>
      <c r="L36" s="279"/>
      <c r="M36" s="386"/>
      <c r="N36" s="348" t="str">
        <f t="shared" si="1"/>
        <v/>
      </c>
    </row>
    <row r="37" spans="1:14" ht="12.95" customHeight="1" thickBot="1">
      <c r="B37" s="15"/>
      <c r="C37" s="16"/>
      <c r="D37" s="16"/>
      <c r="E37" s="307"/>
      <c r="F37" s="333"/>
      <c r="G37" s="16"/>
      <c r="H37" s="27"/>
      <c r="I37" s="27"/>
      <c r="J37" s="390"/>
      <c r="K37" s="27"/>
      <c r="L37" s="27"/>
      <c r="M37" s="390"/>
      <c r="N37" s="349" t="str">
        <f t="shared" si="1"/>
        <v/>
      </c>
    </row>
    <row r="38" spans="1:14" ht="12.95" customHeight="1"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B42" s="50"/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B43" s="50"/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A1:P96"/>
  <sheetViews>
    <sheetView zoomScaleNormal="100" zoomScaleSheetLayoutView="100" workbookViewId="0">
      <selection activeCell="M33" sqref="M33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144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1014600</v>
      </c>
      <c r="I8" s="210">
        <f t="shared" si="0"/>
        <v>0</v>
      </c>
      <c r="J8" s="384">
        <f t="shared" si="0"/>
        <v>1014600</v>
      </c>
      <c r="K8" s="210">
        <f t="shared" ref="K8" si="1">SUM(K9:K12)</f>
        <v>738807</v>
      </c>
      <c r="L8" s="210">
        <f t="shared" si="0"/>
        <v>0</v>
      </c>
      <c r="M8" s="384">
        <f t="shared" si="0"/>
        <v>738807</v>
      </c>
      <c r="N8" s="346">
        <f>IF(J8=0,"",M8/J8*100)</f>
        <v>72.817563571850968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832000+2000+5*500</f>
        <v>836500</v>
      </c>
      <c r="I9" s="212">
        <v>0</v>
      </c>
      <c r="J9" s="385">
        <f>SUM(H9:I9)</f>
        <v>836500</v>
      </c>
      <c r="K9" s="212">
        <v>622725</v>
      </c>
      <c r="L9" s="212">
        <v>0</v>
      </c>
      <c r="M9" s="385">
        <f>SUM(K9:L9)</f>
        <v>622725</v>
      </c>
      <c r="N9" s="347">
        <f t="shared" ref="N9:N66" si="2">IF(J9=0,"",M9/J9*100)</f>
        <v>74.444112372982659</v>
      </c>
      <c r="O9" s="68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164500+2100+7000+5*900</f>
        <v>178100</v>
      </c>
      <c r="I10" s="212">
        <v>0</v>
      </c>
      <c r="J10" s="385">
        <f t="shared" ref="J10:J11" si="3">SUM(H10:I10)</f>
        <v>178100</v>
      </c>
      <c r="K10" s="212">
        <v>116082</v>
      </c>
      <c r="L10" s="212">
        <v>0</v>
      </c>
      <c r="M10" s="385">
        <f t="shared" ref="M10:M11" si="4">SUM(K10:L10)</f>
        <v>116082</v>
      </c>
      <c r="N10" s="347">
        <f t="shared" si="2"/>
        <v>65.177989893318355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3"/>
        <v>0</v>
      </c>
      <c r="K11" s="209">
        <v>0</v>
      </c>
      <c r="L11" s="209">
        <v>0</v>
      </c>
      <c r="M11" s="385">
        <f t="shared" si="4"/>
        <v>0</v>
      </c>
      <c r="N11" s="347" t="str">
        <f t="shared" si="2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2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5">H14</f>
        <v>91450</v>
      </c>
      <c r="I13" s="210">
        <f t="shared" si="5"/>
        <v>0</v>
      </c>
      <c r="J13" s="384">
        <f t="shared" si="5"/>
        <v>91450</v>
      </c>
      <c r="K13" s="210">
        <f t="shared" si="5"/>
        <v>67204</v>
      </c>
      <c r="L13" s="210">
        <f t="shared" si="5"/>
        <v>0</v>
      </c>
      <c r="M13" s="384">
        <f t="shared" si="5"/>
        <v>67204</v>
      </c>
      <c r="N13" s="346">
        <f t="shared" si="2"/>
        <v>73.487151448879175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90700+400+5*70</f>
        <v>91450</v>
      </c>
      <c r="I14" s="212">
        <v>0</v>
      </c>
      <c r="J14" s="385">
        <f>SUM(H14:I14)</f>
        <v>91450</v>
      </c>
      <c r="K14" s="212">
        <v>67204</v>
      </c>
      <c r="L14" s="212">
        <v>0</v>
      </c>
      <c r="M14" s="385">
        <f>SUM(K14:L14)</f>
        <v>67204</v>
      </c>
      <c r="N14" s="347">
        <f t="shared" si="2"/>
        <v>73.487151448879175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2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6">SUM(H17:H26)</f>
        <v>92400</v>
      </c>
      <c r="I16" s="293">
        <f t="shared" si="6"/>
        <v>0</v>
      </c>
      <c r="J16" s="387">
        <f t="shared" si="6"/>
        <v>92400</v>
      </c>
      <c r="K16" s="293">
        <f t="shared" si="6"/>
        <v>69463</v>
      </c>
      <c r="L16" s="293">
        <f t="shared" si="6"/>
        <v>0</v>
      </c>
      <c r="M16" s="387">
        <f t="shared" si="6"/>
        <v>69463</v>
      </c>
      <c r="N16" s="346">
        <f t="shared" si="2"/>
        <v>75.176406926406926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5">
        <v>5000</v>
      </c>
      <c r="I17" s="365">
        <v>0</v>
      </c>
      <c r="J17" s="385">
        <f t="shared" ref="J17:J26" si="7">SUM(H17:I17)</f>
        <v>5000</v>
      </c>
      <c r="K17" s="365">
        <v>2272</v>
      </c>
      <c r="L17" s="365">
        <v>0</v>
      </c>
      <c r="M17" s="385">
        <f t="shared" ref="M17:M26" si="8">SUM(K17:L17)</f>
        <v>2272</v>
      </c>
      <c r="N17" s="347">
        <f t="shared" si="2"/>
        <v>45.440000000000005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5">
        <v>32000</v>
      </c>
      <c r="I18" s="365">
        <v>0</v>
      </c>
      <c r="J18" s="385">
        <f t="shared" si="7"/>
        <v>32000</v>
      </c>
      <c r="K18" s="363">
        <v>24888</v>
      </c>
      <c r="L18" s="365">
        <v>0</v>
      </c>
      <c r="M18" s="385">
        <f t="shared" si="8"/>
        <v>24888</v>
      </c>
      <c r="N18" s="347">
        <f t="shared" si="2"/>
        <v>77.775000000000006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5200</v>
      </c>
      <c r="I19" s="365">
        <v>0</v>
      </c>
      <c r="J19" s="385">
        <f t="shared" si="7"/>
        <v>5200</v>
      </c>
      <c r="K19" s="365">
        <v>4296</v>
      </c>
      <c r="L19" s="365">
        <v>0</v>
      </c>
      <c r="M19" s="385">
        <f t="shared" si="8"/>
        <v>4296</v>
      </c>
      <c r="N19" s="347">
        <f t="shared" si="2"/>
        <v>82.615384615384613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12000</v>
      </c>
      <c r="I20" s="365">
        <v>0</v>
      </c>
      <c r="J20" s="385">
        <f t="shared" si="7"/>
        <v>12000</v>
      </c>
      <c r="K20" s="365">
        <v>10062</v>
      </c>
      <c r="L20" s="365">
        <v>0</v>
      </c>
      <c r="M20" s="385">
        <f t="shared" si="8"/>
        <v>10062</v>
      </c>
      <c r="N20" s="347">
        <f t="shared" si="2"/>
        <v>83.850000000000009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200</v>
      </c>
      <c r="I21" s="365">
        <v>0</v>
      </c>
      <c r="J21" s="385">
        <f t="shared" si="7"/>
        <v>200</v>
      </c>
      <c r="K21" s="365">
        <v>99</v>
      </c>
      <c r="L21" s="365">
        <v>0</v>
      </c>
      <c r="M21" s="385">
        <f t="shared" si="8"/>
        <v>99</v>
      </c>
      <c r="N21" s="347">
        <f t="shared" si="2"/>
        <v>49.5</v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7"/>
        <v>0</v>
      </c>
      <c r="K22" s="365">
        <v>0</v>
      </c>
      <c r="L22" s="365">
        <v>0</v>
      </c>
      <c r="M22" s="385">
        <f t="shared" si="8"/>
        <v>0</v>
      </c>
      <c r="N22" s="347" t="str">
        <f t="shared" si="2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8000</v>
      </c>
      <c r="I23" s="365">
        <v>0</v>
      </c>
      <c r="J23" s="385">
        <f t="shared" si="7"/>
        <v>8000</v>
      </c>
      <c r="K23" s="365">
        <v>2352</v>
      </c>
      <c r="L23" s="365">
        <v>0</v>
      </c>
      <c r="M23" s="385">
        <f t="shared" si="8"/>
        <v>2352</v>
      </c>
      <c r="N23" s="347">
        <f t="shared" si="2"/>
        <v>29.4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7"/>
        <v>0</v>
      </c>
      <c r="K24" s="365">
        <v>0</v>
      </c>
      <c r="L24" s="365">
        <v>0</v>
      </c>
      <c r="M24" s="385">
        <f t="shared" si="8"/>
        <v>0</v>
      </c>
      <c r="N24" s="347" t="str">
        <f t="shared" si="2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30000</v>
      </c>
      <c r="I25" s="365">
        <v>0</v>
      </c>
      <c r="J25" s="385">
        <f t="shared" si="7"/>
        <v>30000</v>
      </c>
      <c r="K25" s="365">
        <v>25494</v>
      </c>
      <c r="L25" s="365">
        <v>0</v>
      </c>
      <c r="M25" s="385">
        <f t="shared" si="8"/>
        <v>25494</v>
      </c>
      <c r="N25" s="347">
        <f t="shared" si="2"/>
        <v>84.98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7"/>
        <v>0</v>
      </c>
      <c r="K26" s="361">
        <v>0</v>
      </c>
      <c r="L26" s="365">
        <v>0</v>
      </c>
      <c r="M26" s="385">
        <f t="shared" si="8"/>
        <v>0</v>
      </c>
      <c r="N26" s="347" t="str">
        <f t="shared" si="2"/>
        <v/>
      </c>
    </row>
    <row r="27" spans="1:14" s="1" customFormat="1" ht="12.95" customHeight="1">
      <c r="A27" s="281"/>
      <c r="B27" s="12"/>
      <c r="C27" s="8"/>
      <c r="D27" s="8"/>
      <c r="E27" s="305"/>
      <c r="F27" s="331"/>
      <c r="G27" s="8"/>
      <c r="H27" s="365"/>
      <c r="I27" s="365"/>
      <c r="J27" s="388"/>
      <c r="K27" s="296"/>
      <c r="L27" s="365"/>
      <c r="M27" s="388"/>
      <c r="N27" s="347" t="str">
        <f t="shared" si="2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9">SUM(H29:H30)</f>
        <v>10000</v>
      </c>
      <c r="I28" s="295">
        <f t="shared" si="9"/>
        <v>0</v>
      </c>
      <c r="J28" s="387">
        <f t="shared" si="9"/>
        <v>10000</v>
      </c>
      <c r="K28" s="295">
        <f t="shared" si="9"/>
        <v>854</v>
      </c>
      <c r="L28" s="295">
        <f t="shared" si="9"/>
        <v>0</v>
      </c>
      <c r="M28" s="387">
        <f t="shared" si="9"/>
        <v>854</v>
      </c>
      <c r="N28" s="346">
        <f t="shared" si="2"/>
        <v>8.5400000000000009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5000</v>
      </c>
      <c r="I29" s="296">
        <v>0</v>
      </c>
      <c r="J29" s="385">
        <f t="shared" ref="J29:J30" si="10">SUM(H29:I29)</f>
        <v>5000</v>
      </c>
      <c r="K29" s="296">
        <v>0</v>
      </c>
      <c r="L29" s="296">
        <v>0</v>
      </c>
      <c r="M29" s="385">
        <f t="shared" ref="M29:M30" si="11">SUM(K29:L29)</f>
        <v>0</v>
      </c>
      <c r="N29" s="347">
        <f t="shared" si="2"/>
        <v>0</v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5000</v>
      </c>
      <c r="I30" s="296">
        <v>0</v>
      </c>
      <c r="J30" s="385">
        <f t="shared" si="10"/>
        <v>5000</v>
      </c>
      <c r="K30" s="296">
        <v>854</v>
      </c>
      <c r="L30" s="296">
        <v>0</v>
      </c>
      <c r="M30" s="385">
        <f t="shared" si="11"/>
        <v>854</v>
      </c>
      <c r="N30" s="347">
        <f t="shared" si="2"/>
        <v>17.080000000000002</v>
      </c>
    </row>
    <row r="31" spans="1:14" ht="12.95" customHeight="1">
      <c r="B31" s="10"/>
      <c r="C31" s="11"/>
      <c r="D31" s="11"/>
      <c r="E31" s="306"/>
      <c r="F31" s="332"/>
      <c r="G31" s="11"/>
      <c r="H31" s="296"/>
      <c r="I31" s="296"/>
      <c r="J31" s="386"/>
      <c r="K31" s="296"/>
      <c r="L31" s="296"/>
      <c r="M31" s="386"/>
      <c r="N31" s="347" t="str">
        <f t="shared" si="2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788</v>
      </c>
      <c r="I32" s="278"/>
      <c r="J32" s="389" t="s">
        <v>788</v>
      </c>
      <c r="K32" s="278" t="s">
        <v>841</v>
      </c>
      <c r="L32" s="278"/>
      <c r="M32" s="389" t="s">
        <v>841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2">H8+H13+H16+H28</f>
        <v>1208450</v>
      </c>
      <c r="I33" s="288">
        <f t="shared" si="12"/>
        <v>0</v>
      </c>
      <c r="J33" s="387">
        <f t="shared" si="12"/>
        <v>1208450</v>
      </c>
      <c r="K33" s="288">
        <f t="shared" si="12"/>
        <v>876328</v>
      </c>
      <c r="L33" s="288">
        <f t="shared" si="12"/>
        <v>0</v>
      </c>
      <c r="M33" s="387">
        <f t="shared" si="12"/>
        <v>876328</v>
      </c>
      <c r="N33" s="346">
        <f t="shared" si="2"/>
        <v>72.516694939798924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2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2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2"/>
        <v/>
      </c>
    </row>
    <row r="37" spans="1:14" ht="12.95" customHeight="1">
      <c r="E37" s="308"/>
      <c r="F37" s="334"/>
      <c r="J37" s="393"/>
      <c r="M37" s="393"/>
      <c r="N37" s="350" t="str">
        <f t="shared" si="2"/>
        <v/>
      </c>
    </row>
    <row r="38" spans="1:14" ht="12.95" customHeight="1">
      <c r="E38" s="308"/>
      <c r="F38" s="334"/>
      <c r="J38" s="393"/>
      <c r="M38" s="393"/>
      <c r="N38" s="350" t="str">
        <f t="shared" si="2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2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2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2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2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2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2"/>
        <v/>
      </c>
    </row>
    <row r="45" spans="1:14" ht="12.95" customHeight="1">
      <c r="B45" s="50"/>
      <c r="E45" s="308"/>
      <c r="F45" s="334"/>
      <c r="J45" s="393"/>
      <c r="M45" s="393"/>
      <c r="N45" s="350" t="str">
        <f t="shared" si="2"/>
        <v/>
      </c>
    </row>
    <row r="46" spans="1:14" ht="12.95" customHeight="1">
      <c r="E46" s="308"/>
      <c r="F46" s="334"/>
      <c r="J46" s="393"/>
      <c r="M46" s="393"/>
      <c r="N46" s="350" t="str">
        <f t="shared" si="2"/>
        <v/>
      </c>
    </row>
    <row r="47" spans="1:14" ht="12.95" customHeight="1">
      <c r="E47" s="308"/>
      <c r="F47" s="334"/>
      <c r="J47" s="393"/>
      <c r="M47" s="393"/>
      <c r="N47" s="350" t="str">
        <f t="shared" si="2"/>
        <v/>
      </c>
    </row>
    <row r="48" spans="1:14" ht="12.95" customHeight="1">
      <c r="E48" s="308"/>
      <c r="F48" s="334"/>
      <c r="J48" s="393"/>
      <c r="M48" s="393"/>
      <c r="N48" s="350" t="str">
        <f t="shared" si="2"/>
        <v/>
      </c>
    </row>
    <row r="49" spans="5:14" ht="12.95" customHeight="1">
      <c r="E49" s="308"/>
      <c r="F49" s="334"/>
      <c r="J49" s="393"/>
      <c r="M49" s="393"/>
      <c r="N49" s="350" t="str">
        <f t="shared" si="2"/>
        <v/>
      </c>
    </row>
    <row r="50" spans="5:14" ht="12.95" customHeight="1">
      <c r="E50" s="308"/>
      <c r="F50" s="334"/>
      <c r="J50" s="393"/>
      <c r="M50" s="393"/>
      <c r="N50" s="350" t="str">
        <f t="shared" si="2"/>
        <v/>
      </c>
    </row>
    <row r="51" spans="5:14" ht="12.95" customHeight="1">
      <c r="E51" s="308"/>
      <c r="F51" s="334"/>
      <c r="J51" s="393"/>
      <c r="M51" s="393"/>
      <c r="N51" s="350" t="str">
        <f t="shared" si="2"/>
        <v/>
      </c>
    </row>
    <row r="52" spans="5:14" ht="12.95" customHeight="1">
      <c r="E52" s="308"/>
      <c r="F52" s="334"/>
      <c r="J52" s="393"/>
      <c r="M52" s="393"/>
      <c r="N52" s="350" t="str">
        <f t="shared" si="2"/>
        <v/>
      </c>
    </row>
    <row r="53" spans="5:14" ht="12.95" customHeight="1">
      <c r="E53" s="308"/>
      <c r="F53" s="334"/>
      <c r="J53" s="393"/>
      <c r="M53" s="393"/>
      <c r="N53" s="350" t="str">
        <f t="shared" si="2"/>
        <v/>
      </c>
    </row>
    <row r="54" spans="5:14" ht="12.95" customHeight="1">
      <c r="E54" s="308"/>
      <c r="F54" s="334"/>
      <c r="J54" s="393"/>
      <c r="M54" s="393"/>
      <c r="N54" s="350" t="str">
        <f t="shared" si="2"/>
        <v/>
      </c>
    </row>
    <row r="55" spans="5:14" ht="12.95" customHeight="1">
      <c r="E55" s="308"/>
      <c r="F55" s="334"/>
      <c r="J55" s="393"/>
      <c r="M55" s="393"/>
      <c r="N55" s="350" t="str">
        <f t="shared" si="2"/>
        <v/>
      </c>
    </row>
    <row r="56" spans="5:14" ht="12.95" customHeight="1">
      <c r="E56" s="308"/>
      <c r="F56" s="334"/>
      <c r="J56" s="393"/>
      <c r="M56" s="393"/>
      <c r="N56" s="350" t="str">
        <f t="shared" si="2"/>
        <v/>
      </c>
    </row>
    <row r="57" spans="5:14" ht="12.95" customHeight="1">
      <c r="E57" s="308"/>
      <c r="F57" s="334"/>
      <c r="J57" s="393"/>
      <c r="M57" s="393"/>
      <c r="N57" s="350" t="str">
        <f t="shared" si="2"/>
        <v/>
      </c>
    </row>
    <row r="58" spans="5:14" ht="12.95" customHeight="1">
      <c r="E58" s="308"/>
      <c r="F58" s="334"/>
      <c r="J58" s="393"/>
      <c r="M58" s="393"/>
      <c r="N58" s="350" t="str">
        <f t="shared" si="2"/>
        <v/>
      </c>
    </row>
    <row r="59" spans="5:14" ht="12.95" customHeight="1">
      <c r="E59" s="308"/>
      <c r="F59" s="334"/>
      <c r="J59" s="393"/>
      <c r="M59" s="393"/>
      <c r="N59" s="350" t="str">
        <f t="shared" si="2"/>
        <v/>
      </c>
    </row>
    <row r="60" spans="5:14" ht="17.100000000000001" customHeight="1">
      <c r="E60" s="308"/>
      <c r="F60" s="334"/>
      <c r="J60" s="393"/>
      <c r="M60" s="393"/>
      <c r="N60" s="350" t="str">
        <f t="shared" si="2"/>
        <v/>
      </c>
    </row>
    <row r="61" spans="5:14" ht="14.25">
      <c r="E61" s="308"/>
      <c r="F61" s="334"/>
      <c r="J61" s="393"/>
      <c r="M61" s="393"/>
      <c r="N61" s="350" t="str">
        <f t="shared" si="2"/>
        <v/>
      </c>
    </row>
    <row r="62" spans="5:14" ht="14.25">
      <c r="E62" s="308"/>
      <c r="F62" s="334"/>
      <c r="J62" s="393"/>
      <c r="M62" s="393"/>
      <c r="N62" s="350" t="str">
        <f t="shared" si="2"/>
        <v/>
      </c>
    </row>
    <row r="63" spans="5:14" ht="14.25">
      <c r="E63" s="308"/>
      <c r="F63" s="334"/>
      <c r="J63" s="393"/>
      <c r="M63" s="393"/>
      <c r="N63" s="350" t="str">
        <f t="shared" si="2"/>
        <v/>
      </c>
    </row>
    <row r="64" spans="5:14" ht="14.25">
      <c r="E64" s="308"/>
      <c r="F64" s="334"/>
      <c r="J64" s="393"/>
      <c r="M64" s="393"/>
      <c r="N64" s="350" t="str">
        <f t="shared" si="2"/>
        <v/>
      </c>
    </row>
    <row r="65" spans="5:14" ht="14.25">
      <c r="E65" s="308"/>
      <c r="F65" s="334"/>
      <c r="J65" s="393"/>
      <c r="M65" s="393"/>
      <c r="N65" s="350" t="str">
        <f t="shared" si="2"/>
        <v/>
      </c>
    </row>
    <row r="66" spans="5:14" ht="14.25">
      <c r="E66" s="308"/>
      <c r="F66" s="334"/>
      <c r="J66" s="393"/>
      <c r="M66" s="393"/>
      <c r="N66" s="350" t="str">
        <f t="shared" si="2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B302"/>
  <sheetViews>
    <sheetView zoomScaleNormal="100" workbookViewId="0">
      <selection activeCell="J36" sqref="J36"/>
    </sheetView>
  </sheetViews>
  <sheetFormatPr defaultRowHeight="15" customHeight="1"/>
  <cols>
    <col min="2" max="2" width="70.28515625" customWidth="1"/>
    <col min="3" max="3" width="13.140625" customWidth="1"/>
    <col min="4" max="4" width="24.5703125" customWidth="1"/>
    <col min="5" max="5" width="24.28515625" customWidth="1"/>
    <col min="6" max="6" width="9.28515625" customWidth="1"/>
    <col min="7" max="7" width="6.42578125" customWidth="1"/>
    <col min="9" max="10" width="15.7109375" customWidth="1"/>
    <col min="11" max="11" width="8.7109375" customWidth="1"/>
  </cols>
  <sheetData>
    <row r="1" spans="2:28" ht="15" customHeight="1">
      <c r="B1" s="570"/>
      <c r="C1" s="571"/>
      <c r="D1" s="547"/>
      <c r="E1" s="547"/>
      <c r="F1" s="547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2:28" ht="15" customHeight="1">
      <c r="B2" s="547"/>
      <c r="C2" s="547"/>
      <c r="D2" s="547"/>
      <c r="E2" s="547"/>
      <c r="F2" s="547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2:28" ht="12" customHeight="1">
      <c r="B3" s="547"/>
      <c r="C3" s="547"/>
      <c r="D3" s="547"/>
      <c r="E3" s="547"/>
      <c r="F3" s="547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2:28" ht="9" hidden="1" customHeight="1">
      <c r="B4" s="547"/>
      <c r="C4" s="547"/>
      <c r="D4" s="547"/>
      <c r="E4" s="547"/>
      <c r="F4" s="547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2:28" ht="18.75" customHeight="1">
      <c r="B5" s="572" t="s">
        <v>809</v>
      </c>
      <c r="C5" s="572"/>
      <c r="D5" s="572"/>
      <c r="E5" s="572"/>
      <c r="F5" s="57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2:28" ht="15" customHeight="1">
      <c r="B6" s="573" t="s">
        <v>828</v>
      </c>
      <c r="C6" s="573"/>
      <c r="D6" s="573"/>
      <c r="E6" s="573"/>
      <c r="F6" s="57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2:28" ht="15" customHeight="1">
      <c r="B7" s="126"/>
      <c r="C7" s="126"/>
      <c r="D7" s="40"/>
      <c r="E7" s="40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2:28" ht="6.75" customHeight="1">
      <c r="B8" s="32"/>
      <c r="C8" s="3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spans="2:28" ht="15" customHeight="1">
      <c r="B9" s="32"/>
      <c r="C9" s="3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2:28" ht="17.25" customHeight="1">
      <c r="B10" s="574"/>
      <c r="C10" s="574"/>
      <c r="D10" s="575"/>
      <c r="E10" s="575"/>
      <c r="F10" s="575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2:28" ht="6" customHeight="1">
      <c r="B11" s="42"/>
      <c r="C11" s="42"/>
      <c r="D11" s="4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2:28" s="449" customFormat="1" ht="43.5" customHeight="1">
      <c r="B12" s="450" t="s">
        <v>266</v>
      </c>
      <c r="C12" s="451" t="s">
        <v>713</v>
      </c>
      <c r="D12" s="492" t="s">
        <v>652</v>
      </c>
      <c r="E12" s="492" t="s">
        <v>829</v>
      </c>
      <c r="F12" s="451" t="s">
        <v>617</v>
      </c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</row>
    <row r="13" spans="2:28" s="500" customFormat="1" ht="11.25" customHeight="1">
      <c r="B13" s="501">
        <v>1</v>
      </c>
      <c r="C13" s="501">
        <v>2</v>
      </c>
      <c r="D13" s="502">
        <v>3</v>
      </c>
      <c r="E13" s="502">
        <v>4</v>
      </c>
      <c r="F13" s="501">
        <v>5</v>
      </c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</row>
    <row r="14" spans="2:28" s="449" customFormat="1" ht="14.1" customHeight="1">
      <c r="B14" s="453" t="s">
        <v>726</v>
      </c>
      <c r="C14" s="453"/>
      <c r="D14" s="454">
        <f>D15+D16+D17+D18+D19</f>
        <v>41254070</v>
      </c>
      <c r="E14" s="493">
        <f>E15+E16+E17+E18+E19</f>
        <v>32058655</v>
      </c>
      <c r="F14" s="455">
        <f>IF(D14=0,,E14/D14*100)</f>
        <v>77.710284100453606</v>
      </c>
      <c r="G14" s="149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</row>
    <row r="15" spans="2:28" s="449" customFormat="1" ht="12.95" customHeight="1">
      <c r="B15" s="456" t="s">
        <v>714</v>
      </c>
      <c r="C15" s="457">
        <v>710</v>
      </c>
      <c r="D15" s="458">
        <f>Prihodi!D5</f>
        <v>37198120</v>
      </c>
      <c r="E15" s="446">
        <f>Prihodi!E5</f>
        <v>28984826</v>
      </c>
      <c r="F15" s="459">
        <f t="shared" ref="F15:F42" si="0">IF(D15=0,,E15/D15*100)</f>
        <v>77.920136824119069</v>
      </c>
      <c r="G15" s="149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</row>
    <row r="16" spans="2:28" s="449" customFormat="1" ht="12.95" customHeight="1">
      <c r="B16" s="456" t="s">
        <v>715</v>
      </c>
      <c r="C16" s="457">
        <v>720</v>
      </c>
      <c r="D16" s="458">
        <f>Prihodi!D57</f>
        <v>2634140</v>
      </c>
      <c r="E16" s="446">
        <f>Prihodi!E57</f>
        <v>2034505</v>
      </c>
      <c r="F16" s="459">
        <f t="shared" si="0"/>
        <v>77.236023901539014</v>
      </c>
      <c r="G16" s="149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</row>
    <row r="17" spans="2:28" s="449" customFormat="1" ht="12.95" customHeight="1">
      <c r="B17" s="456" t="s">
        <v>716</v>
      </c>
      <c r="C17" s="457">
        <v>730</v>
      </c>
      <c r="D17" s="458">
        <f>Prihodi!D153</f>
        <v>1374160</v>
      </c>
      <c r="E17" s="446">
        <f>Prihodi!E153</f>
        <v>900853</v>
      </c>
      <c r="F17" s="459">
        <f t="shared" si="0"/>
        <v>65.556630960004654</v>
      </c>
      <c r="G17" s="149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</row>
    <row r="18" spans="2:28" s="449" customFormat="1" ht="12.95" customHeight="1">
      <c r="B18" s="456" t="s">
        <v>717</v>
      </c>
      <c r="C18" s="457">
        <v>740</v>
      </c>
      <c r="D18" s="458">
        <f>Prihodi!D182</f>
        <v>36650</v>
      </c>
      <c r="E18" s="446">
        <f>Prihodi!E182</f>
        <v>137193</v>
      </c>
      <c r="F18" s="459">
        <f t="shared" si="0"/>
        <v>374.33287858117325</v>
      </c>
      <c r="G18" s="149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</row>
    <row r="19" spans="2:28" s="449" customFormat="1" ht="12.95" customHeight="1">
      <c r="B19" s="456" t="s">
        <v>718</v>
      </c>
      <c r="C19" s="457">
        <v>770</v>
      </c>
      <c r="D19" s="458">
        <f>Prihodi!D212</f>
        <v>11000</v>
      </c>
      <c r="E19" s="446">
        <f>Prihodi!E212</f>
        <v>1278</v>
      </c>
      <c r="F19" s="459">
        <f t="shared" si="0"/>
        <v>11.618181818181817</v>
      </c>
      <c r="G19" s="149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</row>
    <row r="20" spans="2:28" s="449" customFormat="1" ht="14.1" customHeight="1">
      <c r="B20" s="464" t="s">
        <v>727</v>
      </c>
      <c r="C20" s="465"/>
      <c r="D20" s="466">
        <f>SUM(D21:D27)</f>
        <v>39281360</v>
      </c>
      <c r="E20" s="494">
        <f>SUM(E21:E27)</f>
        <v>26482098</v>
      </c>
      <c r="F20" s="467">
        <f t="shared" si="0"/>
        <v>67.416448921320438</v>
      </c>
      <c r="G20" s="149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</row>
    <row r="21" spans="2:28" s="468" customFormat="1" ht="12.95" customHeight="1">
      <c r="B21" s="460" t="s">
        <v>719</v>
      </c>
      <c r="C21" s="461">
        <v>600</v>
      </c>
      <c r="D21" s="458">
        <f>Rashodi!H9</f>
        <v>460000</v>
      </c>
      <c r="E21" s="446">
        <f>Rashodi!K9</f>
        <v>393416</v>
      </c>
      <c r="F21" s="463">
        <f t="shared" si="0"/>
        <v>85.525217391304338</v>
      </c>
      <c r="G21" s="469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</row>
    <row r="22" spans="2:28" s="468" customFormat="1" ht="12.95" customHeight="1">
      <c r="B22" s="460" t="s">
        <v>720</v>
      </c>
      <c r="C22" s="461">
        <v>611</v>
      </c>
      <c r="D22" s="458">
        <f>Rashodi!H15</f>
        <v>21500940</v>
      </c>
      <c r="E22" s="446">
        <f>Rashodi!K15</f>
        <v>15602041</v>
      </c>
      <c r="F22" s="463">
        <f t="shared" si="0"/>
        <v>72.564459972447708</v>
      </c>
      <c r="G22" s="469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</row>
    <row r="23" spans="2:28" s="449" customFormat="1" ht="12.95" customHeight="1">
      <c r="B23" s="460" t="s">
        <v>721</v>
      </c>
      <c r="C23" s="461">
        <v>612</v>
      </c>
      <c r="D23" s="462">
        <f>Rashodi!H21</f>
        <v>2108270</v>
      </c>
      <c r="E23" s="447">
        <f>Rashodi!K21</f>
        <v>1548857</v>
      </c>
      <c r="F23" s="463">
        <f t="shared" si="0"/>
        <v>73.465779999715409</v>
      </c>
      <c r="G23" s="149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</row>
    <row r="24" spans="2:28" s="449" customFormat="1" ht="12.95" customHeight="1">
      <c r="B24" s="460" t="s">
        <v>722</v>
      </c>
      <c r="C24" s="461">
        <v>613</v>
      </c>
      <c r="D24" s="462">
        <f>Rashodi!H24</f>
        <v>4418290</v>
      </c>
      <c r="E24" s="447">
        <f>Rashodi!K24</f>
        <v>2697652</v>
      </c>
      <c r="F24" s="463">
        <f>IF(D24=0,,E24/D24*100)</f>
        <v>61.056472074037693</v>
      </c>
      <c r="G24" s="149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</row>
    <row r="25" spans="2:28" s="449" customFormat="1" ht="12.95" customHeight="1">
      <c r="B25" s="460" t="s">
        <v>723</v>
      </c>
      <c r="C25" s="461">
        <v>614</v>
      </c>
      <c r="D25" s="462">
        <f>Rashodi!H46</f>
        <v>10373000</v>
      </c>
      <c r="E25" s="447">
        <f>Rashodi!K46</f>
        <v>6194991</v>
      </c>
      <c r="F25" s="463">
        <f t="shared" si="0"/>
        <v>59.722269353128311</v>
      </c>
      <c r="G25" s="149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</row>
    <row r="26" spans="2:28" s="449" customFormat="1" ht="12.95" customHeight="1">
      <c r="B26" s="460" t="s">
        <v>724</v>
      </c>
      <c r="C26" s="461">
        <v>615</v>
      </c>
      <c r="D26" s="462">
        <f>Rashodi!H91</f>
        <v>362000</v>
      </c>
      <c r="E26" s="447">
        <f>Rashodi!K91</f>
        <v>0</v>
      </c>
      <c r="F26" s="463">
        <f>IF(D26=0,,E26/D26*100)</f>
        <v>0</v>
      </c>
      <c r="G26" s="149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</row>
    <row r="27" spans="2:28" s="449" customFormat="1" ht="12.95" customHeight="1" thickBot="1">
      <c r="B27" s="471" t="s">
        <v>725</v>
      </c>
      <c r="C27" s="472">
        <v>616</v>
      </c>
      <c r="D27" s="473">
        <f>Rashodi!H94</f>
        <v>58860</v>
      </c>
      <c r="E27" s="448">
        <f>Rashodi!K94</f>
        <v>45141</v>
      </c>
      <c r="F27" s="474">
        <f t="shared" si="0"/>
        <v>76.692150866462796</v>
      </c>
      <c r="G27" s="149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</row>
    <row r="28" spans="2:28" s="449" customFormat="1" ht="14.1" customHeight="1" thickTop="1" thickBot="1">
      <c r="B28" s="475" t="s">
        <v>728</v>
      </c>
      <c r="C28" s="476"/>
      <c r="D28" s="477">
        <f>D14-D20</f>
        <v>1972710</v>
      </c>
      <c r="E28" s="495">
        <f>E14-E20</f>
        <v>5576557</v>
      </c>
      <c r="F28" s="478">
        <f t="shared" si="0"/>
        <v>282.68508802611632</v>
      </c>
      <c r="G28" s="149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</row>
    <row r="29" spans="2:28" s="449" customFormat="1" ht="14.1" customHeight="1" thickTop="1">
      <c r="B29" s="464" t="s">
        <v>729</v>
      </c>
      <c r="C29" s="465">
        <v>811</v>
      </c>
      <c r="D29" s="466">
        <f>Prihodi!D219</f>
        <v>0</v>
      </c>
      <c r="E29" s="494">
        <f>Prihodi!E218</f>
        <v>5436</v>
      </c>
      <c r="F29" s="467">
        <f t="shared" si="0"/>
        <v>0</v>
      </c>
      <c r="G29" s="149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</row>
    <row r="30" spans="2:28" s="449" customFormat="1" ht="14.1" customHeight="1">
      <c r="B30" s="464" t="s">
        <v>730</v>
      </c>
      <c r="C30" s="465">
        <v>821</v>
      </c>
      <c r="D30" s="466">
        <f>D31</f>
        <v>1368250</v>
      </c>
      <c r="E30" s="494">
        <f>E31</f>
        <v>245725</v>
      </c>
      <c r="F30" s="467">
        <f t="shared" si="0"/>
        <v>17.959071807052805</v>
      </c>
      <c r="G30" s="149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</row>
    <row r="31" spans="2:28" s="449" customFormat="1" ht="12.95" customHeight="1" thickBot="1">
      <c r="B31" s="460" t="s">
        <v>528</v>
      </c>
      <c r="C31" s="461">
        <v>821</v>
      </c>
      <c r="D31" s="462">
        <f>Rashodi!H99</f>
        <v>1368250</v>
      </c>
      <c r="E31" s="447">
        <f>Rashodi!K99</f>
        <v>245725</v>
      </c>
      <c r="F31" s="463">
        <f>IF(D31=0,,E31/D31*100)</f>
        <v>17.959071807052805</v>
      </c>
      <c r="G31" s="149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</row>
    <row r="32" spans="2:28" s="449" customFormat="1" ht="14.1" customHeight="1" thickTop="1" thickBot="1">
      <c r="B32" s="479" t="s">
        <v>731</v>
      </c>
      <c r="C32" s="480"/>
      <c r="D32" s="481">
        <f>D29-D30</f>
        <v>-1368250</v>
      </c>
      <c r="E32" s="496">
        <f>E29-E30</f>
        <v>-240289</v>
      </c>
      <c r="F32" s="482">
        <f t="shared" si="0"/>
        <v>17.561775991229673</v>
      </c>
      <c r="G32" s="149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</row>
    <row r="33" spans="2:28" s="449" customFormat="1" ht="19.5" customHeight="1" thickTop="1" thickBot="1">
      <c r="B33" s="475" t="s">
        <v>732</v>
      </c>
      <c r="C33" s="476"/>
      <c r="D33" s="483">
        <f>D28+D32</f>
        <v>604460</v>
      </c>
      <c r="E33" s="497">
        <f>E28+E32</f>
        <v>5336268</v>
      </c>
      <c r="F33" s="478">
        <f t="shared" si="0"/>
        <v>882.81573635972597</v>
      </c>
      <c r="G33" s="149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</row>
    <row r="34" spans="2:28" s="449" customFormat="1" ht="14.1" customHeight="1" thickTop="1">
      <c r="B34" s="464" t="s">
        <v>733</v>
      </c>
      <c r="C34" s="465" t="s">
        <v>712</v>
      </c>
      <c r="D34" s="466">
        <f>0</f>
        <v>0</v>
      </c>
      <c r="E34" s="494">
        <f>0</f>
        <v>0</v>
      </c>
      <c r="F34" s="467">
        <f t="shared" si="0"/>
        <v>0</v>
      </c>
      <c r="G34" s="149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</row>
    <row r="35" spans="2:28" s="449" customFormat="1" ht="14.1" customHeight="1">
      <c r="B35" s="484" t="s">
        <v>734</v>
      </c>
      <c r="C35" s="485" t="s">
        <v>711</v>
      </c>
      <c r="D35" s="486">
        <f>D36</f>
        <v>598890</v>
      </c>
      <c r="E35" s="498">
        <f>E36</f>
        <v>591134</v>
      </c>
      <c r="F35" s="467">
        <f t="shared" si="0"/>
        <v>98.704937467648477</v>
      </c>
      <c r="G35" s="149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</row>
    <row r="36" spans="2:28" s="449" customFormat="1" ht="12.95" customHeight="1" thickBot="1">
      <c r="B36" s="460" t="s">
        <v>385</v>
      </c>
      <c r="C36" s="461">
        <v>823</v>
      </c>
      <c r="D36" s="462">
        <f>Rashodi!H105</f>
        <v>598890</v>
      </c>
      <c r="E36" s="447">
        <f>Rashodi!K105</f>
        <v>591134</v>
      </c>
      <c r="F36" s="463">
        <f t="shared" si="0"/>
        <v>98.704937467648477</v>
      </c>
      <c r="G36" s="149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</row>
    <row r="37" spans="2:28" s="449" customFormat="1" ht="14.1" customHeight="1" thickTop="1" thickBot="1">
      <c r="B37" s="479" t="s">
        <v>735</v>
      </c>
      <c r="C37" s="480"/>
      <c r="D37" s="481">
        <f>D34-D35</f>
        <v>-598890</v>
      </c>
      <c r="E37" s="496">
        <f>E34-E35</f>
        <v>-591134</v>
      </c>
      <c r="F37" s="482">
        <f t="shared" si="0"/>
        <v>98.704937467648477</v>
      </c>
      <c r="G37" s="149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</row>
    <row r="38" spans="2:28" s="449" customFormat="1" ht="14.1" customHeight="1" thickTop="1" thickBot="1">
      <c r="B38" s="479" t="s">
        <v>736</v>
      </c>
      <c r="C38" s="480"/>
      <c r="D38" s="481">
        <f>D33+D37</f>
        <v>5570</v>
      </c>
      <c r="E38" s="496">
        <f>E33+E37</f>
        <v>4745134</v>
      </c>
      <c r="F38" s="482">
        <f t="shared" si="0"/>
        <v>85190.915619389591</v>
      </c>
      <c r="G38" s="149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</row>
    <row r="39" spans="2:28" s="449" customFormat="1" ht="9" customHeight="1" thickTop="1">
      <c r="B39" s="487"/>
      <c r="C39" s="488"/>
      <c r="D39" s="489"/>
      <c r="E39" s="499"/>
      <c r="F39" s="490"/>
      <c r="G39" s="149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</row>
    <row r="40" spans="2:28" s="449" customFormat="1" ht="14.1" customHeight="1">
      <c r="B40" s="464" t="s">
        <v>737</v>
      </c>
      <c r="C40" s="465"/>
      <c r="D40" s="466">
        <f>D14+D29+D34</f>
        <v>41254070</v>
      </c>
      <c r="E40" s="494">
        <f>E14+E29+E34</f>
        <v>32064091</v>
      </c>
      <c r="F40" s="467">
        <f t="shared" si="0"/>
        <v>77.723460982152787</v>
      </c>
      <c r="G40" s="149"/>
      <c r="H40" s="491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</row>
    <row r="41" spans="2:28" s="449" customFormat="1" ht="14.1" customHeight="1">
      <c r="B41" s="464" t="s">
        <v>738</v>
      </c>
      <c r="C41" s="465"/>
      <c r="D41" s="466">
        <f>D20+D30+D35</f>
        <v>41248500</v>
      </c>
      <c r="E41" s="494">
        <f>E20+E30+E35</f>
        <v>27318957</v>
      </c>
      <c r="F41" s="467">
        <f t="shared" si="0"/>
        <v>66.23018291574239</v>
      </c>
      <c r="G41" s="149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</row>
    <row r="42" spans="2:28" s="449" customFormat="1" ht="14.1" customHeight="1">
      <c r="B42" s="464" t="s">
        <v>739</v>
      </c>
      <c r="C42" s="465"/>
      <c r="D42" s="466">
        <f>D40-D41</f>
        <v>5570</v>
      </c>
      <c r="E42" s="494">
        <f>E40-E41</f>
        <v>4745134</v>
      </c>
      <c r="F42" s="467">
        <f t="shared" si="0"/>
        <v>85190.915619389591</v>
      </c>
      <c r="H42" s="452"/>
      <c r="I42" s="491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</row>
    <row r="43" spans="2:28" ht="7.5" customHeight="1">
      <c r="B43" s="127"/>
      <c r="C43" s="127"/>
      <c r="D43" s="190"/>
      <c r="E43" s="190"/>
      <c r="F43" s="191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2:28" ht="15" customHeight="1">
      <c r="B44" s="32"/>
      <c r="C44" s="3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2:28" ht="15" customHeight="1">
      <c r="B45" s="574"/>
      <c r="C45" s="574"/>
      <c r="D45" s="575"/>
      <c r="E45" s="575"/>
      <c r="F45" s="575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2:28" ht="15.75" customHeight="1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2:28" ht="15" customHeight="1">
      <c r="B47" s="54"/>
      <c r="C47" s="5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2:28" ht="15" customHeight="1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2:28" ht="15" customHeight="1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2:28" ht="15" customHeight="1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2:28" ht="15" customHeight="1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2:28" ht="15" customHeight="1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2:28" ht="15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2:28" ht="15" customHeight="1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2:28" ht="15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2:28" ht="15" customHeight="1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2:28" ht="15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2:28" ht="1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2:28" ht="15" customHeight="1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2:28" ht="15" customHeight="1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2:28" ht="15" customHeigh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2:28" ht="15" customHeight="1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2:28" ht="15" customHeight="1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2:28" ht="15" customHeight="1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2:28" ht="15" customHeight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2:28" ht="15" customHeight="1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2:28" ht="15" customHeight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2:28" ht="15" customHeight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2:28" ht="15" customHeight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2:28" ht="15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2:28" ht="1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2:28" ht="1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2:28" ht="1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2:28" ht="1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2:28" ht="1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spans="2:28" ht="1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2:28" ht="1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pans="2:28" ht="1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</row>
    <row r="79" spans="2:28" ht="15" customHeight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</row>
    <row r="80" spans="2:28" ht="15" customHeight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</row>
    <row r="81" spans="2:28" ht="15" customHeight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2:28" ht="15" customHeight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</row>
    <row r="83" spans="2:28" ht="15" customHeight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</row>
    <row r="84" spans="2:28" ht="15" customHeight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</row>
    <row r="85" spans="2:28" ht="15" customHeight="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</row>
    <row r="86" spans="2:28" ht="15" customHeight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</row>
    <row r="87" spans="2:28" ht="15" customHeight="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2:28" ht="15" customHeight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2:28" ht="15" customHeight="1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2:28" ht="15" customHeight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</row>
    <row r="91" spans="2:28" ht="15" customHeight="1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</row>
    <row r="92" spans="2:28" ht="15" customHeight="1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</row>
    <row r="93" spans="2:28" ht="15" customHeight="1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</row>
    <row r="94" spans="2:28" ht="15" customHeight="1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</row>
    <row r="95" spans="2:28" ht="15" customHeight="1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</row>
    <row r="96" spans="2:28" ht="15" customHeight="1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2:28" ht="15" customHeight="1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2:28" ht="15" customHeight="1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2:28" ht="15" customHeight="1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</row>
    <row r="100" spans="2:28" ht="15" customHeight="1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</row>
    <row r="101" spans="2:28" ht="15" customHeight="1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</row>
    <row r="102" spans="2:28" ht="15" customHeight="1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spans="2:28" ht="15" customHeight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</row>
    <row r="104" spans="2:28" ht="15" customHeight="1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</row>
    <row r="105" spans="2:28" ht="15" customHeight="1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</row>
    <row r="106" spans="2:28" ht="15" customHeight="1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2:28" ht="15" customHeight="1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2:28" ht="15" customHeight="1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</row>
    <row r="109" spans="2:28" ht="15" customHeight="1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</row>
    <row r="110" spans="2:28" ht="15" customHeight="1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</row>
    <row r="111" spans="2:28" ht="15" customHeight="1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</row>
    <row r="112" spans="2:28" ht="15" customHeight="1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</row>
    <row r="113" spans="2:28" ht="15" customHeight="1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</row>
    <row r="114" spans="2:28" ht="15" customHeight="1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</row>
    <row r="115" spans="2:28" ht="15" customHeight="1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</row>
    <row r="116" spans="2:28" ht="15" customHeight="1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</row>
    <row r="117" spans="2:28" ht="15" customHeight="1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</row>
    <row r="118" spans="2:28" ht="15" customHeight="1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</row>
    <row r="119" spans="2:28" ht="15" customHeight="1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</row>
    <row r="120" spans="2:28" ht="15" customHeight="1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2:28" ht="15" customHeight="1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</row>
    <row r="122" spans="2:28" ht="15" customHeight="1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</row>
    <row r="123" spans="2:28" ht="15" customHeight="1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</row>
    <row r="124" spans="2:28" ht="15" customHeight="1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</row>
    <row r="125" spans="2:28" ht="15" customHeight="1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</row>
    <row r="126" spans="2:28" ht="15" customHeight="1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</row>
    <row r="127" spans="2:28" ht="15" customHeight="1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</row>
    <row r="128" spans="2:28" ht="15" customHeight="1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</row>
    <row r="129" spans="2:28" ht="15" customHeight="1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</row>
    <row r="130" spans="2:28" ht="15" customHeight="1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</row>
    <row r="131" spans="2:28" ht="15" customHeight="1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</row>
    <row r="132" spans="2:28" ht="15" customHeight="1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</row>
    <row r="133" spans="2:28" ht="15" customHeight="1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</row>
    <row r="134" spans="2:28" ht="15" customHeight="1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</row>
    <row r="135" spans="2:28" ht="15" customHeight="1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</row>
    <row r="136" spans="2:28" ht="15" customHeight="1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</row>
    <row r="137" spans="2:28" ht="15" customHeight="1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2:28" ht="15" customHeight="1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2:28" ht="15" customHeight="1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2:28" ht="15" customHeight="1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2:28" ht="15" customHeight="1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2:28" ht="15" customHeight="1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2:28" ht="15" customHeight="1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2:28" ht="15" customHeight="1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2:28" ht="15" customHeight="1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2:28" ht="15" customHeight="1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</row>
    <row r="147" spans="2:28" ht="15" customHeight="1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</row>
    <row r="148" spans="2:28" ht="15" customHeight="1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</row>
    <row r="149" spans="2:28" ht="15" customHeight="1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2:28" ht="15" customHeight="1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</row>
    <row r="151" spans="2:28" ht="15" customHeight="1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</row>
    <row r="152" spans="2:28" ht="15" customHeight="1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</row>
    <row r="153" spans="2:28" ht="15" customHeight="1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</row>
    <row r="154" spans="2:28" ht="15" customHeight="1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</row>
    <row r="155" spans="2:28" ht="15" customHeight="1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</row>
    <row r="156" spans="2:28" ht="15" customHeight="1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2:28" ht="15" customHeight="1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2:28" ht="15" customHeight="1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2:28" ht="15" customHeight="1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2:28" ht="15" customHeight="1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2:28" ht="15" customHeight="1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2:28" ht="15" customHeight="1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2:28" ht="15" customHeight="1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2:28" ht="15" customHeight="1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  <row r="165" spans="2:28" ht="15" customHeight="1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2:28" ht="15" customHeight="1"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</row>
    <row r="167" spans="2:28" ht="15" customHeight="1"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</row>
    <row r="168" spans="2:28" ht="15" customHeight="1"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</row>
    <row r="169" spans="2:28" ht="15" customHeight="1"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</row>
    <row r="170" spans="2:28" ht="15" customHeight="1"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</row>
    <row r="171" spans="2:28" ht="15" customHeight="1"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</row>
    <row r="172" spans="2:28" ht="15" customHeight="1"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</row>
    <row r="173" spans="2:28" ht="15" customHeight="1"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</row>
    <row r="174" spans="2:28" ht="15" customHeight="1"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</row>
    <row r="175" spans="2:28" ht="15" customHeight="1"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</row>
    <row r="176" spans="2:28" ht="15" customHeight="1"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</row>
    <row r="177" spans="8:28" ht="15" customHeight="1"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</row>
    <row r="178" spans="8:28" ht="15" customHeight="1"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</row>
    <row r="179" spans="8:28" ht="15" customHeight="1"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</row>
    <row r="180" spans="8:28" ht="15" customHeight="1"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</row>
    <row r="181" spans="8:28" ht="15" customHeight="1"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</row>
    <row r="182" spans="8:28" ht="15" customHeight="1"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8:28" ht="15" customHeight="1"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</row>
    <row r="184" spans="8:28" ht="15" customHeight="1"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</row>
    <row r="185" spans="8:28" ht="15" customHeight="1"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</row>
    <row r="186" spans="8:28" ht="15" customHeight="1"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</row>
    <row r="187" spans="8:28" ht="15" customHeight="1"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</row>
    <row r="188" spans="8:28" ht="15" customHeight="1"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</row>
    <row r="189" spans="8:28" ht="15" customHeight="1"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</row>
    <row r="190" spans="8:28" ht="15" customHeight="1"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</row>
    <row r="191" spans="8:28" ht="15" customHeight="1"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</row>
    <row r="192" spans="8:28" ht="15" customHeight="1"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</row>
    <row r="193" spans="8:28" ht="15" customHeight="1"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</row>
    <row r="194" spans="8:28" ht="15" customHeight="1"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</row>
    <row r="195" spans="8:28" ht="15" customHeight="1"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</row>
    <row r="196" spans="8:28" ht="15" customHeight="1"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</row>
    <row r="197" spans="8:28" ht="15" customHeight="1"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</row>
    <row r="198" spans="8:28" ht="15" customHeight="1"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</row>
    <row r="199" spans="8:28" ht="15" customHeight="1"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</row>
    <row r="200" spans="8:28" ht="15" customHeight="1"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</row>
    <row r="201" spans="8:28" ht="15" customHeight="1"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</row>
    <row r="202" spans="8:28" ht="15" customHeight="1"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</row>
    <row r="203" spans="8:28" ht="15" customHeight="1"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</row>
    <row r="204" spans="8:28" ht="15" customHeight="1"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</row>
    <row r="205" spans="8:28" ht="15" customHeight="1"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</row>
    <row r="206" spans="8:28" ht="15" customHeight="1"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</row>
    <row r="207" spans="8:28" ht="15" customHeight="1"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</row>
    <row r="208" spans="8:28" ht="15" customHeight="1"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</row>
    <row r="209" spans="8:28" ht="15" customHeight="1"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</row>
    <row r="210" spans="8:28" ht="15" customHeight="1"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</row>
    <row r="211" spans="8:28" ht="15" customHeight="1"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</row>
    <row r="212" spans="8:28" ht="15" customHeight="1"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</row>
    <row r="213" spans="8:28" ht="15" customHeight="1"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</row>
    <row r="214" spans="8:28" ht="15" customHeight="1"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</row>
    <row r="215" spans="8:28" ht="15" customHeight="1"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</row>
    <row r="216" spans="8:28" ht="15" customHeight="1"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</row>
    <row r="217" spans="8:28" ht="15" customHeight="1"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</row>
    <row r="218" spans="8:28" ht="15" customHeight="1"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</row>
    <row r="219" spans="8:28" ht="15" customHeight="1"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</row>
    <row r="220" spans="8:28" ht="15" customHeight="1"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</row>
    <row r="221" spans="8:28" ht="15" customHeight="1"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</row>
    <row r="222" spans="8:28" ht="15" customHeight="1"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</row>
    <row r="223" spans="8:28" ht="15" customHeight="1"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</row>
    <row r="224" spans="8:28" ht="15" customHeight="1"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</row>
    <row r="225" spans="8:28" ht="15" customHeight="1"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</row>
    <row r="226" spans="8:28" ht="15" customHeight="1"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</row>
    <row r="227" spans="8:28" ht="15" customHeight="1"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</row>
    <row r="228" spans="8:28" ht="15" customHeight="1"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</row>
    <row r="229" spans="8:28" ht="15" customHeight="1"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</row>
    <row r="230" spans="8:28" ht="15" customHeight="1"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</row>
    <row r="231" spans="8:28" ht="15" customHeight="1"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</row>
    <row r="232" spans="8:28" ht="15" customHeight="1"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</row>
    <row r="233" spans="8:28" ht="15" customHeight="1"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</row>
    <row r="234" spans="8:28" ht="15" customHeight="1"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</row>
    <row r="235" spans="8:28" ht="15" customHeight="1"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</row>
    <row r="236" spans="8:28" ht="15" customHeight="1"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</row>
    <row r="237" spans="8:28" ht="15" customHeight="1"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</row>
    <row r="238" spans="8:28" ht="15" customHeight="1"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</row>
    <row r="239" spans="8:28" ht="15" customHeight="1"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</row>
    <row r="240" spans="8:28" ht="15" customHeight="1"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</row>
    <row r="241" spans="8:28" ht="15" customHeight="1"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</row>
    <row r="242" spans="8:28" ht="15" customHeight="1"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</row>
    <row r="243" spans="8:28" ht="15" customHeight="1"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</row>
    <row r="244" spans="8:28" ht="15" customHeight="1"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</row>
    <row r="245" spans="8:28" ht="15" customHeight="1"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</row>
    <row r="246" spans="8:28" ht="15" customHeight="1"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</row>
    <row r="247" spans="8:28" ht="15" customHeight="1"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</row>
    <row r="248" spans="8:28" ht="15" customHeight="1"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</row>
    <row r="249" spans="8:28" ht="15" customHeight="1"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</row>
    <row r="250" spans="8:28" ht="15" customHeight="1"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</row>
    <row r="251" spans="8:28" ht="15" customHeight="1"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</row>
    <row r="252" spans="8:28" ht="15" customHeight="1"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</row>
    <row r="253" spans="8:28" ht="15" customHeight="1"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</row>
    <row r="254" spans="8:28" ht="15" customHeight="1"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</row>
    <row r="255" spans="8:28" ht="15" customHeight="1"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</row>
    <row r="256" spans="8:28" ht="15" customHeight="1"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</row>
    <row r="257" spans="8:28" ht="15" customHeight="1"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</row>
    <row r="258" spans="8:28" ht="15" customHeight="1"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</row>
    <row r="259" spans="8:28" ht="15" customHeight="1"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</row>
    <row r="260" spans="8:28" ht="15" customHeight="1"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</row>
    <row r="261" spans="8:28" ht="15" customHeight="1"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</row>
    <row r="262" spans="8:28" ht="15" customHeight="1"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</row>
    <row r="263" spans="8:28" ht="15" customHeight="1"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</row>
    <row r="264" spans="8:28" ht="15" customHeight="1"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</row>
    <row r="265" spans="8:28" ht="15" customHeight="1"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</row>
    <row r="266" spans="8:28" ht="15" customHeight="1"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</row>
    <row r="267" spans="8:28" ht="15" customHeight="1"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</row>
    <row r="268" spans="8:28" ht="15" customHeight="1"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</row>
    <row r="269" spans="8:28" ht="15" customHeight="1"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</row>
    <row r="270" spans="8:28" ht="15" customHeight="1"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</row>
    <row r="271" spans="8:28" ht="15" customHeight="1"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</row>
    <row r="272" spans="8:28" ht="15" customHeight="1"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</row>
    <row r="273" spans="8:28" ht="15" customHeight="1"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</row>
    <row r="274" spans="8:28" ht="15" customHeight="1"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</row>
    <row r="275" spans="8:28" ht="15" customHeight="1"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</row>
    <row r="276" spans="8:28" ht="15" customHeight="1"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</row>
    <row r="277" spans="8:28" ht="15" customHeight="1"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</row>
    <row r="278" spans="8:28" ht="15" customHeight="1"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</row>
    <row r="279" spans="8:28" ht="15" customHeight="1"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</row>
    <row r="280" spans="8:28" ht="15" customHeight="1"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</row>
    <row r="281" spans="8:28" ht="15" customHeight="1"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</row>
    <row r="282" spans="8:28" ht="15" customHeight="1"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</row>
    <row r="283" spans="8:28" ht="15" customHeight="1"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</row>
    <row r="284" spans="8:28" ht="15" customHeight="1"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</row>
    <row r="285" spans="8:28" ht="15" customHeight="1"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</row>
    <row r="286" spans="8:28" ht="15" customHeight="1"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</row>
    <row r="287" spans="8:28" ht="15" customHeight="1"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</row>
    <row r="288" spans="8:28" ht="15" customHeight="1"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</row>
    <row r="289" spans="8:28" ht="15" customHeight="1"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</row>
    <row r="290" spans="8:28" ht="15" customHeight="1"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</row>
    <row r="291" spans="8:28" ht="15" customHeight="1"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</row>
    <row r="292" spans="8:28" ht="15" customHeight="1"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</row>
    <row r="293" spans="8:28" ht="15" customHeight="1"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</row>
    <row r="294" spans="8:28" ht="15" customHeight="1"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</row>
    <row r="295" spans="8:28" ht="15" customHeight="1"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</row>
    <row r="296" spans="8:28" ht="15" customHeight="1"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</row>
    <row r="297" spans="8:28" ht="15" customHeight="1"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</row>
    <row r="298" spans="8:28" ht="15" customHeight="1"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</row>
    <row r="299" spans="8:28" ht="15" customHeight="1"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</row>
    <row r="300" spans="8:28" ht="15" customHeight="1"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</row>
    <row r="301" spans="8:28" ht="15" customHeight="1"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</row>
    <row r="302" spans="8:28" ht="15" customHeight="1"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</row>
  </sheetData>
  <mergeCells count="5">
    <mergeCell ref="B1:F4"/>
    <mergeCell ref="B5:F5"/>
    <mergeCell ref="B6:F6"/>
    <mergeCell ref="B10:F10"/>
    <mergeCell ref="B45:F45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/>
  <dimension ref="A1:P96"/>
  <sheetViews>
    <sheetView zoomScaleNormal="100" workbookViewId="0">
      <selection activeCell="L30" sqref="L30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169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117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2271800</v>
      </c>
      <c r="I8" s="210">
        <f t="shared" si="0"/>
        <v>0</v>
      </c>
      <c r="J8" s="384">
        <f t="shared" si="0"/>
        <v>2271800</v>
      </c>
      <c r="K8" s="210">
        <f t="shared" si="0"/>
        <v>1608776</v>
      </c>
      <c r="L8" s="210">
        <f t="shared" si="0"/>
        <v>0</v>
      </c>
      <c r="M8" s="384">
        <f t="shared" si="0"/>
        <v>1608776</v>
      </c>
      <c r="N8" s="346">
        <f>IF(J8=0,"",M8/J8*100)</f>
        <v>70.815036534906241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1879000+0+8*500</f>
        <v>1883000</v>
      </c>
      <c r="I9" s="209">
        <v>0</v>
      </c>
      <c r="J9" s="385">
        <f>SUM(H9:I9)</f>
        <v>1883000</v>
      </c>
      <c r="K9" s="209">
        <v>1337776</v>
      </c>
      <c r="L9" s="209">
        <v>0</v>
      </c>
      <c r="M9" s="385">
        <f>SUM(K9:L9)</f>
        <v>1337776</v>
      </c>
      <c r="N9" s="347">
        <f t="shared" ref="N9:N66" si="1">IF(J9=0,"",M9/J9*100)</f>
        <v>71.044928305894857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376200+5400+8*900</f>
        <v>388800</v>
      </c>
      <c r="I10" s="209">
        <v>0</v>
      </c>
      <c r="J10" s="385">
        <f t="shared" ref="J10:J11" si="2">SUM(H10:I10)</f>
        <v>388800</v>
      </c>
      <c r="K10" s="209">
        <v>271000</v>
      </c>
      <c r="L10" s="209">
        <v>0</v>
      </c>
      <c r="M10" s="385">
        <f t="shared" ref="M10:M11" si="3">SUM(K10:L10)</f>
        <v>271000</v>
      </c>
      <c r="N10" s="347">
        <f t="shared" si="1"/>
        <v>69.701646090534979</v>
      </c>
      <c r="P10" s="57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209380</v>
      </c>
      <c r="I13" s="210">
        <f t="shared" si="4"/>
        <v>0</v>
      </c>
      <c r="J13" s="384">
        <f t="shared" si="4"/>
        <v>209380</v>
      </c>
      <c r="K13" s="210">
        <f t="shared" si="4"/>
        <v>146310</v>
      </c>
      <c r="L13" s="210">
        <f t="shared" si="4"/>
        <v>0</v>
      </c>
      <c r="M13" s="384">
        <f t="shared" si="4"/>
        <v>146310</v>
      </c>
      <c r="N13" s="346">
        <f t="shared" si="1"/>
        <v>69.877734263062379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208000+820+8*70</f>
        <v>209380</v>
      </c>
      <c r="I14" s="209">
        <v>0</v>
      </c>
      <c r="J14" s="385">
        <f>SUM(H14:I14)</f>
        <v>209380</v>
      </c>
      <c r="K14" s="209">
        <v>146310</v>
      </c>
      <c r="L14" s="209">
        <v>0</v>
      </c>
      <c r="M14" s="385">
        <f>SUM(K14:L14)</f>
        <v>146310</v>
      </c>
      <c r="N14" s="347">
        <f t="shared" si="1"/>
        <v>69.877734263062379</v>
      </c>
    </row>
    <row r="15" spans="1:16" ht="12.95" customHeight="1">
      <c r="B15" s="10"/>
      <c r="C15" s="11"/>
      <c r="D15" s="11"/>
      <c r="E15" s="306"/>
      <c r="F15" s="332"/>
      <c r="G15" s="11"/>
      <c r="H15" s="280"/>
      <c r="I15" s="280"/>
      <c r="J15" s="386"/>
      <c r="K15" s="280"/>
      <c r="L15" s="280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212000</v>
      </c>
      <c r="I16" s="293">
        <f t="shared" si="5"/>
        <v>0</v>
      </c>
      <c r="J16" s="387">
        <f t="shared" si="5"/>
        <v>212000</v>
      </c>
      <c r="K16" s="293">
        <f t="shared" si="5"/>
        <v>118188</v>
      </c>
      <c r="L16" s="293">
        <f t="shared" si="5"/>
        <v>0</v>
      </c>
      <c r="M16" s="387">
        <f t="shared" si="5"/>
        <v>118188</v>
      </c>
      <c r="N16" s="346">
        <f t="shared" si="1"/>
        <v>55.749056603773582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11500</v>
      </c>
      <c r="I17" s="362">
        <v>0</v>
      </c>
      <c r="J17" s="385">
        <f t="shared" ref="J17:J26" si="6">SUM(H17:I17)</f>
        <v>11500</v>
      </c>
      <c r="K17" s="362">
        <v>6268</v>
      </c>
      <c r="L17" s="362">
        <v>0</v>
      </c>
      <c r="M17" s="385">
        <f t="shared" ref="M17:M26" si="7">SUM(K17:L17)</f>
        <v>6268</v>
      </c>
      <c r="N17" s="347">
        <f t="shared" si="1"/>
        <v>54.504347826086949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77000</v>
      </c>
      <c r="I18" s="362">
        <v>0</v>
      </c>
      <c r="J18" s="385">
        <f t="shared" si="6"/>
        <v>77000</v>
      </c>
      <c r="K18" s="362">
        <v>40448</v>
      </c>
      <c r="L18" s="362">
        <v>0</v>
      </c>
      <c r="M18" s="385">
        <f t="shared" si="7"/>
        <v>40448</v>
      </c>
      <c r="N18" s="347">
        <f t="shared" si="1"/>
        <v>52.529870129870126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9200</v>
      </c>
      <c r="I19" s="362">
        <v>0</v>
      </c>
      <c r="J19" s="385">
        <f t="shared" si="6"/>
        <v>9200</v>
      </c>
      <c r="K19" s="362">
        <v>5747</v>
      </c>
      <c r="L19" s="362">
        <v>0</v>
      </c>
      <c r="M19" s="385">
        <f t="shared" si="7"/>
        <v>5747</v>
      </c>
      <c r="N19" s="347">
        <f t="shared" si="1"/>
        <v>62.467391304347828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20300</v>
      </c>
      <c r="I20" s="364">
        <v>0</v>
      </c>
      <c r="J20" s="385">
        <f t="shared" si="6"/>
        <v>20300</v>
      </c>
      <c r="K20" s="364">
        <v>11709</v>
      </c>
      <c r="L20" s="364">
        <v>0</v>
      </c>
      <c r="M20" s="385">
        <f t="shared" si="7"/>
        <v>11709</v>
      </c>
      <c r="N20" s="347">
        <f t="shared" si="1"/>
        <v>57.679802955665025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1500</v>
      </c>
      <c r="I21" s="364">
        <v>0</v>
      </c>
      <c r="J21" s="385">
        <f t="shared" si="6"/>
        <v>1500</v>
      </c>
      <c r="K21" s="364">
        <v>821</v>
      </c>
      <c r="L21" s="364">
        <v>0</v>
      </c>
      <c r="M21" s="385">
        <f t="shared" si="7"/>
        <v>821</v>
      </c>
      <c r="N21" s="347">
        <f t="shared" si="1"/>
        <v>54.733333333333334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0</v>
      </c>
      <c r="I22" s="364">
        <v>0</v>
      </c>
      <c r="J22" s="385">
        <f t="shared" si="6"/>
        <v>0</v>
      </c>
      <c r="K22" s="364">
        <v>0</v>
      </c>
      <c r="L22" s="364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22500</v>
      </c>
      <c r="I23" s="364">
        <v>0</v>
      </c>
      <c r="J23" s="385">
        <f t="shared" si="6"/>
        <v>22500</v>
      </c>
      <c r="K23" s="364">
        <v>13136</v>
      </c>
      <c r="L23" s="364">
        <v>0</v>
      </c>
      <c r="M23" s="385">
        <f t="shared" si="7"/>
        <v>13136</v>
      </c>
      <c r="N23" s="347">
        <f t="shared" si="1"/>
        <v>58.382222222222225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0</v>
      </c>
      <c r="I24" s="364">
        <v>0</v>
      </c>
      <c r="J24" s="385">
        <f t="shared" si="6"/>
        <v>0</v>
      </c>
      <c r="K24" s="364">
        <v>0</v>
      </c>
      <c r="L24" s="364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70000</v>
      </c>
      <c r="I25" s="364">
        <v>0</v>
      </c>
      <c r="J25" s="385">
        <f t="shared" si="6"/>
        <v>70000</v>
      </c>
      <c r="K25" s="364">
        <v>40059</v>
      </c>
      <c r="L25" s="364">
        <v>0</v>
      </c>
      <c r="M25" s="385">
        <f t="shared" si="7"/>
        <v>40059</v>
      </c>
      <c r="N25" s="347">
        <f t="shared" si="1"/>
        <v>57.227142857142852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1">
        <v>0</v>
      </c>
      <c r="I26" s="361">
        <v>0</v>
      </c>
      <c r="J26" s="385">
        <f t="shared" si="6"/>
        <v>0</v>
      </c>
      <c r="K26" s="361">
        <v>0</v>
      </c>
      <c r="L26" s="361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80"/>
      <c r="I27" s="280"/>
      <c r="J27" s="386"/>
      <c r="K27" s="280"/>
      <c r="L27" s="280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SUM(H29:H31)</f>
        <v>17000</v>
      </c>
      <c r="I28" s="295">
        <f t="shared" si="8"/>
        <v>4660</v>
      </c>
      <c r="J28" s="387">
        <f t="shared" si="8"/>
        <v>21660</v>
      </c>
      <c r="K28" s="295">
        <f t="shared" si="8"/>
        <v>1369</v>
      </c>
      <c r="L28" s="295">
        <f t="shared" si="8"/>
        <v>4577</v>
      </c>
      <c r="M28" s="387">
        <f t="shared" si="8"/>
        <v>5946</v>
      </c>
      <c r="N28" s="346">
        <f t="shared" si="1"/>
        <v>27.451523545706369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  <c r="O29" s="50"/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17000</v>
      </c>
      <c r="I30" s="280">
        <v>4660</v>
      </c>
      <c r="J30" s="385">
        <f t="shared" si="9"/>
        <v>21660</v>
      </c>
      <c r="K30" s="280">
        <f>5946-4577</f>
        <v>1369</v>
      </c>
      <c r="L30" s="280">
        <v>4577</v>
      </c>
      <c r="M30" s="385">
        <f t="shared" si="10"/>
        <v>5946</v>
      </c>
      <c r="N30" s="347">
        <f t="shared" si="1"/>
        <v>27.451523545706369</v>
      </c>
    </row>
    <row r="31" spans="1:15" ht="12.95" customHeight="1">
      <c r="B31" s="10"/>
      <c r="C31" s="11"/>
      <c r="D31" s="11"/>
      <c r="E31" s="306"/>
      <c r="F31" s="332"/>
      <c r="G31" s="18"/>
      <c r="H31" s="280"/>
      <c r="I31" s="280"/>
      <c r="J31" s="386"/>
      <c r="K31" s="280"/>
      <c r="L31" s="280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648</v>
      </c>
      <c r="I32" s="278"/>
      <c r="J32" s="389" t="s">
        <v>648</v>
      </c>
      <c r="K32" s="278" t="s">
        <v>842</v>
      </c>
      <c r="L32" s="278"/>
      <c r="M32" s="389" t="s">
        <v>842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2710180</v>
      </c>
      <c r="I33" s="288">
        <f t="shared" si="11"/>
        <v>4660</v>
      </c>
      <c r="J33" s="387">
        <f t="shared" si="11"/>
        <v>2714840</v>
      </c>
      <c r="K33" s="288">
        <f t="shared" si="11"/>
        <v>1874643</v>
      </c>
      <c r="L33" s="288">
        <f t="shared" si="11"/>
        <v>4577</v>
      </c>
      <c r="M33" s="387">
        <f t="shared" si="11"/>
        <v>1879220</v>
      </c>
      <c r="N33" s="346">
        <f t="shared" si="1"/>
        <v>69.220285541689393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B42" s="50"/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B43" s="50"/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B44" s="50"/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B45" s="50"/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170</v>
      </c>
      <c r="C2" s="599"/>
      <c r="D2" s="599"/>
      <c r="E2" s="599"/>
      <c r="F2" s="599"/>
      <c r="G2" s="599"/>
      <c r="H2" s="618"/>
      <c r="I2" s="618"/>
      <c r="J2" s="618"/>
      <c r="K2" s="618"/>
      <c r="L2" s="618"/>
      <c r="M2" s="618"/>
      <c r="N2" s="61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124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643400</v>
      </c>
      <c r="I8" s="210">
        <f t="shared" si="0"/>
        <v>0</v>
      </c>
      <c r="J8" s="384">
        <f t="shared" si="0"/>
        <v>643400</v>
      </c>
      <c r="K8" s="210">
        <f t="shared" si="0"/>
        <v>456008</v>
      </c>
      <c r="L8" s="210">
        <f t="shared" si="0"/>
        <v>0</v>
      </c>
      <c r="M8" s="384">
        <f t="shared" si="0"/>
        <v>456008</v>
      </c>
      <c r="N8" s="346">
        <f>IF(J8=0,"",M8/J8*100)</f>
        <v>70.874728007460362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523700+0+7*500</f>
        <v>527200</v>
      </c>
      <c r="I9" s="212">
        <v>0</v>
      </c>
      <c r="J9" s="385">
        <f>SUM(H9:I9)</f>
        <v>527200</v>
      </c>
      <c r="K9" s="212">
        <v>384220</v>
      </c>
      <c r="L9" s="212">
        <v>0</v>
      </c>
      <c r="M9" s="385">
        <f>SUM(K9:L9)</f>
        <v>384220</v>
      </c>
      <c r="N9" s="347">
        <f t="shared" ref="N9:N66" si="1">IF(J9=0,"",M9/J9*100)</f>
        <v>72.879362670713192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101000+1700+7200+7*900</f>
        <v>116200</v>
      </c>
      <c r="I10" s="212">
        <v>0</v>
      </c>
      <c r="J10" s="385">
        <f t="shared" ref="J10:J11" si="2">SUM(H10:I10)</f>
        <v>116200</v>
      </c>
      <c r="K10" s="212">
        <v>71788</v>
      </c>
      <c r="L10" s="212">
        <v>0</v>
      </c>
      <c r="M10" s="385">
        <f t="shared" ref="M10:M11" si="3">SUM(K10:L10)</f>
        <v>71788</v>
      </c>
      <c r="N10" s="347">
        <f t="shared" si="1"/>
        <v>61.77969018932874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56580</v>
      </c>
      <c r="I13" s="210">
        <f t="shared" si="4"/>
        <v>0</v>
      </c>
      <c r="J13" s="384">
        <f t="shared" si="4"/>
        <v>56580</v>
      </c>
      <c r="K13" s="210">
        <f t="shared" si="4"/>
        <v>41757</v>
      </c>
      <c r="L13" s="210">
        <f t="shared" si="4"/>
        <v>0</v>
      </c>
      <c r="M13" s="384">
        <f t="shared" si="4"/>
        <v>41757</v>
      </c>
      <c r="N13" s="346">
        <f t="shared" si="1"/>
        <v>73.801696712619304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55800+290+7*70</f>
        <v>56580</v>
      </c>
      <c r="I14" s="212">
        <v>0</v>
      </c>
      <c r="J14" s="385">
        <f>SUM(H14:I14)</f>
        <v>56580</v>
      </c>
      <c r="K14" s="212">
        <v>41757</v>
      </c>
      <c r="L14" s="212">
        <v>0</v>
      </c>
      <c r="M14" s="385">
        <f>SUM(K14:L14)</f>
        <v>41757</v>
      </c>
      <c r="N14" s="347">
        <f t="shared" si="1"/>
        <v>73.801696712619304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56700</v>
      </c>
      <c r="I16" s="293">
        <f t="shared" si="5"/>
        <v>0</v>
      </c>
      <c r="J16" s="387">
        <f t="shared" si="5"/>
        <v>56700</v>
      </c>
      <c r="K16" s="293">
        <f t="shared" si="5"/>
        <v>35676</v>
      </c>
      <c r="L16" s="293">
        <f t="shared" si="5"/>
        <v>0</v>
      </c>
      <c r="M16" s="387">
        <f t="shared" si="5"/>
        <v>35676</v>
      </c>
      <c r="N16" s="346">
        <f t="shared" si="1"/>
        <v>62.920634920634924</v>
      </c>
    </row>
    <row r="17" spans="1:16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3500</v>
      </c>
      <c r="I17" s="363">
        <v>0</v>
      </c>
      <c r="J17" s="385">
        <f t="shared" ref="J17:J26" si="6">SUM(H17:I17)</f>
        <v>3500</v>
      </c>
      <c r="K17" s="363">
        <v>1801</v>
      </c>
      <c r="L17" s="363">
        <v>0</v>
      </c>
      <c r="M17" s="385">
        <f t="shared" ref="M17:M26" si="7">SUM(K17:L17)</f>
        <v>1801</v>
      </c>
      <c r="N17" s="347">
        <f t="shared" si="1"/>
        <v>51.457142857142856</v>
      </c>
    </row>
    <row r="18" spans="1:16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21700</v>
      </c>
      <c r="I18" s="363">
        <v>0</v>
      </c>
      <c r="J18" s="385">
        <f t="shared" si="6"/>
        <v>21700</v>
      </c>
      <c r="K18" s="363">
        <v>9362</v>
      </c>
      <c r="L18" s="363">
        <v>0</v>
      </c>
      <c r="M18" s="385">
        <f t="shared" si="7"/>
        <v>9362</v>
      </c>
      <c r="N18" s="347">
        <f t="shared" si="1"/>
        <v>43.142857142857146</v>
      </c>
    </row>
    <row r="19" spans="1:16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3000</v>
      </c>
      <c r="I19" s="363">
        <v>0</v>
      </c>
      <c r="J19" s="385">
        <f t="shared" si="6"/>
        <v>3000</v>
      </c>
      <c r="K19" s="363">
        <v>2053</v>
      </c>
      <c r="L19" s="363">
        <v>0</v>
      </c>
      <c r="M19" s="385">
        <f t="shared" si="7"/>
        <v>2053</v>
      </c>
      <c r="N19" s="347">
        <f t="shared" si="1"/>
        <v>68.433333333333337</v>
      </c>
    </row>
    <row r="20" spans="1:16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9000</v>
      </c>
      <c r="I20" s="363">
        <v>0</v>
      </c>
      <c r="J20" s="385">
        <f t="shared" si="6"/>
        <v>9000</v>
      </c>
      <c r="K20" s="363">
        <v>6312</v>
      </c>
      <c r="L20" s="363">
        <v>0</v>
      </c>
      <c r="M20" s="385">
        <f t="shared" si="7"/>
        <v>6312</v>
      </c>
      <c r="N20" s="347">
        <f t="shared" si="1"/>
        <v>70.13333333333334</v>
      </c>
    </row>
    <row r="21" spans="1:16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300</v>
      </c>
      <c r="I21" s="363">
        <v>0</v>
      </c>
      <c r="J21" s="385">
        <f t="shared" si="6"/>
        <v>300</v>
      </c>
      <c r="K21" s="363">
        <v>201</v>
      </c>
      <c r="L21" s="363">
        <v>0</v>
      </c>
      <c r="M21" s="385">
        <f t="shared" si="7"/>
        <v>201</v>
      </c>
      <c r="N21" s="347">
        <f t="shared" si="1"/>
        <v>67</v>
      </c>
    </row>
    <row r="22" spans="1:16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6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10500</v>
      </c>
      <c r="I23" s="365">
        <v>0</v>
      </c>
      <c r="J23" s="385">
        <f t="shared" si="6"/>
        <v>10500</v>
      </c>
      <c r="K23" s="365">
        <v>7481</v>
      </c>
      <c r="L23" s="365">
        <v>0</v>
      </c>
      <c r="M23" s="385">
        <f t="shared" si="7"/>
        <v>7481</v>
      </c>
      <c r="N23" s="347">
        <f t="shared" si="1"/>
        <v>71.247619047619054</v>
      </c>
    </row>
    <row r="24" spans="1:16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6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8700</v>
      </c>
      <c r="I25" s="365">
        <v>0</v>
      </c>
      <c r="J25" s="385">
        <f t="shared" si="6"/>
        <v>8700</v>
      </c>
      <c r="K25" s="365">
        <v>8466</v>
      </c>
      <c r="L25" s="365">
        <v>0</v>
      </c>
      <c r="M25" s="385">
        <f t="shared" si="7"/>
        <v>8466</v>
      </c>
      <c r="N25" s="347">
        <f t="shared" si="1"/>
        <v>97.310344827586206</v>
      </c>
    </row>
    <row r="26" spans="1:16" ht="12.95" customHeight="1">
      <c r="B26" s="10"/>
      <c r="C26" s="11"/>
      <c r="D26" s="11"/>
      <c r="E26" s="306">
        <v>613900</v>
      </c>
      <c r="F26" s="332"/>
      <c r="G26" s="189" t="s">
        <v>535</v>
      </c>
      <c r="H26" s="361">
        <v>0</v>
      </c>
      <c r="I26" s="361">
        <v>0</v>
      </c>
      <c r="J26" s="385">
        <f t="shared" si="6"/>
        <v>0</v>
      </c>
      <c r="K26" s="361">
        <v>0</v>
      </c>
      <c r="L26" s="361">
        <v>0</v>
      </c>
      <c r="M26" s="385">
        <f t="shared" si="7"/>
        <v>0</v>
      </c>
      <c r="N26" s="347" t="str">
        <f t="shared" si="1"/>
        <v/>
      </c>
    </row>
    <row r="27" spans="1:16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6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20000</v>
      </c>
      <c r="I28" s="295">
        <f t="shared" si="8"/>
        <v>0</v>
      </c>
      <c r="J28" s="387">
        <f t="shared" si="8"/>
        <v>20000</v>
      </c>
      <c r="K28" s="295">
        <f t="shared" si="8"/>
        <v>7002</v>
      </c>
      <c r="L28" s="295">
        <f t="shared" si="8"/>
        <v>0</v>
      </c>
      <c r="M28" s="387">
        <f t="shared" si="8"/>
        <v>7002</v>
      </c>
      <c r="N28" s="346">
        <f t="shared" si="1"/>
        <v>35.010000000000005</v>
      </c>
    </row>
    <row r="29" spans="1:16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5000</v>
      </c>
      <c r="I29" s="296">
        <v>0</v>
      </c>
      <c r="J29" s="385">
        <f t="shared" ref="J29:J30" si="9">SUM(H29:I29)</f>
        <v>5000</v>
      </c>
      <c r="K29" s="296">
        <v>0</v>
      </c>
      <c r="L29" s="296">
        <v>0</v>
      </c>
      <c r="M29" s="385">
        <f t="shared" ref="M29:M30" si="10">SUM(K29:L29)</f>
        <v>0</v>
      </c>
      <c r="N29" s="347">
        <f t="shared" si="1"/>
        <v>0</v>
      </c>
    </row>
    <row r="30" spans="1:16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15000</v>
      </c>
      <c r="I30" s="296">
        <v>0</v>
      </c>
      <c r="J30" s="385">
        <f t="shared" si="9"/>
        <v>15000</v>
      </c>
      <c r="K30" s="296">
        <v>7002</v>
      </c>
      <c r="L30" s="296">
        <v>0</v>
      </c>
      <c r="M30" s="385">
        <f t="shared" si="10"/>
        <v>7002</v>
      </c>
      <c r="N30" s="347">
        <f t="shared" si="1"/>
        <v>46.68</v>
      </c>
    </row>
    <row r="31" spans="1:16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6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649</v>
      </c>
      <c r="I32" s="278"/>
      <c r="J32" s="389" t="s">
        <v>649</v>
      </c>
      <c r="K32" s="278" t="s">
        <v>843</v>
      </c>
      <c r="L32" s="278"/>
      <c r="M32" s="389" t="s">
        <v>843</v>
      </c>
      <c r="N32" s="347"/>
      <c r="P32" s="58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776680</v>
      </c>
      <c r="I33" s="288">
        <f t="shared" si="11"/>
        <v>0</v>
      </c>
      <c r="J33" s="387">
        <f t="shared" si="11"/>
        <v>776680</v>
      </c>
      <c r="K33" s="288">
        <f t="shared" si="11"/>
        <v>540443</v>
      </c>
      <c r="L33" s="288">
        <f t="shared" si="11"/>
        <v>0</v>
      </c>
      <c r="M33" s="387">
        <f t="shared" si="11"/>
        <v>540443</v>
      </c>
      <c r="N33" s="346">
        <f t="shared" si="1"/>
        <v>69.583741051655764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B46" s="50"/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B47" s="50"/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B48" s="50"/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N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A1:P96"/>
  <sheetViews>
    <sheetView zoomScaleNormal="100" workbookViewId="0">
      <selection activeCell="Q35" sqref="Q3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171</v>
      </c>
      <c r="C2" s="599"/>
      <c r="D2" s="599"/>
      <c r="E2" s="599"/>
      <c r="F2" s="599"/>
      <c r="G2" s="599"/>
      <c r="H2" s="618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125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777700</v>
      </c>
      <c r="I8" s="210">
        <f t="shared" si="0"/>
        <v>0</v>
      </c>
      <c r="J8" s="384">
        <f t="shared" si="0"/>
        <v>777700</v>
      </c>
      <c r="K8" s="210">
        <f t="shared" si="0"/>
        <v>566005</v>
      </c>
      <c r="L8" s="210">
        <f t="shared" si="0"/>
        <v>0</v>
      </c>
      <c r="M8" s="384">
        <f t="shared" si="0"/>
        <v>566005</v>
      </c>
      <c r="N8" s="346">
        <f>IF(J8=0,"",M8/J8*100)</f>
        <v>72.779349363507777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638300+2500+5*500</f>
        <v>643300</v>
      </c>
      <c r="I9" s="212">
        <v>0</v>
      </c>
      <c r="J9" s="385">
        <f>SUM(H9:I9)</f>
        <v>643300</v>
      </c>
      <c r="K9" s="212">
        <v>481287</v>
      </c>
      <c r="L9" s="212">
        <v>0</v>
      </c>
      <c r="M9" s="385">
        <f>SUM(K9:L9)</f>
        <v>481287</v>
      </c>
      <c r="N9" s="347">
        <f t="shared" ref="N9:N66" si="1">IF(J9=0,"",M9/J9*100)</f>
        <v>74.815327219026898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127700+2200+5*900</f>
        <v>134400</v>
      </c>
      <c r="I10" s="212">
        <v>0</v>
      </c>
      <c r="J10" s="385">
        <f t="shared" ref="J10:J11" si="2">SUM(H10:I10)</f>
        <v>134400</v>
      </c>
      <c r="K10" s="212">
        <v>84718</v>
      </c>
      <c r="L10" s="212">
        <v>0</v>
      </c>
      <c r="M10" s="385">
        <f t="shared" ref="M10:M11" si="3">SUM(K10:L10)</f>
        <v>84718</v>
      </c>
      <c r="N10" s="347">
        <f t="shared" si="1"/>
        <v>63.034226190476197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72350</v>
      </c>
      <c r="I13" s="210">
        <f t="shared" si="4"/>
        <v>0</v>
      </c>
      <c r="J13" s="384">
        <f t="shared" si="4"/>
        <v>72350</v>
      </c>
      <c r="K13" s="210">
        <f t="shared" si="4"/>
        <v>53265</v>
      </c>
      <c r="L13" s="210">
        <f t="shared" si="4"/>
        <v>0</v>
      </c>
      <c r="M13" s="384">
        <f t="shared" si="4"/>
        <v>53265</v>
      </c>
      <c r="N13" s="346">
        <f t="shared" si="1"/>
        <v>73.621285418106424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71700+300+5*70</f>
        <v>72350</v>
      </c>
      <c r="I14" s="212">
        <v>0</v>
      </c>
      <c r="J14" s="385">
        <f>SUM(H14:I14)</f>
        <v>72350</v>
      </c>
      <c r="K14" s="212">
        <v>53265</v>
      </c>
      <c r="L14" s="212">
        <v>0</v>
      </c>
      <c r="M14" s="385">
        <f>SUM(K14:L14)</f>
        <v>53265</v>
      </c>
      <c r="N14" s="347">
        <f t="shared" si="1"/>
        <v>73.621285418106424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63300</v>
      </c>
      <c r="I16" s="293">
        <f t="shared" si="5"/>
        <v>0</v>
      </c>
      <c r="J16" s="387">
        <f t="shared" si="5"/>
        <v>63300</v>
      </c>
      <c r="K16" s="293">
        <f t="shared" si="5"/>
        <v>43106</v>
      </c>
      <c r="L16" s="293">
        <f t="shared" si="5"/>
        <v>0</v>
      </c>
      <c r="M16" s="387">
        <f t="shared" si="5"/>
        <v>43106</v>
      </c>
      <c r="N16" s="346">
        <f t="shared" si="1"/>
        <v>68.097946287519747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4500</v>
      </c>
      <c r="I17" s="363">
        <v>0</v>
      </c>
      <c r="J17" s="385">
        <f t="shared" ref="J17:J26" si="6">SUM(H17:I17)</f>
        <v>4500</v>
      </c>
      <c r="K17" s="363">
        <v>2964</v>
      </c>
      <c r="L17" s="363">
        <v>0</v>
      </c>
      <c r="M17" s="385">
        <f t="shared" ref="M17:M26" si="7">SUM(K17:L17)</f>
        <v>2964</v>
      </c>
      <c r="N17" s="347">
        <f t="shared" si="1"/>
        <v>65.86666666666666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30000</v>
      </c>
      <c r="I18" s="363">
        <v>0</v>
      </c>
      <c r="J18" s="385">
        <f t="shared" si="6"/>
        <v>30000</v>
      </c>
      <c r="K18" s="363">
        <v>21151</v>
      </c>
      <c r="L18" s="363">
        <v>0</v>
      </c>
      <c r="M18" s="385">
        <f t="shared" si="7"/>
        <v>21151</v>
      </c>
      <c r="N18" s="347">
        <f t="shared" si="1"/>
        <v>70.50333333333333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2600</v>
      </c>
      <c r="I19" s="365">
        <v>0</v>
      </c>
      <c r="J19" s="385">
        <f t="shared" si="6"/>
        <v>2600</v>
      </c>
      <c r="K19" s="365">
        <v>1695</v>
      </c>
      <c r="L19" s="365">
        <v>0</v>
      </c>
      <c r="M19" s="385">
        <f t="shared" si="7"/>
        <v>1695</v>
      </c>
      <c r="N19" s="347">
        <f t="shared" si="1"/>
        <v>65.192307692307693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8200</v>
      </c>
      <c r="I20" s="365">
        <v>0</v>
      </c>
      <c r="J20" s="385">
        <f t="shared" si="6"/>
        <v>8200</v>
      </c>
      <c r="K20" s="365">
        <v>7208</v>
      </c>
      <c r="L20" s="365">
        <v>0</v>
      </c>
      <c r="M20" s="385">
        <f t="shared" si="7"/>
        <v>7208</v>
      </c>
      <c r="N20" s="347">
        <f t="shared" si="1"/>
        <v>87.902439024390247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0</v>
      </c>
      <c r="I21" s="365">
        <v>0</v>
      </c>
      <c r="J21" s="385">
        <f t="shared" si="6"/>
        <v>0</v>
      </c>
      <c r="K21" s="365">
        <v>0</v>
      </c>
      <c r="L21" s="365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9000</v>
      </c>
      <c r="I23" s="365">
        <v>0</v>
      </c>
      <c r="J23" s="385">
        <f t="shared" si="6"/>
        <v>9000</v>
      </c>
      <c r="K23" s="365">
        <v>3443</v>
      </c>
      <c r="L23" s="365">
        <v>0</v>
      </c>
      <c r="M23" s="385">
        <f t="shared" si="7"/>
        <v>3443</v>
      </c>
      <c r="N23" s="347">
        <f t="shared" si="1"/>
        <v>38.255555555555553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9000</v>
      </c>
      <c r="I25" s="365">
        <v>0</v>
      </c>
      <c r="J25" s="385">
        <f t="shared" si="6"/>
        <v>9000</v>
      </c>
      <c r="K25" s="365">
        <v>6645</v>
      </c>
      <c r="L25" s="365">
        <v>0</v>
      </c>
      <c r="M25" s="385">
        <f t="shared" si="7"/>
        <v>6645</v>
      </c>
      <c r="N25" s="347">
        <f t="shared" si="1"/>
        <v>73.833333333333329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5100</v>
      </c>
      <c r="I28" s="295">
        <f t="shared" si="8"/>
        <v>4900</v>
      </c>
      <c r="J28" s="387">
        <f t="shared" si="8"/>
        <v>10000</v>
      </c>
      <c r="K28" s="295">
        <f t="shared" si="8"/>
        <v>888</v>
      </c>
      <c r="L28" s="295">
        <f t="shared" si="8"/>
        <v>4899</v>
      </c>
      <c r="M28" s="387">
        <f t="shared" si="8"/>
        <v>5787</v>
      </c>
      <c r="N28" s="346">
        <f t="shared" si="1"/>
        <v>57.87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4100</v>
      </c>
      <c r="I29" s="296">
        <v>0</v>
      </c>
      <c r="J29" s="385">
        <f t="shared" ref="J29:J30" si="9">SUM(H29:I29)</f>
        <v>4100</v>
      </c>
      <c r="K29" s="296">
        <v>0</v>
      </c>
      <c r="L29" s="296">
        <v>0</v>
      </c>
      <c r="M29" s="385">
        <f t="shared" ref="M29:M30" si="10">SUM(K29:L29)</f>
        <v>0</v>
      </c>
      <c r="N29" s="347">
        <f t="shared" si="1"/>
        <v>0</v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1000</v>
      </c>
      <c r="I30" s="296">
        <v>4900</v>
      </c>
      <c r="J30" s="385">
        <f t="shared" si="9"/>
        <v>5900</v>
      </c>
      <c r="K30" s="296">
        <f>5787-4899</f>
        <v>888</v>
      </c>
      <c r="L30" s="296">
        <v>4899</v>
      </c>
      <c r="M30" s="385">
        <f t="shared" si="10"/>
        <v>5787</v>
      </c>
      <c r="N30" s="347">
        <f t="shared" si="1"/>
        <v>98.084745762711862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596</v>
      </c>
      <c r="I32" s="278"/>
      <c r="J32" s="389" t="s">
        <v>596</v>
      </c>
      <c r="K32" s="278" t="s">
        <v>844</v>
      </c>
      <c r="L32" s="278"/>
      <c r="M32" s="389" t="s">
        <v>844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918450</v>
      </c>
      <c r="I33" s="288">
        <f t="shared" si="11"/>
        <v>4900</v>
      </c>
      <c r="J33" s="387">
        <f t="shared" si="11"/>
        <v>923350</v>
      </c>
      <c r="K33" s="288">
        <f t="shared" si="11"/>
        <v>663264</v>
      </c>
      <c r="L33" s="288">
        <f t="shared" si="11"/>
        <v>4899</v>
      </c>
      <c r="M33" s="387">
        <f t="shared" si="11"/>
        <v>668163</v>
      </c>
      <c r="N33" s="346">
        <f t="shared" si="1"/>
        <v>72.36291763686576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P96"/>
  <sheetViews>
    <sheetView zoomScaleNormal="100" workbookViewId="0">
      <selection activeCell="R20" sqref="R20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172</v>
      </c>
      <c r="C2" s="599"/>
      <c r="D2" s="599"/>
      <c r="E2" s="599"/>
      <c r="F2" s="599"/>
      <c r="G2" s="599"/>
      <c r="H2" s="618"/>
      <c r="I2" s="618"/>
      <c r="J2" s="618"/>
      <c r="K2" s="618"/>
      <c r="L2" s="618"/>
      <c r="M2" s="618"/>
      <c r="N2" s="61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146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979810</v>
      </c>
      <c r="I8" s="210">
        <f t="shared" si="0"/>
        <v>0</v>
      </c>
      <c r="J8" s="384">
        <f t="shared" si="0"/>
        <v>979810</v>
      </c>
      <c r="K8" s="210">
        <f t="shared" si="0"/>
        <v>701168</v>
      </c>
      <c r="L8" s="210">
        <f t="shared" si="0"/>
        <v>0</v>
      </c>
      <c r="M8" s="384">
        <f t="shared" si="0"/>
        <v>701168</v>
      </c>
      <c r="N8" s="346">
        <f>IF(J8=0,"",M8/J8*100)</f>
        <v>71.561629295475655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801200+3200+550+500</f>
        <v>805450</v>
      </c>
      <c r="I9" s="212">
        <v>0</v>
      </c>
      <c r="J9" s="385">
        <f>SUM(H9:I9)</f>
        <v>805450</v>
      </c>
      <c r="K9" s="212">
        <v>585113</v>
      </c>
      <c r="L9" s="212">
        <v>0</v>
      </c>
      <c r="M9" s="385">
        <f>SUM(K9:L9)</f>
        <v>585113</v>
      </c>
      <c r="N9" s="347">
        <f t="shared" ref="N9:N66" si="1">IF(J9=0,"",M9/J9*100)</f>
        <v>72.644236141287479</v>
      </c>
      <c r="O9" s="50"/>
      <c r="P9" s="57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167800+2100+3560+900</f>
        <v>174360</v>
      </c>
      <c r="I10" s="212">
        <v>0</v>
      </c>
      <c r="J10" s="385">
        <f t="shared" ref="J10:J11" si="2">SUM(H10:I10)</f>
        <v>174360</v>
      </c>
      <c r="K10" s="212">
        <v>116055</v>
      </c>
      <c r="L10" s="212">
        <v>0</v>
      </c>
      <c r="M10" s="385">
        <f t="shared" ref="M10:M11" si="3">SUM(K10:L10)</f>
        <v>116055</v>
      </c>
      <c r="N10" s="347">
        <f t="shared" si="1"/>
        <v>66.560564349621473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85620</v>
      </c>
      <c r="I13" s="210">
        <f t="shared" si="4"/>
        <v>0</v>
      </c>
      <c r="J13" s="384">
        <f t="shared" si="4"/>
        <v>85620</v>
      </c>
      <c r="K13" s="210">
        <f t="shared" si="4"/>
        <v>66064</v>
      </c>
      <c r="L13" s="210">
        <f t="shared" si="4"/>
        <v>0</v>
      </c>
      <c r="M13" s="384">
        <f t="shared" si="4"/>
        <v>66064</v>
      </c>
      <c r="N13" s="346">
        <f t="shared" si="1"/>
        <v>77.159542163046012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85200+350+70</f>
        <v>85620</v>
      </c>
      <c r="I14" s="212">
        <v>0</v>
      </c>
      <c r="J14" s="385">
        <f>SUM(H14:I14)</f>
        <v>85620</v>
      </c>
      <c r="K14" s="212">
        <v>66064</v>
      </c>
      <c r="L14" s="212">
        <v>0</v>
      </c>
      <c r="M14" s="385">
        <f>SUM(K14:L14)</f>
        <v>66064</v>
      </c>
      <c r="N14" s="347">
        <f t="shared" si="1"/>
        <v>77.159542163046012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98650</v>
      </c>
      <c r="I16" s="293">
        <f t="shared" si="5"/>
        <v>0</v>
      </c>
      <c r="J16" s="387">
        <f t="shared" si="5"/>
        <v>98650</v>
      </c>
      <c r="K16" s="293">
        <f t="shared" si="5"/>
        <v>46782</v>
      </c>
      <c r="L16" s="293">
        <f t="shared" si="5"/>
        <v>0</v>
      </c>
      <c r="M16" s="387">
        <f t="shared" si="5"/>
        <v>46782</v>
      </c>
      <c r="N16" s="346">
        <f t="shared" si="1"/>
        <v>47.422199695894577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4000</v>
      </c>
      <c r="I17" s="363">
        <v>0</v>
      </c>
      <c r="J17" s="385">
        <f t="shared" ref="J17:J26" si="6">SUM(H17:I17)</f>
        <v>4000</v>
      </c>
      <c r="K17" s="363">
        <v>2683</v>
      </c>
      <c r="L17" s="363">
        <v>0</v>
      </c>
      <c r="M17" s="385">
        <f t="shared" ref="M17:M26" si="7">SUM(K17:L17)</f>
        <v>2683</v>
      </c>
      <c r="N17" s="347">
        <f t="shared" si="1"/>
        <v>67.074999999999989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55000</v>
      </c>
      <c r="I18" s="363">
        <v>0</v>
      </c>
      <c r="J18" s="385">
        <f t="shared" si="6"/>
        <v>55000</v>
      </c>
      <c r="K18" s="363">
        <v>20337</v>
      </c>
      <c r="L18" s="363">
        <v>0</v>
      </c>
      <c r="M18" s="385">
        <f t="shared" si="7"/>
        <v>20337</v>
      </c>
      <c r="N18" s="347">
        <f t="shared" si="1"/>
        <v>36.976363636363637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4500</v>
      </c>
      <c r="I19" s="363">
        <v>0</v>
      </c>
      <c r="J19" s="385">
        <f t="shared" si="6"/>
        <v>4500</v>
      </c>
      <c r="K19" s="363">
        <v>3023</v>
      </c>
      <c r="L19" s="363">
        <v>0</v>
      </c>
      <c r="M19" s="385">
        <f t="shared" si="7"/>
        <v>3023</v>
      </c>
      <c r="N19" s="347">
        <f t="shared" si="1"/>
        <v>67.177777777777777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12000</v>
      </c>
      <c r="I20" s="363">
        <v>0</v>
      </c>
      <c r="J20" s="385">
        <f t="shared" si="6"/>
        <v>12000</v>
      </c>
      <c r="K20" s="363">
        <v>8188</v>
      </c>
      <c r="L20" s="363">
        <v>0</v>
      </c>
      <c r="M20" s="385">
        <f t="shared" si="7"/>
        <v>8188</v>
      </c>
      <c r="N20" s="347">
        <f t="shared" si="1"/>
        <v>68.233333333333334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1000</v>
      </c>
      <c r="I21" s="365">
        <v>0</v>
      </c>
      <c r="J21" s="385">
        <f t="shared" si="6"/>
        <v>1000</v>
      </c>
      <c r="K21" s="365">
        <v>992</v>
      </c>
      <c r="L21" s="365">
        <v>0</v>
      </c>
      <c r="M21" s="385">
        <f t="shared" si="7"/>
        <v>992</v>
      </c>
      <c r="N21" s="347">
        <f t="shared" si="1"/>
        <v>99.2</v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11100</v>
      </c>
      <c r="I23" s="365">
        <v>0</v>
      </c>
      <c r="J23" s="385">
        <f t="shared" si="6"/>
        <v>11100</v>
      </c>
      <c r="K23" s="365">
        <v>4300</v>
      </c>
      <c r="L23" s="365">
        <v>0</v>
      </c>
      <c r="M23" s="385">
        <f t="shared" si="7"/>
        <v>4300</v>
      </c>
      <c r="N23" s="347">
        <f t="shared" si="1"/>
        <v>38.738738738738739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1050</v>
      </c>
      <c r="I24" s="365">
        <v>0</v>
      </c>
      <c r="J24" s="385">
        <f t="shared" si="6"/>
        <v>1050</v>
      </c>
      <c r="K24" s="365">
        <v>1050</v>
      </c>
      <c r="L24" s="365">
        <v>0</v>
      </c>
      <c r="M24" s="385">
        <f t="shared" si="7"/>
        <v>1050</v>
      </c>
      <c r="N24" s="347">
        <f t="shared" si="1"/>
        <v>100</v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10000</v>
      </c>
      <c r="I25" s="365">
        <v>0</v>
      </c>
      <c r="J25" s="385">
        <f t="shared" si="6"/>
        <v>10000</v>
      </c>
      <c r="K25" s="365">
        <v>6209</v>
      </c>
      <c r="L25" s="365">
        <v>0</v>
      </c>
      <c r="M25" s="385">
        <f t="shared" si="7"/>
        <v>6209</v>
      </c>
      <c r="N25" s="347">
        <f t="shared" si="1"/>
        <v>62.09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1">
        <v>0</v>
      </c>
      <c r="I26" s="361">
        <v>0</v>
      </c>
      <c r="J26" s="385">
        <f t="shared" si="6"/>
        <v>0</v>
      </c>
      <c r="K26" s="361">
        <v>0</v>
      </c>
      <c r="L26" s="361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16000</v>
      </c>
      <c r="I28" s="295">
        <f t="shared" si="8"/>
        <v>0</v>
      </c>
      <c r="J28" s="387">
        <f t="shared" si="8"/>
        <v>16000</v>
      </c>
      <c r="K28" s="295">
        <f t="shared" si="8"/>
        <v>13992</v>
      </c>
      <c r="L28" s="295">
        <f t="shared" si="8"/>
        <v>0</v>
      </c>
      <c r="M28" s="387">
        <f t="shared" si="8"/>
        <v>13992</v>
      </c>
      <c r="N28" s="346">
        <f t="shared" si="1"/>
        <v>87.45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11000</v>
      </c>
      <c r="I29" s="296">
        <v>0</v>
      </c>
      <c r="J29" s="385">
        <f t="shared" ref="J29:J30" si="9">SUM(H29:I29)</f>
        <v>11000</v>
      </c>
      <c r="K29" s="296">
        <v>10641</v>
      </c>
      <c r="L29" s="296">
        <v>0</v>
      </c>
      <c r="M29" s="385">
        <f t="shared" ref="M29:M30" si="10">SUM(K29:L29)</f>
        <v>10641</v>
      </c>
      <c r="N29" s="347">
        <f t="shared" si="1"/>
        <v>96.736363636363635</v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5000</v>
      </c>
      <c r="I30" s="296">
        <v>0</v>
      </c>
      <c r="J30" s="385">
        <f t="shared" si="9"/>
        <v>5000</v>
      </c>
      <c r="K30" s="296">
        <v>3351</v>
      </c>
      <c r="L30" s="296">
        <v>0</v>
      </c>
      <c r="M30" s="385">
        <f t="shared" si="10"/>
        <v>3351</v>
      </c>
      <c r="N30" s="347">
        <f t="shared" si="1"/>
        <v>67.02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7" t="s">
        <v>650</v>
      </c>
      <c r="I32" s="297"/>
      <c r="J32" s="389" t="s">
        <v>650</v>
      </c>
      <c r="K32" s="297" t="s">
        <v>845</v>
      </c>
      <c r="L32" s="297"/>
      <c r="M32" s="389" t="s">
        <v>845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1180080</v>
      </c>
      <c r="I33" s="288">
        <f t="shared" si="11"/>
        <v>0</v>
      </c>
      <c r="J33" s="387">
        <f t="shared" si="11"/>
        <v>1180080</v>
      </c>
      <c r="K33" s="288">
        <f t="shared" si="11"/>
        <v>828006</v>
      </c>
      <c r="L33" s="288">
        <f t="shared" si="11"/>
        <v>0</v>
      </c>
      <c r="M33" s="387">
        <f t="shared" si="11"/>
        <v>828006</v>
      </c>
      <c r="N33" s="346">
        <f t="shared" si="1"/>
        <v>70.165243034370548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N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P96"/>
  <sheetViews>
    <sheetView zoomScaleNormal="100" workbookViewId="0">
      <selection activeCell="Q27" sqref="Q27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173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147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390200</v>
      </c>
      <c r="I8" s="210">
        <f t="shared" si="0"/>
        <v>0</v>
      </c>
      <c r="J8" s="384">
        <f t="shared" si="0"/>
        <v>390200</v>
      </c>
      <c r="K8" s="210">
        <f t="shared" si="0"/>
        <v>283635</v>
      </c>
      <c r="L8" s="210">
        <f t="shared" si="0"/>
        <v>0</v>
      </c>
      <c r="M8" s="384">
        <f t="shared" si="0"/>
        <v>283635</v>
      </c>
      <c r="N8" s="346">
        <f>IF(J8=0,"",M8/J8*100)</f>
        <v>72.689646335212714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314100+1300+500</f>
        <v>315900</v>
      </c>
      <c r="I9" s="212">
        <v>0</v>
      </c>
      <c r="J9" s="385">
        <f>SUM(H9:I9)</f>
        <v>315900</v>
      </c>
      <c r="K9" s="212">
        <v>233615</v>
      </c>
      <c r="L9" s="212">
        <v>0</v>
      </c>
      <c r="M9" s="385">
        <f>SUM(K9:L9)</f>
        <v>233615</v>
      </c>
      <c r="N9" s="347">
        <f t="shared" ref="N9:N66" si="1">IF(J9=0,"",M9/J9*100)</f>
        <v>73.952200063311182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72000+1400+900</f>
        <v>74300</v>
      </c>
      <c r="I10" s="212">
        <v>0</v>
      </c>
      <c r="J10" s="385">
        <f t="shared" ref="J10:J11" si="2">SUM(H10:I10)</f>
        <v>74300</v>
      </c>
      <c r="K10" s="212">
        <v>50020</v>
      </c>
      <c r="L10" s="212">
        <v>0</v>
      </c>
      <c r="M10" s="385">
        <f t="shared" ref="M10:M11" si="3">SUM(K10:L10)</f>
        <v>50020</v>
      </c>
      <c r="N10" s="347">
        <f t="shared" si="1"/>
        <v>67.321668909825036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35840</v>
      </c>
      <c r="I13" s="210">
        <f t="shared" si="4"/>
        <v>0</v>
      </c>
      <c r="J13" s="384">
        <f t="shared" si="4"/>
        <v>35840</v>
      </c>
      <c r="K13" s="210">
        <f t="shared" si="4"/>
        <v>25784</v>
      </c>
      <c r="L13" s="210">
        <f t="shared" si="4"/>
        <v>0</v>
      </c>
      <c r="M13" s="384">
        <f t="shared" si="4"/>
        <v>25784</v>
      </c>
      <c r="N13" s="346">
        <f t="shared" si="1"/>
        <v>71.941964285714292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35600+170+70</f>
        <v>35840</v>
      </c>
      <c r="I14" s="212">
        <v>0</v>
      </c>
      <c r="J14" s="385">
        <f>SUM(H14:I14)</f>
        <v>35840</v>
      </c>
      <c r="K14" s="212">
        <v>25784</v>
      </c>
      <c r="L14" s="212">
        <v>0</v>
      </c>
      <c r="M14" s="385">
        <f>SUM(K14:L14)</f>
        <v>25784</v>
      </c>
      <c r="N14" s="347">
        <f t="shared" si="1"/>
        <v>71.941964285714292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47300</v>
      </c>
      <c r="I16" s="293">
        <f t="shared" si="5"/>
        <v>0</v>
      </c>
      <c r="J16" s="387">
        <f t="shared" si="5"/>
        <v>47300</v>
      </c>
      <c r="K16" s="293">
        <f t="shared" si="5"/>
        <v>31402</v>
      </c>
      <c r="L16" s="293">
        <f t="shared" si="5"/>
        <v>0</v>
      </c>
      <c r="M16" s="387">
        <f t="shared" si="5"/>
        <v>31402</v>
      </c>
      <c r="N16" s="346">
        <f t="shared" si="1"/>
        <v>66.38900634249471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4000</v>
      </c>
      <c r="I17" s="363">
        <v>0</v>
      </c>
      <c r="J17" s="385">
        <f t="shared" ref="J17:J26" si="6">SUM(H17:I17)</f>
        <v>4000</v>
      </c>
      <c r="K17" s="363">
        <v>2181</v>
      </c>
      <c r="L17" s="363">
        <v>0</v>
      </c>
      <c r="M17" s="385">
        <f t="shared" ref="M17:M26" si="7">SUM(K17:L17)</f>
        <v>2181</v>
      </c>
      <c r="N17" s="347">
        <f t="shared" si="1"/>
        <v>54.524999999999999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16200</v>
      </c>
      <c r="I18" s="363">
        <v>0</v>
      </c>
      <c r="J18" s="385">
        <f t="shared" si="6"/>
        <v>16200</v>
      </c>
      <c r="K18" s="363">
        <v>8887</v>
      </c>
      <c r="L18" s="363">
        <v>0</v>
      </c>
      <c r="M18" s="385">
        <f t="shared" si="7"/>
        <v>8887</v>
      </c>
      <c r="N18" s="347">
        <f t="shared" si="1"/>
        <v>54.858024691358018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2500</v>
      </c>
      <c r="I19" s="363">
        <v>0</v>
      </c>
      <c r="J19" s="385">
        <f t="shared" si="6"/>
        <v>2500</v>
      </c>
      <c r="K19" s="363">
        <v>1759</v>
      </c>
      <c r="L19" s="363">
        <v>0</v>
      </c>
      <c r="M19" s="385">
        <f t="shared" si="7"/>
        <v>1759</v>
      </c>
      <c r="N19" s="347">
        <f t="shared" si="1"/>
        <v>70.36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10500</v>
      </c>
      <c r="I20" s="363">
        <v>0</v>
      </c>
      <c r="J20" s="385">
        <f t="shared" si="6"/>
        <v>10500</v>
      </c>
      <c r="K20" s="363">
        <v>6469</v>
      </c>
      <c r="L20" s="363">
        <v>0</v>
      </c>
      <c r="M20" s="385">
        <f t="shared" si="7"/>
        <v>6469</v>
      </c>
      <c r="N20" s="347">
        <f t="shared" si="1"/>
        <v>61.609523809523814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600</v>
      </c>
      <c r="I21" s="363">
        <v>0</v>
      </c>
      <c r="J21" s="385">
        <f t="shared" si="6"/>
        <v>600</v>
      </c>
      <c r="K21" s="363">
        <v>580</v>
      </c>
      <c r="L21" s="363">
        <v>0</v>
      </c>
      <c r="M21" s="385">
        <f t="shared" si="7"/>
        <v>580</v>
      </c>
      <c r="N21" s="347">
        <f t="shared" si="1"/>
        <v>96.666666666666671</v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6000</v>
      </c>
      <c r="I23" s="363">
        <v>0</v>
      </c>
      <c r="J23" s="385">
        <f t="shared" si="6"/>
        <v>6000</v>
      </c>
      <c r="K23" s="363">
        <v>4101</v>
      </c>
      <c r="L23" s="363">
        <v>0</v>
      </c>
      <c r="M23" s="385">
        <f t="shared" si="7"/>
        <v>4101</v>
      </c>
      <c r="N23" s="347">
        <f t="shared" si="1"/>
        <v>68.349999999999994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7500</v>
      </c>
      <c r="I25" s="365">
        <v>0</v>
      </c>
      <c r="J25" s="385">
        <f t="shared" si="6"/>
        <v>7500</v>
      </c>
      <c r="K25" s="365">
        <v>7425</v>
      </c>
      <c r="L25" s="365">
        <v>0</v>
      </c>
      <c r="M25" s="385">
        <f t="shared" si="7"/>
        <v>7425</v>
      </c>
      <c r="N25" s="347">
        <f t="shared" si="1"/>
        <v>99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3000</v>
      </c>
      <c r="I28" s="295">
        <f t="shared" si="8"/>
        <v>3000</v>
      </c>
      <c r="J28" s="387">
        <f t="shared" si="8"/>
        <v>6000</v>
      </c>
      <c r="K28" s="295">
        <f t="shared" si="8"/>
        <v>2998</v>
      </c>
      <c r="L28" s="295">
        <f t="shared" si="8"/>
        <v>2984</v>
      </c>
      <c r="M28" s="387">
        <f t="shared" si="8"/>
        <v>5982</v>
      </c>
      <c r="N28" s="346">
        <f t="shared" si="1"/>
        <v>99.7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0</v>
      </c>
      <c r="I29" s="296">
        <v>0</v>
      </c>
      <c r="J29" s="385">
        <f t="shared" ref="J29:J30" si="9">SUM(H29:I29)</f>
        <v>0</v>
      </c>
      <c r="K29" s="296">
        <v>0</v>
      </c>
      <c r="L29" s="296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3000</v>
      </c>
      <c r="I30" s="296">
        <v>3000</v>
      </c>
      <c r="J30" s="385">
        <f t="shared" si="9"/>
        <v>6000</v>
      </c>
      <c r="K30" s="296">
        <f>5982-2984</f>
        <v>2998</v>
      </c>
      <c r="L30" s="296">
        <v>2984</v>
      </c>
      <c r="M30" s="385">
        <f t="shared" si="10"/>
        <v>5982</v>
      </c>
      <c r="N30" s="347">
        <f t="shared" si="1"/>
        <v>99.7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651</v>
      </c>
      <c r="I32" s="278"/>
      <c r="J32" s="389" t="s">
        <v>651</v>
      </c>
      <c r="K32" s="278" t="s">
        <v>846</v>
      </c>
      <c r="L32" s="278"/>
      <c r="M32" s="389" t="s">
        <v>846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476340</v>
      </c>
      <c r="I33" s="288">
        <f t="shared" si="11"/>
        <v>3000</v>
      </c>
      <c r="J33" s="387">
        <f t="shared" si="11"/>
        <v>479340</v>
      </c>
      <c r="K33" s="288">
        <f t="shared" si="11"/>
        <v>343819</v>
      </c>
      <c r="L33" s="288">
        <f t="shared" si="11"/>
        <v>2984</v>
      </c>
      <c r="M33" s="387">
        <f t="shared" si="11"/>
        <v>346803</v>
      </c>
      <c r="N33" s="346">
        <f t="shared" si="1"/>
        <v>72.350106396294905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2"/>
  <dimension ref="A1:P96"/>
  <sheetViews>
    <sheetView zoomScaleNormal="100" workbookViewId="0">
      <selection activeCell="Q28" sqref="Q28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174</v>
      </c>
      <c r="C2" s="599"/>
      <c r="D2" s="599"/>
      <c r="E2" s="599"/>
      <c r="F2" s="599"/>
      <c r="G2" s="599"/>
      <c r="H2" s="618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148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579860</v>
      </c>
      <c r="I8" s="210">
        <f t="shared" si="0"/>
        <v>0</v>
      </c>
      <c r="J8" s="384">
        <f t="shared" si="0"/>
        <v>579860</v>
      </c>
      <c r="K8" s="210">
        <f t="shared" si="0"/>
        <v>419939</v>
      </c>
      <c r="L8" s="210">
        <f t="shared" si="0"/>
        <v>0</v>
      </c>
      <c r="M8" s="384">
        <f t="shared" si="0"/>
        <v>419939</v>
      </c>
      <c r="N8" s="346">
        <f>IF(J8=0,"",M8/J8*100)</f>
        <v>72.420756734384156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473000+0+3000+2*500</f>
        <v>477000</v>
      </c>
      <c r="I9" s="212">
        <v>0</v>
      </c>
      <c r="J9" s="385">
        <f>SUM(H9:I9)</f>
        <v>477000</v>
      </c>
      <c r="K9" s="212">
        <v>348864</v>
      </c>
      <c r="L9" s="212">
        <v>0</v>
      </c>
      <c r="M9" s="385">
        <f>SUM(K9:L9)</f>
        <v>348864</v>
      </c>
      <c r="N9" s="347">
        <f t="shared" ref="N9:N66" si="1">IF(J9=0,"",M9/J9*100)</f>
        <v>73.137106918238999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95300+2000+3760+2*900</f>
        <v>102860</v>
      </c>
      <c r="I10" s="212">
        <v>0</v>
      </c>
      <c r="J10" s="385">
        <f t="shared" ref="J10:J11" si="2">SUM(H10:I10)</f>
        <v>102860</v>
      </c>
      <c r="K10" s="212">
        <v>71075</v>
      </c>
      <c r="L10" s="212">
        <v>0</v>
      </c>
      <c r="M10" s="385">
        <f t="shared" ref="M10:M11" si="3">SUM(K10:L10)</f>
        <v>71075</v>
      </c>
      <c r="N10" s="347">
        <f t="shared" si="1"/>
        <v>69.098775034026843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50890</v>
      </c>
      <c r="I13" s="210">
        <f t="shared" si="4"/>
        <v>0</v>
      </c>
      <c r="J13" s="384">
        <f t="shared" si="4"/>
        <v>50890</v>
      </c>
      <c r="K13" s="210">
        <f t="shared" si="4"/>
        <v>37216</v>
      </c>
      <c r="L13" s="210">
        <f t="shared" si="4"/>
        <v>0</v>
      </c>
      <c r="M13" s="384">
        <f t="shared" si="4"/>
        <v>37216</v>
      </c>
      <c r="N13" s="346">
        <f t="shared" si="1"/>
        <v>73.130280998231484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50500+250+2*70</f>
        <v>50890</v>
      </c>
      <c r="I14" s="212">
        <v>0</v>
      </c>
      <c r="J14" s="385">
        <f>SUM(H14:I14)</f>
        <v>50890</v>
      </c>
      <c r="K14" s="212">
        <v>37216</v>
      </c>
      <c r="L14" s="212">
        <v>0</v>
      </c>
      <c r="M14" s="385">
        <f>SUM(K14:L14)</f>
        <v>37216</v>
      </c>
      <c r="N14" s="347">
        <f t="shared" si="1"/>
        <v>73.130280998231484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63400</v>
      </c>
      <c r="I16" s="293">
        <f t="shared" si="5"/>
        <v>0</v>
      </c>
      <c r="J16" s="387">
        <f t="shared" si="5"/>
        <v>63400</v>
      </c>
      <c r="K16" s="293">
        <f t="shared" si="5"/>
        <v>43905</v>
      </c>
      <c r="L16" s="293">
        <f t="shared" si="5"/>
        <v>0</v>
      </c>
      <c r="M16" s="387">
        <f t="shared" si="5"/>
        <v>43905</v>
      </c>
      <c r="N16" s="346">
        <f t="shared" si="1"/>
        <v>69.250788643533127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4500</v>
      </c>
      <c r="I17" s="363">
        <v>0</v>
      </c>
      <c r="J17" s="385">
        <f t="shared" ref="J17:J26" si="6">SUM(H17:I17)</f>
        <v>4500</v>
      </c>
      <c r="K17" s="363">
        <v>1712</v>
      </c>
      <c r="L17" s="363">
        <v>0</v>
      </c>
      <c r="M17" s="385">
        <f t="shared" ref="M17:M26" si="7">SUM(K17:L17)</f>
        <v>1712</v>
      </c>
      <c r="N17" s="347">
        <f t="shared" si="1"/>
        <v>38.044444444444444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30500</v>
      </c>
      <c r="I18" s="363">
        <v>0</v>
      </c>
      <c r="J18" s="385">
        <f t="shared" si="6"/>
        <v>30500</v>
      </c>
      <c r="K18" s="363">
        <v>21526</v>
      </c>
      <c r="L18" s="363">
        <v>0</v>
      </c>
      <c r="M18" s="385">
        <f t="shared" si="7"/>
        <v>21526</v>
      </c>
      <c r="N18" s="347">
        <f t="shared" si="1"/>
        <v>70.577049180327862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2400</v>
      </c>
      <c r="I19" s="363">
        <v>0</v>
      </c>
      <c r="J19" s="385">
        <f t="shared" si="6"/>
        <v>2400</v>
      </c>
      <c r="K19" s="363">
        <v>1996</v>
      </c>
      <c r="L19" s="363">
        <v>0</v>
      </c>
      <c r="M19" s="385">
        <f t="shared" si="7"/>
        <v>1996</v>
      </c>
      <c r="N19" s="347">
        <f t="shared" si="1"/>
        <v>83.166666666666671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9000</v>
      </c>
      <c r="I20" s="365">
        <v>0</v>
      </c>
      <c r="J20" s="385">
        <f t="shared" si="6"/>
        <v>9000</v>
      </c>
      <c r="K20" s="365">
        <v>6831</v>
      </c>
      <c r="L20" s="365">
        <v>0</v>
      </c>
      <c r="M20" s="385">
        <f t="shared" si="7"/>
        <v>6831</v>
      </c>
      <c r="N20" s="347">
        <f t="shared" si="1"/>
        <v>75.900000000000006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1000</v>
      </c>
      <c r="I21" s="365">
        <v>0</v>
      </c>
      <c r="J21" s="385">
        <f t="shared" si="6"/>
        <v>1000</v>
      </c>
      <c r="K21" s="365">
        <v>713</v>
      </c>
      <c r="L21" s="365">
        <v>0</v>
      </c>
      <c r="M21" s="385">
        <f t="shared" si="7"/>
        <v>713</v>
      </c>
      <c r="N21" s="347">
        <f t="shared" si="1"/>
        <v>71.3</v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8500</v>
      </c>
      <c r="I23" s="365">
        <v>0</v>
      </c>
      <c r="J23" s="385">
        <f t="shared" si="6"/>
        <v>8500</v>
      </c>
      <c r="K23" s="365">
        <v>6048</v>
      </c>
      <c r="L23" s="365">
        <v>0</v>
      </c>
      <c r="M23" s="385">
        <f t="shared" si="7"/>
        <v>6048</v>
      </c>
      <c r="N23" s="347">
        <f t="shared" si="1"/>
        <v>71.152941176470591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7500</v>
      </c>
      <c r="I25" s="365">
        <v>0</v>
      </c>
      <c r="J25" s="385">
        <f t="shared" si="6"/>
        <v>7500</v>
      </c>
      <c r="K25" s="365">
        <v>5079</v>
      </c>
      <c r="L25" s="365">
        <v>0</v>
      </c>
      <c r="M25" s="385">
        <f t="shared" si="7"/>
        <v>5079</v>
      </c>
      <c r="N25" s="347">
        <f t="shared" si="1"/>
        <v>67.72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SUM(H29:H31)</f>
        <v>3000</v>
      </c>
      <c r="I28" s="295">
        <f t="shared" si="8"/>
        <v>2000</v>
      </c>
      <c r="J28" s="387">
        <f t="shared" si="8"/>
        <v>5000</v>
      </c>
      <c r="K28" s="295">
        <f t="shared" si="8"/>
        <v>2899</v>
      </c>
      <c r="L28" s="295">
        <f t="shared" si="8"/>
        <v>0</v>
      </c>
      <c r="M28" s="387">
        <f t="shared" si="8"/>
        <v>2899</v>
      </c>
      <c r="N28" s="346">
        <f t="shared" si="1"/>
        <v>57.98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0</v>
      </c>
      <c r="I29" s="296">
        <v>0</v>
      </c>
      <c r="J29" s="385">
        <f t="shared" ref="J29:J30" si="9">SUM(H29:I29)</f>
        <v>0</v>
      </c>
      <c r="K29" s="296">
        <v>0</v>
      </c>
      <c r="L29" s="296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3000</v>
      </c>
      <c r="I30" s="296">
        <v>2000</v>
      </c>
      <c r="J30" s="385">
        <f t="shared" si="9"/>
        <v>5000</v>
      </c>
      <c r="K30" s="296">
        <v>2899</v>
      </c>
      <c r="L30" s="296">
        <v>0</v>
      </c>
      <c r="M30" s="385">
        <f t="shared" si="10"/>
        <v>2899</v>
      </c>
      <c r="N30" s="347">
        <f t="shared" si="1"/>
        <v>57.98</v>
      </c>
    </row>
    <row r="31" spans="1:14" ht="12.95" customHeight="1">
      <c r="B31" s="10"/>
      <c r="C31" s="11"/>
      <c r="D31" s="11"/>
      <c r="E31" s="306"/>
      <c r="F31" s="332"/>
      <c r="G31" s="18"/>
      <c r="H31" s="296"/>
      <c r="I31" s="296"/>
      <c r="J31" s="386"/>
      <c r="K31" s="296"/>
      <c r="L31" s="296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597</v>
      </c>
      <c r="I32" s="278"/>
      <c r="J32" s="389" t="s">
        <v>597</v>
      </c>
      <c r="K32" s="278" t="s">
        <v>847</v>
      </c>
      <c r="L32" s="278"/>
      <c r="M32" s="389" t="s">
        <v>847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697150</v>
      </c>
      <c r="I33" s="288">
        <f t="shared" si="11"/>
        <v>2000</v>
      </c>
      <c r="J33" s="387">
        <f t="shared" si="11"/>
        <v>699150</v>
      </c>
      <c r="K33" s="288">
        <f t="shared" si="11"/>
        <v>503959</v>
      </c>
      <c r="L33" s="288">
        <f t="shared" si="11"/>
        <v>0</v>
      </c>
      <c r="M33" s="387">
        <f t="shared" si="11"/>
        <v>503959</v>
      </c>
      <c r="N33" s="346">
        <f t="shared" si="1"/>
        <v>72.081670600014306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>H33+'29'!H33+'28'!H33+'27'!H33+'26'!H33+'25'!H33+'24'!H33</f>
        <v>7967330</v>
      </c>
      <c r="I34" s="288">
        <f>I33+'29'!I33+'28'!I33+'27'!I33+'26'!I33+'25'!I33+'24'!I33</f>
        <v>14560</v>
      </c>
      <c r="J34" s="387">
        <f>J33+'29'!J33+'28'!J33+'27'!J33+'26'!J33+'25'!J33+'24'!J33</f>
        <v>7981890</v>
      </c>
      <c r="K34" s="288">
        <f>K33+'29'!N33+'28'!N33+'27'!N33+'26'!N33+'25'!N33+'24'!N33</f>
        <v>504385.19898860069</v>
      </c>
      <c r="L34" s="288">
        <f>L33+'29'!O33+'28'!O33+'27'!O33+'26'!O33+'25'!O33+'24'!O33</f>
        <v>0</v>
      </c>
      <c r="M34" s="387">
        <f>M33+'29'!P33+'28'!P33+'27'!P33+'26'!P33+'25'!P33+'24'!P33</f>
        <v>503959</v>
      </c>
      <c r="N34" s="346">
        <f t="shared" si="1"/>
        <v>6.3137803201998519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>H34+'23'!H35+'20'!H52</f>
        <v>13474630</v>
      </c>
      <c r="I35" s="288">
        <f>I34+'23'!I35+'20'!I52</f>
        <v>44810</v>
      </c>
      <c r="J35" s="387">
        <f>J34+'23'!J35+'20'!J52</f>
        <v>13519440</v>
      </c>
      <c r="K35" s="288">
        <f>K34+'23'!N35+'20'!N52</f>
        <v>504480.56405461644</v>
      </c>
      <c r="L35" s="288">
        <f>L34+'23'!O35+'20'!O52</f>
        <v>0</v>
      </c>
      <c r="M35" s="387">
        <f>M34+'23'!P35+'20'!P52</f>
        <v>503959</v>
      </c>
      <c r="N35" s="346">
        <f t="shared" si="1"/>
        <v>3.7276617966424648</v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P96"/>
  <sheetViews>
    <sheetView zoomScaleNormal="100" workbookViewId="0">
      <selection activeCell="Q27" sqref="Q27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179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149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263080</v>
      </c>
      <c r="I8" s="210">
        <f t="shared" si="0"/>
        <v>0</v>
      </c>
      <c r="J8" s="384">
        <f t="shared" si="0"/>
        <v>263080</v>
      </c>
      <c r="K8" s="210">
        <f t="shared" si="0"/>
        <v>193085</v>
      </c>
      <c r="L8" s="210">
        <f t="shared" si="0"/>
        <v>0</v>
      </c>
      <c r="M8" s="384">
        <f t="shared" si="0"/>
        <v>193085</v>
      </c>
      <c r="N8" s="346">
        <f>IF(J8=0,"",M8/J8*100)</f>
        <v>73.394024631290861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174500+1740+2*500+1*12*1980+1*9*950</f>
        <v>209550</v>
      </c>
      <c r="I9" s="212">
        <v>0</v>
      </c>
      <c r="J9" s="385">
        <f>SUM(H9:I9)</f>
        <v>209550</v>
      </c>
      <c r="K9" s="212">
        <v>151670</v>
      </c>
      <c r="L9" s="212">
        <v>0</v>
      </c>
      <c r="M9" s="385">
        <f>SUM(K9:L9)</f>
        <v>151670</v>
      </c>
      <c r="N9" s="347">
        <f t="shared" ref="N9:N66" si="1">IF(J9=0,"",M9/J9*100)</f>
        <v>72.378907182056778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44500+800+2*900+1*11*340+1*9*21*10+2*400</f>
        <v>53530</v>
      </c>
      <c r="I10" s="212">
        <v>0</v>
      </c>
      <c r="J10" s="385">
        <f t="shared" ref="J10:J11" si="2">SUM(H10:I10)</f>
        <v>53530</v>
      </c>
      <c r="K10" s="212">
        <v>41415</v>
      </c>
      <c r="L10" s="212">
        <v>0</v>
      </c>
      <c r="M10" s="385">
        <f t="shared" ref="M10:M11" si="3">SUM(K10:L10)</f>
        <v>41415</v>
      </c>
      <c r="N10" s="347">
        <f t="shared" si="1"/>
        <v>77.367831122734927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22580</v>
      </c>
      <c r="I13" s="210">
        <f t="shared" si="4"/>
        <v>0</v>
      </c>
      <c r="J13" s="384">
        <f t="shared" si="4"/>
        <v>22580</v>
      </c>
      <c r="K13" s="210">
        <f t="shared" si="4"/>
        <v>16089</v>
      </c>
      <c r="L13" s="210">
        <f t="shared" si="4"/>
        <v>0</v>
      </c>
      <c r="M13" s="384">
        <f t="shared" si="4"/>
        <v>16089</v>
      </c>
      <c r="N13" s="346">
        <f t="shared" si="1"/>
        <v>71.253321523472096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18610+200+2*70+1*12*220+1*9*110</f>
        <v>22580</v>
      </c>
      <c r="I14" s="212">
        <v>0</v>
      </c>
      <c r="J14" s="385">
        <f>SUM(H14:I14)</f>
        <v>22580</v>
      </c>
      <c r="K14" s="212">
        <v>16089</v>
      </c>
      <c r="L14" s="212">
        <v>0</v>
      </c>
      <c r="M14" s="385">
        <f>SUM(K14:L14)</f>
        <v>16089</v>
      </c>
      <c r="N14" s="347">
        <f t="shared" si="1"/>
        <v>71.253321523472096</v>
      </c>
    </row>
    <row r="15" spans="1:16" ht="12.95" customHeight="1">
      <c r="B15" s="10"/>
      <c r="C15" s="11"/>
      <c r="D15" s="11"/>
      <c r="E15" s="306"/>
      <c r="F15" s="332"/>
      <c r="G15" s="11"/>
      <c r="H15" s="295"/>
      <c r="I15" s="295"/>
      <c r="J15" s="387"/>
      <c r="K15" s="295"/>
      <c r="L15" s="295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5">
        <f t="shared" ref="H16:M16" si="5">SUM(H17:H26)</f>
        <v>39800</v>
      </c>
      <c r="I16" s="295">
        <f t="shared" si="5"/>
        <v>0</v>
      </c>
      <c r="J16" s="387">
        <f t="shared" si="5"/>
        <v>39800</v>
      </c>
      <c r="K16" s="295">
        <f t="shared" si="5"/>
        <v>28337</v>
      </c>
      <c r="L16" s="295">
        <f t="shared" si="5"/>
        <v>0</v>
      </c>
      <c r="M16" s="387">
        <f t="shared" si="5"/>
        <v>28337</v>
      </c>
      <c r="N16" s="346">
        <f t="shared" si="1"/>
        <v>71.198492462311563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5">
        <v>3500</v>
      </c>
      <c r="I17" s="365">
        <v>0</v>
      </c>
      <c r="J17" s="385">
        <f t="shared" ref="J17:J26" si="6">SUM(H17:I17)</f>
        <v>3500</v>
      </c>
      <c r="K17" s="365">
        <v>1128</v>
      </c>
      <c r="L17" s="365">
        <v>0</v>
      </c>
      <c r="M17" s="385">
        <f t="shared" ref="M17:M26" si="7">SUM(K17:L17)</f>
        <v>1128</v>
      </c>
      <c r="N17" s="347">
        <f t="shared" si="1"/>
        <v>32.228571428571428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5">
        <v>0</v>
      </c>
      <c r="I18" s="365">
        <v>0</v>
      </c>
      <c r="J18" s="385">
        <f t="shared" si="6"/>
        <v>0</v>
      </c>
      <c r="K18" s="365">
        <v>0</v>
      </c>
      <c r="L18" s="365">
        <v>0</v>
      </c>
      <c r="M18" s="385">
        <f t="shared" si="7"/>
        <v>0</v>
      </c>
      <c r="N18" s="347" t="str">
        <f t="shared" si="1"/>
        <v/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3300</v>
      </c>
      <c r="I19" s="365">
        <v>0</v>
      </c>
      <c r="J19" s="385">
        <f t="shared" si="6"/>
        <v>3300</v>
      </c>
      <c r="K19" s="365">
        <v>2413</v>
      </c>
      <c r="L19" s="365">
        <v>0</v>
      </c>
      <c r="M19" s="385">
        <f t="shared" si="7"/>
        <v>2413</v>
      </c>
      <c r="N19" s="347">
        <f t="shared" si="1"/>
        <v>73.121212121212125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1500</v>
      </c>
      <c r="I20" s="365">
        <v>0</v>
      </c>
      <c r="J20" s="385">
        <f t="shared" si="6"/>
        <v>1500</v>
      </c>
      <c r="K20" s="365">
        <v>584</v>
      </c>
      <c r="L20" s="365">
        <v>0</v>
      </c>
      <c r="M20" s="385">
        <f t="shared" si="7"/>
        <v>584</v>
      </c>
      <c r="N20" s="347">
        <f t="shared" si="1"/>
        <v>38.93333333333333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0</v>
      </c>
      <c r="I21" s="365">
        <v>0</v>
      </c>
      <c r="J21" s="385">
        <f t="shared" si="6"/>
        <v>0</v>
      </c>
      <c r="K21" s="365">
        <v>0</v>
      </c>
      <c r="L21" s="365">
        <v>0</v>
      </c>
      <c r="M21" s="385">
        <f t="shared" si="7"/>
        <v>0</v>
      </c>
      <c r="N21" s="347" t="str">
        <f t="shared" si="1"/>
        <v/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2500</v>
      </c>
      <c r="I23" s="365">
        <v>0</v>
      </c>
      <c r="J23" s="385">
        <f t="shared" si="6"/>
        <v>2500</v>
      </c>
      <c r="K23" s="365">
        <v>433</v>
      </c>
      <c r="L23" s="365">
        <v>0</v>
      </c>
      <c r="M23" s="385">
        <f t="shared" si="7"/>
        <v>433</v>
      </c>
      <c r="N23" s="347">
        <f t="shared" si="1"/>
        <v>17.32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29000</v>
      </c>
      <c r="I25" s="365">
        <v>0</v>
      </c>
      <c r="J25" s="385">
        <f t="shared" si="6"/>
        <v>29000</v>
      </c>
      <c r="K25" s="365">
        <v>23779</v>
      </c>
      <c r="L25" s="365">
        <v>0</v>
      </c>
      <c r="M25" s="385">
        <f t="shared" si="7"/>
        <v>23779</v>
      </c>
      <c r="N25" s="347">
        <f t="shared" si="1"/>
        <v>81.99655172413793</v>
      </c>
      <c r="O25" s="68"/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5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614000</v>
      </c>
      <c r="F28" s="331"/>
      <c r="G28" s="8" t="s">
        <v>202</v>
      </c>
      <c r="H28" s="295">
        <f t="shared" ref="H28:M28" si="8">H29</f>
        <v>1100000</v>
      </c>
      <c r="I28" s="295">
        <f t="shared" si="8"/>
        <v>0</v>
      </c>
      <c r="J28" s="387">
        <f t="shared" si="8"/>
        <v>1100000</v>
      </c>
      <c r="K28" s="295">
        <f t="shared" si="8"/>
        <v>738134</v>
      </c>
      <c r="L28" s="295">
        <f t="shared" si="8"/>
        <v>0</v>
      </c>
      <c r="M28" s="387">
        <f t="shared" si="8"/>
        <v>738134</v>
      </c>
      <c r="N28" s="346">
        <f t="shared" si="1"/>
        <v>67.103090909090909</v>
      </c>
    </row>
    <row r="29" spans="1:15" ht="12.95" customHeight="1">
      <c r="B29" s="10"/>
      <c r="C29" s="11"/>
      <c r="D29" s="11"/>
      <c r="E29" s="306">
        <v>614200</v>
      </c>
      <c r="F29" s="332" t="s">
        <v>694</v>
      </c>
      <c r="G29" s="21" t="s">
        <v>114</v>
      </c>
      <c r="H29" s="296">
        <v>1100000</v>
      </c>
      <c r="I29" s="296">
        <v>0</v>
      </c>
      <c r="J29" s="385">
        <f>SUM(H29:I29)</f>
        <v>1100000</v>
      </c>
      <c r="K29" s="296">
        <v>738134</v>
      </c>
      <c r="L29" s="296">
        <v>0</v>
      </c>
      <c r="M29" s="385">
        <f>SUM(K29:L29)</f>
        <v>738134</v>
      </c>
      <c r="N29" s="347">
        <f t="shared" si="1"/>
        <v>67.103090909090909</v>
      </c>
    </row>
    <row r="30" spans="1:15" ht="12.95" customHeight="1">
      <c r="B30" s="10"/>
      <c r="C30" s="11"/>
      <c r="D30" s="11"/>
      <c r="E30" s="306"/>
      <c r="F30" s="332"/>
      <c r="G30" s="11"/>
      <c r="H30" s="296"/>
      <c r="I30" s="296"/>
      <c r="J30" s="386"/>
      <c r="K30" s="296"/>
      <c r="L30" s="296"/>
      <c r="M30" s="386"/>
      <c r="N30" s="347" t="str">
        <f t="shared" si="1"/>
        <v/>
      </c>
    </row>
    <row r="31" spans="1:15" s="1" customFormat="1" ht="12.95" customHeight="1">
      <c r="A31" s="281"/>
      <c r="B31" s="12"/>
      <c r="C31" s="8"/>
      <c r="D31" s="8"/>
      <c r="E31" s="305">
        <v>821000</v>
      </c>
      <c r="F31" s="331"/>
      <c r="G31" s="8" t="s">
        <v>90</v>
      </c>
      <c r="H31" s="295">
        <f t="shared" ref="H31:M31" si="9">SUM(H32:H33)</f>
        <v>3000</v>
      </c>
      <c r="I31" s="295">
        <f t="shared" si="9"/>
        <v>0</v>
      </c>
      <c r="J31" s="387">
        <f t="shared" si="9"/>
        <v>3000</v>
      </c>
      <c r="K31" s="295">
        <f t="shared" si="9"/>
        <v>1846</v>
      </c>
      <c r="L31" s="295">
        <f t="shared" si="9"/>
        <v>0</v>
      </c>
      <c r="M31" s="387">
        <f t="shared" si="9"/>
        <v>1846</v>
      </c>
      <c r="N31" s="347">
        <f t="shared" si="1"/>
        <v>61.533333333333331</v>
      </c>
    </row>
    <row r="32" spans="1:15" ht="12.95" customHeight="1">
      <c r="B32" s="10"/>
      <c r="C32" s="11"/>
      <c r="D32" s="11"/>
      <c r="E32" s="306">
        <v>821200</v>
      </c>
      <c r="F32" s="332"/>
      <c r="G32" s="11" t="s">
        <v>91</v>
      </c>
      <c r="H32" s="296">
        <v>0</v>
      </c>
      <c r="I32" s="296">
        <v>0</v>
      </c>
      <c r="J32" s="385">
        <f t="shared" ref="J32:J33" si="10">SUM(H32:I32)</f>
        <v>0</v>
      </c>
      <c r="K32" s="296">
        <v>0</v>
      </c>
      <c r="L32" s="296">
        <v>0</v>
      </c>
      <c r="M32" s="385">
        <f t="shared" ref="M32:M33" si="11">SUM(K32:L32)</f>
        <v>0</v>
      </c>
      <c r="N32" s="347" t="str">
        <f t="shared" si="1"/>
        <v/>
      </c>
    </row>
    <row r="33" spans="1:14" ht="12.95" customHeight="1">
      <c r="B33" s="10"/>
      <c r="C33" s="11"/>
      <c r="D33" s="11"/>
      <c r="E33" s="306">
        <v>821300</v>
      </c>
      <c r="F33" s="332"/>
      <c r="G33" s="11" t="s">
        <v>92</v>
      </c>
      <c r="H33" s="296">
        <v>3000</v>
      </c>
      <c r="I33" s="296">
        <v>0</v>
      </c>
      <c r="J33" s="385">
        <f t="shared" si="10"/>
        <v>3000</v>
      </c>
      <c r="K33" s="296">
        <v>1846</v>
      </c>
      <c r="L33" s="296">
        <v>0</v>
      </c>
      <c r="M33" s="385">
        <f t="shared" si="11"/>
        <v>1846</v>
      </c>
      <c r="N33" s="347">
        <f t="shared" si="1"/>
        <v>61.533333333333331</v>
      </c>
    </row>
    <row r="34" spans="1:14" ht="12.95" customHeight="1">
      <c r="B34" s="10"/>
      <c r="C34" s="11"/>
      <c r="D34" s="11"/>
      <c r="E34" s="306"/>
      <c r="F34" s="332"/>
      <c r="G34" s="11"/>
      <c r="H34" s="296"/>
      <c r="I34" s="296"/>
      <c r="J34" s="386"/>
      <c r="K34" s="296"/>
      <c r="L34" s="296"/>
      <c r="M34" s="386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93</v>
      </c>
      <c r="H35" s="288">
        <v>12</v>
      </c>
      <c r="I35" s="288"/>
      <c r="J35" s="387">
        <v>12</v>
      </c>
      <c r="K35" s="288">
        <v>12</v>
      </c>
      <c r="L35" s="288"/>
      <c r="M35" s="387">
        <v>12</v>
      </c>
      <c r="N35" s="347"/>
    </row>
    <row r="36" spans="1:14" s="1" customFormat="1" ht="12.95" customHeight="1">
      <c r="A36" s="281"/>
      <c r="B36" s="12"/>
      <c r="C36" s="8"/>
      <c r="D36" s="8"/>
      <c r="E36" s="305"/>
      <c r="F36" s="331"/>
      <c r="G36" s="8" t="s">
        <v>113</v>
      </c>
      <c r="H36" s="288">
        <f t="shared" ref="H36:M36" si="12">H8+H13+H16+H28+H31</f>
        <v>1428460</v>
      </c>
      <c r="I36" s="288">
        <f t="shared" si="12"/>
        <v>0</v>
      </c>
      <c r="J36" s="387">
        <f t="shared" si="12"/>
        <v>1428460</v>
      </c>
      <c r="K36" s="288">
        <f t="shared" si="12"/>
        <v>977491</v>
      </c>
      <c r="L36" s="288">
        <f t="shared" si="12"/>
        <v>0</v>
      </c>
      <c r="M36" s="387">
        <f t="shared" si="12"/>
        <v>977491</v>
      </c>
      <c r="N36" s="346">
        <f t="shared" si="1"/>
        <v>68.429707517186344</v>
      </c>
    </row>
    <row r="37" spans="1:14" s="1" customFormat="1" ht="12.95" customHeight="1">
      <c r="A37" s="281"/>
      <c r="B37" s="12"/>
      <c r="C37" s="8"/>
      <c r="D37" s="8"/>
      <c r="E37" s="305"/>
      <c r="F37" s="331"/>
      <c r="G37" s="8" t="s">
        <v>94</v>
      </c>
      <c r="H37" s="288">
        <f t="shared" ref="H37:J38" si="13">H36</f>
        <v>1428460</v>
      </c>
      <c r="I37" s="288">
        <f t="shared" si="13"/>
        <v>0</v>
      </c>
      <c r="J37" s="387">
        <f t="shared" si="13"/>
        <v>1428460</v>
      </c>
      <c r="K37" s="288">
        <f t="shared" ref="K37:M37" si="14">K36</f>
        <v>977491</v>
      </c>
      <c r="L37" s="288">
        <f t="shared" si="14"/>
        <v>0</v>
      </c>
      <c r="M37" s="387">
        <f t="shared" si="14"/>
        <v>977491</v>
      </c>
      <c r="N37" s="346">
        <f t="shared" si="1"/>
        <v>68.429707517186344</v>
      </c>
    </row>
    <row r="38" spans="1:14" s="1" customFormat="1" ht="12.95" customHeight="1">
      <c r="A38" s="281"/>
      <c r="B38" s="12"/>
      <c r="C38" s="8"/>
      <c r="D38" s="8"/>
      <c r="E38" s="305"/>
      <c r="F38" s="331"/>
      <c r="G38" s="8" t="s">
        <v>95</v>
      </c>
      <c r="H38" s="288">
        <f t="shared" si="13"/>
        <v>1428460</v>
      </c>
      <c r="I38" s="288">
        <f t="shared" si="13"/>
        <v>0</v>
      </c>
      <c r="J38" s="387">
        <f t="shared" si="13"/>
        <v>1428460</v>
      </c>
      <c r="K38" s="288">
        <f t="shared" ref="K38:M38" si="15">K37</f>
        <v>977491</v>
      </c>
      <c r="L38" s="288">
        <f t="shared" si="15"/>
        <v>0</v>
      </c>
      <c r="M38" s="387">
        <f t="shared" si="15"/>
        <v>977491</v>
      </c>
      <c r="N38" s="346">
        <f t="shared" si="1"/>
        <v>68.429707517186344</v>
      </c>
    </row>
    <row r="39" spans="1:14" ht="12.95" customHeight="1" thickBot="1">
      <c r="B39" s="15"/>
      <c r="C39" s="16"/>
      <c r="D39" s="16"/>
      <c r="E39" s="307"/>
      <c r="F39" s="333"/>
      <c r="G39" s="16"/>
      <c r="H39" s="27"/>
      <c r="I39" s="27"/>
      <c r="J39" s="390"/>
      <c r="K39" s="27"/>
      <c r="L39" s="27"/>
      <c r="M39" s="390"/>
      <c r="N39" s="349" t="str">
        <f t="shared" si="1"/>
        <v/>
      </c>
    </row>
    <row r="40" spans="1:14" ht="12.95" customHeight="1">
      <c r="E40" s="308"/>
      <c r="F40" s="334"/>
      <c r="H40" s="59"/>
      <c r="I40" s="59"/>
      <c r="J40" s="393"/>
      <c r="K40" s="59"/>
      <c r="L40" s="59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P96"/>
  <sheetViews>
    <sheetView zoomScaleNormal="100" workbookViewId="0">
      <selection activeCell="M33" sqref="M33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8" t="s">
        <v>151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150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131350</v>
      </c>
      <c r="I8" s="210">
        <f t="shared" si="0"/>
        <v>0</v>
      </c>
      <c r="J8" s="384">
        <f t="shared" si="0"/>
        <v>131350</v>
      </c>
      <c r="K8" s="210">
        <f t="shared" si="0"/>
        <v>78849</v>
      </c>
      <c r="L8" s="210">
        <f t="shared" si="0"/>
        <v>0</v>
      </c>
      <c r="M8" s="384">
        <f t="shared" si="0"/>
        <v>78849</v>
      </c>
      <c r="N8" s="346">
        <f>IF(J8=0,"",M8/J8*100)</f>
        <v>60.029691663494475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83400+830+2*500+1*12*1980</f>
        <v>108990</v>
      </c>
      <c r="I9" s="209">
        <v>0</v>
      </c>
      <c r="J9" s="385">
        <f>SUM(H9:I9)</f>
        <v>108990</v>
      </c>
      <c r="K9" s="209">
        <v>63382</v>
      </c>
      <c r="L9" s="209">
        <v>0</v>
      </c>
      <c r="M9" s="385">
        <f>SUM(K9:L9)</f>
        <v>63382</v>
      </c>
      <c r="N9" s="347">
        <f t="shared" ref="N9:N66" si="1">IF(J9=0,"",M9/J9*100)</f>
        <v>58.153959078814566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17650+200+2*900+11*21*10+400</f>
        <v>22360</v>
      </c>
      <c r="I10" s="209">
        <v>0</v>
      </c>
      <c r="J10" s="385">
        <f t="shared" ref="J10:J11" si="2">SUM(H10:I10)</f>
        <v>22360</v>
      </c>
      <c r="K10" s="209">
        <v>15467</v>
      </c>
      <c r="L10" s="209">
        <v>0</v>
      </c>
      <c r="M10" s="385">
        <f t="shared" ref="M10:M11" si="3">SUM(K10:L10)</f>
        <v>15467</v>
      </c>
      <c r="N10" s="347">
        <f t="shared" si="1"/>
        <v>69.172629695885519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ht="12.95" customHeight="1"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11780</v>
      </c>
      <c r="I13" s="210">
        <f t="shared" si="4"/>
        <v>0</v>
      </c>
      <c r="J13" s="384">
        <f t="shared" si="4"/>
        <v>11780</v>
      </c>
      <c r="K13" s="210">
        <f t="shared" si="4"/>
        <v>6884</v>
      </c>
      <c r="L13" s="210">
        <f t="shared" si="4"/>
        <v>0</v>
      </c>
      <c r="M13" s="384">
        <f t="shared" si="4"/>
        <v>6884</v>
      </c>
      <c r="N13" s="346">
        <f t="shared" si="1"/>
        <v>58.438030560271649</v>
      </c>
    </row>
    <row r="14" spans="1:16" s="1" customFormat="1" ht="12.95" customHeight="1">
      <c r="A14" s="281"/>
      <c r="B14" s="10"/>
      <c r="C14" s="11"/>
      <c r="D14" s="11"/>
      <c r="E14" s="306">
        <v>612100</v>
      </c>
      <c r="F14" s="332"/>
      <c r="G14" s="13" t="s">
        <v>83</v>
      </c>
      <c r="H14" s="209">
        <f>8900+100+2*70+1*12*220</f>
        <v>11780</v>
      </c>
      <c r="I14" s="209">
        <v>0</v>
      </c>
      <c r="J14" s="385">
        <f>SUM(H14:I14)</f>
        <v>11780</v>
      </c>
      <c r="K14" s="209">
        <v>6884</v>
      </c>
      <c r="L14" s="209">
        <v>0</v>
      </c>
      <c r="M14" s="385">
        <f>SUM(K14:L14)</f>
        <v>6884</v>
      </c>
      <c r="N14" s="347">
        <f t="shared" si="1"/>
        <v>58.438030560271649</v>
      </c>
    </row>
    <row r="15" spans="1:16" ht="12.95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ht="12.95" customHeight="1"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15700</v>
      </c>
      <c r="I16" s="293">
        <f t="shared" si="5"/>
        <v>0</v>
      </c>
      <c r="J16" s="387">
        <f t="shared" si="5"/>
        <v>15700</v>
      </c>
      <c r="K16" s="293">
        <f t="shared" si="5"/>
        <v>9143</v>
      </c>
      <c r="L16" s="293">
        <f t="shared" si="5"/>
        <v>0</v>
      </c>
      <c r="M16" s="387">
        <f t="shared" si="5"/>
        <v>9143</v>
      </c>
      <c r="N16" s="346">
        <f t="shared" si="1"/>
        <v>58.235668789808912</v>
      </c>
    </row>
    <row r="17" spans="1:14" s="1" customFormat="1" ht="12.95" customHeight="1">
      <c r="A17" s="281"/>
      <c r="B17" s="10"/>
      <c r="C17" s="11"/>
      <c r="D17" s="11"/>
      <c r="E17" s="306">
        <v>613100</v>
      </c>
      <c r="F17" s="332"/>
      <c r="G17" s="11" t="s">
        <v>84</v>
      </c>
      <c r="H17" s="364">
        <v>400</v>
      </c>
      <c r="I17" s="364">
        <v>0</v>
      </c>
      <c r="J17" s="385">
        <f t="shared" ref="J17:J26" si="6">SUM(H17:I17)</f>
        <v>400</v>
      </c>
      <c r="K17" s="364">
        <v>0</v>
      </c>
      <c r="L17" s="364">
        <v>0</v>
      </c>
      <c r="M17" s="385">
        <f t="shared" ref="M17:M26" si="7">SUM(K17:L17)</f>
        <v>0</v>
      </c>
      <c r="N17" s="347">
        <f t="shared" si="1"/>
        <v>0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4">
        <v>5500</v>
      </c>
      <c r="I18" s="364">
        <v>0</v>
      </c>
      <c r="J18" s="385">
        <f t="shared" si="6"/>
        <v>5500</v>
      </c>
      <c r="K18" s="364">
        <v>3351</v>
      </c>
      <c r="L18" s="364">
        <v>0</v>
      </c>
      <c r="M18" s="385">
        <f t="shared" si="7"/>
        <v>3351</v>
      </c>
      <c r="N18" s="347">
        <f t="shared" si="1"/>
        <v>60.927272727272729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4">
        <v>3000</v>
      </c>
      <c r="I19" s="364">
        <v>0</v>
      </c>
      <c r="J19" s="385">
        <f t="shared" si="6"/>
        <v>3000</v>
      </c>
      <c r="K19" s="364">
        <v>1956</v>
      </c>
      <c r="L19" s="364">
        <v>0</v>
      </c>
      <c r="M19" s="385">
        <f t="shared" si="7"/>
        <v>1956</v>
      </c>
      <c r="N19" s="347">
        <f t="shared" si="1"/>
        <v>65.2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1000</v>
      </c>
      <c r="I20" s="364">
        <v>0</v>
      </c>
      <c r="J20" s="385">
        <f t="shared" si="6"/>
        <v>1000</v>
      </c>
      <c r="K20" s="364">
        <v>743</v>
      </c>
      <c r="L20" s="364">
        <v>0</v>
      </c>
      <c r="M20" s="385">
        <f t="shared" si="7"/>
        <v>743</v>
      </c>
      <c r="N20" s="347">
        <f t="shared" si="1"/>
        <v>74.3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0</v>
      </c>
      <c r="I21" s="364">
        <v>0</v>
      </c>
      <c r="J21" s="385">
        <f t="shared" si="6"/>
        <v>0</v>
      </c>
      <c r="K21" s="364">
        <v>0</v>
      </c>
      <c r="L21" s="364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0</v>
      </c>
      <c r="I22" s="364">
        <v>0</v>
      </c>
      <c r="J22" s="385">
        <f t="shared" si="6"/>
        <v>0</v>
      </c>
      <c r="K22" s="364">
        <v>0</v>
      </c>
      <c r="L22" s="364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1000</v>
      </c>
      <c r="I23" s="364">
        <v>0</v>
      </c>
      <c r="J23" s="385">
        <f t="shared" si="6"/>
        <v>1000</v>
      </c>
      <c r="K23" s="364">
        <v>31</v>
      </c>
      <c r="L23" s="364">
        <v>0</v>
      </c>
      <c r="M23" s="385">
        <f t="shared" si="7"/>
        <v>31</v>
      </c>
      <c r="N23" s="347">
        <f t="shared" si="1"/>
        <v>3.1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0</v>
      </c>
      <c r="I24" s="364">
        <v>0</v>
      </c>
      <c r="J24" s="385">
        <f t="shared" si="6"/>
        <v>0</v>
      </c>
      <c r="K24" s="364">
        <v>0</v>
      </c>
      <c r="L24" s="364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4800</v>
      </c>
      <c r="I25" s="364">
        <v>0</v>
      </c>
      <c r="J25" s="385">
        <f t="shared" si="6"/>
        <v>4800</v>
      </c>
      <c r="K25" s="364">
        <v>3062</v>
      </c>
      <c r="L25" s="364">
        <v>0</v>
      </c>
      <c r="M25" s="385">
        <f t="shared" si="7"/>
        <v>3062</v>
      </c>
      <c r="N25" s="347">
        <f t="shared" si="1"/>
        <v>63.791666666666671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4">
        <v>0</v>
      </c>
      <c r="I26" s="364">
        <v>0</v>
      </c>
      <c r="J26" s="385">
        <f t="shared" si="6"/>
        <v>0</v>
      </c>
      <c r="K26" s="364">
        <v>0</v>
      </c>
      <c r="L26" s="364">
        <v>0</v>
      </c>
      <c r="M26" s="385">
        <f t="shared" si="7"/>
        <v>0</v>
      </c>
      <c r="N26" s="347" t="str">
        <f t="shared" si="1"/>
        <v/>
      </c>
    </row>
    <row r="27" spans="1:14" ht="12.95" customHeight="1">
      <c r="B27" s="12"/>
      <c r="C27" s="8"/>
      <c r="D27" s="8"/>
      <c r="E27" s="305"/>
      <c r="F27" s="331"/>
      <c r="G27" s="8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4" ht="12.95" customHeight="1"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0</v>
      </c>
      <c r="I28" s="295">
        <f t="shared" si="8"/>
        <v>0</v>
      </c>
      <c r="J28" s="387">
        <f t="shared" si="8"/>
        <v>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 t="str">
        <f t="shared" si="1"/>
        <v/>
      </c>
    </row>
    <row r="29" spans="1:14" s="1" customFormat="1" ht="12.95" customHeight="1">
      <c r="A29" s="281"/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0</v>
      </c>
      <c r="I30" s="280">
        <v>0</v>
      </c>
      <c r="J30" s="385">
        <f t="shared" si="9"/>
        <v>0</v>
      </c>
      <c r="K30" s="280">
        <v>0</v>
      </c>
      <c r="L30" s="280">
        <v>0</v>
      </c>
      <c r="M30" s="385">
        <f t="shared" si="10"/>
        <v>0</v>
      </c>
      <c r="N30" s="347" t="str">
        <f t="shared" si="1"/>
        <v/>
      </c>
    </row>
    <row r="31" spans="1:14" ht="12.95" customHeight="1">
      <c r="B31" s="10"/>
      <c r="C31" s="11"/>
      <c r="D31" s="11"/>
      <c r="E31" s="306"/>
      <c r="F31" s="332"/>
      <c r="G31" s="11"/>
      <c r="H31" s="280"/>
      <c r="I31" s="280"/>
      <c r="J31" s="386"/>
      <c r="K31" s="280"/>
      <c r="L31" s="280"/>
      <c r="M31" s="386"/>
      <c r="N31" s="347" t="str">
        <f t="shared" si="1"/>
        <v/>
      </c>
    </row>
    <row r="32" spans="1:14" ht="12.95" customHeight="1">
      <c r="B32" s="12"/>
      <c r="C32" s="8"/>
      <c r="D32" s="8"/>
      <c r="E32" s="305"/>
      <c r="F32" s="331"/>
      <c r="G32" s="8" t="s">
        <v>93</v>
      </c>
      <c r="H32" s="295">
        <v>5</v>
      </c>
      <c r="I32" s="295"/>
      <c r="J32" s="387">
        <v>5</v>
      </c>
      <c r="K32" s="295">
        <v>4</v>
      </c>
      <c r="L32" s="295"/>
      <c r="M32" s="387">
        <v>4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158830</v>
      </c>
      <c r="I33" s="288">
        <f t="shared" si="11"/>
        <v>0</v>
      </c>
      <c r="J33" s="387">
        <f t="shared" si="11"/>
        <v>158830</v>
      </c>
      <c r="K33" s="288">
        <f t="shared" si="11"/>
        <v>94876</v>
      </c>
      <c r="L33" s="288">
        <f t="shared" si="11"/>
        <v>0</v>
      </c>
      <c r="M33" s="387">
        <f t="shared" si="11"/>
        <v>94876</v>
      </c>
      <c r="N33" s="346">
        <f t="shared" si="1"/>
        <v>59.734307120821008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158830</v>
      </c>
      <c r="I34" s="288">
        <f t="shared" si="12"/>
        <v>0</v>
      </c>
      <c r="J34" s="387">
        <f t="shared" si="12"/>
        <v>158830</v>
      </c>
      <c r="K34" s="288">
        <f t="shared" ref="K34:M34" si="13">K33</f>
        <v>94876</v>
      </c>
      <c r="L34" s="288">
        <f t="shared" si="13"/>
        <v>0</v>
      </c>
      <c r="M34" s="387">
        <f t="shared" si="13"/>
        <v>94876</v>
      </c>
      <c r="N34" s="346">
        <f t="shared" si="1"/>
        <v>59.734307120821008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158830</v>
      </c>
      <c r="I35" s="288">
        <f t="shared" si="12"/>
        <v>0</v>
      </c>
      <c r="J35" s="387">
        <f t="shared" si="12"/>
        <v>158830</v>
      </c>
      <c r="K35" s="288">
        <f t="shared" ref="K35:M35" si="14">K34</f>
        <v>94876</v>
      </c>
      <c r="L35" s="288">
        <f t="shared" si="14"/>
        <v>0</v>
      </c>
      <c r="M35" s="387">
        <f t="shared" si="14"/>
        <v>94876</v>
      </c>
      <c r="N35" s="346">
        <f t="shared" si="1"/>
        <v>59.734307120821008</v>
      </c>
    </row>
    <row r="36" spans="1:14" s="1" customFormat="1" ht="12.95" customHeight="1" thickBot="1">
      <c r="A36" s="281"/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P96"/>
  <sheetViews>
    <sheetView topLeftCell="A4" zoomScaleNormal="100" workbookViewId="0">
      <selection activeCell="Q37" sqref="Q37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8" t="s">
        <v>152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153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235800</v>
      </c>
      <c r="I8" s="210">
        <f t="shared" si="0"/>
        <v>0</v>
      </c>
      <c r="J8" s="384">
        <f t="shared" si="0"/>
        <v>235800</v>
      </c>
      <c r="K8" s="210">
        <f t="shared" si="0"/>
        <v>164076</v>
      </c>
      <c r="L8" s="210">
        <f t="shared" si="0"/>
        <v>0</v>
      </c>
      <c r="M8" s="384">
        <f t="shared" si="0"/>
        <v>164076</v>
      </c>
      <c r="N8" s="346">
        <f>IF(J8=0,"",M8/J8*100)</f>
        <v>69.582697201017808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186300+1400+4*500</f>
        <v>189700</v>
      </c>
      <c r="I9" s="209">
        <v>0</v>
      </c>
      <c r="J9" s="385">
        <f>SUM(H9:I9)</f>
        <v>189700</v>
      </c>
      <c r="K9" s="209">
        <v>131061</v>
      </c>
      <c r="L9" s="209">
        <v>0</v>
      </c>
      <c r="M9" s="385">
        <f>SUM(K9:L9)</f>
        <v>131061</v>
      </c>
      <c r="N9" s="347">
        <f t="shared" ref="N9:N66" si="1">IF(J9=0,"",M9/J9*100)</f>
        <v>69.088560885608857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41800+700+4*900</f>
        <v>46100</v>
      </c>
      <c r="I10" s="209">
        <v>0</v>
      </c>
      <c r="J10" s="385">
        <f t="shared" ref="J10:J11" si="2">SUM(H10:I10)</f>
        <v>46100</v>
      </c>
      <c r="K10" s="209">
        <v>33015</v>
      </c>
      <c r="L10" s="209">
        <v>0</v>
      </c>
      <c r="M10" s="385">
        <f t="shared" ref="M10:M11" si="3">SUM(K10:L10)</f>
        <v>33015</v>
      </c>
      <c r="N10" s="347">
        <f t="shared" si="1"/>
        <v>71.616052060737516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20390</v>
      </c>
      <c r="I13" s="210">
        <f t="shared" si="4"/>
        <v>0</v>
      </c>
      <c r="J13" s="384">
        <f t="shared" si="4"/>
        <v>20390</v>
      </c>
      <c r="K13" s="210">
        <f t="shared" si="4"/>
        <v>14794</v>
      </c>
      <c r="L13" s="210">
        <f t="shared" si="4"/>
        <v>0</v>
      </c>
      <c r="M13" s="384">
        <f t="shared" si="4"/>
        <v>14794</v>
      </c>
      <c r="N13" s="346">
        <f t="shared" si="1"/>
        <v>72.555174104953409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19930+180+4*70</f>
        <v>20390</v>
      </c>
      <c r="I14" s="209">
        <v>0</v>
      </c>
      <c r="J14" s="385">
        <f>SUM(H14:I14)</f>
        <v>20390</v>
      </c>
      <c r="K14" s="209">
        <v>14794</v>
      </c>
      <c r="L14" s="209">
        <v>0</v>
      </c>
      <c r="M14" s="385">
        <f>SUM(K14:L14)</f>
        <v>14794</v>
      </c>
      <c r="N14" s="347">
        <f t="shared" si="1"/>
        <v>72.555174104953409</v>
      </c>
    </row>
    <row r="15" spans="1:16" ht="12.95" customHeight="1">
      <c r="B15" s="10"/>
      <c r="C15" s="11"/>
      <c r="D15" s="11"/>
      <c r="E15" s="306"/>
      <c r="F15" s="332"/>
      <c r="G15" s="11"/>
      <c r="H15" s="293"/>
      <c r="I15" s="293"/>
      <c r="J15" s="387"/>
      <c r="K15" s="293"/>
      <c r="L15" s="293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49900</v>
      </c>
      <c r="I16" s="293">
        <f t="shared" si="5"/>
        <v>0</v>
      </c>
      <c r="J16" s="387">
        <f t="shared" si="5"/>
        <v>49900</v>
      </c>
      <c r="K16" s="293">
        <f t="shared" si="5"/>
        <v>39187</v>
      </c>
      <c r="L16" s="293">
        <f t="shared" si="5"/>
        <v>0</v>
      </c>
      <c r="M16" s="387">
        <f t="shared" si="5"/>
        <v>39187</v>
      </c>
      <c r="N16" s="346">
        <f t="shared" si="1"/>
        <v>78.531062124248493</v>
      </c>
    </row>
    <row r="17" spans="1:16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1500</v>
      </c>
      <c r="I17" s="362">
        <v>0</v>
      </c>
      <c r="J17" s="385">
        <f t="shared" ref="J17:J26" si="6">SUM(H17:I17)</f>
        <v>1500</v>
      </c>
      <c r="K17" s="362">
        <v>943</v>
      </c>
      <c r="L17" s="362">
        <v>0</v>
      </c>
      <c r="M17" s="385">
        <f t="shared" ref="M17:M26" si="7">SUM(K17:L17)</f>
        <v>943</v>
      </c>
      <c r="N17" s="347">
        <f t="shared" si="1"/>
        <v>62.866666666666674</v>
      </c>
    </row>
    <row r="18" spans="1:16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8500</v>
      </c>
      <c r="I18" s="362">
        <v>0</v>
      </c>
      <c r="J18" s="385">
        <f t="shared" si="6"/>
        <v>8500</v>
      </c>
      <c r="K18" s="362">
        <v>7501</v>
      </c>
      <c r="L18" s="362">
        <v>0</v>
      </c>
      <c r="M18" s="385">
        <f t="shared" si="7"/>
        <v>7501</v>
      </c>
      <c r="N18" s="347">
        <f t="shared" si="1"/>
        <v>88.247058823529414</v>
      </c>
    </row>
    <row r="19" spans="1:16" ht="12.95" customHeight="1">
      <c r="B19" s="10"/>
      <c r="C19" s="11"/>
      <c r="D19" s="11"/>
      <c r="E19" s="306">
        <v>613300</v>
      </c>
      <c r="F19" s="332"/>
      <c r="G19" s="18" t="s">
        <v>200</v>
      </c>
      <c r="H19" s="364">
        <v>4500</v>
      </c>
      <c r="I19" s="364">
        <v>0</v>
      </c>
      <c r="J19" s="385">
        <f t="shared" si="6"/>
        <v>4500</v>
      </c>
      <c r="K19" s="364">
        <v>3513</v>
      </c>
      <c r="L19" s="364">
        <v>0</v>
      </c>
      <c r="M19" s="385">
        <f t="shared" si="7"/>
        <v>3513</v>
      </c>
      <c r="N19" s="347">
        <f t="shared" si="1"/>
        <v>78.066666666666663</v>
      </c>
    </row>
    <row r="20" spans="1:16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1000</v>
      </c>
      <c r="I20" s="364">
        <v>0</v>
      </c>
      <c r="J20" s="385">
        <f t="shared" si="6"/>
        <v>1000</v>
      </c>
      <c r="K20" s="364">
        <v>536</v>
      </c>
      <c r="L20" s="364">
        <v>0</v>
      </c>
      <c r="M20" s="385">
        <f t="shared" si="7"/>
        <v>536</v>
      </c>
      <c r="N20" s="347">
        <f t="shared" si="1"/>
        <v>53.6</v>
      </c>
    </row>
    <row r="21" spans="1:16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1000</v>
      </c>
      <c r="I21" s="364">
        <v>0</v>
      </c>
      <c r="J21" s="385">
        <f t="shared" si="6"/>
        <v>1000</v>
      </c>
      <c r="K21" s="364">
        <v>647</v>
      </c>
      <c r="L21" s="364">
        <v>0</v>
      </c>
      <c r="M21" s="385">
        <f t="shared" si="7"/>
        <v>647</v>
      </c>
      <c r="N21" s="347">
        <f t="shared" si="1"/>
        <v>64.7</v>
      </c>
    </row>
    <row r="22" spans="1:16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0</v>
      </c>
      <c r="I22" s="364">
        <v>0</v>
      </c>
      <c r="J22" s="385">
        <f t="shared" si="6"/>
        <v>0</v>
      </c>
      <c r="K22" s="364">
        <v>0</v>
      </c>
      <c r="L22" s="364">
        <v>0</v>
      </c>
      <c r="M22" s="385">
        <f t="shared" si="7"/>
        <v>0</v>
      </c>
      <c r="N22" s="347" t="str">
        <f t="shared" si="1"/>
        <v/>
      </c>
    </row>
    <row r="23" spans="1:16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4000</v>
      </c>
      <c r="I23" s="364">
        <v>0</v>
      </c>
      <c r="J23" s="385">
        <f t="shared" si="6"/>
        <v>4000</v>
      </c>
      <c r="K23" s="364">
        <v>1311</v>
      </c>
      <c r="L23" s="364">
        <v>0</v>
      </c>
      <c r="M23" s="385">
        <f t="shared" si="7"/>
        <v>1311</v>
      </c>
      <c r="N23" s="347">
        <f t="shared" si="1"/>
        <v>32.774999999999999</v>
      </c>
    </row>
    <row r="24" spans="1:16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400</v>
      </c>
      <c r="I24" s="364">
        <v>0</v>
      </c>
      <c r="J24" s="385">
        <f t="shared" si="6"/>
        <v>400</v>
      </c>
      <c r="K24" s="364">
        <v>0</v>
      </c>
      <c r="L24" s="364">
        <v>0</v>
      </c>
      <c r="M24" s="385">
        <f t="shared" si="7"/>
        <v>0</v>
      </c>
      <c r="N24" s="347">
        <f t="shared" si="1"/>
        <v>0</v>
      </c>
    </row>
    <row r="25" spans="1:16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29000</v>
      </c>
      <c r="I25" s="364">
        <v>0</v>
      </c>
      <c r="J25" s="385">
        <f t="shared" si="6"/>
        <v>29000</v>
      </c>
      <c r="K25" s="364">
        <v>24736</v>
      </c>
      <c r="L25" s="364">
        <v>0</v>
      </c>
      <c r="M25" s="385">
        <f t="shared" si="7"/>
        <v>24736</v>
      </c>
      <c r="N25" s="347">
        <f t="shared" si="1"/>
        <v>85.296551724137927</v>
      </c>
      <c r="O25" s="50"/>
    </row>
    <row r="26" spans="1:16" ht="12.95" customHeight="1">
      <c r="B26" s="10"/>
      <c r="C26" s="11"/>
      <c r="D26" s="11"/>
      <c r="E26" s="306">
        <v>613900</v>
      </c>
      <c r="F26" s="332"/>
      <c r="G26" s="189" t="s">
        <v>535</v>
      </c>
      <c r="H26" s="364">
        <v>0</v>
      </c>
      <c r="I26" s="364">
        <v>0</v>
      </c>
      <c r="J26" s="385">
        <f t="shared" si="6"/>
        <v>0</v>
      </c>
      <c r="K26" s="364">
        <v>0</v>
      </c>
      <c r="L26" s="364">
        <v>0</v>
      </c>
      <c r="M26" s="385">
        <f t="shared" si="7"/>
        <v>0</v>
      </c>
      <c r="N26" s="347" t="str">
        <f t="shared" si="1"/>
        <v/>
      </c>
    </row>
    <row r="27" spans="1:16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6" s="1" customFormat="1" ht="12.95" customHeight="1">
      <c r="A28" s="281"/>
      <c r="B28" s="12"/>
      <c r="C28" s="8"/>
      <c r="D28" s="8"/>
      <c r="E28" s="305">
        <v>614000</v>
      </c>
      <c r="F28" s="331"/>
      <c r="G28" s="8" t="s">
        <v>202</v>
      </c>
      <c r="H28" s="295">
        <f t="shared" ref="H28" si="8">H29+H30</f>
        <v>0</v>
      </c>
      <c r="I28" s="295">
        <f t="shared" ref="I28:K28" si="9">I29+I30</f>
        <v>40000</v>
      </c>
      <c r="J28" s="387">
        <f t="shared" si="9"/>
        <v>40000</v>
      </c>
      <c r="K28" s="295">
        <f t="shared" si="9"/>
        <v>0</v>
      </c>
      <c r="L28" s="295">
        <f t="shared" ref="L28:M28" si="10">L29+L30</f>
        <v>1324</v>
      </c>
      <c r="M28" s="387">
        <f t="shared" si="10"/>
        <v>1324</v>
      </c>
      <c r="N28" s="346">
        <f t="shared" si="1"/>
        <v>3.3099999999999996</v>
      </c>
    </row>
    <row r="29" spans="1:16" ht="12.95" customHeight="1">
      <c r="B29" s="10"/>
      <c r="C29" s="11"/>
      <c r="D29" s="11"/>
      <c r="E29" s="306">
        <v>614200</v>
      </c>
      <c r="F29" s="332" t="s">
        <v>695</v>
      </c>
      <c r="G29" s="18" t="s">
        <v>115</v>
      </c>
      <c r="H29" s="280">
        <v>0</v>
      </c>
      <c r="I29" s="280">
        <v>40000</v>
      </c>
      <c r="J29" s="385">
        <f t="shared" ref="J29:J30" si="11">SUM(H29:I29)</f>
        <v>40000</v>
      </c>
      <c r="K29" s="280">
        <v>0</v>
      </c>
      <c r="L29" s="280">
        <v>1324</v>
      </c>
      <c r="M29" s="385">
        <f t="shared" ref="M29:M30" si="12">SUM(K29:L29)</f>
        <v>1324</v>
      </c>
      <c r="N29" s="347">
        <f t="shared" si="1"/>
        <v>3.3099999999999996</v>
      </c>
    </row>
    <row r="30" spans="1:16" ht="12.75" customHeight="1">
      <c r="B30" s="10"/>
      <c r="C30" s="11"/>
      <c r="D30" s="11"/>
      <c r="E30" s="306">
        <v>614300</v>
      </c>
      <c r="F30" s="332" t="s">
        <v>696</v>
      </c>
      <c r="G30" s="526" t="s">
        <v>781</v>
      </c>
      <c r="H30" s="280">
        <v>0</v>
      </c>
      <c r="I30" s="280">
        <v>0</v>
      </c>
      <c r="J30" s="385">
        <f t="shared" si="11"/>
        <v>0</v>
      </c>
      <c r="K30" s="280">
        <v>0</v>
      </c>
      <c r="L30" s="280">
        <v>0</v>
      </c>
      <c r="M30" s="385">
        <f t="shared" si="12"/>
        <v>0</v>
      </c>
      <c r="N30" s="347" t="str">
        <f t="shared" si="1"/>
        <v/>
      </c>
      <c r="P30" s="57"/>
    </row>
    <row r="31" spans="1:16" ht="12.95" customHeight="1">
      <c r="B31" s="10"/>
      <c r="C31" s="11"/>
      <c r="D31" s="11"/>
      <c r="E31" s="305"/>
      <c r="F31" s="331"/>
      <c r="G31" s="8"/>
      <c r="H31" s="280"/>
      <c r="I31" s="280"/>
      <c r="J31" s="386"/>
      <c r="K31" s="280"/>
      <c r="L31" s="280"/>
      <c r="M31" s="386"/>
      <c r="N31" s="347" t="str">
        <f t="shared" si="1"/>
        <v/>
      </c>
    </row>
    <row r="32" spans="1:16" ht="12.95" customHeight="1">
      <c r="B32" s="12"/>
      <c r="C32" s="8"/>
      <c r="D32" s="8"/>
      <c r="E32" s="305">
        <v>821000</v>
      </c>
      <c r="F32" s="331"/>
      <c r="G32" s="8" t="s">
        <v>90</v>
      </c>
      <c r="H32" s="295">
        <f t="shared" ref="H32:M32" si="13">SUM(H33:H35)</f>
        <v>7840</v>
      </c>
      <c r="I32" s="295">
        <f t="shared" si="13"/>
        <v>40660</v>
      </c>
      <c r="J32" s="387">
        <f t="shared" si="13"/>
        <v>48500</v>
      </c>
      <c r="K32" s="295">
        <f t="shared" si="13"/>
        <v>0</v>
      </c>
      <c r="L32" s="295">
        <f t="shared" si="13"/>
        <v>0</v>
      </c>
      <c r="M32" s="387">
        <f t="shared" si="13"/>
        <v>0</v>
      </c>
      <c r="N32" s="346">
        <f t="shared" si="1"/>
        <v>0</v>
      </c>
    </row>
    <row r="33" spans="1:14" ht="12.95" customHeight="1">
      <c r="B33" s="10"/>
      <c r="C33" s="11"/>
      <c r="D33" s="11"/>
      <c r="E33" s="306">
        <v>821200</v>
      </c>
      <c r="F33" s="332"/>
      <c r="G33" s="11" t="s">
        <v>91</v>
      </c>
      <c r="H33" s="296">
        <v>0</v>
      </c>
      <c r="I33" s="296">
        <v>0</v>
      </c>
      <c r="J33" s="385">
        <f t="shared" ref="J33:J34" si="14">SUM(H33:I33)</f>
        <v>0</v>
      </c>
      <c r="K33" s="296">
        <v>0</v>
      </c>
      <c r="L33" s="296">
        <v>0</v>
      </c>
      <c r="M33" s="385">
        <f t="shared" ref="M33:M34" si="15">SUM(K33:L33)</f>
        <v>0</v>
      </c>
      <c r="N33" s="347" t="str">
        <f t="shared" si="1"/>
        <v/>
      </c>
    </row>
    <row r="34" spans="1:14" s="1" customFormat="1" ht="12.95" customHeight="1">
      <c r="A34" s="281"/>
      <c r="B34" s="10"/>
      <c r="C34" s="11"/>
      <c r="D34" s="11"/>
      <c r="E34" s="306">
        <v>821300</v>
      </c>
      <c r="F34" s="332"/>
      <c r="G34" s="11" t="s">
        <v>92</v>
      </c>
      <c r="H34" s="280">
        <f>38500-30660</f>
        <v>7840</v>
      </c>
      <c r="I34" s="280">
        <v>40660</v>
      </c>
      <c r="J34" s="385">
        <f t="shared" si="14"/>
        <v>48500</v>
      </c>
      <c r="K34" s="280">
        <v>0</v>
      </c>
      <c r="L34" s="280">
        <v>0</v>
      </c>
      <c r="M34" s="385">
        <f t="shared" si="15"/>
        <v>0</v>
      </c>
      <c r="N34" s="347">
        <f t="shared" si="1"/>
        <v>0</v>
      </c>
    </row>
    <row r="35" spans="1:14" ht="12.95" customHeight="1">
      <c r="B35" s="10"/>
      <c r="C35" s="11"/>
      <c r="D35" s="11"/>
      <c r="E35" s="306"/>
      <c r="F35" s="332"/>
      <c r="G35" s="18"/>
      <c r="H35" s="280"/>
      <c r="I35" s="280"/>
      <c r="J35" s="386"/>
      <c r="K35" s="280"/>
      <c r="L35" s="280"/>
      <c r="M35" s="386"/>
      <c r="N35" s="347" t="str">
        <f t="shared" si="1"/>
        <v/>
      </c>
    </row>
    <row r="36" spans="1:14" ht="12.95" customHeight="1">
      <c r="B36" s="12"/>
      <c r="C36" s="8"/>
      <c r="D36" s="8"/>
      <c r="E36" s="305"/>
      <c r="F36" s="331"/>
      <c r="G36" s="8" t="s">
        <v>93</v>
      </c>
      <c r="H36" s="288">
        <v>12</v>
      </c>
      <c r="I36" s="288"/>
      <c r="J36" s="387">
        <v>12</v>
      </c>
      <c r="K36" s="288">
        <v>12</v>
      </c>
      <c r="L36" s="288"/>
      <c r="M36" s="387">
        <v>12</v>
      </c>
      <c r="N36" s="347"/>
    </row>
    <row r="37" spans="1:14" ht="12.95" customHeight="1">
      <c r="B37" s="12"/>
      <c r="C37" s="8"/>
      <c r="D37" s="8"/>
      <c r="E37" s="305"/>
      <c r="F37" s="331"/>
      <c r="G37" s="8" t="s">
        <v>113</v>
      </c>
      <c r="H37" s="288">
        <f t="shared" ref="H37:M37" si="16">H8+H13+H16+H28+H32</f>
        <v>313930</v>
      </c>
      <c r="I37" s="288">
        <f t="shared" si="16"/>
        <v>80660</v>
      </c>
      <c r="J37" s="387">
        <f t="shared" si="16"/>
        <v>394590</v>
      </c>
      <c r="K37" s="288">
        <f t="shared" si="16"/>
        <v>218057</v>
      </c>
      <c r="L37" s="288">
        <f t="shared" si="16"/>
        <v>1324</v>
      </c>
      <c r="M37" s="387">
        <f t="shared" si="16"/>
        <v>219381</v>
      </c>
      <c r="N37" s="346">
        <f t="shared" si="1"/>
        <v>55.597202159203221</v>
      </c>
    </row>
    <row r="38" spans="1:14" s="1" customFormat="1" ht="12.95" customHeight="1">
      <c r="A38" s="281"/>
      <c r="B38" s="12"/>
      <c r="C38" s="8"/>
      <c r="D38" s="8"/>
      <c r="E38" s="305"/>
      <c r="F38" s="331"/>
      <c r="G38" s="8" t="s">
        <v>94</v>
      </c>
      <c r="H38" s="288">
        <f t="shared" ref="H38:J39" si="17">H37</f>
        <v>313930</v>
      </c>
      <c r="I38" s="288">
        <f t="shared" si="17"/>
        <v>80660</v>
      </c>
      <c r="J38" s="387">
        <f t="shared" si="17"/>
        <v>394590</v>
      </c>
      <c r="K38" s="288">
        <f t="shared" ref="K38:M38" si="18">K37</f>
        <v>218057</v>
      </c>
      <c r="L38" s="288">
        <f t="shared" si="18"/>
        <v>1324</v>
      </c>
      <c r="M38" s="387">
        <f t="shared" si="18"/>
        <v>219381</v>
      </c>
      <c r="N38" s="346">
        <f t="shared" si="1"/>
        <v>55.597202159203221</v>
      </c>
    </row>
    <row r="39" spans="1:14" s="1" customFormat="1" ht="12.95" customHeight="1">
      <c r="A39" s="281"/>
      <c r="B39" s="12"/>
      <c r="C39" s="8"/>
      <c r="D39" s="8"/>
      <c r="E39" s="305"/>
      <c r="F39" s="331"/>
      <c r="G39" s="8" t="s">
        <v>95</v>
      </c>
      <c r="H39" s="288">
        <f t="shared" si="17"/>
        <v>313930</v>
      </c>
      <c r="I39" s="288">
        <f t="shared" si="17"/>
        <v>80660</v>
      </c>
      <c r="J39" s="387">
        <f t="shared" si="17"/>
        <v>394590</v>
      </c>
      <c r="K39" s="288">
        <f t="shared" ref="K39:M39" si="19">K38</f>
        <v>218057</v>
      </c>
      <c r="L39" s="288">
        <f t="shared" si="19"/>
        <v>1324</v>
      </c>
      <c r="M39" s="387">
        <f t="shared" si="19"/>
        <v>219381</v>
      </c>
      <c r="N39" s="346">
        <f t="shared" si="1"/>
        <v>55.597202159203221</v>
      </c>
    </row>
    <row r="40" spans="1:14" s="1" customFormat="1" ht="12.95" customHeight="1" thickBot="1">
      <c r="A40" s="281"/>
      <c r="B40" s="15"/>
      <c r="C40" s="16"/>
      <c r="D40" s="16"/>
      <c r="E40" s="307"/>
      <c r="F40" s="333"/>
      <c r="G40" s="16"/>
      <c r="H40" s="88"/>
      <c r="I40" s="88"/>
      <c r="J40" s="395"/>
      <c r="K40" s="88"/>
      <c r="L40" s="88"/>
      <c r="M40" s="395"/>
      <c r="N40" s="351" t="str">
        <f t="shared" si="1"/>
        <v/>
      </c>
    </row>
    <row r="41" spans="1:14" s="1" customFormat="1" ht="12.95" customHeight="1">
      <c r="A41" s="281"/>
      <c r="B41" s="9"/>
      <c r="C41" s="9"/>
      <c r="D41" s="9"/>
      <c r="E41" s="308"/>
      <c r="F41" s="334"/>
      <c r="G41" s="9"/>
      <c r="H41" s="55"/>
      <c r="I41" s="55"/>
      <c r="J41" s="396"/>
      <c r="K41" s="55"/>
      <c r="L41" s="55"/>
      <c r="M41" s="396"/>
      <c r="N41" s="352" t="str">
        <f t="shared" si="1"/>
        <v/>
      </c>
    </row>
    <row r="42" spans="1:14" ht="12.95" customHeight="1">
      <c r="B42" s="50"/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B43" s="50"/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B44" s="50"/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B45" s="50"/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B46" s="50"/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B47" s="50"/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B48" s="50"/>
      <c r="E48" s="308"/>
      <c r="F48" s="334"/>
      <c r="J48" s="391"/>
      <c r="M48" s="391"/>
      <c r="N48" s="350" t="str">
        <f t="shared" si="1"/>
        <v/>
      </c>
    </row>
    <row r="49" spans="2:14" ht="12.95" customHeight="1">
      <c r="B49" s="50"/>
      <c r="E49" s="308"/>
      <c r="F49" s="334"/>
      <c r="J49" s="391"/>
      <c r="M49" s="391"/>
      <c r="N49" s="350" t="str">
        <f t="shared" si="1"/>
        <v/>
      </c>
    </row>
    <row r="50" spans="2:14" ht="12.95" customHeight="1">
      <c r="B50" s="50"/>
      <c r="E50" s="308"/>
      <c r="F50" s="334"/>
      <c r="J50" s="391"/>
      <c r="M50" s="391"/>
      <c r="N50" s="350" t="str">
        <f t="shared" si="1"/>
        <v/>
      </c>
    </row>
    <row r="51" spans="2:14" ht="12.95" customHeight="1">
      <c r="B51" s="50"/>
      <c r="E51" s="308"/>
      <c r="F51" s="334"/>
      <c r="J51" s="391"/>
      <c r="M51" s="391"/>
      <c r="N51" s="350" t="str">
        <f t="shared" si="1"/>
        <v/>
      </c>
    </row>
    <row r="52" spans="2:14" ht="12.95" customHeight="1">
      <c r="E52" s="308"/>
      <c r="F52" s="334"/>
      <c r="J52" s="391"/>
      <c r="M52" s="391"/>
      <c r="N52" s="350" t="str">
        <f t="shared" si="1"/>
        <v/>
      </c>
    </row>
    <row r="53" spans="2:14" ht="12.95" customHeight="1">
      <c r="E53" s="308"/>
      <c r="F53" s="334"/>
      <c r="J53" s="391"/>
      <c r="M53" s="391"/>
      <c r="N53" s="350" t="str">
        <f t="shared" si="1"/>
        <v/>
      </c>
    </row>
    <row r="54" spans="2:14" ht="12.95" customHeight="1">
      <c r="E54" s="308"/>
      <c r="F54" s="334"/>
      <c r="J54" s="391"/>
      <c r="M54" s="391"/>
      <c r="N54" s="350" t="str">
        <f t="shared" si="1"/>
        <v/>
      </c>
    </row>
    <row r="55" spans="2:14" ht="12.95" customHeight="1">
      <c r="E55" s="308"/>
      <c r="F55" s="334"/>
      <c r="J55" s="391"/>
      <c r="M55" s="391"/>
      <c r="N55" s="350" t="str">
        <f t="shared" si="1"/>
        <v/>
      </c>
    </row>
    <row r="56" spans="2:14" ht="12.95" customHeight="1">
      <c r="E56" s="308"/>
      <c r="F56" s="334"/>
      <c r="J56" s="391"/>
      <c r="M56" s="391"/>
      <c r="N56" s="350" t="str">
        <f t="shared" si="1"/>
        <v/>
      </c>
    </row>
    <row r="57" spans="2:14" ht="12.95" customHeight="1">
      <c r="E57" s="308"/>
      <c r="F57" s="334"/>
      <c r="J57" s="391"/>
      <c r="M57" s="391"/>
      <c r="N57" s="350" t="str">
        <f t="shared" si="1"/>
        <v/>
      </c>
    </row>
    <row r="58" spans="2:14" ht="12.95" customHeight="1">
      <c r="E58" s="308"/>
      <c r="F58" s="334"/>
      <c r="J58" s="391"/>
      <c r="M58" s="391"/>
      <c r="N58" s="350" t="str">
        <f t="shared" si="1"/>
        <v/>
      </c>
    </row>
    <row r="59" spans="2:14" ht="12.95" customHeight="1">
      <c r="E59" s="308"/>
      <c r="F59" s="334"/>
      <c r="J59" s="391"/>
      <c r="M59" s="391"/>
      <c r="N59" s="350" t="str">
        <f t="shared" si="1"/>
        <v/>
      </c>
    </row>
    <row r="60" spans="2:14" ht="17.100000000000001" customHeight="1">
      <c r="E60" s="308"/>
      <c r="F60" s="334"/>
      <c r="J60" s="391"/>
      <c r="M60" s="391"/>
      <c r="N60" s="350" t="str">
        <f t="shared" si="1"/>
        <v/>
      </c>
    </row>
    <row r="61" spans="2:14" ht="17.100000000000001" customHeight="1">
      <c r="E61" s="308"/>
      <c r="F61" s="334"/>
      <c r="J61" s="391"/>
      <c r="M61" s="391"/>
      <c r="N61" s="350" t="str">
        <f t="shared" si="1"/>
        <v/>
      </c>
    </row>
    <row r="62" spans="2:14" ht="14.25">
      <c r="E62" s="308"/>
      <c r="F62" s="334"/>
      <c r="J62" s="391"/>
      <c r="M62" s="391"/>
      <c r="N62" s="350" t="str">
        <f t="shared" si="1"/>
        <v/>
      </c>
    </row>
    <row r="63" spans="2:14" ht="14.25">
      <c r="E63" s="308"/>
      <c r="F63" s="334"/>
      <c r="J63" s="391"/>
      <c r="M63" s="391"/>
      <c r="N63" s="350" t="str">
        <f t="shared" si="1"/>
        <v/>
      </c>
    </row>
    <row r="64" spans="2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P96"/>
  <sheetViews>
    <sheetView zoomScaleNormal="100" workbookViewId="0">
      <selection activeCell="G35" sqref="G3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8" t="s">
        <v>154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155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514860</v>
      </c>
      <c r="I8" s="210">
        <f t="shared" si="0"/>
        <v>0</v>
      </c>
      <c r="J8" s="384">
        <f t="shared" si="0"/>
        <v>514860</v>
      </c>
      <c r="K8" s="210">
        <f t="shared" si="0"/>
        <v>385993</v>
      </c>
      <c r="L8" s="210">
        <f t="shared" si="0"/>
        <v>0</v>
      </c>
      <c r="M8" s="384">
        <f t="shared" si="0"/>
        <v>385993</v>
      </c>
      <c r="N8" s="346">
        <f>IF(J8=0,"",M8/J8*100)</f>
        <v>74.970477411335125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432300+4320+7740</f>
        <v>444360</v>
      </c>
      <c r="I9" s="212">
        <v>0</v>
      </c>
      <c r="J9" s="385">
        <f>SUM(H9:I9)</f>
        <v>444360</v>
      </c>
      <c r="K9" s="212">
        <v>335398</v>
      </c>
      <c r="L9" s="212">
        <v>0</v>
      </c>
      <c r="M9" s="385">
        <f>SUM(K9:L9)</f>
        <v>335398</v>
      </c>
      <c r="N9" s="347">
        <f t="shared" ref="N9:N66" si="1">IF(J9=0,"",M9/J9*100)</f>
        <v>75.478890989287962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69400+1100</f>
        <v>70500</v>
      </c>
      <c r="I10" s="212">
        <v>0</v>
      </c>
      <c r="J10" s="385">
        <f t="shared" ref="J10:J11" si="2">SUM(H10:I10)</f>
        <v>70500</v>
      </c>
      <c r="K10" s="212">
        <v>50595</v>
      </c>
      <c r="L10" s="212">
        <v>0</v>
      </c>
      <c r="M10" s="385">
        <f t="shared" ref="M10:M11" si="3">SUM(K10:L10)</f>
        <v>50595</v>
      </c>
      <c r="N10" s="347">
        <f t="shared" si="1"/>
        <v>71.765957446808514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47180</v>
      </c>
      <c r="I13" s="210">
        <f t="shared" si="4"/>
        <v>0</v>
      </c>
      <c r="J13" s="384">
        <f t="shared" si="4"/>
        <v>47180</v>
      </c>
      <c r="K13" s="210">
        <f t="shared" si="4"/>
        <v>35785</v>
      </c>
      <c r="L13" s="210">
        <f t="shared" si="4"/>
        <v>0</v>
      </c>
      <c r="M13" s="384">
        <f t="shared" si="4"/>
        <v>35785</v>
      </c>
      <c r="N13" s="346">
        <f t="shared" si="1"/>
        <v>75.847816871555736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45830+500+850</f>
        <v>47180</v>
      </c>
      <c r="I14" s="212">
        <v>0</v>
      </c>
      <c r="J14" s="385">
        <f>SUM(H14:I14)</f>
        <v>47180</v>
      </c>
      <c r="K14" s="212">
        <v>35785</v>
      </c>
      <c r="L14" s="212">
        <v>0</v>
      </c>
      <c r="M14" s="385">
        <f>SUM(K14:L14)</f>
        <v>35785</v>
      </c>
      <c r="N14" s="347">
        <f t="shared" si="1"/>
        <v>75.847816871555736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117100</v>
      </c>
      <c r="I16" s="293">
        <f t="shared" si="5"/>
        <v>0</v>
      </c>
      <c r="J16" s="387">
        <f t="shared" si="5"/>
        <v>117100</v>
      </c>
      <c r="K16" s="293">
        <f t="shared" si="5"/>
        <v>46883</v>
      </c>
      <c r="L16" s="293">
        <f t="shared" si="5"/>
        <v>0</v>
      </c>
      <c r="M16" s="387">
        <f t="shared" si="5"/>
        <v>46883</v>
      </c>
      <c r="N16" s="346">
        <f t="shared" si="1"/>
        <v>40.03672075149445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4000</v>
      </c>
      <c r="I17" s="363">
        <v>0</v>
      </c>
      <c r="J17" s="385">
        <f t="shared" ref="J17:J26" si="6">SUM(H17:I17)</f>
        <v>4000</v>
      </c>
      <c r="K17" s="363">
        <v>2339</v>
      </c>
      <c r="L17" s="363">
        <v>0</v>
      </c>
      <c r="M17" s="385">
        <f t="shared" ref="M17:M26" si="7">SUM(K17:L17)</f>
        <v>2339</v>
      </c>
      <c r="N17" s="347">
        <f t="shared" si="1"/>
        <v>58.475000000000001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28000</v>
      </c>
      <c r="I18" s="363">
        <v>0</v>
      </c>
      <c r="J18" s="385">
        <f t="shared" si="6"/>
        <v>28000</v>
      </c>
      <c r="K18" s="363">
        <v>11372</v>
      </c>
      <c r="L18" s="363">
        <v>0</v>
      </c>
      <c r="M18" s="385">
        <f t="shared" si="7"/>
        <v>11372</v>
      </c>
      <c r="N18" s="347">
        <f t="shared" si="1"/>
        <v>40.614285714285714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15000</v>
      </c>
      <c r="I19" s="363">
        <v>0</v>
      </c>
      <c r="J19" s="385">
        <f t="shared" si="6"/>
        <v>15000</v>
      </c>
      <c r="K19" s="363">
        <v>8955</v>
      </c>
      <c r="L19" s="363">
        <v>0</v>
      </c>
      <c r="M19" s="385">
        <f t="shared" si="7"/>
        <v>8955</v>
      </c>
      <c r="N19" s="347">
        <f t="shared" si="1"/>
        <v>59.699999999999996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6000</v>
      </c>
      <c r="I20" s="363">
        <v>0</v>
      </c>
      <c r="J20" s="385">
        <f t="shared" si="6"/>
        <v>6000</v>
      </c>
      <c r="K20" s="363">
        <v>4107</v>
      </c>
      <c r="L20" s="363">
        <v>0</v>
      </c>
      <c r="M20" s="385">
        <f t="shared" si="7"/>
        <v>4107</v>
      </c>
      <c r="N20" s="347">
        <f t="shared" si="1"/>
        <v>68.45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4500</v>
      </c>
      <c r="I21" s="365">
        <v>0</v>
      </c>
      <c r="J21" s="385">
        <f t="shared" si="6"/>
        <v>4500</v>
      </c>
      <c r="K21" s="365">
        <v>2190</v>
      </c>
      <c r="L21" s="365">
        <v>0</v>
      </c>
      <c r="M21" s="385">
        <f t="shared" si="7"/>
        <v>2190</v>
      </c>
      <c r="N21" s="347">
        <f t="shared" si="1"/>
        <v>48.666666666666671</v>
      </c>
      <c r="O21" s="50"/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8000</v>
      </c>
      <c r="I23" s="365">
        <v>0</v>
      </c>
      <c r="J23" s="385">
        <f t="shared" si="6"/>
        <v>8000</v>
      </c>
      <c r="K23" s="365">
        <v>4995</v>
      </c>
      <c r="L23" s="365">
        <v>0</v>
      </c>
      <c r="M23" s="385">
        <f t="shared" si="7"/>
        <v>4995</v>
      </c>
      <c r="N23" s="347">
        <f t="shared" si="1"/>
        <v>62.4375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1600</v>
      </c>
      <c r="I24" s="365">
        <v>0</v>
      </c>
      <c r="J24" s="385">
        <f t="shared" si="6"/>
        <v>1600</v>
      </c>
      <c r="K24" s="365">
        <v>0</v>
      </c>
      <c r="L24" s="365">
        <v>0</v>
      </c>
      <c r="M24" s="385">
        <f t="shared" si="7"/>
        <v>0</v>
      </c>
      <c r="N24" s="347">
        <f t="shared" si="1"/>
        <v>0</v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50000</v>
      </c>
      <c r="I25" s="365">
        <v>0</v>
      </c>
      <c r="J25" s="385">
        <f t="shared" si="6"/>
        <v>50000</v>
      </c>
      <c r="K25" s="365">
        <v>12925</v>
      </c>
      <c r="L25" s="365">
        <v>0</v>
      </c>
      <c r="M25" s="385">
        <f t="shared" si="7"/>
        <v>12925</v>
      </c>
      <c r="N25" s="347">
        <f t="shared" si="1"/>
        <v>25.85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10000</v>
      </c>
      <c r="I28" s="295">
        <f t="shared" si="8"/>
        <v>0</v>
      </c>
      <c r="J28" s="387">
        <f t="shared" si="8"/>
        <v>10000</v>
      </c>
      <c r="K28" s="295">
        <f t="shared" si="8"/>
        <v>2996</v>
      </c>
      <c r="L28" s="295">
        <f t="shared" si="8"/>
        <v>0</v>
      </c>
      <c r="M28" s="387">
        <f t="shared" si="8"/>
        <v>2996</v>
      </c>
      <c r="N28" s="346">
        <f t="shared" si="1"/>
        <v>29.959999999999997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5000</v>
      </c>
      <c r="I29" s="296">
        <v>0</v>
      </c>
      <c r="J29" s="385">
        <f t="shared" ref="J29:J30" si="9">SUM(H29:I29)</f>
        <v>5000</v>
      </c>
      <c r="K29" s="296">
        <v>0</v>
      </c>
      <c r="L29" s="296">
        <v>0</v>
      </c>
      <c r="M29" s="385">
        <f t="shared" ref="M29:M30" si="10">SUM(K29:L29)</f>
        <v>0</v>
      </c>
      <c r="N29" s="347">
        <f t="shared" si="1"/>
        <v>0</v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5000</v>
      </c>
      <c r="I30" s="296">
        <v>0</v>
      </c>
      <c r="J30" s="385">
        <f t="shared" si="9"/>
        <v>5000</v>
      </c>
      <c r="K30" s="296">
        <v>2996</v>
      </c>
      <c r="L30" s="296">
        <v>0</v>
      </c>
      <c r="M30" s="385">
        <f t="shared" si="10"/>
        <v>2996</v>
      </c>
      <c r="N30" s="347">
        <f t="shared" si="1"/>
        <v>59.919999999999995</v>
      </c>
    </row>
    <row r="31" spans="1:15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16</v>
      </c>
      <c r="I32" s="288"/>
      <c r="J32" s="387">
        <v>16</v>
      </c>
      <c r="K32" s="288">
        <v>16</v>
      </c>
      <c r="L32" s="288"/>
      <c r="M32" s="387">
        <v>16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689140</v>
      </c>
      <c r="I33" s="288">
        <f t="shared" si="11"/>
        <v>0</v>
      </c>
      <c r="J33" s="387">
        <f t="shared" si="11"/>
        <v>689140</v>
      </c>
      <c r="K33" s="288">
        <f t="shared" si="11"/>
        <v>471657</v>
      </c>
      <c r="L33" s="288">
        <f t="shared" si="11"/>
        <v>0</v>
      </c>
      <c r="M33" s="387">
        <f t="shared" si="11"/>
        <v>471657</v>
      </c>
      <c r="N33" s="346">
        <f t="shared" si="1"/>
        <v>68.441390718866984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689140</v>
      </c>
      <c r="I34" s="288">
        <f t="shared" si="12"/>
        <v>0</v>
      </c>
      <c r="J34" s="387">
        <f t="shared" si="12"/>
        <v>689140</v>
      </c>
      <c r="K34" s="288">
        <f t="shared" ref="K34:M34" si="13">K33</f>
        <v>471657</v>
      </c>
      <c r="L34" s="288">
        <f t="shared" si="13"/>
        <v>0</v>
      </c>
      <c r="M34" s="387">
        <f t="shared" si="13"/>
        <v>471657</v>
      </c>
      <c r="N34" s="346">
        <f t="shared" si="1"/>
        <v>68.441390718866984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689140</v>
      </c>
      <c r="I35" s="288">
        <f t="shared" si="12"/>
        <v>0</v>
      </c>
      <c r="J35" s="387">
        <f t="shared" si="12"/>
        <v>689140</v>
      </c>
      <c r="K35" s="288">
        <f t="shared" ref="K35:M35" si="14">K34</f>
        <v>471657</v>
      </c>
      <c r="L35" s="288">
        <f t="shared" si="14"/>
        <v>0</v>
      </c>
      <c r="M35" s="387">
        <f t="shared" si="14"/>
        <v>471657</v>
      </c>
      <c r="N35" s="346">
        <f t="shared" si="1"/>
        <v>68.441390718866984</v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P96"/>
  <sheetViews>
    <sheetView zoomScaleNormal="100" workbookViewId="0">
      <selection activeCell="N32" sqref="N32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8" t="s">
        <v>220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156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70000</v>
      </c>
      <c r="I8" s="210">
        <f t="shared" si="0"/>
        <v>0</v>
      </c>
      <c r="J8" s="384">
        <f t="shared" si="0"/>
        <v>70000</v>
      </c>
      <c r="K8" s="210">
        <f t="shared" si="0"/>
        <v>50733</v>
      </c>
      <c r="L8" s="210">
        <f t="shared" si="0"/>
        <v>0</v>
      </c>
      <c r="M8" s="384">
        <f t="shared" si="0"/>
        <v>50733</v>
      </c>
      <c r="N8" s="346">
        <f>IF(J8=0,"",M8/J8*100)</f>
        <v>72.47571428571429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58800+500+500</f>
        <v>59800</v>
      </c>
      <c r="I9" s="209">
        <v>0</v>
      </c>
      <c r="J9" s="385">
        <f>SUM(H9:I9)</f>
        <v>59800</v>
      </c>
      <c r="K9" s="209">
        <v>44377</v>
      </c>
      <c r="L9" s="209">
        <v>0</v>
      </c>
      <c r="M9" s="385">
        <f>SUM(K9:L9)</f>
        <v>44377</v>
      </c>
      <c r="N9" s="347">
        <f t="shared" ref="N9:N66" si="1">IF(J9=0,"",M9/J9*100)</f>
        <v>74.209030100334445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9100+200+900</f>
        <v>10200</v>
      </c>
      <c r="I10" s="209">
        <v>0</v>
      </c>
      <c r="J10" s="385">
        <f t="shared" ref="J10:J11" si="2">SUM(H10:I10)</f>
        <v>10200</v>
      </c>
      <c r="K10" s="209">
        <v>6356</v>
      </c>
      <c r="L10" s="209">
        <v>0</v>
      </c>
      <c r="M10" s="385">
        <f t="shared" ref="M10:M11" si="3">SUM(K10:L10)</f>
        <v>6356</v>
      </c>
      <c r="N10" s="347">
        <f t="shared" si="1"/>
        <v>62.313725490196084</v>
      </c>
    </row>
    <row r="11" spans="1:16" ht="12.95" customHeight="1">
      <c r="B11" s="10"/>
      <c r="C11" s="11"/>
      <c r="D11" s="11"/>
      <c r="E11" s="306">
        <v>611200</v>
      </c>
      <c r="F11" s="332"/>
      <c r="G11" s="356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6420</v>
      </c>
      <c r="I13" s="210">
        <f t="shared" si="4"/>
        <v>0</v>
      </c>
      <c r="J13" s="384">
        <f t="shared" si="4"/>
        <v>6420</v>
      </c>
      <c r="K13" s="210">
        <f t="shared" si="4"/>
        <v>4787</v>
      </c>
      <c r="L13" s="210">
        <f t="shared" si="4"/>
        <v>0</v>
      </c>
      <c r="M13" s="384">
        <f t="shared" si="4"/>
        <v>4787</v>
      </c>
      <c r="N13" s="346">
        <f t="shared" si="1"/>
        <v>74.563862928348911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6290+60+70</f>
        <v>6420</v>
      </c>
      <c r="I14" s="209">
        <v>0</v>
      </c>
      <c r="J14" s="385">
        <f>SUM(H14:I14)</f>
        <v>6420</v>
      </c>
      <c r="K14" s="209">
        <v>4787</v>
      </c>
      <c r="L14" s="209">
        <v>0</v>
      </c>
      <c r="M14" s="385">
        <f>SUM(K14:L14)</f>
        <v>4787</v>
      </c>
      <c r="N14" s="347">
        <f t="shared" si="1"/>
        <v>74.563862928348911</v>
      </c>
    </row>
    <row r="15" spans="1:16" ht="12.95" customHeight="1">
      <c r="B15" s="10"/>
      <c r="C15" s="11"/>
      <c r="D15" s="11"/>
      <c r="E15" s="306"/>
      <c r="F15" s="332"/>
      <c r="G15" s="11"/>
      <c r="H15" s="293"/>
      <c r="I15" s="293"/>
      <c r="J15" s="387"/>
      <c r="K15" s="293"/>
      <c r="L15" s="293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17700</v>
      </c>
      <c r="I16" s="293">
        <f t="shared" si="5"/>
        <v>0</v>
      </c>
      <c r="J16" s="387">
        <f t="shared" si="5"/>
        <v>17700</v>
      </c>
      <c r="K16" s="293">
        <f t="shared" si="5"/>
        <v>9695</v>
      </c>
      <c r="L16" s="293">
        <f t="shared" si="5"/>
        <v>0</v>
      </c>
      <c r="M16" s="387">
        <f t="shared" si="5"/>
        <v>9695</v>
      </c>
      <c r="N16" s="346">
        <f t="shared" si="1"/>
        <v>54.774011299435031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1000</v>
      </c>
      <c r="I17" s="362">
        <v>0</v>
      </c>
      <c r="J17" s="385">
        <f t="shared" ref="J17:J26" si="6">SUM(H17:I17)</f>
        <v>1000</v>
      </c>
      <c r="K17" s="362">
        <v>366</v>
      </c>
      <c r="L17" s="362">
        <v>0</v>
      </c>
      <c r="M17" s="385">
        <f t="shared" ref="M17:M26" si="7">SUM(K17:L17)</f>
        <v>366</v>
      </c>
      <c r="N17" s="347">
        <f t="shared" si="1"/>
        <v>36.6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4">
        <v>3500</v>
      </c>
      <c r="I19" s="364">
        <v>0</v>
      </c>
      <c r="J19" s="385">
        <f t="shared" si="6"/>
        <v>3500</v>
      </c>
      <c r="K19" s="364">
        <v>1754</v>
      </c>
      <c r="L19" s="364">
        <v>0</v>
      </c>
      <c r="M19" s="385">
        <f t="shared" si="7"/>
        <v>1754</v>
      </c>
      <c r="N19" s="347">
        <f t="shared" si="1"/>
        <v>50.114285714285714</v>
      </c>
      <c r="O19" s="50"/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2">
        <v>1200</v>
      </c>
      <c r="I20" s="362">
        <v>0</v>
      </c>
      <c r="J20" s="385">
        <f t="shared" si="6"/>
        <v>1200</v>
      </c>
      <c r="K20" s="362">
        <v>294</v>
      </c>
      <c r="L20" s="362">
        <v>0</v>
      </c>
      <c r="M20" s="385">
        <f t="shared" si="7"/>
        <v>294</v>
      </c>
      <c r="N20" s="347">
        <f t="shared" si="1"/>
        <v>24.5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0</v>
      </c>
      <c r="I21" s="362">
        <v>0</v>
      </c>
      <c r="J21" s="385">
        <f t="shared" si="6"/>
        <v>0</v>
      </c>
      <c r="K21" s="362">
        <v>0</v>
      </c>
      <c r="L21" s="362">
        <v>0</v>
      </c>
      <c r="M21" s="385">
        <f t="shared" si="7"/>
        <v>0</v>
      </c>
      <c r="N21" s="347" t="str">
        <f t="shared" si="1"/>
        <v/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500</v>
      </c>
      <c r="I23" s="364">
        <v>0</v>
      </c>
      <c r="J23" s="385">
        <f t="shared" si="6"/>
        <v>500</v>
      </c>
      <c r="K23" s="364">
        <v>183</v>
      </c>
      <c r="L23" s="364">
        <v>0</v>
      </c>
      <c r="M23" s="385">
        <f t="shared" si="7"/>
        <v>183</v>
      </c>
      <c r="N23" s="347">
        <f t="shared" si="1"/>
        <v>36.6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0</v>
      </c>
      <c r="I24" s="364">
        <v>0</v>
      </c>
      <c r="J24" s="385">
        <f t="shared" si="6"/>
        <v>0</v>
      </c>
      <c r="K24" s="364">
        <v>0</v>
      </c>
      <c r="L24" s="364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11500</v>
      </c>
      <c r="I25" s="364">
        <v>0</v>
      </c>
      <c r="J25" s="385">
        <f t="shared" si="6"/>
        <v>11500</v>
      </c>
      <c r="K25" s="364">
        <v>7098</v>
      </c>
      <c r="L25" s="364">
        <v>0</v>
      </c>
      <c r="M25" s="385">
        <f t="shared" si="7"/>
        <v>7098</v>
      </c>
      <c r="N25" s="347">
        <f t="shared" si="1"/>
        <v>61.721739130434784</v>
      </c>
    </row>
    <row r="26" spans="1:15" ht="12.95" customHeight="1">
      <c r="B26" s="10"/>
      <c r="C26" s="11"/>
      <c r="D26" s="11"/>
      <c r="E26" s="306">
        <v>613900</v>
      </c>
      <c r="F26" s="332"/>
      <c r="G26" s="18" t="s">
        <v>607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5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H29+H30</f>
        <v>1000</v>
      </c>
      <c r="I28" s="295">
        <f t="shared" si="8"/>
        <v>0</v>
      </c>
      <c r="J28" s="387">
        <f t="shared" si="8"/>
        <v>1000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1000</v>
      </c>
      <c r="I30" s="280">
        <v>0</v>
      </c>
      <c r="J30" s="385">
        <f t="shared" si="9"/>
        <v>1000</v>
      </c>
      <c r="K30" s="280">
        <v>0</v>
      </c>
      <c r="L30" s="280">
        <v>0</v>
      </c>
      <c r="M30" s="385">
        <f t="shared" si="10"/>
        <v>0</v>
      </c>
      <c r="N30" s="347">
        <f t="shared" si="1"/>
        <v>0</v>
      </c>
    </row>
    <row r="31" spans="1:15" ht="12.95" customHeight="1">
      <c r="B31" s="10"/>
      <c r="C31" s="11"/>
      <c r="D31" s="11"/>
      <c r="E31" s="306"/>
      <c r="F31" s="332"/>
      <c r="G31" s="11"/>
      <c r="H31" s="288"/>
      <c r="I31" s="288"/>
      <c r="J31" s="387"/>
      <c r="K31" s="288"/>
      <c r="L31" s="288"/>
      <c r="M31" s="387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3</v>
      </c>
      <c r="I32" s="288"/>
      <c r="J32" s="387">
        <v>3</v>
      </c>
      <c r="K32" s="288">
        <v>3</v>
      </c>
      <c r="L32" s="288"/>
      <c r="M32" s="387">
        <v>3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95120</v>
      </c>
      <c r="I33" s="288">
        <f t="shared" si="11"/>
        <v>0</v>
      </c>
      <c r="J33" s="387">
        <f t="shared" si="11"/>
        <v>95120</v>
      </c>
      <c r="K33" s="288">
        <f t="shared" si="11"/>
        <v>65215</v>
      </c>
      <c r="L33" s="288">
        <f t="shared" si="11"/>
        <v>0</v>
      </c>
      <c r="M33" s="387">
        <f t="shared" si="11"/>
        <v>65215</v>
      </c>
      <c r="N33" s="346">
        <f t="shared" si="1"/>
        <v>68.560765349032806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95120</v>
      </c>
      <c r="I34" s="288">
        <f t="shared" si="12"/>
        <v>0</v>
      </c>
      <c r="J34" s="387">
        <f t="shared" si="12"/>
        <v>95120</v>
      </c>
      <c r="K34" s="288">
        <f t="shared" ref="K34:M34" si="13">K33</f>
        <v>65215</v>
      </c>
      <c r="L34" s="288">
        <f t="shared" si="13"/>
        <v>0</v>
      </c>
      <c r="M34" s="387">
        <f t="shared" si="13"/>
        <v>65215</v>
      </c>
      <c r="N34" s="346">
        <f t="shared" si="1"/>
        <v>68.560765349032806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95120</v>
      </c>
      <c r="I35" s="288">
        <f t="shared" si="12"/>
        <v>0</v>
      </c>
      <c r="J35" s="387">
        <f t="shared" si="12"/>
        <v>95120</v>
      </c>
      <c r="K35" s="288">
        <f t="shared" ref="K35:M35" si="14">K34</f>
        <v>65215</v>
      </c>
      <c r="L35" s="288">
        <f t="shared" si="14"/>
        <v>0</v>
      </c>
      <c r="M35" s="387">
        <f t="shared" si="14"/>
        <v>65215</v>
      </c>
      <c r="N35" s="346">
        <f t="shared" si="1"/>
        <v>68.560765349032806</v>
      </c>
    </row>
    <row r="36" spans="1:14" ht="12.95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P96"/>
  <sheetViews>
    <sheetView zoomScaleNormal="100" workbookViewId="0">
      <selection activeCell="N32" sqref="N32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158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157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466320</v>
      </c>
      <c r="I8" s="210">
        <f t="shared" si="0"/>
        <v>0</v>
      </c>
      <c r="J8" s="384">
        <f t="shared" si="0"/>
        <v>466320</v>
      </c>
      <c r="K8" s="210">
        <f t="shared" si="0"/>
        <v>328529</v>
      </c>
      <c r="L8" s="210">
        <f t="shared" si="0"/>
        <v>0</v>
      </c>
      <c r="M8" s="384">
        <f t="shared" si="0"/>
        <v>328529</v>
      </c>
      <c r="N8" s="346">
        <f>IF(J8=0,"",M8/J8*100)</f>
        <v>70.451406759306906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398220+3300+2*500+12*150</f>
        <v>404320</v>
      </c>
      <c r="I9" s="212">
        <v>0</v>
      </c>
      <c r="J9" s="385">
        <f>SUM(H9:I9)</f>
        <v>404320</v>
      </c>
      <c r="K9" s="212">
        <v>287136</v>
      </c>
      <c r="L9" s="212">
        <v>0</v>
      </c>
      <c r="M9" s="385">
        <f>SUM(K9:L9)</f>
        <v>287136</v>
      </c>
      <c r="N9" s="347">
        <f t="shared" ref="N9:N66" si="1">IF(J9=0,"",M9/J9*100)</f>
        <v>71.017016224772462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59000+1200+2*900</f>
        <v>62000</v>
      </c>
      <c r="I10" s="212">
        <v>0</v>
      </c>
      <c r="J10" s="385">
        <f t="shared" ref="J10:J11" si="2">SUM(H10:I10)</f>
        <v>62000</v>
      </c>
      <c r="K10" s="212">
        <v>41393</v>
      </c>
      <c r="L10" s="212">
        <v>0</v>
      </c>
      <c r="M10" s="385">
        <f t="shared" ref="M10:M11" si="3">SUM(K10:L10)</f>
        <v>41393</v>
      </c>
      <c r="N10" s="347">
        <f t="shared" si="1"/>
        <v>66.76290322580644</v>
      </c>
    </row>
    <row r="11" spans="1:16" ht="12.95" customHeight="1">
      <c r="B11" s="10"/>
      <c r="C11" s="11"/>
      <c r="D11" s="11"/>
      <c r="E11" s="306">
        <v>611200</v>
      </c>
      <c r="F11" s="332"/>
      <c r="G11" s="356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  <c r="P12" s="50"/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42860</v>
      </c>
      <c r="I13" s="210">
        <f t="shared" si="4"/>
        <v>0</v>
      </c>
      <c r="J13" s="384">
        <f t="shared" si="4"/>
        <v>42860</v>
      </c>
      <c r="K13" s="210">
        <f t="shared" si="4"/>
        <v>33030</v>
      </c>
      <c r="L13" s="210">
        <f t="shared" si="4"/>
        <v>0</v>
      </c>
      <c r="M13" s="384">
        <f t="shared" si="4"/>
        <v>33030</v>
      </c>
      <c r="N13" s="346">
        <f t="shared" si="1"/>
        <v>77.064862342510494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42100+380+2*70+12*20</f>
        <v>42860</v>
      </c>
      <c r="I14" s="212">
        <v>0</v>
      </c>
      <c r="J14" s="385">
        <f>SUM(H14:I14)</f>
        <v>42860</v>
      </c>
      <c r="K14" s="212">
        <v>33030</v>
      </c>
      <c r="L14" s="212">
        <v>0</v>
      </c>
      <c r="M14" s="385">
        <f>SUM(K14:L14)</f>
        <v>33030</v>
      </c>
      <c r="N14" s="347">
        <f t="shared" si="1"/>
        <v>77.064862342510494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91300</v>
      </c>
      <c r="I16" s="293">
        <f t="shared" si="5"/>
        <v>0</v>
      </c>
      <c r="J16" s="387">
        <f t="shared" si="5"/>
        <v>91300</v>
      </c>
      <c r="K16" s="293">
        <f t="shared" si="5"/>
        <v>52544</v>
      </c>
      <c r="L16" s="293">
        <f t="shared" si="5"/>
        <v>0</v>
      </c>
      <c r="M16" s="387">
        <f t="shared" si="5"/>
        <v>52544</v>
      </c>
      <c r="N16" s="346">
        <f t="shared" si="1"/>
        <v>57.550930996714136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3000</v>
      </c>
      <c r="I17" s="363">
        <v>0</v>
      </c>
      <c r="J17" s="385">
        <f t="shared" ref="J17:J26" si="6">SUM(H17:I17)</f>
        <v>3000</v>
      </c>
      <c r="K17" s="363">
        <v>1310</v>
      </c>
      <c r="L17" s="363">
        <v>0</v>
      </c>
      <c r="M17" s="385">
        <f t="shared" ref="M17:M26" si="7">SUM(K17:L17)</f>
        <v>1310</v>
      </c>
      <c r="N17" s="347">
        <f t="shared" si="1"/>
        <v>43.666666666666664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4500</v>
      </c>
      <c r="I18" s="363">
        <v>0</v>
      </c>
      <c r="J18" s="385">
        <f t="shared" si="6"/>
        <v>4500</v>
      </c>
      <c r="K18" s="363">
        <v>2789</v>
      </c>
      <c r="L18" s="363">
        <v>0</v>
      </c>
      <c r="M18" s="385">
        <f t="shared" si="7"/>
        <v>2789</v>
      </c>
      <c r="N18" s="347">
        <f t="shared" si="1"/>
        <v>61.977777777777774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12500</v>
      </c>
      <c r="I19" s="365">
        <v>0</v>
      </c>
      <c r="J19" s="385">
        <f t="shared" si="6"/>
        <v>12500</v>
      </c>
      <c r="K19" s="365">
        <v>6129</v>
      </c>
      <c r="L19" s="365">
        <v>0</v>
      </c>
      <c r="M19" s="385">
        <f t="shared" si="7"/>
        <v>6129</v>
      </c>
      <c r="N19" s="347">
        <f t="shared" si="1"/>
        <v>49.031999999999996</v>
      </c>
      <c r="O19" s="50"/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10000</v>
      </c>
      <c r="I20" s="363">
        <v>0</v>
      </c>
      <c r="J20" s="385">
        <f t="shared" si="6"/>
        <v>10000</v>
      </c>
      <c r="K20" s="363">
        <v>8261</v>
      </c>
      <c r="L20" s="363">
        <v>0</v>
      </c>
      <c r="M20" s="385">
        <f t="shared" si="7"/>
        <v>8261</v>
      </c>
      <c r="N20" s="347">
        <f t="shared" si="1"/>
        <v>82.61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2500</v>
      </c>
      <c r="I21" s="365">
        <v>0</v>
      </c>
      <c r="J21" s="385">
        <f t="shared" si="6"/>
        <v>2500</v>
      </c>
      <c r="K21" s="365">
        <v>1600</v>
      </c>
      <c r="L21" s="365">
        <v>0</v>
      </c>
      <c r="M21" s="385">
        <f t="shared" si="7"/>
        <v>1600</v>
      </c>
      <c r="N21" s="347">
        <f t="shared" si="1"/>
        <v>64</v>
      </c>
      <c r="O21" s="50"/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3000</v>
      </c>
      <c r="I23" s="365">
        <v>0</v>
      </c>
      <c r="J23" s="385">
        <f t="shared" si="6"/>
        <v>3000</v>
      </c>
      <c r="K23" s="365">
        <v>1255</v>
      </c>
      <c r="L23" s="365">
        <v>0</v>
      </c>
      <c r="M23" s="385">
        <f t="shared" si="7"/>
        <v>1255</v>
      </c>
      <c r="N23" s="347">
        <f t="shared" si="1"/>
        <v>41.833333333333336</v>
      </c>
      <c r="O23" s="50"/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800</v>
      </c>
      <c r="I24" s="365">
        <v>0</v>
      </c>
      <c r="J24" s="385">
        <f t="shared" si="6"/>
        <v>800</v>
      </c>
      <c r="K24" s="365">
        <v>257</v>
      </c>
      <c r="L24" s="365">
        <v>0</v>
      </c>
      <c r="M24" s="385">
        <f t="shared" si="7"/>
        <v>257</v>
      </c>
      <c r="N24" s="347">
        <f t="shared" si="1"/>
        <v>32.125</v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55000</v>
      </c>
      <c r="I25" s="365">
        <v>0</v>
      </c>
      <c r="J25" s="385">
        <f t="shared" si="6"/>
        <v>55000</v>
      </c>
      <c r="K25" s="365">
        <v>30943</v>
      </c>
      <c r="L25" s="365">
        <v>0</v>
      </c>
      <c r="M25" s="385">
        <f t="shared" si="7"/>
        <v>30943</v>
      </c>
      <c r="N25" s="347">
        <f t="shared" si="1"/>
        <v>56.26</v>
      </c>
    </row>
    <row r="26" spans="1:15" ht="12.95" customHeight="1">
      <c r="B26" s="10"/>
      <c r="C26" s="11"/>
      <c r="D26" s="11"/>
      <c r="E26" s="306">
        <v>613900</v>
      </c>
      <c r="F26" s="332"/>
      <c r="G26" s="18" t="s">
        <v>608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H29+H30</f>
        <v>3000</v>
      </c>
      <c r="I28" s="295">
        <f t="shared" si="8"/>
        <v>0</v>
      </c>
      <c r="J28" s="387">
        <f t="shared" si="8"/>
        <v>3000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0</v>
      </c>
      <c r="I29" s="296">
        <v>0</v>
      </c>
      <c r="J29" s="385">
        <f t="shared" ref="J29:J30" si="9">SUM(H29:I29)</f>
        <v>0</v>
      </c>
      <c r="K29" s="296">
        <v>0</v>
      </c>
      <c r="L29" s="296">
        <v>0</v>
      </c>
      <c r="M29" s="385">
        <f t="shared" ref="M29:M30" si="10">SUM(K29:L29)</f>
        <v>0</v>
      </c>
      <c r="N29" s="347" t="str">
        <f t="shared" si="1"/>
        <v/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3000</v>
      </c>
      <c r="I30" s="296">
        <v>0</v>
      </c>
      <c r="J30" s="385">
        <f t="shared" si="9"/>
        <v>3000</v>
      </c>
      <c r="K30" s="296">
        <v>0</v>
      </c>
      <c r="L30" s="296">
        <v>0</v>
      </c>
      <c r="M30" s="385">
        <f t="shared" si="10"/>
        <v>0</v>
      </c>
      <c r="N30" s="347">
        <f t="shared" si="1"/>
        <v>0</v>
      </c>
    </row>
    <row r="31" spans="1:15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13</v>
      </c>
      <c r="I32" s="295"/>
      <c r="J32" s="387">
        <v>13</v>
      </c>
      <c r="K32" s="295">
        <v>13</v>
      </c>
      <c r="L32" s="295"/>
      <c r="M32" s="387">
        <v>13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603480</v>
      </c>
      <c r="I33" s="288">
        <f t="shared" si="11"/>
        <v>0</v>
      </c>
      <c r="J33" s="387">
        <f t="shared" si="11"/>
        <v>603480</v>
      </c>
      <c r="K33" s="288">
        <f t="shared" si="11"/>
        <v>414103</v>
      </c>
      <c r="L33" s="288">
        <f t="shared" si="11"/>
        <v>0</v>
      </c>
      <c r="M33" s="387">
        <f t="shared" si="11"/>
        <v>414103</v>
      </c>
      <c r="N33" s="346">
        <f t="shared" si="1"/>
        <v>68.619175449062112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603480</v>
      </c>
      <c r="I34" s="288">
        <f t="shared" si="12"/>
        <v>0</v>
      </c>
      <c r="J34" s="387">
        <f t="shared" si="12"/>
        <v>603480</v>
      </c>
      <c r="K34" s="288">
        <f t="shared" ref="K34:M34" si="13">K33</f>
        <v>414103</v>
      </c>
      <c r="L34" s="288">
        <f t="shared" si="13"/>
        <v>0</v>
      </c>
      <c r="M34" s="387">
        <f t="shared" si="13"/>
        <v>414103</v>
      </c>
      <c r="N34" s="346">
        <f t="shared" si="1"/>
        <v>68.619175449062112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603480</v>
      </c>
      <c r="I35" s="288">
        <f t="shared" si="12"/>
        <v>0</v>
      </c>
      <c r="J35" s="387">
        <f t="shared" si="12"/>
        <v>603480</v>
      </c>
      <c r="K35" s="288">
        <f t="shared" ref="K35:M35" si="14">K34</f>
        <v>414103</v>
      </c>
      <c r="L35" s="288">
        <f t="shared" si="14"/>
        <v>0</v>
      </c>
      <c r="M35" s="387">
        <f t="shared" si="14"/>
        <v>414103</v>
      </c>
      <c r="N35" s="346">
        <f t="shared" si="1"/>
        <v>68.619175449062112</v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A1:P96"/>
  <sheetViews>
    <sheetView zoomScaleNormal="100" workbookViewId="0">
      <selection activeCell="N42" sqref="N42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182</v>
      </c>
      <c r="C2" s="599"/>
      <c r="D2" s="599"/>
      <c r="E2" s="599"/>
      <c r="F2" s="599"/>
      <c r="G2" s="599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181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415400</v>
      </c>
      <c r="I8" s="210">
        <f t="shared" si="0"/>
        <v>0</v>
      </c>
      <c r="J8" s="384">
        <f t="shared" si="0"/>
        <v>415400</v>
      </c>
      <c r="K8" s="210">
        <f t="shared" si="0"/>
        <v>308618</v>
      </c>
      <c r="L8" s="210">
        <f t="shared" si="0"/>
        <v>0</v>
      </c>
      <c r="M8" s="384">
        <f t="shared" si="0"/>
        <v>308618</v>
      </c>
      <c r="N8" s="346">
        <f>IF(J8=0,"",M8/J8*100)</f>
        <v>74.294174289841123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351500+3300+2*500</f>
        <v>355800</v>
      </c>
      <c r="I9" s="212">
        <v>0</v>
      </c>
      <c r="J9" s="385">
        <f>SUM(H9:I9)</f>
        <v>355800</v>
      </c>
      <c r="K9" s="212">
        <v>263245</v>
      </c>
      <c r="L9" s="212">
        <v>0</v>
      </c>
      <c r="M9" s="385">
        <f>SUM(K9:L9)</f>
        <v>263245</v>
      </c>
      <c r="N9" s="347">
        <f t="shared" ref="N9:N66" si="1">IF(J9=0,"",M9/J9*100)</f>
        <v>73.986790331646986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56700+1100+2*900</f>
        <v>59600</v>
      </c>
      <c r="I10" s="212">
        <v>0</v>
      </c>
      <c r="J10" s="385">
        <f t="shared" ref="J10:J11" si="2">SUM(H10:I10)</f>
        <v>59600</v>
      </c>
      <c r="K10" s="212">
        <v>45373</v>
      </c>
      <c r="L10" s="212">
        <v>0</v>
      </c>
      <c r="M10" s="385">
        <f t="shared" ref="M10:M11" si="3">SUM(K10:L10)</f>
        <v>45373</v>
      </c>
      <c r="N10" s="347">
        <f t="shared" si="1"/>
        <v>76.12919463087249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37820</v>
      </c>
      <c r="I13" s="210">
        <f t="shared" si="4"/>
        <v>0</v>
      </c>
      <c r="J13" s="384">
        <f t="shared" si="4"/>
        <v>37820</v>
      </c>
      <c r="K13" s="210">
        <f t="shared" si="4"/>
        <v>28099</v>
      </c>
      <c r="L13" s="210">
        <f t="shared" si="4"/>
        <v>0</v>
      </c>
      <c r="M13" s="384">
        <f t="shared" si="4"/>
        <v>28099</v>
      </c>
      <c r="N13" s="346">
        <f t="shared" si="1"/>
        <v>74.29666842940243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37300+380+2*70</f>
        <v>37820</v>
      </c>
      <c r="I14" s="212">
        <v>0</v>
      </c>
      <c r="J14" s="385">
        <f>SUM(H14:I14)</f>
        <v>37820</v>
      </c>
      <c r="K14" s="212">
        <v>28099</v>
      </c>
      <c r="L14" s="212">
        <v>0</v>
      </c>
      <c r="M14" s="385">
        <f>SUM(K14:L14)</f>
        <v>28099</v>
      </c>
      <c r="N14" s="347">
        <f t="shared" si="1"/>
        <v>74.29666842940243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30700</v>
      </c>
      <c r="I16" s="293">
        <f t="shared" si="5"/>
        <v>0</v>
      </c>
      <c r="J16" s="387">
        <f t="shared" si="5"/>
        <v>30700</v>
      </c>
      <c r="K16" s="293">
        <f t="shared" si="5"/>
        <v>17093</v>
      </c>
      <c r="L16" s="293">
        <f t="shared" si="5"/>
        <v>0</v>
      </c>
      <c r="M16" s="387">
        <f t="shared" si="5"/>
        <v>17093</v>
      </c>
      <c r="N16" s="346">
        <f t="shared" si="1"/>
        <v>55.677524429967427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2000</v>
      </c>
      <c r="I17" s="363">
        <v>0</v>
      </c>
      <c r="J17" s="385">
        <f t="shared" ref="J17:J26" si="6">SUM(H17:I17)</f>
        <v>2000</v>
      </c>
      <c r="K17" s="363">
        <v>697</v>
      </c>
      <c r="L17" s="363">
        <v>0</v>
      </c>
      <c r="M17" s="385">
        <f t="shared" ref="M17:M26" si="7">SUM(K17:L17)</f>
        <v>697</v>
      </c>
      <c r="N17" s="347">
        <f t="shared" si="1"/>
        <v>34.849999999999994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6000</v>
      </c>
      <c r="I18" s="363">
        <v>0</v>
      </c>
      <c r="J18" s="385">
        <f t="shared" si="6"/>
        <v>6000</v>
      </c>
      <c r="K18" s="363">
        <v>3585</v>
      </c>
      <c r="L18" s="363">
        <v>0</v>
      </c>
      <c r="M18" s="385">
        <f t="shared" si="7"/>
        <v>3585</v>
      </c>
      <c r="N18" s="347">
        <f t="shared" si="1"/>
        <v>59.75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8500</v>
      </c>
      <c r="I19" s="363">
        <v>0</v>
      </c>
      <c r="J19" s="385">
        <f t="shared" si="6"/>
        <v>8500</v>
      </c>
      <c r="K19" s="363">
        <v>5804</v>
      </c>
      <c r="L19" s="363">
        <v>0</v>
      </c>
      <c r="M19" s="385">
        <f t="shared" si="7"/>
        <v>5804</v>
      </c>
      <c r="N19" s="347">
        <f t="shared" si="1"/>
        <v>68.28235294117647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1000</v>
      </c>
      <c r="I20" s="363">
        <v>0</v>
      </c>
      <c r="J20" s="385">
        <f t="shared" si="6"/>
        <v>1000</v>
      </c>
      <c r="K20" s="363">
        <v>310</v>
      </c>
      <c r="L20" s="363">
        <v>0</v>
      </c>
      <c r="M20" s="385">
        <f t="shared" si="7"/>
        <v>310</v>
      </c>
      <c r="N20" s="347">
        <f t="shared" si="1"/>
        <v>31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5500</v>
      </c>
      <c r="I21" s="363">
        <v>0</v>
      </c>
      <c r="J21" s="385">
        <f t="shared" si="6"/>
        <v>5500</v>
      </c>
      <c r="K21" s="363">
        <v>3486</v>
      </c>
      <c r="L21" s="363">
        <v>0</v>
      </c>
      <c r="M21" s="385">
        <f t="shared" si="7"/>
        <v>3486</v>
      </c>
      <c r="N21" s="347">
        <f t="shared" si="1"/>
        <v>63.381818181818183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4000</v>
      </c>
      <c r="I23" s="365">
        <v>0</v>
      </c>
      <c r="J23" s="385">
        <f t="shared" si="6"/>
        <v>4000</v>
      </c>
      <c r="K23" s="365">
        <v>890</v>
      </c>
      <c r="L23" s="365">
        <v>0</v>
      </c>
      <c r="M23" s="385">
        <f t="shared" si="7"/>
        <v>890</v>
      </c>
      <c r="N23" s="347">
        <f t="shared" si="1"/>
        <v>22.25</v>
      </c>
      <c r="O23" s="50"/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1000</v>
      </c>
      <c r="I24" s="365">
        <v>0</v>
      </c>
      <c r="J24" s="385">
        <f t="shared" si="6"/>
        <v>1000</v>
      </c>
      <c r="K24" s="365">
        <v>671</v>
      </c>
      <c r="L24" s="365">
        <v>0</v>
      </c>
      <c r="M24" s="385">
        <f t="shared" si="7"/>
        <v>671</v>
      </c>
      <c r="N24" s="347">
        <f t="shared" si="1"/>
        <v>67.100000000000009</v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2700</v>
      </c>
      <c r="I25" s="365">
        <v>0</v>
      </c>
      <c r="J25" s="385">
        <f t="shared" si="6"/>
        <v>2700</v>
      </c>
      <c r="K25" s="365">
        <v>1650</v>
      </c>
      <c r="L25" s="365">
        <v>0</v>
      </c>
      <c r="M25" s="385">
        <f t="shared" si="7"/>
        <v>1650</v>
      </c>
      <c r="N25" s="347">
        <f t="shared" si="1"/>
        <v>61.111111111111114</v>
      </c>
      <c r="O25" s="50"/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2000</v>
      </c>
      <c r="I28" s="295">
        <f t="shared" si="8"/>
        <v>0</v>
      </c>
      <c r="J28" s="387">
        <f t="shared" si="8"/>
        <v>2000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0</v>
      </c>
      <c r="I29" s="296">
        <v>0</v>
      </c>
      <c r="J29" s="385">
        <f t="shared" ref="J29:J30" si="9">SUM(H29:I29)</f>
        <v>0</v>
      </c>
      <c r="K29" s="296">
        <v>0</v>
      </c>
      <c r="L29" s="296">
        <v>0</v>
      </c>
      <c r="M29" s="385">
        <f t="shared" ref="M29:M30" si="10">SUM(K29:L29)</f>
        <v>0</v>
      </c>
      <c r="N29" s="347" t="str">
        <f t="shared" si="1"/>
        <v/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2000</v>
      </c>
      <c r="I30" s="296">
        <v>0</v>
      </c>
      <c r="J30" s="385">
        <f t="shared" si="9"/>
        <v>2000</v>
      </c>
      <c r="K30" s="296">
        <v>0</v>
      </c>
      <c r="L30" s="296">
        <v>0</v>
      </c>
      <c r="M30" s="385">
        <f t="shared" si="10"/>
        <v>0</v>
      </c>
      <c r="N30" s="347">
        <f t="shared" si="1"/>
        <v>0</v>
      </c>
    </row>
    <row r="31" spans="1:15" ht="12.95" customHeight="1">
      <c r="B31" s="10"/>
      <c r="C31" s="11"/>
      <c r="D31" s="11"/>
      <c r="E31" s="306"/>
      <c r="F31" s="332"/>
      <c r="G31" s="11"/>
      <c r="H31" s="296"/>
      <c r="I31" s="296"/>
      <c r="J31" s="386"/>
      <c r="K31" s="296"/>
      <c r="L31" s="296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14</v>
      </c>
      <c r="I32" s="288"/>
      <c r="J32" s="387">
        <v>14</v>
      </c>
      <c r="K32" s="288">
        <v>14</v>
      </c>
      <c r="L32" s="288"/>
      <c r="M32" s="387">
        <v>14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485920</v>
      </c>
      <c r="I33" s="288">
        <f t="shared" si="11"/>
        <v>0</v>
      </c>
      <c r="J33" s="387">
        <f t="shared" si="11"/>
        <v>485920</v>
      </c>
      <c r="K33" s="288">
        <f t="shared" si="11"/>
        <v>353810</v>
      </c>
      <c r="L33" s="288">
        <f t="shared" si="11"/>
        <v>0</v>
      </c>
      <c r="M33" s="387">
        <f t="shared" si="11"/>
        <v>353810</v>
      </c>
      <c r="N33" s="346">
        <f t="shared" si="1"/>
        <v>72.812397102403693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485920</v>
      </c>
      <c r="I34" s="288">
        <f t="shared" si="12"/>
        <v>0</v>
      </c>
      <c r="J34" s="387">
        <f t="shared" si="12"/>
        <v>485920</v>
      </c>
      <c r="K34" s="288">
        <f t="shared" ref="K34:M34" si="13">K33</f>
        <v>353810</v>
      </c>
      <c r="L34" s="288">
        <f t="shared" si="13"/>
        <v>0</v>
      </c>
      <c r="M34" s="387">
        <f t="shared" si="13"/>
        <v>353810</v>
      </c>
      <c r="N34" s="346">
        <f t="shared" si="1"/>
        <v>72.812397102403693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485920</v>
      </c>
      <c r="I35" s="288">
        <f t="shared" si="12"/>
        <v>0</v>
      </c>
      <c r="J35" s="387">
        <f t="shared" si="12"/>
        <v>485920</v>
      </c>
      <c r="K35" s="288">
        <f t="shared" ref="K35:M35" si="14">K34</f>
        <v>353810</v>
      </c>
      <c r="L35" s="288">
        <f t="shared" si="14"/>
        <v>0</v>
      </c>
      <c r="M35" s="387">
        <f t="shared" si="14"/>
        <v>353810</v>
      </c>
      <c r="N35" s="346">
        <f t="shared" si="1"/>
        <v>72.812397102403693</v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2:L44"/>
  <sheetViews>
    <sheetView zoomScaleNormal="100" workbookViewId="0">
      <selection activeCell="N20" sqref="N20"/>
    </sheetView>
  </sheetViews>
  <sheetFormatPr defaultRowHeight="12.75"/>
  <cols>
    <col min="1" max="1" width="11.85546875" style="34" customWidth="1"/>
    <col min="2" max="2" width="82.28515625" customWidth="1"/>
    <col min="3" max="11" width="10.7109375" customWidth="1"/>
    <col min="12" max="12" width="11.42578125" style="40" customWidth="1"/>
  </cols>
  <sheetData>
    <row r="2" spans="1:12" ht="15.75">
      <c r="A2" s="573" t="s">
        <v>835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4" spans="1:12" s="40" customFormat="1" ht="51">
      <c r="A4" s="139" t="s">
        <v>396</v>
      </c>
      <c r="B4" s="140" t="s">
        <v>414</v>
      </c>
      <c r="C4" s="139" t="s">
        <v>407</v>
      </c>
      <c r="D4" s="139" t="s">
        <v>408</v>
      </c>
      <c r="E4" s="139" t="s">
        <v>415</v>
      </c>
      <c r="F4" s="139" t="s">
        <v>416</v>
      </c>
      <c r="G4" s="139" t="s">
        <v>409</v>
      </c>
      <c r="H4" s="139" t="s">
        <v>410</v>
      </c>
      <c r="I4" s="139" t="s">
        <v>411</v>
      </c>
      <c r="J4" s="139" t="s">
        <v>417</v>
      </c>
      <c r="K4" s="139" t="s">
        <v>412</v>
      </c>
      <c r="L4" s="139" t="s">
        <v>413</v>
      </c>
    </row>
    <row r="5" spans="1:12" ht="15.95" customHeight="1">
      <c r="A5" s="133">
        <v>10010001</v>
      </c>
      <c r="B5" s="21" t="s">
        <v>230</v>
      </c>
      <c r="C5" s="131">
        <f>'1'!M9</f>
        <v>363697</v>
      </c>
      <c r="D5" s="131">
        <f>'1'!M10+'1'!M11</f>
        <v>53548</v>
      </c>
      <c r="E5" s="131">
        <f>'1'!M13</f>
        <v>38423</v>
      </c>
      <c r="F5" s="131">
        <f>'1'!M16</f>
        <v>179538</v>
      </c>
      <c r="G5" s="131">
        <v>0</v>
      </c>
      <c r="H5" s="131">
        <v>0</v>
      </c>
      <c r="I5" s="21">
        <v>0</v>
      </c>
      <c r="J5" s="131">
        <f>'1'!M28</f>
        <v>0</v>
      </c>
      <c r="K5" s="21">
        <v>0</v>
      </c>
      <c r="L5" s="132">
        <f>SUM(C5:K5)</f>
        <v>635206</v>
      </c>
    </row>
    <row r="6" spans="1:12" ht="15.95" customHeight="1">
      <c r="A6" s="133">
        <v>11010001</v>
      </c>
      <c r="B6" s="21" t="s">
        <v>231</v>
      </c>
      <c r="C6" s="131">
        <f>'3'!M14</f>
        <v>95729</v>
      </c>
      <c r="D6" s="131">
        <f>'3'!M15+'3'!M16</f>
        <v>79043</v>
      </c>
      <c r="E6" s="131">
        <f>'3'!M18</f>
        <v>10132</v>
      </c>
      <c r="F6" s="131">
        <f>'3'!M21</f>
        <v>223720</v>
      </c>
      <c r="G6" s="131">
        <f>'3'!M34</f>
        <v>576096</v>
      </c>
      <c r="H6" s="131">
        <f>'3'!M47</f>
        <v>0</v>
      </c>
      <c r="I6" s="21">
        <v>0</v>
      </c>
      <c r="J6" s="131">
        <f>'3'!M50</f>
        <v>3775</v>
      </c>
      <c r="K6" s="21">
        <v>0</v>
      </c>
      <c r="L6" s="132">
        <f t="shared" ref="L6:L40" si="0">SUM(C6:K6)</f>
        <v>988495</v>
      </c>
    </row>
    <row r="7" spans="1:12" ht="15.95" customHeight="1">
      <c r="A7" s="133">
        <v>11010002</v>
      </c>
      <c r="B7" s="21" t="s">
        <v>232</v>
      </c>
      <c r="C7" s="131">
        <f>'4'!M9</f>
        <v>32898</v>
      </c>
      <c r="D7" s="131">
        <f>'4'!M10+'4'!M11</f>
        <v>7470</v>
      </c>
      <c r="E7" s="131">
        <f>'4'!M13</f>
        <v>3481</v>
      </c>
      <c r="F7" s="131">
        <f>'4'!M16</f>
        <v>1308</v>
      </c>
      <c r="G7" s="131">
        <f>'4'!M28</f>
        <v>0</v>
      </c>
      <c r="H7" s="21">
        <v>0</v>
      </c>
      <c r="I7" s="21">
        <v>0</v>
      </c>
      <c r="J7" s="131">
        <f>'4'!M31</f>
        <v>953</v>
      </c>
      <c r="K7" s="21">
        <v>0</v>
      </c>
      <c r="L7" s="132">
        <f t="shared" si="0"/>
        <v>46110</v>
      </c>
    </row>
    <row r="8" spans="1:12" ht="15.95" customHeight="1">
      <c r="A8" s="133">
        <v>11010003</v>
      </c>
      <c r="B8" s="21" t="s">
        <v>233</v>
      </c>
      <c r="C8" s="131">
        <f>'5'!M9</f>
        <v>26822</v>
      </c>
      <c r="D8" s="131">
        <f>'5'!M10+'5'!M11</f>
        <v>3726</v>
      </c>
      <c r="E8" s="131">
        <f>'5'!M13</f>
        <v>2832</v>
      </c>
      <c r="F8" s="131">
        <f>'5'!M16</f>
        <v>807</v>
      </c>
      <c r="G8" s="21">
        <v>0</v>
      </c>
      <c r="H8" s="21">
        <v>0</v>
      </c>
      <c r="I8" s="21">
        <v>0</v>
      </c>
      <c r="J8" s="131">
        <f>'5'!M28</f>
        <v>0</v>
      </c>
      <c r="K8" s="21">
        <v>0</v>
      </c>
      <c r="L8" s="132">
        <f t="shared" si="0"/>
        <v>34187</v>
      </c>
    </row>
    <row r="9" spans="1:12" ht="15.95" customHeight="1">
      <c r="A9" s="133">
        <v>11010004</v>
      </c>
      <c r="B9" s="21" t="s">
        <v>234</v>
      </c>
      <c r="C9" s="131">
        <f>'6'!M9</f>
        <v>48542</v>
      </c>
      <c r="D9" s="131">
        <f>'6'!M10+'6'!M11</f>
        <v>7987</v>
      </c>
      <c r="E9" s="131">
        <f>'6'!M13</f>
        <v>5139</v>
      </c>
      <c r="F9" s="131">
        <f>'6'!M16</f>
        <v>2102</v>
      </c>
      <c r="G9" s="21">
        <v>0</v>
      </c>
      <c r="H9" s="21">
        <v>0</v>
      </c>
      <c r="I9" s="21">
        <v>0</v>
      </c>
      <c r="J9" s="131">
        <f>'6'!M28</f>
        <v>0</v>
      </c>
      <c r="K9" s="21">
        <v>0</v>
      </c>
      <c r="L9" s="132">
        <f t="shared" si="0"/>
        <v>63770</v>
      </c>
    </row>
    <row r="10" spans="1:12" ht="15.95" customHeight="1">
      <c r="A10" s="133">
        <v>11010005</v>
      </c>
      <c r="B10" s="234" t="s">
        <v>605</v>
      </c>
      <c r="C10" s="131">
        <f>'7'!M9</f>
        <v>99748</v>
      </c>
      <c r="D10" s="131">
        <f>'7'!M10+'7'!M11</f>
        <v>26005</v>
      </c>
      <c r="E10" s="131">
        <f>'7'!M13</f>
        <v>10567</v>
      </c>
      <c r="F10" s="131">
        <f>'7'!M16</f>
        <v>4200</v>
      </c>
      <c r="G10" s="21">
        <v>0</v>
      </c>
      <c r="H10" s="21">
        <v>0</v>
      </c>
      <c r="I10" s="21">
        <v>0</v>
      </c>
      <c r="J10" s="131">
        <f>'7'!M28</f>
        <v>0</v>
      </c>
      <c r="K10" s="21">
        <v>0</v>
      </c>
      <c r="L10" s="132">
        <f t="shared" si="0"/>
        <v>140520</v>
      </c>
    </row>
    <row r="11" spans="1:12" ht="15.95" customHeight="1">
      <c r="A11" s="133">
        <v>12010001</v>
      </c>
      <c r="B11" s="21" t="s">
        <v>235</v>
      </c>
      <c r="C11" s="131">
        <f>'8'!M9</f>
        <v>162907</v>
      </c>
      <c r="D11" s="131">
        <f>'8'!M10+'8'!M11</f>
        <v>46999</v>
      </c>
      <c r="E11" s="131">
        <f>'8'!M13</f>
        <v>17492</v>
      </c>
      <c r="F11" s="131">
        <f>'8'!M16</f>
        <v>268459</v>
      </c>
      <c r="G11" s="21">
        <v>0</v>
      </c>
      <c r="H11" s="21">
        <v>0</v>
      </c>
      <c r="I11" s="21">
        <v>0</v>
      </c>
      <c r="J11" s="131">
        <f>'8'!M28</f>
        <v>78519</v>
      </c>
      <c r="K11" s="21">
        <v>0</v>
      </c>
      <c r="L11" s="132">
        <f t="shared" si="0"/>
        <v>574376</v>
      </c>
    </row>
    <row r="12" spans="1:12" ht="15.95" customHeight="1">
      <c r="A12" s="133">
        <v>13010001</v>
      </c>
      <c r="B12" s="21" t="s">
        <v>395</v>
      </c>
      <c r="C12" s="131">
        <f>'9'!M9</f>
        <v>2976813</v>
      </c>
      <c r="D12" s="131">
        <f>'9'!M10+'9'!M11</f>
        <v>600460</v>
      </c>
      <c r="E12" s="131">
        <f>'9'!M13</f>
        <v>460757</v>
      </c>
      <c r="F12" s="131">
        <f>'9'!M16</f>
        <v>491213</v>
      </c>
      <c r="G12" s="21">
        <v>0</v>
      </c>
      <c r="H12" s="21">
        <v>0</v>
      </c>
      <c r="I12" s="21">
        <v>0</v>
      </c>
      <c r="J12" s="131">
        <f>'9'!M28</f>
        <v>283</v>
      </c>
      <c r="K12" s="21">
        <v>0</v>
      </c>
      <c r="L12" s="132">
        <f t="shared" si="0"/>
        <v>4529526</v>
      </c>
    </row>
    <row r="13" spans="1:12" ht="15.95" customHeight="1">
      <c r="A13" s="133">
        <v>14010001</v>
      </c>
      <c r="B13" s="21" t="s">
        <v>237</v>
      </c>
      <c r="C13" s="131">
        <f>'10'!M9</f>
        <v>59148</v>
      </c>
      <c r="D13" s="131">
        <f>'10'!M10+'10'!M11</f>
        <v>11474</v>
      </c>
      <c r="E13" s="131">
        <f>'10'!M13</f>
        <v>6259</v>
      </c>
      <c r="F13" s="131">
        <f>'10'!M16</f>
        <v>40679</v>
      </c>
      <c r="G13" s="21">
        <v>0</v>
      </c>
      <c r="H13" s="21">
        <v>0</v>
      </c>
      <c r="I13" s="21">
        <v>0</v>
      </c>
      <c r="J13" s="131">
        <f>'10'!M28</f>
        <v>0</v>
      </c>
      <c r="K13" s="21">
        <v>0</v>
      </c>
      <c r="L13" s="132">
        <f t="shared" si="0"/>
        <v>117560</v>
      </c>
    </row>
    <row r="14" spans="1:12" ht="15.95" customHeight="1">
      <c r="A14" s="133">
        <v>14020003</v>
      </c>
      <c r="B14" s="21" t="s">
        <v>238</v>
      </c>
      <c r="C14" s="131">
        <f>'11'!M9</f>
        <v>732473</v>
      </c>
      <c r="D14" s="131">
        <f>'11'!M10+'11'!M11</f>
        <v>122616</v>
      </c>
      <c r="E14" s="131">
        <f>'11'!M13</f>
        <v>78674</v>
      </c>
      <c r="F14" s="131">
        <f>'11'!M16</f>
        <v>159019</v>
      </c>
      <c r="G14" s="21">
        <v>0</v>
      </c>
      <c r="H14" s="21">
        <v>0</v>
      </c>
      <c r="I14" s="21">
        <v>0</v>
      </c>
      <c r="J14" s="131">
        <f>'11'!M29</f>
        <v>22903</v>
      </c>
      <c r="K14" s="21">
        <v>0</v>
      </c>
      <c r="L14" s="132">
        <f t="shared" si="0"/>
        <v>1115685</v>
      </c>
    </row>
    <row r="15" spans="1:12" ht="15.95" customHeight="1">
      <c r="A15" s="133">
        <v>14050001</v>
      </c>
      <c r="B15" s="21" t="s">
        <v>239</v>
      </c>
      <c r="C15" s="131">
        <f>'12'!M9</f>
        <v>21706</v>
      </c>
      <c r="D15" s="131">
        <f>'12'!M10+'12'!M11</f>
        <v>2752</v>
      </c>
      <c r="E15" s="131">
        <f>'12'!M13</f>
        <v>2293</v>
      </c>
      <c r="F15" s="131">
        <f>'12'!M16</f>
        <v>1734</v>
      </c>
      <c r="G15" s="21">
        <v>0</v>
      </c>
      <c r="H15" s="21">
        <v>0</v>
      </c>
      <c r="I15" s="21">
        <v>0</v>
      </c>
      <c r="J15" s="131">
        <f>'12'!M28</f>
        <v>0</v>
      </c>
      <c r="K15" s="21">
        <v>0</v>
      </c>
      <c r="L15" s="132">
        <f t="shared" si="0"/>
        <v>28485</v>
      </c>
    </row>
    <row r="16" spans="1:12" ht="15.95" customHeight="1">
      <c r="A16" s="133">
        <v>14050002</v>
      </c>
      <c r="B16" s="21" t="s">
        <v>240</v>
      </c>
      <c r="C16" s="131">
        <f>'13'!M9</f>
        <v>23418</v>
      </c>
      <c r="D16" s="131">
        <f>'13'!M10+'13'!M11</f>
        <v>5130</v>
      </c>
      <c r="E16" s="131">
        <f>'13'!M13</f>
        <v>2486</v>
      </c>
      <c r="F16" s="131">
        <f>'13'!M16</f>
        <v>766</v>
      </c>
      <c r="G16" s="21">
        <v>0</v>
      </c>
      <c r="H16" s="21">
        <v>0</v>
      </c>
      <c r="I16" s="21">
        <v>0</v>
      </c>
      <c r="J16" s="131">
        <f>'13'!M28</f>
        <v>0</v>
      </c>
      <c r="K16" s="21">
        <v>0</v>
      </c>
      <c r="L16" s="132">
        <f t="shared" si="0"/>
        <v>31800</v>
      </c>
    </row>
    <row r="17" spans="1:12" ht="15.95" customHeight="1">
      <c r="A17" s="133">
        <v>14060001</v>
      </c>
      <c r="B17" s="21" t="s">
        <v>241</v>
      </c>
      <c r="C17" s="131">
        <f>'14'!M9</f>
        <v>50198</v>
      </c>
      <c r="D17" s="131">
        <f>'14'!M10+'14'!M11</f>
        <v>8142</v>
      </c>
      <c r="E17" s="131">
        <f>'14'!M13</f>
        <v>5309</v>
      </c>
      <c r="F17" s="131">
        <f>'14'!M16</f>
        <v>2158</v>
      </c>
      <c r="G17" s="21">
        <v>0</v>
      </c>
      <c r="H17" s="21">
        <v>0</v>
      </c>
      <c r="I17" s="21">
        <v>0</v>
      </c>
      <c r="J17" s="131">
        <f>'14'!M28</f>
        <v>0</v>
      </c>
      <c r="K17" s="21">
        <v>0</v>
      </c>
      <c r="L17" s="132">
        <f t="shared" si="0"/>
        <v>65807</v>
      </c>
    </row>
    <row r="18" spans="1:12" ht="15.95" customHeight="1">
      <c r="A18" s="133">
        <v>15010001</v>
      </c>
      <c r="B18" s="21" t="s">
        <v>242</v>
      </c>
      <c r="C18" s="131">
        <f>'15'!M9</f>
        <v>140329</v>
      </c>
      <c r="D18" s="131">
        <f>'15'!M10+'15'!M11</f>
        <v>26117</v>
      </c>
      <c r="E18" s="131">
        <f>'15'!M13</f>
        <v>15094</v>
      </c>
      <c r="F18" s="131">
        <f>'15'!M16</f>
        <v>17805</v>
      </c>
      <c r="G18" s="131">
        <f>'15'!M29</f>
        <v>218783</v>
      </c>
      <c r="H18" s="21">
        <v>0</v>
      </c>
      <c r="I18" s="21">
        <v>0</v>
      </c>
      <c r="J18" s="131">
        <f>'15'!M32</f>
        <v>860</v>
      </c>
      <c r="K18" s="21">
        <v>0</v>
      </c>
      <c r="L18" s="132">
        <f t="shared" si="0"/>
        <v>418988</v>
      </c>
    </row>
    <row r="19" spans="1:12" ht="15.95" customHeight="1">
      <c r="A19" s="133">
        <v>16010001</v>
      </c>
      <c r="B19" s="21" t="s">
        <v>243</v>
      </c>
      <c r="C19" s="131">
        <f>'16'!M12</f>
        <v>225435</v>
      </c>
      <c r="D19" s="131">
        <f>'16'!M13+'16'!M14</f>
        <v>46285</v>
      </c>
      <c r="E19" s="131">
        <f>'16'!M16</f>
        <v>24427</v>
      </c>
      <c r="F19" s="131">
        <f>'16'!M19</f>
        <v>59774</v>
      </c>
      <c r="G19" s="131">
        <f>'16'!M32</f>
        <v>201335</v>
      </c>
      <c r="H19" s="21">
        <v>0</v>
      </c>
      <c r="I19" s="131">
        <f>'16'!M37</f>
        <v>42726</v>
      </c>
      <c r="J19" s="131">
        <f>'16'!M41</f>
        <v>1377</v>
      </c>
      <c r="K19" s="131">
        <f>'16'!M45</f>
        <v>519698</v>
      </c>
      <c r="L19" s="132">
        <f t="shared" si="0"/>
        <v>1121057</v>
      </c>
    </row>
    <row r="20" spans="1:12" ht="15.95" customHeight="1">
      <c r="A20" s="133">
        <v>17010001</v>
      </c>
      <c r="B20" s="21" t="s">
        <v>244</v>
      </c>
      <c r="C20" s="131">
        <f>'17'!M9</f>
        <v>161009</v>
      </c>
      <c r="D20" s="131">
        <f>'17'!M10+'17'!M11</f>
        <v>30525</v>
      </c>
      <c r="E20" s="131">
        <f>'17'!M13</f>
        <v>17371</v>
      </c>
      <c r="F20" s="131">
        <f>'17'!M16</f>
        <v>47481</v>
      </c>
      <c r="G20" s="131">
        <f>'17'!M28</f>
        <v>2654836</v>
      </c>
      <c r="H20" s="131">
        <v>0</v>
      </c>
      <c r="I20" s="21">
        <v>0</v>
      </c>
      <c r="J20" s="131">
        <f>'17'!M34</f>
        <v>1180</v>
      </c>
      <c r="K20" s="21">
        <v>0</v>
      </c>
      <c r="L20" s="132">
        <f t="shared" si="0"/>
        <v>2912402</v>
      </c>
    </row>
    <row r="21" spans="1:12" ht="15.95" customHeight="1">
      <c r="A21" s="133">
        <v>18010001</v>
      </c>
      <c r="B21" s="21" t="s">
        <v>245</v>
      </c>
      <c r="C21" s="131">
        <f>'18'!M9</f>
        <v>152817</v>
      </c>
      <c r="D21" s="131">
        <f>'18'!M10+'18'!M11</f>
        <v>34577</v>
      </c>
      <c r="E21" s="131">
        <f>'18'!M13</f>
        <v>16175</v>
      </c>
      <c r="F21" s="131">
        <f>'18'!M16</f>
        <v>140333</v>
      </c>
      <c r="G21" s="131">
        <f>'18'!M29</f>
        <v>17500</v>
      </c>
      <c r="H21" s="21">
        <v>0</v>
      </c>
      <c r="I21" s="21">
        <v>0</v>
      </c>
      <c r="J21" s="131">
        <f>'18'!M33</f>
        <v>8529</v>
      </c>
      <c r="K21" s="21">
        <v>0</v>
      </c>
      <c r="L21" s="132">
        <f t="shared" si="0"/>
        <v>369931</v>
      </c>
    </row>
    <row r="22" spans="1:12" ht="15.95" customHeight="1">
      <c r="A22" s="133">
        <v>19010001</v>
      </c>
      <c r="B22" s="21" t="s">
        <v>246</v>
      </c>
      <c r="C22" s="131">
        <f>'19'!M9</f>
        <v>365207</v>
      </c>
      <c r="D22" s="131">
        <f>'19'!M10+'19'!M11</f>
        <v>76127</v>
      </c>
      <c r="E22" s="131">
        <f>'19'!M13</f>
        <v>39904</v>
      </c>
      <c r="F22" s="131">
        <f>'19'!M16</f>
        <v>56881</v>
      </c>
      <c r="G22" s="131">
        <f>'19'!M28</f>
        <v>900823</v>
      </c>
      <c r="H22" s="21">
        <v>0</v>
      </c>
      <c r="I22" s="21">
        <v>0</v>
      </c>
      <c r="J22" s="131">
        <f>'19'!M34</f>
        <v>39169</v>
      </c>
      <c r="K22" s="21">
        <v>0</v>
      </c>
      <c r="L22" s="132">
        <f t="shared" si="0"/>
        <v>1478111</v>
      </c>
    </row>
    <row r="23" spans="1:12" ht="15.95" customHeight="1">
      <c r="A23" s="133">
        <v>20010001</v>
      </c>
      <c r="B23" s="21" t="s">
        <v>247</v>
      </c>
      <c r="C23" s="131">
        <f>'20'!M9</f>
        <v>195306</v>
      </c>
      <c r="D23" s="131">
        <f>'20'!M10+'20'!M11</f>
        <v>31882</v>
      </c>
      <c r="E23" s="131">
        <f>'20'!M13</f>
        <v>20831</v>
      </c>
      <c r="F23" s="131">
        <f>'20'!M16</f>
        <v>55994</v>
      </c>
      <c r="G23" s="131">
        <f>'20'!M30</f>
        <v>886160</v>
      </c>
      <c r="H23" s="131">
        <v>0</v>
      </c>
      <c r="I23" s="131">
        <f>'20'!M41</f>
        <v>2415</v>
      </c>
      <c r="J23" s="131">
        <f>'20'!M44</f>
        <v>2388</v>
      </c>
      <c r="K23" s="131">
        <f>'20'!M48</f>
        <v>71436</v>
      </c>
      <c r="L23" s="132">
        <f t="shared" si="0"/>
        <v>1266412</v>
      </c>
    </row>
    <row r="24" spans="1:12" ht="15.95" customHeight="1">
      <c r="A24" s="133">
        <v>20020002</v>
      </c>
      <c r="B24" s="21" t="s">
        <v>397</v>
      </c>
      <c r="C24" s="131">
        <f>'21'!M9</f>
        <v>636994</v>
      </c>
      <c r="D24" s="131">
        <f>'21'!M10+'21'!M11</f>
        <v>127311</v>
      </c>
      <c r="E24" s="131">
        <f>'21'!M13</f>
        <v>70195</v>
      </c>
      <c r="F24" s="131">
        <f>'21'!M16</f>
        <v>116404</v>
      </c>
      <c r="G24" s="21">
        <v>0</v>
      </c>
      <c r="H24" s="21">
        <v>0</v>
      </c>
      <c r="I24" s="21">
        <v>0</v>
      </c>
      <c r="J24" s="131">
        <f>'21'!M28</f>
        <v>4932</v>
      </c>
      <c r="K24" s="21">
        <v>0</v>
      </c>
      <c r="L24" s="132">
        <f t="shared" si="0"/>
        <v>955836</v>
      </c>
    </row>
    <row r="25" spans="1:12" ht="15.95" customHeight="1">
      <c r="A25" s="133">
        <v>20020003</v>
      </c>
      <c r="B25" s="21" t="s">
        <v>398</v>
      </c>
      <c r="C25" s="131">
        <f>'22'!M9</f>
        <v>630710</v>
      </c>
      <c r="D25" s="131">
        <f>'22'!M10+'22'!M11</f>
        <v>142298</v>
      </c>
      <c r="E25" s="131">
        <f>'22'!M13</f>
        <v>68144</v>
      </c>
      <c r="F25" s="131">
        <f>'22'!M16</f>
        <v>161668</v>
      </c>
      <c r="G25" s="21">
        <v>0</v>
      </c>
      <c r="H25" s="21">
        <v>0</v>
      </c>
      <c r="I25" s="21">
        <v>0</v>
      </c>
      <c r="J25" s="131">
        <f>'22'!M28</f>
        <v>9938</v>
      </c>
      <c r="K25" s="21">
        <v>0</v>
      </c>
      <c r="L25" s="132">
        <f t="shared" si="0"/>
        <v>1012758</v>
      </c>
    </row>
    <row r="26" spans="1:12" ht="15.95" customHeight="1">
      <c r="A26" s="133">
        <v>20020004</v>
      </c>
      <c r="B26" s="21" t="s">
        <v>399</v>
      </c>
      <c r="C26" s="131">
        <f>'23'!M9</f>
        <v>519311</v>
      </c>
      <c r="D26" s="131">
        <f>'23'!M10+'23'!M11</f>
        <v>106129</v>
      </c>
      <c r="E26" s="131">
        <f>'23'!M13</f>
        <v>55804</v>
      </c>
      <c r="F26" s="131">
        <f>'23'!M16</f>
        <v>74205</v>
      </c>
      <c r="G26" s="21">
        <v>0</v>
      </c>
      <c r="H26" s="21">
        <v>0</v>
      </c>
      <c r="I26" s="21">
        <v>0</v>
      </c>
      <c r="J26" s="131">
        <f>'23'!M29</f>
        <v>23615</v>
      </c>
      <c r="K26" s="21">
        <v>0</v>
      </c>
      <c r="L26" s="132">
        <f t="shared" si="0"/>
        <v>779064</v>
      </c>
    </row>
    <row r="27" spans="1:12" ht="15.95" customHeight="1">
      <c r="A27" s="133">
        <v>20030001</v>
      </c>
      <c r="B27" s="21" t="s">
        <v>400</v>
      </c>
      <c r="C27" s="131">
        <f>'24'!M9</f>
        <v>622725</v>
      </c>
      <c r="D27" s="131">
        <f>'24'!M10+'24'!M11</f>
        <v>116082</v>
      </c>
      <c r="E27" s="131">
        <f>'24'!M13</f>
        <v>67204</v>
      </c>
      <c r="F27" s="131">
        <f>'24'!M16</f>
        <v>69463</v>
      </c>
      <c r="G27" s="21">
        <v>0</v>
      </c>
      <c r="H27" s="21">
        <v>0</v>
      </c>
      <c r="I27" s="21">
        <v>0</v>
      </c>
      <c r="J27" s="131">
        <f>'24'!M28</f>
        <v>854</v>
      </c>
      <c r="K27" s="21">
        <v>0</v>
      </c>
      <c r="L27" s="132">
        <f t="shared" si="0"/>
        <v>876328</v>
      </c>
    </row>
    <row r="28" spans="1:12" ht="15.95" customHeight="1">
      <c r="A28" s="133">
        <v>20030002</v>
      </c>
      <c r="B28" s="21" t="s">
        <v>401</v>
      </c>
      <c r="C28" s="131">
        <f>'25'!M9</f>
        <v>1337776</v>
      </c>
      <c r="D28" s="131">
        <f>'25'!M10+'25'!M11</f>
        <v>271000</v>
      </c>
      <c r="E28" s="131">
        <f>'25'!M13</f>
        <v>146310</v>
      </c>
      <c r="F28" s="131">
        <f>'25'!M16</f>
        <v>118188</v>
      </c>
      <c r="G28" s="21">
        <v>0</v>
      </c>
      <c r="H28" s="21">
        <v>0</v>
      </c>
      <c r="I28" s="21">
        <v>0</v>
      </c>
      <c r="J28" s="131">
        <f>'25'!M28</f>
        <v>5946</v>
      </c>
      <c r="K28" s="21">
        <v>0</v>
      </c>
      <c r="L28" s="132">
        <f t="shared" si="0"/>
        <v>1879220</v>
      </c>
    </row>
    <row r="29" spans="1:12" ht="15.95" customHeight="1">
      <c r="A29" s="133">
        <v>20030003</v>
      </c>
      <c r="B29" s="21" t="s">
        <v>402</v>
      </c>
      <c r="C29" s="131">
        <f>'26'!M9</f>
        <v>384220</v>
      </c>
      <c r="D29" s="131">
        <f>'26'!M10+'26'!M11</f>
        <v>71788</v>
      </c>
      <c r="E29" s="131">
        <f>'26'!M13</f>
        <v>41757</v>
      </c>
      <c r="F29" s="131">
        <f>'26'!M16</f>
        <v>35676</v>
      </c>
      <c r="G29" s="21">
        <v>0</v>
      </c>
      <c r="H29" s="21">
        <v>0</v>
      </c>
      <c r="I29" s="21">
        <v>0</v>
      </c>
      <c r="J29" s="131">
        <f>'26'!M28</f>
        <v>7002</v>
      </c>
      <c r="K29" s="21">
        <v>0</v>
      </c>
      <c r="L29" s="132">
        <f t="shared" si="0"/>
        <v>540443</v>
      </c>
    </row>
    <row r="30" spans="1:12" ht="15.95" customHeight="1">
      <c r="A30" s="133">
        <v>20030004</v>
      </c>
      <c r="B30" s="21" t="s">
        <v>403</v>
      </c>
      <c r="C30" s="131">
        <f>'27'!M9</f>
        <v>481287</v>
      </c>
      <c r="D30" s="131">
        <f>'27'!M10+'27'!M11</f>
        <v>84718</v>
      </c>
      <c r="E30" s="131">
        <f>'27'!M13</f>
        <v>53265</v>
      </c>
      <c r="F30" s="131">
        <f>'27'!M16</f>
        <v>43106</v>
      </c>
      <c r="G30" s="21">
        <v>0</v>
      </c>
      <c r="H30" s="21">
        <v>0</v>
      </c>
      <c r="I30" s="21">
        <v>0</v>
      </c>
      <c r="J30" s="131">
        <f>'27'!M28</f>
        <v>5787</v>
      </c>
      <c r="K30" s="21">
        <v>0</v>
      </c>
      <c r="L30" s="132">
        <f t="shared" si="0"/>
        <v>668163</v>
      </c>
    </row>
    <row r="31" spans="1:12" ht="15.95" customHeight="1">
      <c r="A31" s="133">
        <v>20030005</v>
      </c>
      <c r="B31" s="21" t="s">
        <v>404</v>
      </c>
      <c r="C31" s="131">
        <f>'28'!M9</f>
        <v>585113</v>
      </c>
      <c r="D31" s="131">
        <f>'28'!M10+'28'!M11</f>
        <v>116055</v>
      </c>
      <c r="E31" s="131">
        <f>'28'!M13</f>
        <v>66064</v>
      </c>
      <c r="F31" s="131">
        <f>'28'!M16</f>
        <v>46782</v>
      </c>
      <c r="G31" s="21">
        <v>0</v>
      </c>
      <c r="H31" s="21">
        <v>0</v>
      </c>
      <c r="I31" s="21">
        <v>0</v>
      </c>
      <c r="J31" s="131">
        <f>'28'!M28</f>
        <v>13992</v>
      </c>
      <c r="K31" s="21">
        <v>0</v>
      </c>
      <c r="L31" s="132">
        <f t="shared" si="0"/>
        <v>828006</v>
      </c>
    </row>
    <row r="32" spans="1:12" ht="15.95" customHeight="1">
      <c r="A32" s="133">
        <v>20030006</v>
      </c>
      <c r="B32" s="21" t="s">
        <v>405</v>
      </c>
      <c r="C32" s="131">
        <f>'29'!M9</f>
        <v>233615</v>
      </c>
      <c r="D32" s="131">
        <f>'29'!M10+'29'!M11</f>
        <v>50020</v>
      </c>
      <c r="E32" s="131">
        <f>'29'!M13</f>
        <v>25784</v>
      </c>
      <c r="F32" s="131">
        <f>'29'!M16</f>
        <v>31402</v>
      </c>
      <c r="G32" s="21">
        <v>0</v>
      </c>
      <c r="H32" s="21">
        <v>0</v>
      </c>
      <c r="I32" s="21">
        <v>0</v>
      </c>
      <c r="J32" s="131">
        <f>'29'!M28</f>
        <v>5982</v>
      </c>
      <c r="K32" s="21">
        <v>0</v>
      </c>
      <c r="L32" s="132">
        <f t="shared" si="0"/>
        <v>346803</v>
      </c>
    </row>
    <row r="33" spans="1:12" ht="15.95" customHeight="1">
      <c r="A33" s="133">
        <v>20030007</v>
      </c>
      <c r="B33" s="21" t="s">
        <v>406</v>
      </c>
      <c r="C33" s="131">
        <f>'30'!M9</f>
        <v>348864</v>
      </c>
      <c r="D33" s="131">
        <f>'30'!M10+'30'!M11</f>
        <v>71075</v>
      </c>
      <c r="E33" s="131">
        <f>'30'!M13</f>
        <v>37216</v>
      </c>
      <c r="F33" s="131">
        <f>'30'!M16</f>
        <v>43905</v>
      </c>
      <c r="G33" s="21">
        <v>0</v>
      </c>
      <c r="H33" s="21">
        <v>0</v>
      </c>
      <c r="I33" s="21">
        <v>0</v>
      </c>
      <c r="J33" s="131">
        <f>'30'!M28</f>
        <v>2899</v>
      </c>
      <c r="K33" s="21">
        <v>0</v>
      </c>
      <c r="L33" s="132">
        <f t="shared" si="0"/>
        <v>503959</v>
      </c>
    </row>
    <row r="34" spans="1:12" ht="15.95" customHeight="1">
      <c r="A34" s="133">
        <v>21010001</v>
      </c>
      <c r="B34" s="21" t="s">
        <v>257</v>
      </c>
      <c r="C34" s="131">
        <f>'31'!M9</f>
        <v>151670</v>
      </c>
      <c r="D34" s="131">
        <f>'31'!M10+'31'!M11</f>
        <v>41415</v>
      </c>
      <c r="E34" s="131">
        <f>'31'!M13</f>
        <v>16089</v>
      </c>
      <c r="F34" s="131">
        <f>'31'!M16</f>
        <v>28337</v>
      </c>
      <c r="G34" s="131">
        <f>'31'!M28</f>
        <v>738134</v>
      </c>
      <c r="H34" s="21">
        <v>0</v>
      </c>
      <c r="I34" s="21">
        <v>0</v>
      </c>
      <c r="J34" s="131">
        <f>'31'!M31</f>
        <v>1846</v>
      </c>
      <c r="K34" s="21">
        <v>0</v>
      </c>
      <c r="L34" s="132">
        <f t="shared" si="0"/>
        <v>977491</v>
      </c>
    </row>
    <row r="35" spans="1:12" ht="15.95" customHeight="1">
      <c r="A35" s="133">
        <v>22010001</v>
      </c>
      <c r="B35" s="21" t="s">
        <v>258</v>
      </c>
      <c r="C35" s="131">
        <f>'32'!M9</f>
        <v>63382</v>
      </c>
      <c r="D35" s="131">
        <f>'32'!M10+'32'!M11</f>
        <v>15467</v>
      </c>
      <c r="E35" s="131">
        <f>'32'!M13</f>
        <v>6884</v>
      </c>
      <c r="F35" s="131">
        <f>'32'!M16</f>
        <v>9143</v>
      </c>
      <c r="G35" s="21">
        <v>0</v>
      </c>
      <c r="H35" s="21">
        <v>0</v>
      </c>
      <c r="I35" s="21">
        <v>0</v>
      </c>
      <c r="J35" s="131">
        <f>'32'!M28</f>
        <v>0</v>
      </c>
      <c r="K35" s="21">
        <v>0</v>
      </c>
      <c r="L35" s="132">
        <f t="shared" si="0"/>
        <v>94876</v>
      </c>
    </row>
    <row r="36" spans="1:12" ht="15.95" customHeight="1">
      <c r="A36" s="133">
        <v>23010001</v>
      </c>
      <c r="B36" s="21" t="s">
        <v>259</v>
      </c>
      <c r="C36" s="131">
        <f>'33'!M9</f>
        <v>131061</v>
      </c>
      <c r="D36" s="131">
        <f>'33'!M10+'33'!M11</f>
        <v>33015</v>
      </c>
      <c r="E36" s="131">
        <f>'33'!M13</f>
        <v>14794</v>
      </c>
      <c r="F36" s="131">
        <f>'33'!M16</f>
        <v>39187</v>
      </c>
      <c r="G36" s="131">
        <f>'33'!M28</f>
        <v>1324</v>
      </c>
      <c r="H36" s="21">
        <v>0</v>
      </c>
      <c r="I36" s="21">
        <v>0</v>
      </c>
      <c r="J36" s="131">
        <f>'33'!M32</f>
        <v>0</v>
      </c>
      <c r="K36" s="21">
        <v>0</v>
      </c>
      <c r="L36" s="132">
        <f t="shared" si="0"/>
        <v>219381</v>
      </c>
    </row>
    <row r="37" spans="1:12" ht="15.95" customHeight="1">
      <c r="A37" s="133">
        <v>24010001</v>
      </c>
      <c r="B37" s="21" t="s">
        <v>260</v>
      </c>
      <c r="C37" s="131">
        <f>'34'!M9</f>
        <v>335398</v>
      </c>
      <c r="D37" s="131">
        <f>'34'!M10+'34'!M11</f>
        <v>50595</v>
      </c>
      <c r="E37" s="131">
        <f>'34'!M13</f>
        <v>35785</v>
      </c>
      <c r="F37" s="131">
        <f>'34'!M16</f>
        <v>46883</v>
      </c>
      <c r="G37" s="21">
        <v>0</v>
      </c>
      <c r="H37" s="21">
        <v>0</v>
      </c>
      <c r="I37" s="21">
        <v>0</v>
      </c>
      <c r="J37" s="131">
        <f>'34'!M28</f>
        <v>2996</v>
      </c>
      <c r="K37" s="21">
        <v>0</v>
      </c>
      <c r="L37" s="132">
        <f t="shared" si="0"/>
        <v>471657</v>
      </c>
    </row>
    <row r="38" spans="1:12" ht="15.95" customHeight="1">
      <c r="A38" s="133">
        <v>26010001</v>
      </c>
      <c r="B38" s="21" t="s">
        <v>261</v>
      </c>
      <c r="C38" s="131">
        <f>'35'!M9</f>
        <v>44377</v>
      </c>
      <c r="D38" s="131">
        <f>'35'!M10+'35'!M11</f>
        <v>6356</v>
      </c>
      <c r="E38" s="131">
        <f>'35'!M13</f>
        <v>4787</v>
      </c>
      <c r="F38" s="131">
        <f>'35'!M16</f>
        <v>9695</v>
      </c>
      <c r="G38" s="131">
        <v>0</v>
      </c>
      <c r="H38" s="21">
        <v>0</v>
      </c>
      <c r="I38" s="21">
        <v>0</v>
      </c>
      <c r="J38" s="131">
        <f>'35'!M28</f>
        <v>0</v>
      </c>
      <c r="K38" s="21">
        <v>0</v>
      </c>
      <c r="L38" s="132">
        <f t="shared" si="0"/>
        <v>65215</v>
      </c>
    </row>
    <row r="39" spans="1:12" ht="15.95" customHeight="1">
      <c r="A39" s="133">
        <v>27010001</v>
      </c>
      <c r="B39" s="21" t="s">
        <v>262</v>
      </c>
      <c r="C39" s="131">
        <f>'36'!M9</f>
        <v>287136</v>
      </c>
      <c r="D39" s="131">
        <f>'36'!M10+'36'!M11</f>
        <v>41393</v>
      </c>
      <c r="E39" s="131">
        <f>'36'!M13</f>
        <v>33030</v>
      </c>
      <c r="F39" s="131">
        <f>'36'!M16</f>
        <v>52544</v>
      </c>
      <c r="G39" s="21">
        <v>0</v>
      </c>
      <c r="H39" s="21">
        <v>0</v>
      </c>
      <c r="I39" s="21">
        <v>0</v>
      </c>
      <c r="J39" s="131">
        <f>'36'!M28</f>
        <v>0</v>
      </c>
      <c r="K39" s="21">
        <v>0</v>
      </c>
      <c r="L39" s="132">
        <f t="shared" si="0"/>
        <v>414103</v>
      </c>
    </row>
    <row r="40" spans="1:12" ht="15.95" customHeight="1">
      <c r="A40" s="133">
        <v>28010001</v>
      </c>
      <c r="B40" s="21" t="s">
        <v>263</v>
      </c>
      <c r="C40" s="131">
        <f>'37'!M9</f>
        <v>263245</v>
      </c>
      <c r="D40" s="131">
        <f>'37'!M10+'37'!M11</f>
        <v>45373</v>
      </c>
      <c r="E40" s="131">
        <f>'37'!M13</f>
        <v>28099</v>
      </c>
      <c r="F40" s="131">
        <f>'37'!M16</f>
        <v>17093</v>
      </c>
      <c r="G40" s="131">
        <v>0</v>
      </c>
      <c r="H40" s="21">
        <v>0</v>
      </c>
      <c r="I40" s="21">
        <v>0</v>
      </c>
      <c r="J40" s="131">
        <f>'37'!M28</f>
        <v>0</v>
      </c>
      <c r="K40" s="21">
        <v>0</v>
      </c>
      <c r="L40" s="132">
        <f t="shared" si="0"/>
        <v>353810</v>
      </c>
    </row>
    <row r="41" spans="1:12" s="40" customFormat="1" ht="15.95" customHeight="1">
      <c r="A41" s="78"/>
      <c r="B41" s="137" t="s">
        <v>418</v>
      </c>
      <c r="C41" s="138">
        <f>SUM(C5:C40)</f>
        <v>12991086</v>
      </c>
      <c r="D41" s="138">
        <f t="shared" ref="D41:K41" si="1">SUM(D5:D40)</f>
        <v>2610955</v>
      </c>
      <c r="E41" s="138">
        <f t="shared" si="1"/>
        <v>1548857</v>
      </c>
      <c r="F41" s="138">
        <f t="shared" si="1"/>
        <v>2697652</v>
      </c>
      <c r="G41" s="138">
        <f t="shared" si="1"/>
        <v>6194991</v>
      </c>
      <c r="H41" s="138">
        <f t="shared" si="1"/>
        <v>0</v>
      </c>
      <c r="I41" s="138">
        <f t="shared" si="1"/>
        <v>45141</v>
      </c>
      <c r="J41" s="138">
        <f t="shared" si="1"/>
        <v>245725</v>
      </c>
      <c r="K41" s="138">
        <f t="shared" si="1"/>
        <v>591134</v>
      </c>
      <c r="L41" s="138">
        <f>SUM(L5:L40)</f>
        <v>26925541</v>
      </c>
    </row>
    <row r="42" spans="1:12" ht="18" customHeight="1">
      <c r="B42" t="s">
        <v>419</v>
      </c>
      <c r="L42" s="91">
        <f>Rashodi!K9</f>
        <v>393416</v>
      </c>
    </row>
    <row r="43" spans="1:12" ht="18" customHeight="1">
      <c r="B43" t="s">
        <v>440</v>
      </c>
      <c r="L43" s="91">
        <f>Uvod!E42</f>
        <v>4745134</v>
      </c>
    </row>
    <row r="44" spans="1:12" ht="18" customHeight="1">
      <c r="A44" s="134"/>
      <c r="B44" s="136" t="s">
        <v>418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41">
        <f>L41+L42+L43</f>
        <v>32064091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I119"/>
  <sheetViews>
    <sheetView zoomScaleNormal="100" zoomScaleSheetLayoutView="100" workbookViewId="0">
      <selection activeCell="I19" sqref="I19"/>
    </sheetView>
  </sheetViews>
  <sheetFormatPr defaultRowHeight="12.75"/>
  <cols>
    <col min="1" max="1" width="6.140625" style="445" customWidth="1"/>
    <col min="2" max="2" width="6.85546875" customWidth="1"/>
    <col min="3" max="3" width="11.5703125" customWidth="1"/>
    <col min="4" max="4" width="74.85546875" customWidth="1"/>
    <col min="5" max="6" width="17.7109375" customWidth="1"/>
    <col min="7" max="7" width="8.85546875" customWidth="1"/>
  </cols>
  <sheetData>
    <row r="2" spans="2:9" ht="15">
      <c r="B2" s="621" t="s">
        <v>836</v>
      </c>
      <c r="C2" s="543"/>
      <c r="D2" s="543"/>
      <c r="E2" s="543"/>
      <c r="F2" s="543"/>
      <c r="G2" s="543"/>
    </row>
    <row r="3" spans="2:9" ht="15">
      <c r="B3" s="146"/>
      <c r="C3" s="148"/>
      <c r="D3" s="147"/>
      <c r="E3" s="147"/>
      <c r="F3" s="147"/>
    </row>
    <row r="4" spans="2:9">
      <c r="B4" s="149"/>
      <c r="C4" s="149"/>
      <c r="D4" s="150"/>
      <c r="E4" s="151"/>
      <c r="F4" s="151"/>
    </row>
    <row r="5" spans="2:9" ht="66" customHeight="1">
      <c r="B5" s="152" t="s">
        <v>264</v>
      </c>
      <c r="C5" s="153" t="s">
        <v>442</v>
      </c>
      <c r="D5" s="153" t="s">
        <v>443</v>
      </c>
      <c r="E5" s="154" t="s">
        <v>647</v>
      </c>
      <c r="F5" s="154" t="s">
        <v>837</v>
      </c>
      <c r="G5" s="154" t="s">
        <v>55</v>
      </c>
    </row>
    <row r="6" spans="2:9">
      <c r="B6" s="155"/>
      <c r="C6" s="156">
        <v>1</v>
      </c>
      <c r="D6" s="156">
        <v>2</v>
      </c>
      <c r="E6" s="157">
        <v>3</v>
      </c>
      <c r="F6" s="157">
        <v>4</v>
      </c>
      <c r="G6" s="261">
        <v>5</v>
      </c>
    </row>
    <row r="7" spans="2:9">
      <c r="B7" s="516">
        <v>1</v>
      </c>
      <c r="C7" s="517"/>
      <c r="D7" s="517" t="s">
        <v>54</v>
      </c>
      <c r="E7" s="518">
        <f>E8+E17+E23+E30+E40+E47+E54+E61+E68+E77</f>
        <v>41220340</v>
      </c>
      <c r="F7" s="518">
        <f>F8+F17+F23+F30+F40+F47+F54+F61+F68+F77</f>
        <v>27318957</v>
      </c>
      <c r="G7" s="519">
        <f>IF(E7=0,"",F7/E7*100)</f>
        <v>66.275428586954888</v>
      </c>
      <c r="I7" s="65"/>
    </row>
    <row r="8" spans="2:9">
      <c r="B8" s="516">
        <v>2</v>
      </c>
      <c r="C8" s="520" t="s">
        <v>81</v>
      </c>
      <c r="D8" s="521" t="s">
        <v>58</v>
      </c>
      <c r="E8" s="518">
        <f>SUM(E9:E16)</f>
        <v>5803250</v>
      </c>
      <c r="F8" s="518">
        <f>SUM(F9:F16)</f>
        <v>3770698</v>
      </c>
      <c r="G8" s="522">
        <f>IF(E8=0,"",F8/E8*100)</f>
        <v>64.975625726963344</v>
      </c>
    </row>
    <row r="9" spans="2:9" ht="14.1" customHeight="1">
      <c r="B9" s="155">
        <v>3</v>
      </c>
      <c r="C9" s="158" t="s">
        <v>444</v>
      </c>
      <c r="D9" s="159" t="s">
        <v>59</v>
      </c>
      <c r="E9" s="128">
        <v>5022500</v>
      </c>
      <c r="F9" s="128">
        <v>3196321</v>
      </c>
      <c r="G9" s="160">
        <f>IF(E9=0,"",F9/E9*100)</f>
        <v>63.640039820806372</v>
      </c>
    </row>
    <row r="10" spans="2:9" ht="14.1" customHeight="1">
      <c r="B10" s="155">
        <v>4</v>
      </c>
      <c r="C10" s="158" t="s">
        <v>445</v>
      </c>
      <c r="D10" s="159" t="s">
        <v>446</v>
      </c>
      <c r="E10" s="128">
        <v>0</v>
      </c>
      <c r="F10" s="128">
        <v>0</v>
      </c>
      <c r="G10" s="160" t="str">
        <f t="shared" ref="G10:G73" si="0">IF(E10=0,"",F10/E10*100)</f>
        <v/>
      </c>
    </row>
    <row r="11" spans="2:9" ht="14.1" customHeight="1">
      <c r="B11" s="155">
        <v>5</v>
      </c>
      <c r="C11" s="158" t="s">
        <v>447</v>
      </c>
      <c r="D11" s="159" t="s">
        <v>448</v>
      </c>
      <c r="E11" s="128">
        <v>780750</v>
      </c>
      <c r="F11" s="128">
        <v>574377</v>
      </c>
      <c r="G11" s="160">
        <f t="shared" si="0"/>
        <v>73.567339097022085</v>
      </c>
    </row>
    <row r="12" spans="2:9" ht="14.1" customHeight="1">
      <c r="B12" s="155">
        <v>6</v>
      </c>
      <c r="C12" s="158" t="s">
        <v>449</v>
      </c>
      <c r="D12" s="159" t="s">
        <v>450</v>
      </c>
      <c r="E12" s="128">
        <v>0</v>
      </c>
      <c r="F12" s="128">
        <v>0</v>
      </c>
      <c r="G12" s="160" t="str">
        <f t="shared" si="0"/>
        <v/>
      </c>
    </row>
    <row r="13" spans="2:9" ht="14.1" customHeight="1">
      <c r="B13" s="155">
        <v>7</v>
      </c>
      <c r="C13" s="158" t="s">
        <v>451</v>
      </c>
      <c r="D13" s="159" t="s">
        <v>452</v>
      </c>
      <c r="E13" s="128">
        <v>0</v>
      </c>
      <c r="F13" s="128">
        <v>0</v>
      </c>
      <c r="G13" s="160" t="str">
        <f t="shared" si="0"/>
        <v/>
      </c>
    </row>
    <row r="14" spans="2:9" ht="14.1" customHeight="1">
      <c r="B14" s="155">
        <v>8</v>
      </c>
      <c r="C14" s="158" t="s">
        <v>453</v>
      </c>
      <c r="D14" s="159" t="s">
        <v>454</v>
      </c>
      <c r="E14" s="128">
        <v>0</v>
      </c>
      <c r="F14" s="128">
        <v>0</v>
      </c>
      <c r="G14" s="160" t="str">
        <f t="shared" si="0"/>
        <v/>
      </c>
    </row>
    <row r="15" spans="2:9" ht="14.1" customHeight="1">
      <c r="B15" s="155">
        <v>9</v>
      </c>
      <c r="C15" s="158" t="s">
        <v>455</v>
      </c>
      <c r="D15" s="159" t="s">
        <v>456</v>
      </c>
      <c r="E15" s="128">
        <v>0</v>
      </c>
      <c r="F15" s="128">
        <v>0</v>
      </c>
      <c r="G15" s="160" t="str">
        <f t="shared" si="0"/>
        <v/>
      </c>
    </row>
    <row r="16" spans="2:9" ht="14.1" customHeight="1">
      <c r="B16" s="155">
        <v>10</v>
      </c>
      <c r="C16" s="158" t="s">
        <v>457</v>
      </c>
      <c r="D16" s="159" t="s">
        <v>60</v>
      </c>
      <c r="E16" s="128">
        <v>0</v>
      </c>
      <c r="F16" s="128">
        <v>0</v>
      </c>
      <c r="G16" s="160" t="str">
        <f t="shared" si="0"/>
        <v/>
      </c>
    </row>
    <row r="17" spans="2:7" ht="14.1" customHeight="1">
      <c r="B17" s="516">
        <v>11</v>
      </c>
      <c r="C17" s="520" t="s">
        <v>132</v>
      </c>
      <c r="D17" s="521" t="s">
        <v>61</v>
      </c>
      <c r="E17" s="518">
        <f>SUM(E18:E22)</f>
        <v>0</v>
      </c>
      <c r="F17" s="518">
        <f>SUM(F18:F22)</f>
        <v>0</v>
      </c>
      <c r="G17" s="522" t="str">
        <f t="shared" si="0"/>
        <v/>
      </c>
    </row>
    <row r="18" spans="2:7" ht="14.1" customHeight="1">
      <c r="B18" s="155">
        <v>12</v>
      </c>
      <c r="C18" s="158" t="s">
        <v>458</v>
      </c>
      <c r="D18" s="159" t="s">
        <v>62</v>
      </c>
      <c r="E18" s="128">
        <v>0</v>
      </c>
      <c r="F18" s="128">
        <v>0</v>
      </c>
      <c r="G18" s="160" t="str">
        <f t="shared" si="0"/>
        <v/>
      </c>
    </row>
    <row r="19" spans="2:7" ht="14.1" customHeight="1">
      <c r="B19" s="155">
        <v>13</v>
      </c>
      <c r="C19" s="158" t="s">
        <v>459</v>
      </c>
      <c r="D19" s="159" t="s">
        <v>63</v>
      </c>
      <c r="E19" s="128">
        <v>0</v>
      </c>
      <c r="F19" s="128">
        <v>0</v>
      </c>
      <c r="G19" s="160" t="str">
        <f t="shared" si="0"/>
        <v/>
      </c>
    </row>
    <row r="20" spans="2:7" ht="14.1" customHeight="1">
      <c r="B20" s="155">
        <v>14</v>
      </c>
      <c r="C20" s="158" t="s">
        <v>460</v>
      </c>
      <c r="D20" s="159" t="s">
        <v>64</v>
      </c>
      <c r="E20" s="128">
        <v>0</v>
      </c>
      <c r="F20" s="128">
        <v>0</v>
      </c>
      <c r="G20" s="160" t="str">
        <f t="shared" si="0"/>
        <v/>
      </c>
    </row>
    <row r="21" spans="2:7" ht="14.1" customHeight="1">
      <c r="B21" s="155">
        <v>15</v>
      </c>
      <c r="C21" s="158" t="s">
        <v>461</v>
      </c>
      <c r="D21" s="159" t="s">
        <v>65</v>
      </c>
      <c r="E21" s="128">
        <v>0</v>
      </c>
      <c r="F21" s="128">
        <v>0</v>
      </c>
      <c r="G21" s="160" t="str">
        <f t="shared" si="0"/>
        <v/>
      </c>
    </row>
    <row r="22" spans="2:7" ht="14.1" customHeight="1">
      <c r="B22" s="155">
        <v>16</v>
      </c>
      <c r="C22" s="158" t="s">
        <v>462</v>
      </c>
      <c r="D22" s="159" t="s">
        <v>66</v>
      </c>
      <c r="E22" s="128">
        <v>0</v>
      </c>
      <c r="F22" s="128">
        <v>0</v>
      </c>
      <c r="G22" s="160" t="str">
        <f t="shared" si="0"/>
        <v/>
      </c>
    </row>
    <row r="23" spans="2:7" ht="14.1" customHeight="1">
      <c r="B23" s="516">
        <v>17</v>
      </c>
      <c r="C23" s="520" t="s">
        <v>145</v>
      </c>
      <c r="D23" s="521" t="s">
        <v>609</v>
      </c>
      <c r="E23" s="518">
        <f>SUM(E24:E29)</f>
        <v>10058170</v>
      </c>
      <c r="F23" s="518">
        <f>SUM(F24:F29)</f>
        <v>7059343</v>
      </c>
      <c r="G23" s="522">
        <f t="shared" si="0"/>
        <v>70.18516290736784</v>
      </c>
    </row>
    <row r="24" spans="2:7" ht="14.1" customHeight="1">
      <c r="B24" s="155">
        <v>18</v>
      </c>
      <c r="C24" s="158" t="s">
        <v>463</v>
      </c>
      <c r="D24" s="159" t="s">
        <v>464</v>
      </c>
      <c r="E24" s="128">
        <v>6308670</v>
      </c>
      <c r="F24" s="128">
        <v>4529650</v>
      </c>
      <c r="G24" s="160">
        <f t="shared" si="0"/>
        <v>71.800395328967909</v>
      </c>
    </row>
    <row r="25" spans="2:7" ht="14.1" customHeight="1">
      <c r="B25" s="155">
        <v>19</v>
      </c>
      <c r="C25" s="158" t="s">
        <v>465</v>
      </c>
      <c r="D25" s="159" t="s">
        <v>610</v>
      </c>
      <c r="E25" s="128">
        <v>384590</v>
      </c>
      <c r="F25" s="128">
        <v>219391</v>
      </c>
      <c r="G25" s="160">
        <f t="shared" si="0"/>
        <v>57.045424998049874</v>
      </c>
    </row>
    <row r="26" spans="2:7" ht="14.1" customHeight="1">
      <c r="B26" s="155">
        <v>20</v>
      </c>
      <c r="C26" s="158" t="s">
        <v>466</v>
      </c>
      <c r="D26" s="159" t="s">
        <v>467</v>
      </c>
      <c r="E26" s="128">
        <v>3182420</v>
      </c>
      <c r="F26" s="128">
        <v>2192843</v>
      </c>
      <c r="G26" s="160">
        <f t="shared" si="0"/>
        <v>68.904889989379143</v>
      </c>
    </row>
    <row r="27" spans="2:7" ht="14.1" customHeight="1">
      <c r="B27" s="155">
        <v>21</v>
      </c>
      <c r="C27" s="158" t="s">
        <v>468</v>
      </c>
      <c r="D27" s="159" t="s">
        <v>469</v>
      </c>
      <c r="E27" s="128">
        <v>0</v>
      </c>
      <c r="F27" s="128">
        <v>0</v>
      </c>
      <c r="G27" s="160" t="str">
        <f t="shared" si="0"/>
        <v/>
      </c>
    </row>
    <row r="28" spans="2:7" ht="14.1" customHeight="1">
      <c r="B28" s="155">
        <v>22</v>
      </c>
      <c r="C28" s="158" t="s">
        <v>470</v>
      </c>
      <c r="D28" s="159" t="s">
        <v>471</v>
      </c>
      <c r="E28" s="128">
        <v>0</v>
      </c>
      <c r="F28" s="128">
        <v>0</v>
      </c>
      <c r="G28" s="160" t="str">
        <f t="shared" si="0"/>
        <v/>
      </c>
    </row>
    <row r="29" spans="2:7" ht="14.1" customHeight="1">
      <c r="B29" s="155">
        <v>23</v>
      </c>
      <c r="C29" s="158" t="s">
        <v>472</v>
      </c>
      <c r="D29" s="159" t="s">
        <v>473</v>
      </c>
      <c r="E29" s="128">
        <v>182490</v>
      </c>
      <c r="F29" s="128">
        <v>117459</v>
      </c>
      <c r="G29" s="160">
        <f t="shared" si="0"/>
        <v>64.364622719053102</v>
      </c>
    </row>
    <row r="30" spans="2:7" ht="14.1" customHeight="1">
      <c r="B30" s="516">
        <v>24</v>
      </c>
      <c r="C30" s="520" t="s">
        <v>474</v>
      </c>
      <c r="D30" s="521" t="s">
        <v>475</v>
      </c>
      <c r="E30" s="518">
        <f>SUM(E31:E39)</f>
        <v>6068880</v>
      </c>
      <c r="F30" s="518">
        <f>SUM(F31:F39)</f>
        <v>2728291</v>
      </c>
      <c r="G30" s="522">
        <f t="shared" si="0"/>
        <v>44.955428349217648</v>
      </c>
    </row>
    <row r="31" spans="2:7" ht="14.1" customHeight="1">
      <c r="B31" s="155">
        <v>25</v>
      </c>
      <c r="C31" s="158" t="s">
        <v>476</v>
      </c>
      <c r="D31" s="159" t="s">
        <v>477</v>
      </c>
      <c r="E31" s="128">
        <v>0</v>
      </c>
      <c r="F31" s="128">
        <v>0</v>
      </c>
      <c r="G31" s="160" t="str">
        <f t="shared" si="0"/>
        <v/>
      </c>
    </row>
    <row r="32" spans="2:7" ht="14.1" customHeight="1">
      <c r="B32" s="155">
        <v>26</v>
      </c>
      <c r="C32" s="158" t="s">
        <v>478</v>
      </c>
      <c r="D32" s="159" t="s">
        <v>479</v>
      </c>
      <c r="E32" s="128">
        <v>2535230</v>
      </c>
      <c r="F32" s="128">
        <v>1477988</v>
      </c>
      <c r="G32" s="160">
        <f t="shared" si="0"/>
        <v>58.297984798223432</v>
      </c>
    </row>
    <row r="33" spans="2:7" ht="14.1" customHeight="1">
      <c r="B33" s="155">
        <v>27</v>
      </c>
      <c r="C33" s="158" t="s">
        <v>480</v>
      </c>
      <c r="D33" s="159" t="s">
        <v>481</v>
      </c>
      <c r="E33" s="128">
        <v>0</v>
      </c>
      <c r="F33" s="128">
        <v>0</v>
      </c>
      <c r="G33" s="160" t="str">
        <f t="shared" si="0"/>
        <v/>
      </c>
    </row>
    <row r="34" spans="2:7" ht="14.1" customHeight="1">
      <c r="B34" s="155">
        <v>28</v>
      </c>
      <c r="C34" s="158" t="s">
        <v>482</v>
      </c>
      <c r="D34" s="159" t="s">
        <v>483</v>
      </c>
      <c r="E34" s="128">
        <v>0</v>
      </c>
      <c r="F34" s="128">
        <v>0</v>
      </c>
      <c r="G34" s="160" t="str">
        <f t="shared" si="0"/>
        <v/>
      </c>
    </row>
    <row r="35" spans="2:7" ht="14.1" customHeight="1">
      <c r="B35" s="155">
        <v>29</v>
      </c>
      <c r="C35" s="158" t="s">
        <v>484</v>
      </c>
      <c r="D35" s="159" t="s">
        <v>67</v>
      </c>
      <c r="E35" s="128">
        <v>0</v>
      </c>
      <c r="F35" s="128">
        <v>0</v>
      </c>
      <c r="G35" s="160" t="str">
        <f t="shared" si="0"/>
        <v/>
      </c>
    </row>
    <row r="36" spans="2:7" ht="14.1" customHeight="1">
      <c r="B36" s="155">
        <v>30</v>
      </c>
      <c r="C36" s="158" t="s">
        <v>485</v>
      </c>
      <c r="D36" s="159" t="s">
        <v>486</v>
      </c>
      <c r="E36" s="128">
        <v>0</v>
      </c>
      <c r="F36" s="128">
        <v>0</v>
      </c>
      <c r="G36" s="160" t="str">
        <f t="shared" si="0"/>
        <v/>
      </c>
    </row>
    <row r="37" spans="2:7" ht="14.1" customHeight="1">
      <c r="B37" s="155">
        <v>31</v>
      </c>
      <c r="C37" s="158" t="s">
        <v>487</v>
      </c>
      <c r="D37" s="159" t="s">
        <v>488</v>
      </c>
      <c r="E37" s="128">
        <v>0</v>
      </c>
      <c r="F37" s="128">
        <v>0</v>
      </c>
      <c r="G37" s="160" t="str">
        <f t="shared" si="0"/>
        <v/>
      </c>
    </row>
    <row r="38" spans="2:7" ht="14.1" customHeight="1">
      <c r="B38" s="155">
        <v>32</v>
      </c>
      <c r="C38" s="158" t="s">
        <v>489</v>
      </c>
      <c r="D38" s="159" t="s">
        <v>490</v>
      </c>
      <c r="E38" s="128">
        <v>0</v>
      </c>
      <c r="F38" s="128">
        <v>0</v>
      </c>
      <c r="G38" s="160" t="str">
        <f t="shared" si="0"/>
        <v/>
      </c>
    </row>
    <row r="39" spans="2:7" ht="14.1" customHeight="1">
      <c r="B39" s="155">
        <v>33</v>
      </c>
      <c r="C39" s="158" t="s">
        <v>491</v>
      </c>
      <c r="D39" s="159" t="s">
        <v>492</v>
      </c>
      <c r="E39" s="128">
        <v>3533650</v>
      </c>
      <c r="F39" s="128">
        <v>1250303</v>
      </c>
      <c r="G39" s="160">
        <f t="shared" si="0"/>
        <v>35.382762865592234</v>
      </c>
    </row>
    <row r="40" spans="2:7" ht="14.1" customHeight="1">
      <c r="B40" s="516">
        <v>34</v>
      </c>
      <c r="C40" s="520" t="s">
        <v>133</v>
      </c>
      <c r="D40" s="521" t="s">
        <v>493</v>
      </c>
      <c r="E40" s="518">
        <f>SUM(E41:E46)</f>
        <v>0</v>
      </c>
      <c r="F40" s="518">
        <f>SUM(F41:F46)</f>
        <v>0</v>
      </c>
      <c r="G40" s="522" t="str">
        <f t="shared" si="0"/>
        <v/>
      </c>
    </row>
    <row r="41" spans="2:7" ht="14.1" customHeight="1">
      <c r="B41" s="155">
        <v>35</v>
      </c>
      <c r="C41" s="158" t="s">
        <v>494</v>
      </c>
      <c r="D41" s="159" t="s">
        <v>495</v>
      </c>
      <c r="E41" s="128">
        <v>0</v>
      </c>
      <c r="F41" s="128">
        <v>0</v>
      </c>
      <c r="G41" s="160" t="str">
        <f t="shared" si="0"/>
        <v/>
      </c>
    </row>
    <row r="42" spans="2:7" ht="14.1" customHeight="1">
      <c r="B42" s="155">
        <v>36</v>
      </c>
      <c r="C42" s="158" t="s">
        <v>496</v>
      </c>
      <c r="D42" s="159" t="s">
        <v>497</v>
      </c>
      <c r="E42" s="128">
        <v>0</v>
      </c>
      <c r="F42" s="128">
        <v>0</v>
      </c>
      <c r="G42" s="160" t="str">
        <f t="shared" si="0"/>
        <v/>
      </c>
    </row>
    <row r="43" spans="2:7" ht="14.1" customHeight="1">
      <c r="B43" s="155">
        <v>37</v>
      </c>
      <c r="C43" s="158" t="s">
        <v>498</v>
      </c>
      <c r="D43" s="159" t="s">
        <v>499</v>
      </c>
      <c r="E43" s="128">
        <v>0</v>
      </c>
      <c r="F43" s="128">
        <v>0</v>
      </c>
      <c r="G43" s="160" t="str">
        <f t="shared" si="0"/>
        <v/>
      </c>
    </row>
    <row r="44" spans="2:7" ht="14.1" customHeight="1">
      <c r="B44" s="155">
        <v>38</v>
      </c>
      <c r="C44" s="158" t="s">
        <v>500</v>
      </c>
      <c r="D44" s="159" t="s">
        <v>68</v>
      </c>
      <c r="E44" s="128">
        <v>0</v>
      </c>
      <c r="F44" s="128">
        <v>0</v>
      </c>
      <c r="G44" s="160" t="str">
        <f t="shared" si="0"/>
        <v/>
      </c>
    </row>
    <row r="45" spans="2:7" ht="14.1" customHeight="1">
      <c r="B45" s="155">
        <v>39</v>
      </c>
      <c r="C45" s="158" t="s">
        <v>501</v>
      </c>
      <c r="D45" s="159" t="s">
        <v>56</v>
      </c>
      <c r="E45" s="128">
        <v>0</v>
      </c>
      <c r="F45" s="128">
        <v>0</v>
      </c>
      <c r="G45" s="160" t="str">
        <f t="shared" si="0"/>
        <v/>
      </c>
    </row>
    <row r="46" spans="2:7" ht="14.1" customHeight="1">
      <c r="B46" s="155">
        <v>40</v>
      </c>
      <c r="C46" s="158" t="s">
        <v>502</v>
      </c>
      <c r="D46" s="159" t="s">
        <v>503</v>
      </c>
      <c r="E46" s="128">
        <v>0</v>
      </c>
      <c r="F46" s="128">
        <v>0</v>
      </c>
      <c r="G46" s="160" t="str">
        <f t="shared" si="0"/>
        <v/>
      </c>
    </row>
    <row r="47" spans="2:7" ht="14.1" customHeight="1">
      <c r="B47" s="516">
        <v>41</v>
      </c>
      <c r="C47" s="520" t="s">
        <v>197</v>
      </c>
      <c r="D47" s="521" t="s">
        <v>504</v>
      </c>
      <c r="E47" s="518">
        <f>SUM(E48:E53)</f>
        <v>0</v>
      </c>
      <c r="F47" s="518">
        <f>SUM(F48:F53)</f>
        <v>0</v>
      </c>
      <c r="G47" s="522" t="str">
        <f t="shared" si="0"/>
        <v/>
      </c>
    </row>
    <row r="48" spans="2:7" ht="14.1" customHeight="1">
      <c r="B48" s="155">
        <v>42</v>
      </c>
      <c r="C48" s="158" t="s">
        <v>505</v>
      </c>
      <c r="D48" s="159" t="s">
        <v>506</v>
      </c>
      <c r="E48" s="128">
        <v>0</v>
      </c>
      <c r="F48" s="128">
        <v>0</v>
      </c>
      <c r="G48" s="160" t="str">
        <f t="shared" si="0"/>
        <v/>
      </c>
    </row>
    <row r="49" spans="2:7" ht="14.1" customHeight="1">
      <c r="B49" s="155">
        <v>43</v>
      </c>
      <c r="C49" s="158" t="s">
        <v>507</v>
      </c>
      <c r="D49" s="159" t="s">
        <v>508</v>
      </c>
      <c r="E49" s="128">
        <v>0</v>
      </c>
      <c r="F49" s="128">
        <v>0</v>
      </c>
      <c r="G49" s="160" t="str">
        <f t="shared" si="0"/>
        <v/>
      </c>
    </row>
    <row r="50" spans="2:7" ht="14.1" customHeight="1">
      <c r="B50" s="155">
        <v>44</v>
      </c>
      <c r="C50" s="158" t="s">
        <v>509</v>
      </c>
      <c r="D50" s="159" t="s">
        <v>69</v>
      </c>
      <c r="E50" s="128">
        <v>0</v>
      </c>
      <c r="F50" s="128">
        <v>0</v>
      </c>
      <c r="G50" s="160" t="str">
        <f t="shared" si="0"/>
        <v/>
      </c>
    </row>
    <row r="51" spans="2:7" ht="14.1" customHeight="1">
      <c r="B51" s="155">
        <v>45</v>
      </c>
      <c r="C51" s="158" t="s">
        <v>510</v>
      </c>
      <c r="D51" s="159" t="s">
        <v>511</v>
      </c>
      <c r="E51" s="128">
        <v>0</v>
      </c>
      <c r="F51" s="128">
        <v>0</v>
      </c>
      <c r="G51" s="160" t="str">
        <f t="shared" si="0"/>
        <v/>
      </c>
    </row>
    <row r="52" spans="2:7" ht="14.1" customHeight="1">
      <c r="B52" s="155">
        <v>46</v>
      </c>
      <c r="C52" s="158" t="s">
        <v>512</v>
      </c>
      <c r="D52" s="159" t="s">
        <v>513</v>
      </c>
      <c r="E52" s="128">
        <v>0</v>
      </c>
      <c r="F52" s="128">
        <v>0</v>
      </c>
      <c r="G52" s="160" t="str">
        <f t="shared" si="0"/>
        <v/>
      </c>
    </row>
    <row r="53" spans="2:7" ht="14.1" customHeight="1">
      <c r="B53" s="155">
        <v>47</v>
      </c>
      <c r="C53" s="158" t="s">
        <v>514</v>
      </c>
      <c r="D53" s="159" t="s">
        <v>515</v>
      </c>
      <c r="E53" s="128">
        <v>0</v>
      </c>
      <c r="F53" s="128">
        <v>0</v>
      </c>
      <c r="G53" s="160" t="str">
        <f t="shared" si="0"/>
        <v/>
      </c>
    </row>
    <row r="54" spans="2:7" ht="14.1" customHeight="1">
      <c r="B54" s="516">
        <v>48</v>
      </c>
      <c r="C54" s="520" t="s">
        <v>516</v>
      </c>
      <c r="D54" s="521" t="s">
        <v>517</v>
      </c>
      <c r="E54" s="518">
        <f>SUM(E55:E60)</f>
        <v>0</v>
      </c>
      <c r="F54" s="518">
        <f>SUM(F55:F60)</f>
        <v>0</v>
      </c>
      <c r="G54" s="522" t="str">
        <f t="shared" si="0"/>
        <v/>
      </c>
    </row>
    <row r="55" spans="2:7" ht="14.1" customHeight="1">
      <c r="B55" s="155">
        <v>49</v>
      </c>
      <c r="C55" s="158" t="s">
        <v>518</v>
      </c>
      <c r="D55" s="159" t="s">
        <v>519</v>
      </c>
      <c r="E55" s="128">
        <v>0</v>
      </c>
      <c r="F55" s="128">
        <v>0</v>
      </c>
      <c r="G55" s="160" t="str">
        <f t="shared" si="0"/>
        <v/>
      </c>
    </row>
    <row r="56" spans="2:7" ht="14.1" customHeight="1">
      <c r="B56" s="155">
        <v>50</v>
      </c>
      <c r="C56" s="158" t="s">
        <v>520</v>
      </c>
      <c r="D56" s="159" t="s">
        <v>70</v>
      </c>
      <c r="E56" s="128">
        <v>0</v>
      </c>
      <c r="F56" s="128">
        <v>0</v>
      </c>
      <c r="G56" s="160" t="str">
        <f t="shared" si="0"/>
        <v/>
      </c>
    </row>
    <row r="57" spans="2:7" ht="14.1" customHeight="1">
      <c r="B57" s="155">
        <v>51</v>
      </c>
      <c r="C57" s="158" t="s">
        <v>0</v>
      </c>
      <c r="D57" s="159" t="s">
        <v>1</v>
      </c>
      <c r="E57" s="128">
        <v>0</v>
      </c>
      <c r="F57" s="128">
        <v>0</v>
      </c>
      <c r="G57" s="160" t="str">
        <f t="shared" si="0"/>
        <v/>
      </c>
    </row>
    <row r="58" spans="2:7" ht="14.1" customHeight="1">
      <c r="B58" s="155">
        <v>52</v>
      </c>
      <c r="C58" s="158" t="s">
        <v>2</v>
      </c>
      <c r="D58" s="159" t="s">
        <v>3</v>
      </c>
      <c r="E58" s="128">
        <v>0</v>
      </c>
      <c r="F58" s="128">
        <v>0</v>
      </c>
      <c r="G58" s="160" t="str">
        <f t="shared" si="0"/>
        <v/>
      </c>
    </row>
    <row r="59" spans="2:7" ht="14.1" customHeight="1">
      <c r="B59" s="155">
        <v>53</v>
      </c>
      <c r="C59" s="158" t="s">
        <v>4</v>
      </c>
      <c r="D59" s="159" t="s">
        <v>5</v>
      </c>
      <c r="E59" s="128">
        <v>0</v>
      </c>
      <c r="F59" s="128">
        <v>0</v>
      </c>
      <c r="G59" s="160" t="str">
        <f t="shared" si="0"/>
        <v/>
      </c>
    </row>
    <row r="60" spans="2:7" ht="14.1" customHeight="1">
      <c r="B60" s="155">
        <v>54</v>
      </c>
      <c r="C60" s="158" t="s">
        <v>6</v>
      </c>
      <c r="D60" s="159" t="s">
        <v>7</v>
      </c>
      <c r="E60" s="128">
        <v>0</v>
      </c>
      <c r="F60" s="128">
        <v>0</v>
      </c>
      <c r="G60" s="160" t="str">
        <f t="shared" si="0"/>
        <v/>
      </c>
    </row>
    <row r="61" spans="2:7">
      <c r="B61" s="516">
        <v>55</v>
      </c>
      <c r="C61" s="520" t="s">
        <v>8</v>
      </c>
      <c r="D61" s="521" t="s">
        <v>9</v>
      </c>
      <c r="E61" s="518">
        <f>SUM(E62:E67)</f>
        <v>530000</v>
      </c>
      <c r="F61" s="518">
        <f>SUM(F62:F67)</f>
        <v>566900</v>
      </c>
      <c r="G61" s="522">
        <f t="shared" si="0"/>
        <v>106.96226415094338</v>
      </c>
    </row>
    <row r="62" spans="2:7">
      <c r="B62" s="155">
        <v>56</v>
      </c>
      <c r="C62" s="158" t="s">
        <v>10</v>
      </c>
      <c r="D62" s="159" t="s">
        <v>71</v>
      </c>
      <c r="E62" s="128">
        <v>280000</v>
      </c>
      <c r="F62" s="128">
        <v>323700</v>
      </c>
      <c r="G62" s="161">
        <f t="shared" si="0"/>
        <v>115.60714285714286</v>
      </c>
    </row>
    <row r="63" spans="2:7">
      <c r="B63" s="155">
        <v>57</v>
      </c>
      <c r="C63" s="158" t="s">
        <v>11</v>
      </c>
      <c r="D63" s="159" t="s">
        <v>12</v>
      </c>
      <c r="E63" s="128">
        <v>60000</v>
      </c>
      <c r="F63" s="128">
        <v>57100</v>
      </c>
      <c r="G63" s="161">
        <f t="shared" si="0"/>
        <v>95.166666666666671</v>
      </c>
    </row>
    <row r="64" spans="2:7">
      <c r="B64" s="155">
        <v>58</v>
      </c>
      <c r="C64" s="158" t="s">
        <v>13</v>
      </c>
      <c r="D64" s="159" t="s">
        <v>72</v>
      </c>
      <c r="E64" s="128">
        <v>40000</v>
      </c>
      <c r="F64" s="128">
        <v>47100</v>
      </c>
      <c r="G64" s="161">
        <f t="shared" si="0"/>
        <v>117.75</v>
      </c>
    </row>
    <row r="65" spans="2:7">
      <c r="B65" s="155">
        <v>59</v>
      </c>
      <c r="C65" s="158" t="s">
        <v>14</v>
      </c>
      <c r="D65" s="159" t="s">
        <v>57</v>
      </c>
      <c r="E65" s="128">
        <v>150000</v>
      </c>
      <c r="F65" s="128">
        <v>139000</v>
      </c>
      <c r="G65" s="161">
        <f t="shared" si="0"/>
        <v>92.666666666666657</v>
      </c>
    </row>
    <row r="66" spans="2:7">
      <c r="B66" s="155">
        <v>60</v>
      </c>
      <c r="C66" s="158" t="s">
        <v>15</v>
      </c>
      <c r="D66" s="159" t="s">
        <v>16</v>
      </c>
      <c r="E66" s="128">
        <v>0</v>
      </c>
      <c r="F66" s="128">
        <v>0</v>
      </c>
      <c r="G66" s="161" t="str">
        <f t="shared" si="0"/>
        <v/>
      </c>
    </row>
    <row r="67" spans="2:7">
      <c r="B67" s="155">
        <v>61</v>
      </c>
      <c r="C67" s="158" t="s">
        <v>17</v>
      </c>
      <c r="D67" s="159" t="s">
        <v>18</v>
      </c>
      <c r="E67" s="128">
        <v>0</v>
      </c>
      <c r="F67" s="128">
        <v>0</v>
      </c>
      <c r="G67" s="161" t="str">
        <f t="shared" si="0"/>
        <v/>
      </c>
    </row>
    <row r="68" spans="2:7">
      <c r="B68" s="516">
        <v>62</v>
      </c>
      <c r="C68" s="520" t="s">
        <v>19</v>
      </c>
      <c r="D68" s="521" t="s">
        <v>20</v>
      </c>
      <c r="E68" s="518">
        <f>SUM(E69:E76)</f>
        <v>12971280</v>
      </c>
      <c r="F68" s="518">
        <f>SUM(F69:F76)</f>
        <v>9279688</v>
      </c>
      <c r="G68" s="522">
        <f t="shared" si="0"/>
        <v>71.540264337829413</v>
      </c>
    </row>
    <row r="69" spans="2:7">
      <c r="B69" s="155">
        <v>63</v>
      </c>
      <c r="C69" s="158" t="s">
        <v>21</v>
      </c>
      <c r="D69" s="159" t="s">
        <v>22</v>
      </c>
      <c r="E69" s="128">
        <v>7986890</v>
      </c>
      <c r="F69" s="128">
        <v>5649750</v>
      </c>
      <c r="G69" s="161">
        <f t="shared" si="0"/>
        <v>70.737796564119449</v>
      </c>
    </row>
    <row r="70" spans="2:7">
      <c r="B70" s="155">
        <v>64</v>
      </c>
      <c r="C70" s="158" t="s">
        <v>23</v>
      </c>
      <c r="D70" s="159" t="s">
        <v>24</v>
      </c>
      <c r="E70" s="128">
        <v>3852170</v>
      </c>
      <c r="F70" s="128">
        <v>2839625</v>
      </c>
      <c r="G70" s="161">
        <f t="shared" si="0"/>
        <v>73.714945082901323</v>
      </c>
    </row>
    <row r="71" spans="2:7">
      <c r="B71" s="155">
        <v>65</v>
      </c>
      <c r="C71" s="158" t="s">
        <v>25</v>
      </c>
      <c r="D71" s="159" t="s">
        <v>26</v>
      </c>
      <c r="E71" s="128">
        <v>0</v>
      </c>
      <c r="F71" s="128">
        <v>0</v>
      </c>
      <c r="G71" s="161" t="str">
        <f t="shared" si="0"/>
        <v/>
      </c>
    </row>
    <row r="72" spans="2:7">
      <c r="B72" s="155">
        <v>66</v>
      </c>
      <c r="C72" s="158" t="s">
        <v>27</v>
      </c>
      <c r="D72" s="159" t="s">
        <v>28</v>
      </c>
      <c r="E72" s="128">
        <v>300000</v>
      </c>
      <c r="F72" s="128">
        <v>216250</v>
      </c>
      <c r="G72" s="161">
        <f t="shared" si="0"/>
        <v>72.083333333333329</v>
      </c>
    </row>
    <row r="73" spans="2:7">
      <c r="B73" s="155">
        <v>67</v>
      </c>
      <c r="C73" s="158" t="s">
        <v>29</v>
      </c>
      <c r="D73" s="159" t="s">
        <v>73</v>
      </c>
      <c r="E73" s="128">
        <v>0</v>
      </c>
      <c r="F73" s="128">
        <v>0</v>
      </c>
      <c r="G73" s="161" t="str">
        <f t="shared" si="0"/>
        <v/>
      </c>
    </row>
    <row r="74" spans="2:7">
      <c r="B74" s="155">
        <v>68</v>
      </c>
      <c r="C74" s="158" t="s">
        <v>30</v>
      </c>
      <c r="D74" s="159" t="s">
        <v>31</v>
      </c>
      <c r="E74" s="128">
        <v>0</v>
      </c>
      <c r="F74" s="128">
        <v>0</v>
      </c>
      <c r="G74" s="161" t="str">
        <f t="shared" ref="G74:G86" si="1">IF(E74=0,"",F74/E74*100)</f>
        <v/>
      </c>
    </row>
    <row r="75" spans="2:7">
      <c r="B75" s="155">
        <v>69</v>
      </c>
      <c r="C75" s="158" t="s">
        <v>32</v>
      </c>
      <c r="D75" s="159" t="s">
        <v>33</v>
      </c>
      <c r="E75" s="128">
        <v>0</v>
      </c>
      <c r="F75" s="128">
        <v>0</v>
      </c>
      <c r="G75" s="161" t="str">
        <f t="shared" si="1"/>
        <v/>
      </c>
    </row>
    <row r="76" spans="2:7">
      <c r="B76" s="155">
        <v>70</v>
      </c>
      <c r="C76" s="158" t="s">
        <v>34</v>
      </c>
      <c r="D76" s="159" t="s">
        <v>35</v>
      </c>
      <c r="E76" s="128">
        <v>832220</v>
      </c>
      <c r="F76" s="128">
        <v>574063</v>
      </c>
      <c r="G76" s="161">
        <f t="shared" si="1"/>
        <v>68.979716901780776</v>
      </c>
    </row>
    <row r="77" spans="2:7">
      <c r="B77" s="516">
        <v>71</v>
      </c>
      <c r="C77" s="520" t="s">
        <v>36</v>
      </c>
      <c r="D77" s="517" t="s">
        <v>37</v>
      </c>
      <c r="E77" s="518">
        <f>SUM(E78:E86)</f>
        <v>5788760</v>
      </c>
      <c r="F77" s="518">
        <f>SUM(F78:F86)</f>
        <v>3914037</v>
      </c>
      <c r="G77" s="522">
        <f t="shared" si="1"/>
        <v>67.614428651386476</v>
      </c>
    </row>
    <row r="78" spans="2:7">
      <c r="B78" s="155">
        <v>72</v>
      </c>
      <c r="C78" s="158" t="s">
        <v>38</v>
      </c>
      <c r="D78" s="159" t="s">
        <v>39</v>
      </c>
      <c r="E78" s="128">
        <v>0</v>
      </c>
      <c r="F78" s="128">
        <v>0</v>
      </c>
      <c r="G78" s="161" t="str">
        <f t="shared" si="1"/>
        <v/>
      </c>
    </row>
    <row r="79" spans="2:7">
      <c r="B79" s="155">
        <v>73</v>
      </c>
      <c r="C79" s="158" t="s">
        <v>40</v>
      </c>
      <c r="D79" s="159" t="s">
        <v>41</v>
      </c>
      <c r="E79" s="128">
        <v>0</v>
      </c>
      <c r="F79" s="128">
        <v>0</v>
      </c>
      <c r="G79" s="161" t="str">
        <f t="shared" si="1"/>
        <v/>
      </c>
    </row>
    <row r="80" spans="2:7">
      <c r="B80" s="155">
        <v>74</v>
      </c>
      <c r="C80" s="158" t="s">
        <v>42</v>
      </c>
      <c r="D80" s="159" t="s">
        <v>43</v>
      </c>
      <c r="E80" s="128">
        <v>0</v>
      </c>
      <c r="F80" s="128">
        <v>0</v>
      </c>
      <c r="G80" s="161" t="str">
        <f t="shared" si="1"/>
        <v/>
      </c>
    </row>
    <row r="81" spans="2:7">
      <c r="B81" s="155">
        <v>75</v>
      </c>
      <c r="C81" s="158" t="s">
        <v>44</v>
      </c>
      <c r="D81" s="159" t="s">
        <v>74</v>
      </c>
      <c r="E81" s="128">
        <v>0</v>
      </c>
      <c r="F81" s="128">
        <v>0</v>
      </c>
      <c r="G81" s="161" t="str">
        <f t="shared" si="1"/>
        <v/>
      </c>
    </row>
    <row r="82" spans="2:7">
      <c r="B82" s="155">
        <v>76</v>
      </c>
      <c r="C82" s="158" t="s">
        <v>45</v>
      </c>
      <c r="D82" s="159" t="s">
        <v>75</v>
      </c>
      <c r="E82" s="128">
        <v>0</v>
      </c>
      <c r="F82" s="128">
        <v>0</v>
      </c>
      <c r="G82" s="161" t="str">
        <f t="shared" si="1"/>
        <v/>
      </c>
    </row>
    <row r="83" spans="2:7">
      <c r="B83" s="155">
        <v>77</v>
      </c>
      <c r="C83" s="158" t="s">
        <v>46</v>
      </c>
      <c r="D83" s="159" t="s">
        <v>47</v>
      </c>
      <c r="E83" s="128">
        <v>0</v>
      </c>
      <c r="F83" s="128">
        <v>0</v>
      </c>
      <c r="G83" s="161" t="str">
        <f t="shared" si="1"/>
        <v/>
      </c>
    </row>
    <row r="84" spans="2:7">
      <c r="B84" s="155">
        <v>78</v>
      </c>
      <c r="C84" s="158" t="s">
        <v>48</v>
      </c>
      <c r="D84" s="159" t="s">
        <v>49</v>
      </c>
      <c r="E84" s="128">
        <v>0</v>
      </c>
      <c r="F84" s="128">
        <v>0</v>
      </c>
      <c r="G84" s="161" t="str">
        <f t="shared" si="1"/>
        <v/>
      </c>
    </row>
    <row r="85" spans="2:7">
      <c r="B85" s="155">
        <v>79</v>
      </c>
      <c r="C85" s="158" t="s">
        <v>50</v>
      </c>
      <c r="D85" s="159" t="s">
        <v>51</v>
      </c>
      <c r="E85" s="128">
        <v>0</v>
      </c>
      <c r="F85" s="128">
        <v>0</v>
      </c>
      <c r="G85" s="161" t="str">
        <f t="shared" si="1"/>
        <v/>
      </c>
    </row>
    <row r="86" spans="2:7">
      <c r="B86" s="155">
        <v>80</v>
      </c>
      <c r="C86" s="158" t="s">
        <v>52</v>
      </c>
      <c r="D86" s="159" t="s">
        <v>53</v>
      </c>
      <c r="E86" s="128">
        <f>5728760+60000</f>
        <v>5788760</v>
      </c>
      <c r="F86" s="128">
        <v>3914037</v>
      </c>
      <c r="G86" s="161">
        <f t="shared" si="1"/>
        <v>67.614428651386476</v>
      </c>
    </row>
    <row r="87" spans="2:7">
      <c r="B87" s="62"/>
      <c r="C87" s="62"/>
      <c r="D87" s="62"/>
      <c r="E87" s="62"/>
      <c r="F87" s="62"/>
      <c r="G87" s="62"/>
    </row>
    <row r="88" spans="2:7">
      <c r="B88" s="62"/>
      <c r="C88" s="62"/>
      <c r="D88" s="62"/>
      <c r="E88" s="62"/>
      <c r="F88" s="62"/>
      <c r="G88" s="62"/>
    </row>
    <row r="89" spans="2:7">
      <c r="B89" s="62"/>
      <c r="C89" s="62"/>
      <c r="D89" s="62"/>
      <c r="E89" s="62"/>
      <c r="F89" s="62"/>
      <c r="G89" s="62"/>
    </row>
    <row r="90" spans="2:7">
      <c r="B90" s="62"/>
      <c r="C90" s="62"/>
      <c r="D90" s="62"/>
      <c r="E90" s="62"/>
      <c r="F90" s="62"/>
      <c r="G90" s="62"/>
    </row>
    <row r="91" spans="2:7">
      <c r="B91" s="62"/>
      <c r="C91" s="62"/>
      <c r="D91" s="62"/>
      <c r="E91" s="62"/>
      <c r="F91" s="62"/>
      <c r="G91" s="62"/>
    </row>
    <row r="92" spans="2:7">
      <c r="B92" s="62"/>
      <c r="C92" s="62"/>
      <c r="D92" s="62"/>
      <c r="E92" s="62"/>
      <c r="F92" s="62"/>
      <c r="G92" s="62"/>
    </row>
    <row r="93" spans="2:7">
      <c r="B93" s="62"/>
      <c r="C93" s="62"/>
      <c r="D93" s="62"/>
      <c r="E93" s="62"/>
      <c r="F93" s="62"/>
      <c r="G93" s="62"/>
    </row>
    <row r="94" spans="2:7">
      <c r="B94" s="62"/>
      <c r="C94" s="62"/>
      <c r="D94" s="62"/>
      <c r="E94" s="62"/>
      <c r="F94" s="62"/>
      <c r="G94" s="62"/>
    </row>
    <row r="95" spans="2:7">
      <c r="B95" s="62"/>
      <c r="C95" s="62"/>
      <c r="D95" s="62"/>
      <c r="E95" s="62"/>
      <c r="F95" s="62"/>
      <c r="G95" s="62"/>
    </row>
    <row r="96" spans="2:7">
      <c r="B96" s="62"/>
      <c r="C96" s="62"/>
      <c r="D96" s="62"/>
      <c r="E96" s="62"/>
      <c r="F96" s="62"/>
      <c r="G96" s="62"/>
    </row>
    <row r="97" spans="2:7">
      <c r="B97" s="62"/>
      <c r="C97" s="62"/>
      <c r="D97" s="62"/>
      <c r="E97" s="62"/>
      <c r="F97" s="62"/>
      <c r="G97" s="62"/>
    </row>
    <row r="98" spans="2:7">
      <c r="B98" s="62"/>
      <c r="C98" s="62"/>
      <c r="D98" s="62"/>
      <c r="E98" s="62"/>
      <c r="F98" s="62"/>
      <c r="G98" s="62"/>
    </row>
    <row r="99" spans="2:7">
      <c r="B99" s="62"/>
      <c r="C99" s="62"/>
      <c r="D99" s="62"/>
      <c r="E99" s="62"/>
      <c r="F99" s="62"/>
      <c r="G99" s="62"/>
    </row>
    <row r="100" spans="2:7">
      <c r="B100" s="62"/>
      <c r="C100" s="62"/>
      <c r="D100" s="62"/>
      <c r="E100" s="62"/>
      <c r="F100" s="62"/>
      <c r="G100" s="62"/>
    </row>
    <row r="101" spans="2:7">
      <c r="B101" s="62"/>
      <c r="C101" s="62"/>
      <c r="D101" s="62"/>
      <c r="E101" s="62"/>
      <c r="F101" s="62"/>
      <c r="G101" s="62"/>
    </row>
    <row r="102" spans="2:7">
      <c r="B102" s="62"/>
      <c r="C102" s="62"/>
      <c r="D102" s="62"/>
      <c r="E102" s="62"/>
      <c r="F102" s="62"/>
      <c r="G102" s="62"/>
    </row>
    <row r="103" spans="2:7">
      <c r="B103" s="62"/>
      <c r="C103" s="62"/>
      <c r="D103" s="62"/>
      <c r="E103" s="62"/>
      <c r="F103" s="62"/>
      <c r="G103" s="62"/>
    </row>
    <row r="104" spans="2:7">
      <c r="B104" s="62"/>
      <c r="C104" s="62"/>
      <c r="D104" s="62"/>
      <c r="E104" s="62"/>
      <c r="F104" s="62"/>
      <c r="G104" s="62"/>
    </row>
    <row r="105" spans="2:7">
      <c r="B105" s="62"/>
      <c r="C105" s="62"/>
      <c r="D105" s="62"/>
      <c r="E105" s="62"/>
      <c r="F105" s="62"/>
      <c r="G105" s="62"/>
    </row>
    <row r="106" spans="2:7">
      <c r="B106" s="62"/>
      <c r="C106" s="62"/>
      <c r="D106" s="62"/>
      <c r="E106" s="62"/>
      <c r="F106" s="62"/>
      <c r="G106" s="62"/>
    </row>
    <row r="107" spans="2:7">
      <c r="B107" s="62"/>
      <c r="C107" s="62"/>
      <c r="D107" s="62"/>
      <c r="E107" s="62"/>
      <c r="F107" s="62"/>
      <c r="G107" s="62"/>
    </row>
    <row r="108" spans="2:7">
      <c r="B108" s="62"/>
      <c r="C108" s="62"/>
      <c r="D108" s="62"/>
      <c r="E108" s="62"/>
      <c r="F108" s="62"/>
      <c r="G108" s="62"/>
    </row>
    <row r="109" spans="2:7">
      <c r="B109" s="62"/>
      <c r="C109" s="62"/>
      <c r="D109" s="62"/>
      <c r="E109" s="62"/>
      <c r="F109" s="62"/>
      <c r="G109" s="62"/>
    </row>
    <row r="110" spans="2:7">
      <c r="B110" s="62"/>
      <c r="C110" s="62"/>
      <c r="D110" s="62"/>
      <c r="E110" s="62"/>
      <c r="F110" s="62"/>
      <c r="G110" s="62"/>
    </row>
    <row r="111" spans="2:7">
      <c r="B111" s="62"/>
      <c r="C111" s="62"/>
      <c r="D111" s="62"/>
      <c r="E111" s="62"/>
      <c r="F111" s="62"/>
      <c r="G111" s="62"/>
    </row>
    <row r="112" spans="2:7">
      <c r="B112" s="62"/>
      <c r="C112" s="62"/>
      <c r="D112" s="62"/>
      <c r="E112" s="62"/>
      <c r="F112" s="62"/>
      <c r="G112" s="62"/>
    </row>
    <row r="113" spans="2:7">
      <c r="B113" s="62"/>
      <c r="C113" s="62"/>
      <c r="D113" s="62"/>
      <c r="E113" s="62"/>
      <c r="F113" s="62"/>
      <c r="G113" s="62"/>
    </row>
    <row r="114" spans="2:7">
      <c r="B114" s="62"/>
      <c r="C114" s="62"/>
      <c r="D114" s="62"/>
      <c r="E114" s="62"/>
      <c r="F114" s="62"/>
      <c r="G114" s="62"/>
    </row>
    <row r="115" spans="2:7">
      <c r="B115" s="62"/>
      <c r="C115" s="62"/>
      <c r="D115" s="62"/>
      <c r="E115" s="62"/>
      <c r="F115" s="62"/>
      <c r="G115" s="62"/>
    </row>
    <row r="116" spans="2:7">
      <c r="B116" s="62"/>
      <c r="C116" s="62"/>
      <c r="D116" s="62"/>
      <c r="E116" s="62"/>
      <c r="F116" s="62"/>
      <c r="G116" s="62"/>
    </row>
    <row r="117" spans="2:7">
      <c r="B117" s="62"/>
      <c r="C117" s="62"/>
      <c r="D117" s="62"/>
      <c r="E117" s="62"/>
      <c r="F117" s="62"/>
      <c r="G117" s="62"/>
    </row>
    <row r="118" spans="2:7">
      <c r="B118" s="62"/>
      <c r="C118" s="62"/>
      <c r="D118" s="62"/>
      <c r="E118" s="62"/>
      <c r="F118" s="62"/>
      <c r="G118" s="62"/>
    </row>
    <row r="119" spans="2:7">
      <c r="B119" s="62"/>
      <c r="C119" s="62"/>
      <c r="D119" s="62"/>
      <c r="E119" s="62"/>
      <c r="F119" s="62"/>
      <c r="G119" s="62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firstPageNumber="46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F44"/>
  <sheetViews>
    <sheetView topLeftCell="A10" zoomScaleNormal="100" workbookViewId="0">
      <selection activeCell="J38" sqref="J38"/>
    </sheetView>
  </sheetViews>
  <sheetFormatPr defaultRowHeight="12.75"/>
  <cols>
    <col min="1" max="1" width="15.7109375" style="34" customWidth="1"/>
    <col min="2" max="2" width="82.28515625" customWidth="1"/>
    <col min="3" max="6" width="18.7109375" customWidth="1"/>
  </cols>
  <sheetData>
    <row r="2" spans="1:6" ht="15.75">
      <c r="A2" s="622" t="s">
        <v>838</v>
      </c>
      <c r="B2" s="623"/>
      <c r="C2" s="623"/>
      <c r="D2" s="623"/>
      <c r="E2" s="623"/>
      <c r="F2" s="623"/>
    </row>
    <row r="4" spans="1:6" s="40" customFormat="1">
      <c r="A4" s="627" t="s">
        <v>396</v>
      </c>
      <c r="B4" s="627" t="s">
        <v>414</v>
      </c>
      <c r="C4" s="627" t="s">
        <v>839</v>
      </c>
      <c r="D4" s="624" t="s">
        <v>421</v>
      </c>
      <c r="E4" s="625"/>
      <c r="F4" s="626"/>
    </row>
    <row r="5" spans="1:6" s="40" customFormat="1" ht="39" customHeight="1">
      <c r="A5" s="628"/>
      <c r="B5" s="628"/>
      <c r="C5" s="628"/>
      <c r="D5" s="139" t="s">
        <v>420</v>
      </c>
      <c r="E5" s="139" t="s">
        <v>539</v>
      </c>
      <c r="F5" s="139" t="s">
        <v>540</v>
      </c>
    </row>
    <row r="6" spans="1:6" s="40" customFormat="1">
      <c r="A6" s="139">
        <v>1</v>
      </c>
      <c r="B6" s="140">
        <v>2</v>
      </c>
      <c r="C6" s="139" t="s">
        <v>422</v>
      </c>
      <c r="D6" s="139">
        <v>4</v>
      </c>
      <c r="E6" s="139">
        <v>5</v>
      </c>
      <c r="F6" s="139">
        <v>6</v>
      </c>
    </row>
    <row r="7" spans="1:6" ht="15.95" customHeight="1">
      <c r="A7" s="133">
        <v>10010001</v>
      </c>
      <c r="B7" s="21" t="s">
        <v>230</v>
      </c>
      <c r="C7" s="131">
        <f>D7+E7+F7</f>
        <v>0</v>
      </c>
      <c r="D7" s="131">
        <f>'1'!K28</f>
        <v>0</v>
      </c>
      <c r="E7" s="131">
        <v>0</v>
      </c>
      <c r="F7" s="131">
        <v>0</v>
      </c>
    </row>
    <row r="8" spans="1:6" ht="15.95" customHeight="1">
      <c r="A8" s="133">
        <v>11010001</v>
      </c>
      <c r="B8" s="21" t="s">
        <v>231</v>
      </c>
      <c r="C8" s="131">
        <f t="shared" ref="C8:C42" si="0">D8+E8+F8</f>
        <v>3775</v>
      </c>
      <c r="D8" s="131">
        <f>'3'!K50</f>
        <v>3775</v>
      </c>
      <c r="E8" s="131">
        <v>0</v>
      </c>
      <c r="F8" s="131">
        <v>0</v>
      </c>
    </row>
    <row r="9" spans="1:6" ht="15.95" customHeight="1">
      <c r="A9" s="133">
        <v>11010002</v>
      </c>
      <c r="B9" s="21" t="s">
        <v>232</v>
      </c>
      <c r="C9" s="131">
        <f t="shared" si="0"/>
        <v>953</v>
      </c>
      <c r="D9" s="131">
        <f>'4'!K31</f>
        <v>953</v>
      </c>
      <c r="E9" s="131">
        <v>0</v>
      </c>
      <c r="F9" s="131">
        <v>0</v>
      </c>
    </row>
    <row r="10" spans="1:6" ht="15.95" customHeight="1">
      <c r="A10" s="133">
        <v>11010003</v>
      </c>
      <c r="B10" s="21" t="s">
        <v>233</v>
      </c>
      <c r="C10" s="131">
        <f t="shared" si="0"/>
        <v>0</v>
      </c>
      <c r="D10" s="131">
        <f>'5'!K28</f>
        <v>0</v>
      </c>
      <c r="E10" s="131">
        <v>0</v>
      </c>
      <c r="F10" s="131">
        <v>0</v>
      </c>
    </row>
    <row r="11" spans="1:6" ht="15.95" customHeight="1">
      <c r="A11" s="133">
        <v>11010004</v>
      </c>
      <c r="B11" s="21" t="s">
        <v>234</v>
      </c>
      <c r="C11" s="131">
        <f t="shared" si="0"/>
        <v>0</v>
      </c>
      <c r="D11" s="131">
        <f>'6'!K28</f>
        <v>0</v>
      </c>
      <c r="E11" s="131">
        <v>0</v>
      </c>
      <c r="F11" s="131">
        <v>0</v>
      </c>
    </row>
    <row r="12" spans="1:6" ht="15.95" customHeight="1">
      <c r="A12" s="133">
        <v>11010005</v>
      </c>
      <c r="B12" s="234" t="s">
        <v>605</v>
      </c>
      <c r="C12" s="131">
        <f t="shared" si="0"/>
        <v>0</v>
      </c>
      <c r="D12" s="131">
        <f>'7'!K28</f>
        <v>0</v>
      </c>
      <c r="E12" s="131">
        <v>0</v>
      </c>
      <c r="F12" s="131">
        <v>0</v>
      </c>
    </row>
    <row r="13" spans="1:6" ht="15.95" customHeight="1">
      <c r="A13" s="133">
        <v>12010001</v>
      </c>
      <c r="B13" s="21" t="s">
        <v>235</v>
      </c>
      <c r="C13" s="131">
        <f t="shared" si="0"/>
        <v>78519</v>
      </c>
      <c r="D13" s="131">
        <f>'8'!K28</f>
        <v>78519</v>
      </c>
      <c r="E13" s="131">
        <v>0</v>
      </c>
      <c r="F13" s="131">
        <v>0</v>
      </c>
    </row>
    <row r="14" spans="1:6" ht="15.95" customHeight="1">
      <c r="A14" s="133">
        <v>13010001</v>
      </c>
      <c r="B14" s="21" t="s">
        <v>395</v>
      </c>
      <c r="C14" s="131">
        <f t="shared" si="0"/>
        <v>283</v>
      </c>
      <c r="D14" s="131">
        <f>'9'!K28</f>
        <v>283</v>
      </c>
      <c r="E14" s="131">
        <v>0</v>
      </c>
      <c r="F14" s="131">
        <v>0</v>
      </c>
    </row>
    <row r="15" spans="1:6" ht="15.95" customHeight="1">
      <c r="A15" s="133">
        <v>14010001</v>
      </c>
      <c r="B15" s="21" t="s">
        <v>237</v>
      </c>
      <c r="C15" s="131">
        <f t="shared" si="0"/>
        <v>0</v>
      </c>
      <c r="D15" s="131">
        <f>'10'!K28</f>
        <v>0</v>
      </c>
      <c r="E15" s="131">
        <v>0</v>
      </c>
      <c r="F15" s="131">
        <v>0</v>
      </c>
    </row>
    <row r="16" spans="1:6" ht="15.95" customHeight="1">
      <c r="A16" s="133">
        <v>14020003</v>
      </c>
      <c r="B16" s="21" t="s">
        <v>238</v>
      </c>
      <c r="C16" s="131">
        <f t="shared" si="0"/>
        <v>22903</v>
      </c>
      <c r="D16" s="131">
        <f>'11'!K29</f>
        <v>22903</v>
      </c>
      <c r="E16" s="131">
        <v>0</v>
      </c>
      <c r="F16" s="131">
        <v>0</v>
      </c>
    </row>
    <row r="17" spans="1:6" ht="15.95" customHeight="1">
      <c r="A17" s="133">
        <v>14050001</v>
      </c>
      <c r="B17" s="21" t="s">
        <v>239</v>
      </c>
      <c r="C17" s="131">
        <f t="shared" si="0"/>
        <v>0</v>
      </c>
      <c r="D17" s="131">
        <f>'12'!K28</f>
        <v>0</v>
      </c>
      <c r="E17" s="131">
        <v>0</v>
      </c>
      <c r="F17" s="131">
        <v>0</v>
      </c>
    </row>
    <row r="18" spans="1:6" ht="15.95" customHeight="1">
      <c r="A18" s="133">
        <v>14050002</v>
      </c>
      <c r="B18" s="21" t="s">
        <v>240</v>
      </c>
      <c r="C18" s="131">
        <f t="shared" si="0"/>
        <v>0</v>
      </c>
      <c r="D18" s="131">
        <f>'13'!K28</f>
        <v>0</v>
      </c>
      <c r="E18" s="131">
        <v>0</v>
      </c>
      <c r="F18" s="131">
        <v>0</v>
      </c>
    </row>
    <row r="19" spans="1:6" ht="15.95" customHeight="1">
      <c r="A19" s="133">
        <v>14060001</v>
      </c>
      <c r="B19" s="21" t="s">
        <v>241</v>
      </c>
      <c r="C19" s="131">
        <f t="shared" si="0"/>
        <v>0</v>
      </c>
      <c r="D19" s="131">
        <f>'14'!K28</f>
        <v>0</v>
      </c>
      <c r="E19" s="131">
        <v>0</v>
      </c>
      <c r="F19" s="131">
        <v>0</v>
      </c>
    </row>
    <row r="20" spans="1:6" ht="15.95" customHeight="1">
      <c r="A20" s="133">
        <v>15010001</v>
      </c>
      <c r="B20" s="21" t="s">
        <v>242</v>
      </c>
      <c r="C20" s="131">
        <f t="shared" si="0"/>
        <v>860</v>
      </c>
      <c r="D20" s="131">
        <f>'15'!K32</f>
        <v>860</v>
      </c>
      <c r="E20" s="131">
        <v>0</v>
      </c>
      <c r="F20" s="131">
        <v>0</v>
      </c>
    </row>
    <row r="21" spans="1:6" ht="15.95" customHeight="1">
      <c r="A21" s="133">
        <v>16010001</v>
      </c>
      <c r="B21" s="21" t="s">
        <v>243</v>
      </c>
      <c r="C21" s="131">
        <f t="shared" si="0"/>
        <v>1377</v>
      </c>
      <c r="D21" s="131">
        <f>'16'!K41</f>
        <v>1377</v>
      </c>
      <c r="E21" s="131">
        <v>0</v>
      </c>
      <c r="F21" s="131">
        <v>0</v>
      </c>
    </row>
    <row r="22" spans="1:6" ht="15.95" customHeight="1">
      <c r="A22" s="133">
        <v>17010001</v>
      </c>
      <c r="B22" s="21" t="s">
        <v>244</v>
      </c>
      <c r="C22" s="131">
        <f t="shared" si="0"/>
        <v>1180</v>
      </c>
      <c r="D22" s="131">
        <f>'17'!K34</f>
        <v>1180</v>
      </c>
      <c r="E22" s="131">
        <v>0</v>
      </c>
      <c r="F22" s="131">
        <v>0</v>
      </c>
    </row>
    <row r="23" spans="1:6" ht="15.95" customHeight="1">
      <c r="A23" s="133">
        <v>18010001</v>
      </c>
      <c r="B23" s="21" t="s">
        <v>245</v>
      </c>
      <c r="C23" s="131">
        <f t="shared" si="0"/>
        <v>8529</v>
      </c>
      <c r="D23" s="131">
        <f>'18'!K33</f>
        <v>1551</v>
      </c>
      <c r="E23" s="131">
        <v>0</v>
      </c>
      <c r="F23" s="131">
        <v>6978</v>
      </c>
    </row>
    <row r="24" spans="1:6" ht="15.95" customHeight="1">
      <c r="A24" s="133">
        <v>19010001</v>
      </c>
      <c r="B24" s="21" t="s">
        <v>246</v>
      </c>
      <c r="C24" s="131">
        <f t="shared" si="0"/>
        <v>39169</v>
      </c>
      <c r="D24" s="131">
        <f>'19'!K34</f>
        <v>9169</v>
      </c>
      <c r="E24" s="131">
        <v>30000</v>
      </c>
      <c r="F24" s="131">
        <v>0</v>
      </c>
    </row>
    <row r="25" spans="1:6" ht="15.95" customHeight="1">
      <c r="A25" s="133">
        <v>20010001</v>
      </c>
      <c r="B25" s="21" t="s">
        <v>247</v>
      </c>
      <c r="C25" s="131">
        <f t="shared" si="0"/>
        <v>2388</v>
      </c>
      <c r="D25" s="131">
        <f>'20'!K44</f>
        <v>2388</v>
      </c>
      <c r="E25" s="131">
        <v>0</v>
      </c>
      <c r="F25" s="131">
        <v>0</v>
      </c>
    </row>
    <row r="26" spans="1:6" ht="15.95" customHeight="1">
      <c r="A26" s="133">
        <v>20020002</v>
      </c>
      <c r="B26" s="21" t="s">
        <v>397</v>
      </c>
      <c r="C26" s="131">
        <f t="shared" si="0"/>
        <v>4932</v>
      </c>
      <c r="D26" s="131">
        <f>'21'!K28</f>
        <v>4932</v>
      </c>
      <c r="E26" s="131">
        <v>0</v>
      </c>
      <c r="F26" s="131">
        <v>0</v>
      </c>
    </row>
    <row r="27" spans="1:6" ht="15.95" customHeight="1">
      <c r="A27" s="133">
        <v>20020003</v>
      </c>
      <c r="B27" s="21" t="s">
        <v>398</v>
      </c>
      <c r="C27" s="131">
        <f t="shared" si="0"/>
        <v>9938</v>
      </c>
      <c r="D27" s="131">
        <f>'22'!K28</f>
        <v>9938</v>
      </c>
      <c r="E27" s="131">
        <v>0</v>
      </c>
      <c r="F27" s="131">
        <v>0</v>
      </c>
    </row>
    <row r="28" spans="1:6" ht="15.95" customHeight="1">
      <c r="A28" s="133">
        <v>20020004</v>
      </c>
      <c r="B28" s="21" t="s">
        <v>399</v>
      </c>
      <c r="C28" s="131">
        <f t="shared" si="0"/>
        <v>23615</v>
      </c>
      <c r="D28" s="131">
        <f>'23'!K29</f>
        <v>6542</v>
      </c>
      <c r="E28" s="131">
        <v>0</v>
      </c>
      <c r="F28" s="265">
        <v>17073</v>
      </c>
    </row>
    <row r="29" spans="1:6" ht="15.95" customHeight="1">
      <c r="A29" s="133">
        <v>20030001</v>
      </c>
      <c r="B29" s="197" t="s">
        <v>400</v>
      </c>
      <c r="C29" s="131">
        <f t="shared" si="0"/>
        <v>854</v>
      </c>
      <c r="D29" s="131">
        <f>'24'!K28</f>
        <v>854</v>
      </c>
      <c r="E29" s="131">
        <v>0</v>
      </c>
      <c r="F29" s="131">
        <v>0</v>
      </c>
    </row>
    <row r="30" spans="1:6" ht="15.95" customHeight="1">
      <c r="A30" s="133">
        <v>20030002</v>
      </c>
      <c r="B30" s="21" t="s">
        <v>401</v>
      </c>
      <c r="C30" s="131">
        <f t="shared" si="0"/>
        <v>5946</v>
      </c>
      <c r="D30" s="131">
        <f>'25'!K28</f>
        <v>1369</v>
      </c>
      <c r="E30" s="131">
        <v>0</v>
      </c>
      <c r="F30" s="131">
        <v>4577</v>
      </c>
    </row>
    <row r="31" spans="1:6" ht="15.95" customHeight="1">
      <c r="A31" s="133">
        <v>20030003</v>
      </c>
      <c r="B31" s="21" t="s">
        <v>402</v>
      </c>
      <c r="C31" s="131">
        <f t="shared" si="0"/>
        <v>7002</v>
      </c>
      <c r="D31" s="131">
        <f>'26'!K28</f>
        <v>7002</v>
      </c>
      <c r="E31" s="131">
        <v>0</v>
      </c>
      <c r="F31" s="131">
        <v>0</v>
      </c>
    </row>
    <row r="32" spans="1:6" ht="15.95" customHeight="1">
      <c r="A32" s="133">
        <v>20030004</v>
      </c>
      <c r="B32" s="197" t="s">
        <v>533</v>
      </c>
      <c r="C32" s="131">
        <f t="shared" si="0"/>
        <v>5787</v>
      </c>
      <c r="D32" s="131">
        <f>'27'!K28</f>
        <v>888</v>
      </c>
      <c r="E32" s="131">
        <v>0</v>
      </c>
      <c r="F32" s="131">
        <v>4899</v>
      </c>
    </row>
    <row r="33" spans="1:6" ht="15.95" customHeight="1">
      <c r="A33" s="133">
        <v>20030005</v>
      </c>
      <c r="B33" s="21" t="s">
        <v>541</v>
      </c>
      <c r="C33" s="131">
        <f t="shared" si="0"/>
        <v>13992</v>
      </c>
      <c r="D33" s="131">
        <f>'28'!K28</f>
        <v>13992</v>
      </c>
      <c r="E33" s="131">
        <v>0</v>
      </c>
      <c r="F33" s="131">
        <v>0</v>
      </c>
    </row>
    <row r="34" spans="1:6" ht="15.95" customHeight="1">
      <c r="A34" s="133">
        <v>20030006</v>
      </c>
      <c r="B34" s="21" t="s">
        <v>542</v>
      </c>
      <c r="C34" s="131">
        <f t="shared" si="0"/>
        <v>5982</v>
      </c>
      <c r="D34" s="131">
        <f>'29'!K28</f>
        <v>2998</v>
      </c>
      <c r="E34" s="131">
        <v>0</v>
      </c>
      <c r="F34" s="131">
        <v>2984</v>
      </c>
    </row>
    <row r="35" spans="1:6" ht="15.95" customHeight="1">
      <c r="A35" s="133">
        <v>20030007</v>
      </c>
      <c r="B35" s="21" t="s">
        <v>543</v>
      </c>
      <c r="C35" s="131">
        <f t="shared" si="0"/>
        <v>2899</v>
      </c>
      <c r="D35" s="131">
        <f>'30'!K28</f>
        <v>2899</v>
      </c>
      <c r="E35" s="131">
        <v>0</v>
      </c>
      <c r="F35" s="131">
        <v>0</v>
      </c>
    </row>
    <row r="36" spans="1:6" ht="15.95" customHeight="1">
      <c r="A36" s="133">
        <v>21010001</v>
      </c>
      <c r="B36" s="21" t="s">
        <v>257</v>
      </c>
      <c r="C36" s="131">
        <f t="shared" si="0"/>
        <v>1846</v>
      </c>
      <c r="D36" s="131">
        <f>'31'!K31</f>
        <v>1846</v>
      </c>
      <c r="E36" s="131">
        <v>0</v>
      </c>
      <c r="F36" s="131">
        <v>0</v>
      </c>
    </row>
    <row r="37" spans="1:6" ht="15.95" customHeight="1">
      <c r="A37" s="133">
        <v>22010001</v>
      </c>
      <c r="B37" s="21" t="s">
        <v>258</v>
      </c>
      <c r="C37" s="131">
        <f t="shared" si="0"/>
        <v>0</v>
      </c>
      <c r="D37" s="131">
        <f>'32'!K28</f>
        <v>0</v>
      </c>
      <c r="E37" s="131">
        <v>0</v>
      </c>
      <c r="F37" s="131">
        <v>0</v>
      </c>
    </row>
    <row r="38" spans="1:6" ht="15.95" customHeight="1">
      <c r="A38" s="133">
        <v>23010001</v>
      </c>
      <c r="B38" s="21" t="s">
        <v>259</v>
      </c>
      <c r="C38" s="131">
        <f t="shared" si="0"/>
        <v>0</v>
      </c>
      <c r="D38" s="131">
        <f>'33'!K32</f>
        <v>0</v>
      </c>
      <c r="E38" s="131">
        <v>0</v>
      </c>
      <c r="F38" s="131">
        <v>0</v>
      </c>
    </row>
    <row r="39" spans="1:6" ht="15.95" customHeight="1">
      <c r="A39" s="133">
        <v>24010001</v>
      </c>
      <c r="B39" s="21" t="s">
        <v>260</v>
      </c>
      <c r="C39" s="131">
        <f t="shared" si="0"/>
        <v>2996</v>
      </c>
      <c r="D39" s="131">
        <f>'34'!K28</f>
        <v>2996</v>
      </c>
      <c r="E39" s="131">
        <v>0</v>
      </c>
      <c r="F39" s="131">
        <v>0</v>
      </c>
    </row>
    <row r="40" spans="1:6" ht="15.95" customHeight="1">
      <c r="A40" s="133">
        <v>26010001</v>
      </c>
      <c r="B40" s="21" t="s">
        <v>261</v>
      </c>
      <c r="C40" s="131">
        <f t="shared" si="0"/>
        <v>0</v>
      </c>
      <c r="D40" s="131">
        <f>'35'!K28</f>
        <v>0</v>
      </c>
      <c r="E40" s="131">
        <v>0</v>
      </c>
      <c r="F40" s="131">
        <v>0</v>
      </c>
    </row>
    <row r="41" spans="1:6" ht="15.95" customHeight="1">
      <c r="A41" s="133">
        <v>27010001</v>
      </c>
      <c r="B41" s="21" t="s">
        <v>262</v>
      </c>
      <c r="C41" s="131">
        <f t="shared" si="0"/>
        <v>0</v>
      </c>
      <c r="D41" s="131">
        <f>'36'!K28</f>
        <v>0</v>
      </c>
      <c r="E41" s="131">
        <v>0</v>
      </c>
      <c r="F41" s="131">
        <v>0</v>
      </c>
    </row>
    <row r="42" spans="1:6" ht="15.95" customHeight="1">
      <c r="A42" s="133">
        <v>28010001</v>
      </c>
      <c r="B42" s="21" t="s">
        <v>263</v>
      </c>
      <c r="C42" s="131">
        <f t="shared" si="0"/>
        <v>0</v>
      </c>
      <c r="D42" s="131">
        <f>'37'!K28</f>
        <v>0</v>
      </c>
      <c r="E42" s="131">
        <v>0</v>
      </c>
      <c r="F42" s="131">
        <v>0</v>
      </c>
    </row>
    <row r="43" spans="1:6" s="40" customFormat="1" ht="15.95" customHeight="1">
      <c r="A43" s="78"/>
      <c r="B43" s="137" t="s">
        <v>418</v>
      </c>
      <c r="C43" s="138">
        <f>SUM(C7:C42)</f>
        <v>245725</v>
      </c>
      <c r="D43" s="138">
        <f>SUM(D7:D42)</f>
        <v>179214</v>
      </c>
      <c r="E43" s="138">
        <f>SUM(E7:E42)</f>
        <v>30000</v>
      </c>
      <c r="F43" s="138">
        <f>SUM(F7:F42)</f>
        <v>36511</v>
      </c>
    </row>
    <row r="44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C11" sqref="C11"/>
    </sheetView>
  </sheetViews>
  <sheetFormatPr defaultRowHeight="15" customHeight="1"/>
  <cols>
    <col min="2" max="2" width="46.7109375" customWidth="1"/>
    <col min="3" max="3" width="18" customWidth="1"/>
    <col min="4" max="4" width="12.42578125" customWidth="1"/>
    <col min="7" max="7" width="15.7109375" customWidth="1"/>
    <col min="8" max="8" width="9.28515625" customWidth="1"/>
    <col min="9" max="9" width="8.7109375" customWidth="1"/>
  </cols>
  <sheetData>
    <row r="1" spans="1:8" ht="15" customHeight="1">
      <c r="A1" s="33"/>
      <c r="C1" s="33"/>
    </row>
    <row r="2" spans="1:8" ht="15" customHeight="1">
      <c r="A2" s="33"/>
      <c r="C2" s="193"/>
    </row>
    <row r="3" spans="1:8" ht="15.75" customHeight="1">
      <c r="A3" s="634" t="s">
        <v>136</v>
      </c>
      <c r="B3" s="635"/>
      <c r="C3" s="635"/>
      <c r="D3" s="635"/>
      <c r="E3" s="635"/>
      <c r="F3" s="635"/>
      <c r="G3" s="635"/>
      <c r="H3" s="635"/>
    </row>
    <row r="4" spans="1:8" s="445" customFormat="1" ht="27" customHeight="1">
      <c r="A4" s="408"/>
      <c r="B4" s="409"/>
      <c r="C4" s="409"/>
      <c r="D4" s="405"/>
      <c r="E4" s="405"/>
      <c r="F4" s="405"/>
      <c r="G4" s="405"/>
    </row>
    <row r="5" spans="1:8" ht="15" customHeight="1">
      <c r="G5" s="40"/>
      <c r="H5" s="40"/>
    </row>
    <row r="6" spans="1:8" ht="15" customHeight="1">
      <c r="A6" s="33"/>
      <c r="C6" s="33"/>
    </row>
    <row r="7" spans="1:8" ht="15" customHeight="1">
      <c r="A7" s="33"/>
      <c r="C7" s="33"/>
      <c r="E7" s="192"/>
    </row>
    <row r="8" spans="1:8" ht="15" customHeight="1">
      <c r="A8" s="570" t="s">
        <v>840</v>
      </c>
      <c r="B8" s="632"/>
      <c r="C8" s="632"/>
      <c r="D8" s="633"/>
      <c r="E8" s="633"/>
      <c r="F8" s="633"/>
      <c r="G8" s="633"/>
      <c r="H8" s="543"/>
    </row>
    <row r="9" spans="1:8" ht="12" customHeight="1">
      <c r="A9" s="632"/>
      <c r="B9" s="632"/>
      <c r="C9" s="632"/>
      <c r="D9" s="633"/>
      <c r="E9" s="633"/>
      <c r="F9" s="633"/>
      <c r="G9" s="633"/>
      <c r="H9" s="543"/>
    </row>
    <row r="18" spans="1:8" ht="15" customHeight="1">
      <c r="A18" s="528"/>
    </row>
    <row r="19" spans="1:8" ht="15" customHeight="1">
      <c r="A19" s="528"/>
    </row>
    <row r="21" spans="1:8" ht="15" customHeight="1">
      <c r="G21" s="629"/>
      <c r="H21" s="630"/>
    </row>
    <row r="22" spans="1:8" ht="15" customHeight="1">
      <c r="G22" s="629"/>
      <c r="H22" s="630"/>
    </row>
    <row r="23" spans="1:8" ht="15" customHeight="1">
      <c r="G23" s="631"/>
      <c r="H23" s="630"/>
    </row>
    <row r="24" spans="1:8" ht="15" customHeight="1">
      <c r="G24" s="533"/>
      <c r="H24" s="533"/>
    </row>
    <row r="25" spans="1:8" ht="15" customHeight="1">
      <c r="C25" s="34"/>
    </row>
    <row r="28" spans="1:8" ht="15" customHeight="1">
      <c r="C28" s="34"/>
    </row>
    <row r="38" ht="12.75"/>
  </sheetData>
  <mergeCells count="5">
    <mergeCell ref="G21:H21"/>
    <mergeCell ref="G22:H22"/>
    <mergeCell ref="G23:H23"/>
    <mergeCell ref="A8:H9"/>
    <mergeCell ref="A3:H3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J229"/>
  <sheetViews>
    <sheetView topLeftCell="B181" zoomScaleNormal="100" workbookViewId="0">
      <selection activeCell="E208" sqref="E208"/>
    </sheetView>
  </sheetViews>
  <sheetFormatPr defaultRowHeight="14.25"/>
  <cols>
    <col min="1" max="1" width="0.42578125" hidden="1" customWidth="1"/>
    <col min="2" max="2" width="13.28515625" style="34" customWidth="1"/>
    <col min="3" max="3" width="63.140625" customWidth="1"/>
    <col min="4" max="4" width="24.85546875" customWidth="1"/>
    <col min="5" max="5" width="25.140625" style="443" customWidth="1"/>
    <col min="6" max="6" width="9" customWidth="1"/>
    <col min="7" max="7" width="11" style="164" customWidth="1"/>
    <col min="8" max="8" width="15.28515625" style="164" customWidth="1"/>
    <col min="9" max="10" width="9.140625" style="164"/>
  </cols>
  <sheetData>
    <row r="2" spans="2:10" ht="18.75" thickBot="1">
      <c r="B2" s="576" t="s">
        <v>76</v>
      </c>
      <c r="C2" s="576"/>
      <c r="D2" s="576"/>
      <c r="E2" s="577"/>
      <c r="F2" s="577"/>
    </row>
    <row r="3" spans="2:10" ht="76.5" customHeight="1">
      <c r="B3" s="51" t="s">
        <v>184</v>
      </c>
      <c r="C3" s="52" t="s">
        <v>80</v>
      </c>
      <c r="D3" s="430" t="s">
        <v>710</v>
      </c>
      <c r="E3" s="430" t="s">
        <v>827</v>
      </c>
      <c r="F3" s="198" t="s">
        <v>805</v>
      </c>
      <c r="G3" s="253"/>
    </row>
    <row r="4" spans="2:10" ht="12.75" customHeight="1">
      <c r="B4" s="129">
        <v>1</v>
      </c>
      <c r="C4" s="130">
        <v>2</v>
      </c>
      <c r="D4" s="252">
        <v>3</v>
      </c>
      <c r="E4" s="444">
        <v>4</v>
      </c>
      <c r="F4" s="163">
        <v>5</v>
      </c>
    </row>
    <row r="5" spans="2:10" s="31" customFormat="1" ht="17.25" customHeight="1">
      <c r="B5" s="199">
        <v>710000</v>
      </c>
      <c r="C5" s="200" t="s">
        <v>183</v>
      </c>
      <c r="D5" s="431">
        <f>D6+D15+D19+D27+D37+D46+D51</f>
        <v>37198120</v>
      </c>
      <c r="E5" s="431">
        <f>E6+E15+E19+E27+E37+E46+E51</f>
        <v>28984826</v>
      </c>
      <c r="F5" s="183">
        <f>IF(D5=0,"",E5/D5*100)</f>
        <v>77.920136824119069</v>
      </c>
      <c r="G5" s="254"/>
      <c r="H5" s="165"/>
      <c r="I5" s="165"/>
      <c r="J5" s="165"/>
    </row>
    <row r="6" spans="2:10" s="108" customFormat="1" ht="17.100000000000001" customHeight="1">
      <c r="B6" s="201">
        <v>711000</v>
      </c>
      <c r="C6" s="202" t="s">
        <v>188</v>
      </c>
      <c r="D6" s="432">
        <f>D7+D12</f>
        <v>3122830</v>
      </c>
      <c r="E6" s="432">
        <f>E7+E12</f>
        <v>2425318</v>
      </c>
      <c r="F6" s="184">
        <f t="shared" ref="F6:F70" si="0">IF(D6=0,"",E6/D6*100)</f>
        <v>77.664105955175273</v>
      </c>
      <c r="G6" s="255"/>
      <c r="H6" s="166"/>
      <c r="I6" s="167"/>
      <c r="J6" s="167"/>
    </row>
    <row r="7" spans="2:10" s="108" customFormat="1" ht="15" customHeight="1">
      <c r="B7" s="109">
        <v>711100</v>
      </c>
      <c r="C7" s="110" t="s">
        <v>275</v>
      </c>
      <c r="D7" s="433">
        <f>SUM(D8:D11)</f>
        <v>2760</v>
      </c>
      <c r="E7" s="433">
        <f>SUM(E8:E11)</f>
        <v>2509</v>
      </c>
      <c r="F7" s="117">
        <f t="shared" si="0"/>
        <v>90.905797101449267</v>
      </c>
      <c r="G7" s="255"/>
      <c r="H7" s="167"/>
      <c r="I7" s="167"/>
      <c r="J7" s="167"/>
    </row>
    <row r="8" spans="2:10" ht="15" customHeight="1">
      <c r="B8" s="106">
        <v>711111</v>
      </c>
      <c r="C8" s="168" t="s">
        <v>276</v>
      </c>
      <c r="D8" s="434">
        <v>2340</v>
      </c>
      <c r="E8" s="434">
        <v>2509</v>
      </c>
      <c r="F8" s="111">
        <f t="shared" si="0"/>
        <v>107.22222222222221</v>
      </c>
      <c r="G8" s="255"/>
    </row>
    <row r="9" spans="2:10" ht="15" customHeight="1">
      <c r="B9" s="106">
        <v>711113</v>
      </c>
      <c r="C9" s="168" t="s">
        <v>633</v>
      </c>
      <c r="D9" s="434">
        <v>70</v>
      </c>
      <c r="E9" s="434">
        <v>0</v>
      </c>
      <c r="F9" s="111">
        <f t="shared" si="0"/>
        <v>0</v>
      </c>
      <c r="G9" s="255"/>
    </row>
    <row r="10" spans="2:10" ht="15" customHeight="1">
      <c r="B10" s="106">
        <v>711114</v>
      </c>
      <c r="C10" s="168" t="s">
        <v>522</v>
      </c>
      <c r="D10" s="434">
        <v>300</v>
      </c>
      <c r="E10" s="434">
        <v>0</v>
      </c>
      <c r="F10" s="111">
        <f t="shared" si="0"/>
        <v>0</v>
      </c>
      <c r="G10" s="255"/>
    </row>
    <row r="11" spans="2:10" ht="15" customHeight="1">
      <c r="B11" s="106">
        <v>711115</v>
      </c>
      <c r="C11" s="168" t="s">
        <v>277</v>
      </c>
      <c r="D11" s="435">
        <v>50</v>
      </c>
      <c r="E11" s="435">
        <v>0</v>
      </c>
      <c r="F11" s="111">
        <f t="shared" si="0"/>
        <v>0</v>
      </c>
      <c r="G11" s="255"/>
    </row>
    <row r="12" spans="2:10" s="108" customFormat="1" ht="15" customHeight="1">
      <c r="B12" s="109">
        <v>711200</v>
      </c>
      <c r="C12" s="110" t="s">
        <v>280</v>
      </c>
      <c r="D12" s="433">
        <f>SUM(D13:D14)</f>
        <v>3120070</v>
      </c>
      <c r="E12" s="433">
        <f>SUM(E13:E14)</f>
        <v>2422809</v>
      </c>
      <c r="F12" s="117">
        <f t="shared" si="0"/>
        <v>77.652392414272754</v>
      </c>
      <c r="G12" s="255"/>
      <c r="H12" s="167"/>
      <c r="I12" s="167"/>
      <c r="J12" s="167"/>
    </row>
    <row r="13" spans="2:10" ht="15" customHeight="1">
      <c r="B13" s="106">
        <v>711211</v>
      </c>
      <c r="C13" s="168" t="s">
        <v>278</v>
      </c>
      <c r="D13" s="435">
        <v>2969160</v>
      </c>
      <c r="E13" s="435">
        <v>2356409</v>
      </c>
      <c r="F13" s="111">
        <f t="shared" si="0"/>
        <v>79.36281641945871</v>
      </c>
      <c r="G13" s="255"/>
    </row>
    <row r="14" spans="2:10" ht="15" customHeight="1">
      <c r="B14" s="106">
        <v>711212</v>
      </c>
      <c r="C14" s="168" t="s">
        <v>279</v>
      </c>
      <c r="D14" s="435">
        <v>150910</v>
      </c>
      <c r="E14" s="435">
        <v>66400</v>
      </c>
      <c r="F14" s="111">
        <f t="shared" si="0"/>
        <v>43.999734941355776</v>
      </c>
      <c r="G14" s="255"/>
    </row>
    <row r="15" spans="2:10" s="108" customFormat="1" ht="17.100000000000001" customHeight="1">
      <c r="B15" s="201">
        <v>713000</v>
      </c>
      <c r="C15" s="203" t="s">
        <v>281</v>
      </c>
      <c r="D15" s="432">
        <f>D16</f>
        <v>6530</v>
      </c>
      <c r="E15" s="432">
        <f>E16</f>
        <v>1932</v>
      </c>
      <c r="F15" s="184">
        <f t="shared" si="0"/>
        <v>29.586523736600306</v>
      </c>
      <c r="G15" s="255"/>
      <c r="H15" s="167"/>
      <c r="I15" s="167"/>
      <c r="J15" s="167"/>
    </row>
    <row r="16" spans="2:10" s="108" customFormat="1" ht="15" customHeight="1">
      <c r="B16" s="109">
        <v>713100</v>
      </c>
      <c r="C16" s="118" t="s">
        <v>381</v>
      </c>
      <c r="D16" s="436">
        <f>SUM(D17:D18)</f>
        <v>6530</v>
      </c>
      <c r="E16" s="436">
        <f>SUM(E17:E18)</f>
        <v>1932</v>
      </c>
      <c r="F16" s="117">
        <f t="shared" si="0"/>
        <v>29.586523736600306</v>
      </c>
      <c r="G16" s="255"/>
      <c r="H16" s="167"/>
      <c r="I16" s="167"/>
      <c r="J16" s="167"/>
    </row>
    <row r="17" spans="2:10" ht="15" customHeight="1">
      <c r="B17" s="106">
        <v>713111</v>
      </c>
      <c r="C17" s="168" t="s">
        <v>282</v>
      </c>
      <c r="D17" s="434">
        <f>6200+140/10*20</f>
        <v>6480</v>
      </c>
      <c r="E17" s="434">
        <v>1773</v>
      </c>
      <c r="F17" s="111">
        <f t="shared" si="0"/>
        <v>27.361111111111114</v>
      </c>
      <c r="G17" s="216"/>
    </row>
    <row r="18" spans="2:10" ht="15" customHeight="1">
      <c r="B18" s="106">
        <v>713113</v>
      </c>
      <c r="C18" s="168" t="s">
        <v>283</v>
      </c>
      <c r="D18" s="434">
        <v>50</v>
      </c>
      <c r="E18" s="434">
        <v>159</v>
      </c>
      <c r="F18" s="111">
        <f t="shared" si="0"/>
        <v>318</v>
      </c>
      <c r="G18" s="216"/>
    </row>
    <row r="19" spans="2:10" s="108" customFormat="1" ht="17.100000000000001" customHeight="1">
      <c r="B19" s="201">
        <v>714000</v>
      </c>
      <c r="C19" s="203" t="s">
        <v>189</v>
      </c>
      <c r="D19" s="432">
        <f>D20</f>
        <v>286650</v>
      </c>
      <c r="E19" s="432">
        <f>E20</f>
        <v>234408</v>
      </c>
      <c r="F19" s="184">
        <f t="shared" si="0"/>
        <v>81.77498691784406</v>
      </c>
      <c r="G19" s="255"/>
      <c r="H19" s="167"/>
      <c r="I19" s="167"/>
      <c r="J19" s="167"/>
    </row>
    <row r="20" spans="2:10" s="108" customFormat="1" ht="15" customHeight="1">
      <c r="B20" s="109">
        <v>714100</v>
      </c>
      <c r="C20" s="118" t="s">
        <v>380</v>
      </c>
      <c r="D20" s="436">
        <f>SUM(D21:D26)</f>
        <v>286650</v>
      </c>
      <c r="E20" s="436">
        <f>SUM(E21:E26)</f>
        <v>234408</v>
      </c>
      <c r="F20" s="117">
        <f t="shared" si="0"/>
        <v>81.77498691784406</v>
      </c>
      <c r="G20" s="255"/>
      <c r="H20" s="167"/>
      <c r="I20" s="167"/>
      <c r="J20" s="167"/>
    </row>
    <row r="21" spans="2:10" ht="15" customHeight="1">
      <c r="B21" s="106">
        <v>714111</v>
      </c>
      <c r="C21" s="168" t="s">
        <v>284</v>
      </c>
      <c r="D21" s="434">
        <v>38220</v>
      </c>
      <c r="E21" s="434">
        <v>31308</v>
      </c>
      <c r="F21" s="111">
        <f t="shared" si="0"/>
        <v>81.915227629513339</v>
      </c>
      <c r="G21" s="216"/>
    </row>
    <row r="22" spans="2:10" ht="15" customHeight="1">
      <c r="B22" s="106">
        <v>714112</v>
      </c>
      <c r="C22" s="168" t="s">
        <v>285</v>
      </c>
      <c r="D22" s="435">
        <v>9240</v>
      </c>
      <c r="E22" s="435">
        <v>7919</v>
      </c>
      <c r="F22" s="111">
        <f t="shared" si="0"/>
        <v>85.703463203463201</v>
      </c>
      <c r="G22" s="216"/>
    </row>
    <row r="23" spans="2:10" ht="15" customHeight="1">
      <c r="B23" s="106">
        <v>714113</v>
      </c>
      <c r="C23" s="168" t="s">
        <v>286</v>
      </c>
      <c r="D23" s="434">
        <v>300</v>
      </c>
      <c r="E23" s="434">
        <v>1725</v>
      </c>
      <c r="F23" s="111">
        <f t="shared" si="0"/>
        <v>575</v>
      </c>
      <c r="G23" s="216"/>
    </row>
    <row r="24" spans="2:10" ht="15" customHeight="1">
      <c r="B24" s="106">
        <v>714121</v>
      </c>
      <c r="C24" s="168" t="s">
        <v>287</v>
      </c>
      <c r="D24" s="435">
        <v>10460</v>
      </c>
      <c r="E24" s="435">
        <v>11788</v>
      </c>
      <c r="F24" s="111">
        <f t="shared" si="0"/>
        <v>112.69598470363289</v>
      </c>
      <c r="G24" s="216"/>
    </row>
    <row r="25" spans="2:10" ht="15" customHeight="1">
      <c r="B25" s="106">
        <v>714131</v>
      </c>
      <c r="C25" s="168" t="s">
        <v>288</v>
      </c>
      <c r="D25" s="435">
        <v>179450</v>
      </c>
      <c r="E25" s="435">
        <v>115396</v>
      </c>
      <c r="F25" s="111">
        <f t="shared" si="0"/>
        <v>64.305377542490945</v>
      </c>
      <c r="G25" s="216"/>
    </row>
    <row r="26" spans="2:10" ht="15" customHeight="1">
      <c r="B26" s="106">
        <v>714132</v>
      </c>
      <c r="C26" s="168" t="s">
        <v>289</v>
      </c>
      <c r="D26" s="434">
        <v>48980</v>
      </c>
      <c r="E26" s="434">
        <v>66272</v>
      </c>
      <c r="F26" s="111">
        <f t="shared" si="0"/>
        <v>135.30420579828501</v>
      </c>
      <c r="G26" s="216"/>
    </row>
    <row r="27" spans="2:10" s="108" customFormat="1" ht="25.5" customHeight="1">
      <c r="B27" s="201">
        <v>715000</v>
      </c>
      <c r="C27" s="202" t="s">
        <v>290</v>
      </c>
      <c r="D27" s="432">
        <f>D28+D33+D35</f>
        <v>3940</v>
      </c>
      <c r="E27" s="432">
        <f>E28+E33+E35</f>
        <v>1370</v>
      </c>
      <c r="F27" s="184">
        <f t="shared" si="0"/>
        <v>34.771573604060912</v>
      </c>
      <c r="G27" s="255"/>
      <c r="H27" s="167"/>
      <c r="I27" s="167"/>
      <c r="J27" s="167"/>
    </row>
    <row r="28" spans="2:10" s="108" customFormat="1" ht="26.25" customHeight="1">
      <c r="B28" s="109">
        <v>715100</v>
      </c>
      <c r="C28" s="169" t="s">
        <v>294</v>
      </c>
      <c r="D28" s="433">
        <f>SUM(D29:D32)</f>
        <v>740</v>
      </c>
      <c r="E28" s="433">
        <f>SUM(E29:E32)</f>
        <v>470</v>
      </c>
      <c r="F28" s="117">
        <f t="shared" si="0"/>
        <v>63.513513513513509</v>
      </c>
      <c r="G28" s="255"/>
      <c r="H28" s="167"/>
      <c r="I28" s="167"/>
      <c r="J28" s="167"/>
    </row>
    <row r="29" spans="2:10" ht="15" customHeight="1">
      <c r="B29" s="106">
        <v>715131</v>
      </c>
      <c r="C29" s="168" t="s">
        <v>291</v>
      </c>
      <c r="D29" s="434">
        <v>150</v>
      </c>
      <c r="E29" s="434">
        <v>152</v>
      </c>
      <c r="F29" s="111">
        <f t="shared" si="0"/>
        <v>101.33333333333334</v>
      </c>
      <c r="G29" s="216"/>
    </row>
    <row r="30" spans="2:10" ht="15" customHeight="1">
      <c r="B30" s="106">
        <v>715132</v>
      </c>
      <c r="C30" s="168" t="s">
        <v>523</v>
      </c>
      <c r="D30" s="434">
        <v>40</v>
      </c>
      <c r="E30" s="434">
        <v>0</v>
      </c>
      <c r="F30" s="111">
        <f t="shared" si="0"/>
        <v>0</v>
      </c>
      <c r="G30" s="216"/>
    </row>
    <row r="31" spans="2:10" ht="15" customHeight="1">
      <c r="B31" s="106">
        <v>715137</v>
      </c>
      <c r="C31" s="168" t="s">
        <v>292</v>
      </c>
      <c r="D31" s="434">
        <v>50</v>
      </c>
      <c r="E31" s="434">
        <v>0</v>
      </c>
      <c r="F31" s="111">
        <f t="shared" si="0"/>
        <v>0</v>
      </c>
      <c r="G31" s="216"/>
    </row>
    <row r="32" spans="2:10" ht="15" customHeight="1">
      <c r="B32" s="106">
        <v>715141</v>
      </c>
      <c r="C32" s="168" t="s">
        <v>293</v>
      </c>
      <c r="D32" s="434">
        <v>500</v>
      </c>
      <c r="E32" s="434">
        <v>318</v>
      </c>
      <c r="F32" s="111">
        <f t="shared" si="0"/>
        <v>63.6</v>
      </c>
      <c r="G32" s="216"/>
    </row>
    <row r="33" spans="2:10" s="108" customFormat="1" ht="15" customHeight="1">
      <c r="B33" s="109">
        <v>715200</v>
      </c>
      <c r="C33" s="170" t="s">
        <v>295</v>
      </c>
      <c r="D33" s="433">
        <f>D34</f>
        <v>3000</v>
      </c>
      <c r="E33" s="433">
        <f>E34</f>
        <v>895</v>
      </c>
      <c r="F33" s="117">
        <f t="shared" si="0"/>
        <v>29.833333333333336</v>
      </c>
      <c r="G33" s="255"/>
      <c r="H33" s="167"/>
      <c r="I33" s="167"/>
      <c r="J33" s="167"/>
    </row>
    <row r="34" spans="2:10" ht="15" customHeight="1">
      <c r="B34" s="106">
        <v>715211</v>
      </c>
      <c r="C34" s="168" t="s">
        <v>296</v>
      </c>
      <c r="D34" s="434">
        <f>2870+130</f>
        <v>3000</v>
      </c>
      <c r="E34" s="434">
        <v>895</v>
      </c>
      <c r="F34" s="111">
        <f t="shared" si="0"/>
        <v>29.833333333333336</v>
      </c>
      <c r="G34" s="216"/>
    </row>
    <row r="35" spans="2:10" s="108" customFormat="1" ht="15" customHeight="1">
      <c r="B35" s="109">
        <v>715900</v>
      </c>
      <c r="C35" s="170" t="s">
        <v>297</v>
      </c>
      <c r="D35" s="433">
        <f>D36</f>
        <v>200</v>
      </c>
      <c r="E35" s="433">
        <f>E36</f>
        <v>5</v>
      </c>
      <c r="F35" s="117">
        <f t="shared" si="0"/>
        <v>2.5</v>
      </c>
      <c r="G35" s="255"/>
      <c r="H35" s="167"/>
      <c r="I35" s="167"/>
      <c r="J35" s="167"/>
    </row>
    <row r="36" spans="2:10" ht="27" customHeight="1">
      <c r="B36" s="106">
        <v>715914</v>
      </c>
      <c r="C36" s="171" t="s">
        <v>298</v>
      </c>
      <c r="D36" s="435">
        <v>200</v>
      </c>
      <c r="E36" s="435">
        <v>5</v>
      </c>
      <c r="F36" s="111">
        <f t="shared" si="0"/>
        <v>2.5</v>
      </c>
      <c r="G36" s="216"/>
    </row>
    <row r="37" spans="2:10" s="108" customFormat="1" ht="17.100000000000001" customHeight="1">
      <c r="B37" s="201">
        <v>716000</v>
      </c>
      <c r="C37" s="203" t="s">
        <v>190</v>
      </c>
      <c r="D37" s="432">
        <f>D38</f>
        <v>2921770</v>
      </c>
      <c r="E37" s="432">
        <f>E38</f>
        <v>2314253</v>
      </c>
      <c r="F37" s="184">
        <f t="shared" si="0"/>
        <v>79.207227126022929</v>
      </c>
      <c r="G37" s="255"/>
      <c r="H37" s="173"/>
      <c r="I37" s="255"/>
      <c r="J37" s="167"/>
    </row>
    <row r="38" spans="2:10" s="108" customFormat="1" ht="15" customHeight="1">
      <c r="B38" s="109">
        <v>716100</v>
      </c>
      <c r="C38" s="170" t="s">
        <v>299</v>
      </c>
      <c r="D38" s="433">
        <f>SUM(D39:D45)</f>
        <v>2921770</v>
      </c>
      <c r="E38" s="433">
        <f>SUM(E39:E45)</f>
        <v>2314253</v>
      </c>
      <c r="F38" s="117">
        <f t="shared" si="0"/>
        <v>79.207227126022929</v>
      </c>
      <c r="G38" s="256"/>
      <c r="H38" s="172"/>
      <c r="I38" s="167"/>
      <c r="J38" s="167"/>
    </row>
    <row r="39" spans="2:10" ht="15" customHeight="1">
      <c r="B39" s="106">
        <v>716111</v>
      </c>
      <c r="C39" s="168" t="s">
        <v>301</v>
      </c>
      <c r="D39" s="435">
        <v>2060770</v>
      </c>
      <c r="E39" s="435">
        <v>1610160</v>
      </c>
      <c r="F39" s="111">
        <f t="shared" si="0"/>
        <v>78.13390140578521</v>
      </c>
      <c r="G39" s="255"/>
      <c r="H39" s="172"/>
      <c r="I39" s="167"/>
    </row>
    <row r="40" spans="2:10" ht="15" customHeight="1">
      <c r="B40" s="106">
        <v>716112</v>
      </c>
      <c r="C40" s="168" t="s">
        <v>302</v>
      </c>
      <c r="D40" s="435">
        <v>129060</v>
      </c>
      <c r="E40" s="435">
        <v>79104</v>
      </c>
      <c r="F40" s="111">
        <f t="shared" si="0"/>
        <v>61.292422129242205</v>
      </c>
      <c r="G40" s="255"/>
      <c r="H40" s="172"/>
      <c r="I40" s="167"/>
    </row>
    <row r="41" spans="2:10" ht="15" customHeight="1">
      <c r="B41" s="106">
        <v>716113</v>
      </c>
      <c r="C41" s="168" t="s">
        <v>303</v>
      </c>
      <c r="D41" s="435">
        <v>28020</v>
      </c>
      <c r="E41" s="435">
        <v>129785</v>
      </c>
      <c r="F41" s="111">
        <f t="shared" si="0"/>
        <v>463.1870092790864</v>
      </c>
      <c r="G41" s="255"/>
      <c r="H41" s="172"/>
      <c r="I41" s="167"/>
    </row>
    <row r="42" spans="2:10" ht="15" customHeight="1">
      <c r="B42" s="106">
        <v>716114</v>
      </c>
      <c r="C42" s="168" t="s">
        <v>304</v>
      </c>
      <c r="D42" s="435">
        <v>110</v>
      </c>
      <c r="E42" s="435">
        <v>17</v>
      </c>
      <c r="F42" s="111">
        <f t="shared" si="0"/>
        <v>15.454545454545453</v>
      </c>
      <c r="G42" s="255"/>
      <c r="H42" s="172"/>
      <c r="I42" s="167"/>
    </row>
    <row r="43" spans="2:10" ht="25.5" customHeight="1">
      <c r="B43" s="106">
        <v>716115</v>
      </c>
      <c r="C43" s="171" t="s">
        <v>305</v>
      </c>
      <c r="D43" s="435">
        <v>295120</v>
      </c>
      <c r="E43" s="435">
        <v>217965</v>
      </c>
      <c r="F43" s="111">
        <f t="shared" si="0"/>
        <v>73.856397397668744</v>
      </c>
      <c r="G43" s="255"/>
      <c r="H43" s="172"/>
      <c r="I43" s="167"/>
    </row>
    <row r="44" spans="2:10" ht="15" customHeight="1">
      <c r="B44" s="106">
        <v>716116</v>
      </c>
      <c r="C44" s="168" t="s">
        <v>306</v>
      </c>
      <c r="D44" s="435">
        <v>254490</v>
      </c>
      <c r="E44" s="435">
        <v>175440</v>
      </c>
      <c r="F44" s="111">
        <f t="shared" si="0"/>
        <v>68.937875751503014</v>
      </c>
      <c r="G44" s="255"/>
      <c r="H44" s="172"/>
      <c r="I44" s="167"/>
    </row>
    <row r="45" spans="2:10" ht="15" customHeight="1">
      <c r="B45" s="106">
        <v>716117</v>
      </c>
      <c r="C45" s="168" t="s">
        <v>300</v>
      </c>
      <c r="D45" s="435">
        <v>154200</v>
      </c>
      <c r="E45" s="435">
        <v>101782</v>
      </c>
      <c r="F45" s="111">
        <f t="shared" si="0"/>
        <v>66.006485084306092</v>
      </c>
      <c r="G45" s="255"/>
      <c r="H45" s="172"/>
      <c r="I45" s="167"/>
    </row>
    <row r="46" spans="2:10" s="108" customFormat="1" ht="17.100000000000001" customHeight="1">
      <c r="B46" s="201">
        <v>717000</v>
      </c>
      <c r="C46" s="203" t="s">
        <v>191</v>
      </c>
      <c r="D46" s="432">
        <f>D47</f>
        <v>30856100</v>
      </c>
      <c r="E46" s="432">
        <f>E47</f>
        <v>24007429</v>
      </c>
      <c r="F46" s="184">
        <f t="shared" si="0"/>
        <v>77.804482744092738</v>
      </c>
      <c r="G46" s="255"/>
      <c r="H46" s="167"/>
      <c r="I46" s="167"/>
      <c r="J46" s="167"/>
    </row>
    <row r="47" spans="2:10" s="108" customFormat="1" ht="15" customHeight="1">
      <c r="B47" s="109">
        <v>717100</v>
      </c>
      <c r="C47" s="170" t="s">
        <v>307</v>
      </c>
      <c r="D47" s="433">
        <f t="shared" ref="D47" si="1">SUM(D48:D50)</f>
        <v>30856100</v>
      </c>
      <c r="E47" s="433">
        <f t="shared" ref="E47" si="2">SUM(E48:E50)</f>
        <v>24007429</v>
      </c>
      <c r="F47" s="117">
        <f t="shared" si="0"/>
        <v>77.804482744092738</v>
      </c>
      <c r="G47" s="255"/>
      <c r="H47" s="167"/>
      <c r="I47" s="167"/>
      <c r="J47" s="167"/>
    </row>
    <row r="48" spans="2:10" ht="15" customHeight="1">
      <c r="B48" s="106">
        <v>717114</v>
      </c>
      <c r="C48" s="168" t="s">
        <v>634</v>
      </c>
      <c r="D48" s="435">
        <v>544250</v>
      </c>
      <c r="E48" s="435">
        <v>401261</v>
      </c>
      <c r="F48" s="111">
        <f t="shared" si="0"/>
        <v>73.727331189710611</v>
      </c>
      <c r="G48" s="216"/>
    </row>
    <row r="49" spans="1:10" ht="15" customHeight="1">
      <c r="B49" s="106">
        <v>717121</v>
      </c>
      <c r="C49" s="168" t="s">
        <v>308</v>
      </c>
      <c r="D49" s="435">
        <v>29528820</v>
      </c>
      <c r="E49" s="435">
        <v>22979569</v>
      </c>
      <c r="F49" s="111">
        <f t="shared" si="0"/>
        <v>77.820817086493804</v>
      </c>
      <c r="G49" s="216"/>
    </row>
    <row r="50" spans="1:10" ht="15" customHeight="1">
      <c r="B50" s="106">
        <v>717131</v>
      </c>
      <c r="C50" s="168" t="s">
        <v>309</v>
      </c>
      <c r="D50" s="435">
        <v>783030</v>
      </c>
      <c r="E50" s="435">
        <v>626599</v>
      </c>
      <c r="F50" s="111">
        <f t="shared" si="0"/>
        <v>80.022349079856454</v>
      </c>
      <c r="G50" s="216"/>
      <c r="H50" s="216"/>
    </row>
    <row r="51" spans="1:10" s="108" customFormat="1" ht="17.100000000000001" customHeight="1">
      <c r="B51" s="201">
        <v>719000</v>
      </c>
      <c r="C51" s="203" t="s">
        <v>192</v>
      </c>
      <c r="D51" s="432">
        <f>D52</f>
        <v>300</v>
      </c>
      <c r="E51" s="432">
        <f>E52</f>
        <v>116</v>
      </c>
      <c r="F51" s="184">
        <f t="shared" si="0"/>
        <v>38.666666666666664</v>
      </c>
      <c r="G51" s="255"/>
      <c r="H51" s="215"/>
      <c r="I51" s="167"/>
      <c r="J51" s="167"/>
    </row>
    <row r="52" spans="1:10" s="108" customFormat="1" ht="15" customHeight="1">
      <c r="B52" s="109">
        <v>719100</v>
      </c>
      <c r="C52" s="170" t="s">
        <v>310</v>
      </c>
      <c r="D52" s="433">
        <f>SUM(D53:D55)</f>
        <v>300</v>
      </c>
      <c r="E52" s="433">
        <f>SUM(E53:E55)</f>
        <v>116</v>
      </c>
      <c r="F52" s="117">
        <f t="shared" si="0"/>
        <v>38.666666666666664</v>
      </c>
      <c r="G52" s="255"/>
      <c r="H52" s="167"/>
      <c r="I52" s="167"/>
      <c r="J52" s="167"/>
    </row>
    <row r="53" spans="1:10" ht="15" customHeight="1" thickBot="1">
      <c r="A53" s="143"/>
      <c r="B53" s="106">
        <v>719111</v>
      </c>
      <c r="C53" s="168" t="s">
        <v>310</v>
      </c>
      <c r="D53" s="434">
        <v>100</v>
      </c>
      <c r="E53" s="434">
        <v>84</v>
      </c>
      <c r="F53" s="111">
        <f t="shared" si="0"/>
        <v>84</v>
      </c>
      <c r="G53" s="216"/>
    </row>
    <row r="54" spans="1:10" ht="15" customHeight="1">
      <c r="B54" s="178">
        <v>719114</v>
      </c>
      <c r="C54" s="179" t="s">
        <v>311</v>
      </c>
      <c r="D54" s="437">
        <v>150</v>
      </c>
      <c r="E54" s="437">
        <v>14</v>
      </c>
      <c r="F54" s="185">
        <f t="shared" si="0"/>
        <v>9.3333333333333339</v>
      </c>
    </row>
    <row r="55" spans="1:10" ht="25.5">
      <c r="B55" s="106">
        <v>719115</v>
      </c>
      <c r="C55" s="171" t="s">
        <v>312</v>
      </c>
      <c r="D55" s="435">
        <v>50</v>
      </c>
      <c r="E55" s="435">
        <v>18</v>
      </c>
      <c r="F55" s="113">
        <f t="shared" si="0"/>
        <v>36</v>
      </c>
      <c r="G55" s="257"/>
    </row>
    <row r="56" spans="1:10">
      <c r="B56" s="106"/>
      <c r="C56" s="21"/>
      <c r="D56" s="434"/>
      <c r="E56" s="434"/>
      <c r="F56" s="113" t="str">
        <f t="shared" si="0"/>
        <v/>
      </c>
      <c r="G56" s="257"/>
    </row>
    <row r="57" spans="1:10" ht="17.100000000000001" customHeight="1">
      <c r="B57" s="199">
        <v>720000</v>
      </c>
      <c r="C57" s="200" t="s">
        <v>187</v>
      </c>
      <c r="D57" s="431">
        <f>D58+D71+D144</f>
        <v>2634140</v>
      </c>
      <c r="E57" s="431">
        <f>E58+E71+E144</f>
        <v>2034505</v>
      </c>
      <c r="F57" s="183">
        <f t="shared" si="0"/>
        <v>77.236023901539014</v>
      </c>
      <c r="G57" s="258"/>
      <c r="H57" s="216"/>
    </row>
    <row r="58" spans="1:10" ht="26.25">
      <c r="B58" s="201">
        <v>721000</v>
      </c>
      <c r="C58" s="204" t="s">
        <v>209</v>
      </c>
      <c r="D58" s="432">
        <f>D59+D62+D66+D69</f>
        <v>122040</v>
      </c>
      <c r="E58" s="432">
        <f>E59+E62+E66+E69</f>
        <v>31806</v>
      </c>
      <c r="F58" s="184">
        <f t="shared" si="0"/>
        <v>26.061946902654871</v>
      </c>
    </row>
    <row r="59" spans="1:10" ht="15" customHeight="1">
      <c r="B59" s="109">
        <v>721100</v>
      </c>
      <c r="C59" s="170" t="s">
        <v>313</v>
      </c>
      <c r="D59" s="433">
        <f>SUM(D60:D61)</f>
        <v>111200</v>
      </c>
      <c r="E59" s="433">
        <f>SUM(E60:E61)</f>
        <v>21369</v>
      </c>
      <c r="F59" s="218">
        <f t="shared" si="0"/>
        <v>19.216726618705035</v>
      </c>
      <c r="H59" s="216"/>
    </row>
    <row r="60" spans="1:10" ht="15" customHeight="1">
      <c r="B60" s="106">
        <v>721112</v>
      </c>
      <c r="C60" s="168" t="s">
        <v>314</v>
      </c>
      <c r="D60" s="435">
        <v>200</v>
      </c>
      <c r="E60" s="435">
        <v>124</v>
      </c>
      <c r="F60" s="113">
        <f t="shared" si="0"/>
        <v>62</v>
      </c>
      <c r="G60" s="259"/>
    </row>
    <row r="61" spans="1:10" ht="15" customHeight="1">
      <c r="B61" s="106">
        <v>721121</v>
      </c>
      <c r="C61" s="168" t="s">
        <v>792</v>
      </c>
      <c r="D61" s="435">
        <v>111000</v>
      </c>
      <c r="E61" s="435">
        <v>21245</v>
      </c>
      <c r="F61" s="195">
        <f t="shared" si="0"/>
        <v>19.13963963963964</v>
      </c>
      <c r="G61" s="259"/>
      <c r="H61" s="216"/>
    </row>
    <row r="62" spans="1:10" ht="15" customHeight="1">
      <c r="B62" s="114">
        <v>721200</v>
      </c>
      <c r="C62" s="170" t="s">
        <v>315</v>
      </c>
      <c r="D62" s="433">
        <f>SUM(D63:D65)</f>
        <v>10540</v>
      </c>
      <c r="E62" s="433">
        <f>SUM(E63:E65)</f>
        <v>10386</v>
      </c>
      <c r="F62" s="107">
        <f t="shared" si="0"/>
        <v>98.538899430740031</v>
      </c>
    </row>
    <row r="63" spans="1:10" ht="15" customHeight="1">
      <c r="B63" s="115">
        <v>721211</v>
      </c>
      <c r="C63" s="168" t="s">
        <v>316</v>
      </c>
      <c r="D63" s="434">
        <v>440</v>
      </c>
      <c r="E63" s="434">
        <v>260</v>
      </c>
      <c r="F63" s="113">
        <f t="shared" si="0"/>
        <v>59.090909090909093</v>
      </c>
      <c r="H63" s="216"/>
    </row>
    <row r="64" spans="1:10" ht="15" customHeight="1">
      <c r="B64" s="115">
        <v>721225</v>
      </c>
      <c r="C64" s="168" t="s">
        <v>611</v>
      </c>
      <c r="D64" s="435">
        <v>8100</v>
      </c>
      <c r="E64" s="435">
        <v>8006</v>
      </c>
      <c r="F64" s="113">
        <f t="shared" si="0"/>
        <v>98.839506172839506</v>
      </c>
    </row>
    <row r="65" spans="2:10" ht="15" customHeight="1">
      <c r="B65" s="115">
        <v>721227</v>
      </c>
      <c r="C65" s="168" t="s">
        <v>635</v>
      </c>
      <c r="D65" s="435">
        <v>2000</v>
      </c>
      <c r="E65" s="435">
        <v>2120</v>
      </c>
      <c r="F65" s="113">
        <f t="shared" si="0"/>
        <v>106</v>
      </c>
    </row>
    <row r="66" spans="2:10" ht="15" customHeight="1">
      <c r="B66" s="114">
        <v>721300</v>
      </c>
      <c r="C66" s="170" t="s">
        <v>317</v>
      </c>
      <c r="D66" s="433">
        <f>SUM(D67:D68)</f>
        <v>0</v>
      </c>
      <c r="E66" s="433">
        <f>SUM(E67:E68)</f>
        <v>50</v>
      </c>
      <c r="F66" s="107" t="str">
        <f t="shared" si="0"/>
        <v/>
      </c>
      <c r="H66" s="216"/>
    </row>
    <row r="67" spans="2:10" s="532" customFormat="1" ht="15" customHeight="1">
      <c r="B67" s="115">
        <v>721311</v>
      </c>
      <c r="C67" s="168" t="s">
        <v>810</v>
      </c>
      <c r="D67" s="434">
        <v>0</v>
      </c>
      <c r="E67" s="434">
        <v>50</v>
      </c>
      <c r="F67" s="113" t="str">
        <f t="shared" ref="F67" si="3">IF(D67=0,"",E67/D67*100)</f>
        <v/>
      </c>
      <c r="G67" s="164"/>
      <c r="H67" s="216"/>
      <c r="I67" s="164"/>
      <c r="J67" s="164"/>
    </row>
    <row r="68" spans="2:10" ht="15" customHeight="1">
      <c r="B68" s="115">
        <v>721312</v>
      </c>
      <c r="C68" s="168" t="s">
        <v>318</v>
      </c>
      <c r="D68" s="434">
        <v>0</v>
      </c>
      <c r="E68" s="434">
        <v>0</v>
      </c>
      <c r="F68" s="113" t="str">
        <f t="shared" si="0"/>
        <v/>
      </c>
      <c r="H68" s="216"/>
    </row>
    <row r="69" spans="2:10" ht="15" customHeight="1">
      <c r="B69" s="114">
        <v>721500</v>
      </c>
      <c r="C69" s="170" t="s">
        <v>319</v>
      </c>
      <c r="D69" s="433">
        <f>D70</f>
        <v>300</v>
      </c>
      <c r="E69" s="433">
        <f>E70</f>
        <v>1</v>
      </c>
      <c r="F69" s="107">
        <f t="shared" si="0"/>
        <v>0.33333333333333337</v>
      </c>
    </row>
    <row r="70" spans="2:10" ht="15" customHeight="1">
      <c r="B70" s="115">
        <v>721511</v>
      </c>
      <c r="C70" s="168" t="s">
        <v>319</v>
      </c>
      <c r="D70" s="434">
        <v>300</v>
      </c>
      <c r="E70" s="434">
        <v>1</v>
      </c>
      <c r="F70" s="113">
        <f t="shared" si="0"/>
        <v>0.33333333333333337</v>
      </c>
      <c r="H70" s="216"/>
    </row>
    <row r="71" spans="2:10" ht="15">
      <c r="B71" s="201">
        <v>722000</v>
      </c>
      <c r="C71" s="202" t="s">
        <v>382</v>
      </c>
      <c r="D71" s="431">
        <f>D72+D74+D76+D91+D131+D139</f>
        <v>2072200</v>
      </c>
      <c r="E71" s="431">
        <f>E72+E74+E76+E91+E131+E139</f>
        <v>1543179</v>
      </c>
      <c r="F71" s="184">
        <f t="shared" ref="F71:F136" si="4">IF(D71=0,"",E71/D71*100)</f>
        <v>74.470562686999315</v>
      </c>
    </row>
    <row r="72" spans="2:10" ht="15" customHeight="1">
      <c r="B72" s="109">
        <v>722100</v>
      </c>
      <c r="C72" s="120" t="s">
        <v>320</v>
      </c>
      <c r="D72" s="436">
        <f>D73</f>
        <v>128910</v>
      </c>
      <c r="E72" s="436">
        <f>E73</f>
        <v>84517</v>
      </c>
      <c r="F72" s="107">
        <f t="shared" si="4"/>
        <v>65.56279574897215</v>
      </c>
      <c r="H72" s="216"/>
    </row>
    <row r="73" spans="2:10" ht="15" customHeight="1">
      <c r="B73" s="112">
        <v>722121</v>
      </c>
      <c r="C73" s="174" t="s">
        <v>321</v>
      </c>
      <c r="D73" s="435">
        <v>128910</v>
      </c>
      <c r="E73" s="435">
        <v>84517</v>
      </c>
      <c r="F73" s="113">
        <f t="shared" si="4"/>
        <v>65.56279574897215</v>
      </c>
    </row>
    <row r="74" spans="2:10" ht="15" customHeight="1">
      <c r="B74" s="109">
        <v>722200</v>
      </c>
      <c r="C74" s="120" t="s">
        <v>322</v>
      </c>
      <c r="D74" s="436">
        <f>D75</f>
        <v>381800</v>
      </c>
      <c r="E74" s="436">
        <f>E75</f>
        <v>297969</v>
      </c>
      <c r="F74" s="107">
        <f t="shared" si="4"/>
        <v>78.043216343635407</v>
      </c>
      <c r="H74" s="216"/>
      <c r="J74" s="260"/>
    </row>
    <row r="75" spans="2:10" ht="15" customHeight="1">
      <c r="B75" s="112">
        <v>722221</v>
      </c>
      <c r="C75" s="174" t="s">
        <v>323</v>
      </c>
      <c r="D75" s="435">
        <v>381800</v>
      </c>
      <c r="E75" s="435">
        <v>297969</v>
      </c>
      <c r="F75" s="113">
        <f t="shared" si="4"/>
        <v>78.043216343635407</v>
      </c>
    </row>
    <row r="76" spans="2:10" ht="15" customHeight="1">
      <c r="B76" s="109">
        <v>722400</v>
      </c>
      <c r="C76" s="120" t="s">
        <v>324</v>
      </c>
      <c r="D76" s="436">
        <f>D77+D83+D86</f>
        <v>221530</v>
      </c>
      <c r="E76" s="436">
        <f>E77+E83+E86</f>
        <v>143273</v>
      </c>
      <c r="F76" s="107">
        <f t="shared" si="4"/>
        <v>64.674310477136274</v>
      </c>
    </row>
    <row r="77" spans="2:10" ht="15" customHeight="1">
      <c r="B77" s="121">
        <v>722420</v>
      </c>
      <c r="C77" s="175" t="s">
        <v>325</v>
      </c>
      <c r="D77" s="438">
        <f>D78+D79+D81+D82</f>
        <v>41730</v>
      </c>
      <c r="E77" s="438">
        <f>E78+E79+E81+E82</f>
        <v>37713</v>
      </c>
      <c r="F77" s="107">
        <f t="shared" si="4"/>
        <v>90.373831775700936</v>
      </c>
    </row>
    <row r="78" spans="2:10" ht="15" customHeight="1">
      <c r="B78" s="112">
        <v>722421</v>
      </c>
      <c r="C78" s="174" t="s">
        <v>325</v>
      </c>
      <c r="D78" s="435">
        <v>20</v>
      </c>
      <c r="E78" s="435">
        <v>0</v>
      </c>
      <c r="F78" s="113">
        <f t="shared" si="4"/>
        <v>0</v>
      </c>
    </row>
    <row r="79" spans="2:10" ht="15" customHeight="1">
      <c r="B79" s="112">
        <v>722422</v>
      </c>
      <c r="C79" s="174" t="s">
        <v>390</v>
      </c>
      <c r="D79" s="435">
        <f>D80</f>
        <v>34060</v>
      </c>
      <c r="E79" s="435">
        <f>E80</f>
        <v>32577</v>
      </c>
      <c r="F79" s="113">
        <f t="shared" si="4"/>
        <v>95.645918966529649</v>
      </c>
    </row>
    <row r="80" spans="2:10" ht="15" customHeight="1">
      <c r="B80" s="112"/>
      <c r="C80" s="176" t="s">
        <v>624</v>
      </c>
      <c r="D80" s="435">
        <v>34060</v>
      </c>
      <c r="E80" s="435">
        <v>32577</v>
      </c>
      <c r="F80" s="113">
        <f t="shared" si="4"/>
        <v>95.645918966529649</v>
      </c>
      <c r="G80" s="259"/>
    </row>
    <row r="81" spans="2:9" ht="15" customHeight="1">
      <c r="B81" s="112">
        <v>722424</v>
      </c>
      <c r="C81" s="174" t="s">
        <v>328</v>
      </c>
      <c r="D81" s="435">
        <v>5180</v>
      </c>
      <c r="E81" s="435">
        <v>5136</v>
      </c>
      <c r="F81" s="113">
        <f t="shared" si="4"/>
        <v>99.150579150579148</v>
      </c>
      <c r="H81" s="216"/>
    </row>
    <row r="82" spans="2:9" ht="15" customHeight="1">
      <c r="B82" s="112">
        <v>722429</v>
      </c>
      <c r="C82" s="174" t="s">
        <v>326</v>
      </c>
      <c r="D82" s="435">
        <v>2470</v>
      </c>
      <c r="E82" s="435">
        <v>0</v>
      </c>
      <c r="F82" s="113">
        <f t="shared" si="4"/>
        <v>0</v>
      </c>
      <c r="I82" s="216"/>
    </row>
    <row r="83" spans="2:9" ht="15" customHeight="1">
      <c r="B83" s="119">
        <v>722450</v>
      </c>
      <c r="C83" s="175" t="s">
        <v>327</v>
      </c>
      <c r="D83" s="438">
        <f>SUM(D84:D85)</f>
        <v>8780</v>
      </c>
      <c r="E83" s="438">
        <f>SUM(E84:E85)</f>
        <v>2416</v>
      </c>
      <c r="F83" s="107">
        <f t="shared" si="4"/>
        <v>27.517084282460136</v>
      </c>
    </row>
    <row r="84" spans="2:9" ht="15" customHeight="1">
      <c r="B84" s="112">
        <v>722451</v>
      </c>
      <c r="C84" s="174" t="s">
        <v>329</v>
      </c>
      <c r="D84" s="435">
        <v>6960</v>
      </c>
      <c r="E84" s="435">
        <v>1312</v>
      </c>
      <c r="F84" s="113">
        <f t="shared" si="4"/>
        <v>18.850574712643677</v>
      </c>
    </row>
    <row r="85" spans="2:9" ht="15" customHeight="1">
      <c r="B85" s="112">
        <v>722454</v>
      </c>
      <c r="C85" s="174" t="s">
        <v>330</v>
      </c>
      <c r="D85" s="435">
        <v>1820</v>
      </c>
      <c r="E85" s="435">
        <v>1104</v>
      </c>
      <c r="F85" s="113">
        <f t="shared" si="4"/>
        <v>60.659340659340657</v>
      </c>
    </row>
    <row r="86" spans="2:9" ht="25.5">
      <c r="B86" s="119">
        <v>722470</v>
      </c>
      <c r="C86" s="177" t="s">
        <v>383</v>
      </c>
      <c r="D86" s="438">
        <f>D87+D89+D90</f>
        <v>171020</v>
      </c>
      <c r="E86" s="438">
        <f>E87+E89+E90</f>
        <v>103144</v>
      </c>
      <c r="F86" s="107">
        <f t="shared" si="4"/>
        <v>60.311074728101978</v>
      </c>
      <c r="H86" s="216"/>
    </row>
    <row r="87" spans="2:9" ht="15" customHeight="1">
      <c r="B87" s="112">
        <v>722471</v>
      </c>
      <c r="C87" s="174" t="s">
        <v>331</v>
      </c>
      <c r="D87" s="435">
        <f>D88</f>
        <v>137420</v>
      </c>
      <c r="E87" s="435">
        <f>E88</f>
        <v>80769</v>
      </c>
      <c r="F87" s="113">
        <f t="shared" si="4"/>
        <v>58.775287439965076</v>
      </c>
      <c r="H87" s="216"/>
    </row>
    <row r="88" spans="2:9" ht="15" customHeight="1">
      <c r="B88" s="112"/>
      <c r="C88" s="176" t="s">
        <v>786</v>
      </c>
      <c r="D88" s="435">
        <f>115760-8720+380+30000</f>
        <v>137420</v>
      </c>
      <c r="E88" s="435">
        <v>80769</v>
      </c>
      <c r="F88" s="113">
        <f t="shared" si="4"/>
        <v>58.775287439965076</v>
      </c>
    </row>
    <row r="89" spans="2:9" ht="25.5">
      <c r="B89" s="112">
        <v>722472</v>
      </c>
      <c r="C89" s="176" t="s">
        <v>332</v>
      </c>
      <c r="D89" s="435">
        <v>19780</v>
      </c>
      <c r="E89" s="435">
        <v>20335</v>
      </c>
      <c r="F89" s="113">
        <f t="shared" si="4"/>
        <v>102.80586450960567</v>
      </c>
    </row>
    <row r="90" spans="2:9" ht="17.100000000000001" customHeight="1">
      <c r="B90" s="112">
        <v>722479</v>
      </c>
      <c r="C90" s="176" t="s">
        <v>612</v>
      </c>
      <c r="D90" s="435">
        <v>13820</v>
      </c>
      <c r="E90" s="435">
        <v>2040</v>
      </c>
      <c r="F90" s="113">
        <f t="shared" si="4"/>
        <v>14.761215629522431</v>
      </c>
    </row>
    <row r="91" spans="2:9" ht="17.100000000000001" customHeight="1">
      <c r="B91" s="109">
        <v>722500</v>
      </c>
      <c r="C91" s="45" t="s">
        <v>623</v>
      </c>
      <c r="D91" s="436">
        <f>D92+D97+D108+D113+D115+D124</f>
        <v>879050</v>
      </c>
      <c r="E91" s="436">
        <f>E92+E97+E108+E113+E115+E124</f>
        <v>665489</v>
      </c>
      <c r="F91" s="107">
        <f t="shared" si="4"/>
        <v>75.705477504123778</v>
      </c>
    </row>
    <row r="92" spans="2:9" ht="27" customHeight="1">
      <c r="B92" s="119">
        <v>722510</v>
      </c>
      <c r="C92" s="122" t="s">
        <v>384</v>
      </c>
      <c r="D92" s="438">
        <f t="shared" ref="D92" si="5">SUM(D93:D96)</f>
        <v>17800</v>
      </c>
      <c r="E92" s="438">
        <f t="shared" ref="E92" si="6">SUM(E93:E96)</f>
        <v>10081</v>
      </c>
      <c r="F92" s="107">
        <f t="shared" si="4"/>
        <v>56.634831460674164</v>
      </c>
    </row>
    <row r="93" spans="2:9" ht="25.5">
      <c r="B93" s="106">
        <v>722511</v>
      </c>
      <c r="C93" s="73" t="s">
        <v>636</v>
      </c>
      <c r="D93" s="435">
        <v>20</v>
      </c>
      <c r="E93" s="435">
        <v>10</v>
      </c>
      <c r="F93" s="113">
        <f t="shared" si="4"/>
        <v>50</v>
      </c>
    </row>
    <row r="94" spans="2:9" ht="25.5">
      <c r="B94" s="106">
        <v>722514</v>
      </c>
      <c r="C94" s="73" t="s">
        <v>347</v>
      </c>
      <c r="D94" s="435">
        <v>2040</v>
      </c>
      <c r="E94" s="435">
        <v>1108</v>
      </c>
      <c r="F94" s="113">
        <f t="shared" si="4"/>
        <v>54.313725490196077</v>
      </c>
    </row>
    <row r="95" spans="2:9" ht="15" customHeight="1">
      <c r="B95" s="106">
        <v>722515</v>
      </c>
      <c r="C95" s="74" t="s">
        <v>333</v>
      </c>
      <c r="D95" s="435">
        <v>15720</v>
      </c>
      <c r="E95" s="435">
        <v>8944</v>
      </c>
      <c r="F95" s="113">
        <f t="shared" si="4"/>
        <v>56.895674300254448</v>
      </c>
    </row>
    <row r="96" spans="2:9" ht="15" customHeight="1">
      <c r="B96" s="106">
        <v>722516</v>
      </c>
      <c r="C96" s="74" t="s">
        <v>334</v>
      </c>
      <c r="D96" s="435">
        <v>20</v>
      </c>
      <c r="E96" s="435">
        <v>19</v>
      </c>
      <c r="F96" s="113">
        <f t="shared" si="4"/>
        <v>95</v>
      </c>
    </row>
    <row r="97" spans="2:6" ht="15" customHeight="1">
      <c r="B97" s="119">
        <v>722520</v>
      </c>
      <c r="C97" s="123" t="s">
        <v>335</v>
      </c>
      <c r="D97" s="438">
        <f>D98+D100+D101+D102+D103+D104+D105+D106+D107</f>
        <v>260040</v>
      </c>
      <c r="E97" s="438">
        <f>E98+E100+E101+E102+E103+E104+E105+E106+E107</f>
        <v>173836</v>
      </c>
      <c r="F97" s="107">
        <f t="shared" si="4"/>
        <v>66.849715428395626</v>
      </c>
    </row>
    <row r="98" spans="2:6" ht="25.5">
      <c r="B98" s="106">
        <v>722521</v>
      </c>
      <c r="C98" s="73" t="s">
        <v>348</v>
      </c>
      <c r="D98" s="435">
        <f>D99</f>
        <v>92880</v>
      </c>
      <c r="E98" s="435">
        <f>E99</f>
        <v>72529</v>
      </c>
      <c r="F98" s="113">
        <f t="shared" si="4"/>
        <v>78.088931955211024</v>
      </c>
    </row>
    <row r="99" spans="2:6" ht="15" customHeight="1">
      <c r="B99" s="112"/>
      <c r="C99" s="176" t="s">
        <v>787</v>
      </c>
      <c r="D99" s="435">
        <v>92880</v>
      </c>
      <c r="E99" s="435">
        <v>72529</v>
      </c>
      <c r="F99" s="113">
        <f t="shared" si="4"/>
        <v>78.088931955211024</v>
      </c>
    </row>
    <row r="100" spans="2:6" ht="25.5" customHeight="1">
      <c r="B100" s="178">
        <v>722522</v>
      </c>
      <c r="C100" s="180" t="s">
        <v>349</v>
      </c>
      <c r="D100" s="437">
        <v>26680</v>
      </c>
      <c r="E100" s="437">
        <v>19887</v>
      </c>
      <c r="F100" s="186">
        <f t="shared" si="4"/>
        <v>74.53898050974513</v>
      </c>
    </row>
    <row r="101" spans="2:6" ht="25.5">
      <c r="B101" s="106">
        <v>722523</v>
      </c>
      <c r="C101" s="73" t="s">
        <v>350</v>
      </c>
      <c r="D101" s="435">
        <v>4950</v>
      </c>
      <c r="E101" s="435">
        <v>3754</v>
      </c>
      <c r="F101" s="111">
        <f t="shared" si="4"/>
        <v>75.838383838383834</v>
      </c>
    </row>
    <row r="102" spans="2:6" ht="27" customHeight="1">
      <c r="B102" s="106">
        <v>722524</v>
      </c>
      <c r="C102" s="263" t="s">
        <v>620</v>
      </c>
      <c r="D102" s="435">
        <v>410</v>
      </c>
      <c r="E102" s="435">
        <v>379</v>
      </c>
      <c r="F102" s="111">
        <f t="shared" si="4"/>
        <v>92.439024390243901</v>
      </c>
    </row>
    <row r="103" spans="2:6" ht="25.5">
      <c r="B103" s="106">
        <v>722525</v>
      </c>
      <c r="C103" s="263" t="s">
        <v>619</v>
      </c>
      <c r="D103" s="435">
        <v>160</v>
      </c>
      <c r="E103" s="435">
        <v>27</v>
      </c>
      <c r="F103" s="111">
        <f t="shared" si="4"/>
        <v>16.875</v>
      </c>
    </row>
    <row r="104" spans="2:6" ht="25.5">
      <c r="B104" s="106">
        <v>722526</v>
      </c>
      <c r="C104" s="73" t="s">
        <v>622</v>
      </c>
      <c r="D104" s="435">
        <v>20</v>
      </c>
      <c r="E104" s="435">
        <v>0</v>
      </c>
      <c r="F104" s="111">
        <f t="shared" si="4"/>
        <v>0</v>
      </c>
    </row>
    <row r="105" spans="2:6" ht="15" customHeight="1">
      <c r="B105" s="106">
        <v>722527</v>
      </c>
      <c r="C105" s="74" t="s">
        <v>525</v>
      </c>
      <c r="D105" s="435">
        <v>49450</v>
      </c>
      <c r="E105" s="435">
        <v>15760</v>
      </c>
      <c r="F105" s="196">
        <f t="shared" si="4"/>
        <v>31.870576339737106</v>
      </c>
    </row>
    <row r="106" spans="2:6" ht="15" customHeight="1">
      <c r="B106" s="106">
        <v>722528</v>
      </c>
      <c r="C106" s="74" t="s">
        <v>336</v>
      </c>
      <c r="D106" s="435">
        <v>1130</v>
      </c>
      <c r="E106" s="435">
        <v>741</v>
      </c>
      <c r="F106" s="111">
        <f t="shared" si="4"/>
        <v>65.575221238938056</v>
      </c>
    </row>
    <row r="107" spans="2:6" ht="15" customHeight="1">
      <c r="B107" s="106">
        <v>722529</v>
      </c>
      <c r="C107" s="74" t="s">
        <v>337</v>
      </c>
      <c r="D107" s="435">
        <v>84360</v>
      </c>
      <c r="E107" s="435">
        <v>60759</v>
      </c>
      <c r="F107" s="111">
        <f t="shared" si="4"/>
        <v>72.023470839260312</v>
      </c>
    </row>
    <row r="108" spans="2:6" ht="15" customHeight="1">
      <c r="B108" s="119">
        <v>722530</v>
      </c>
      <c r="C108" s="123" t="s">
        <v>338</v>
      </c>
      <c r="D108" s="438">
        <f>SUM(D109:D112)</f>
        <v>340550</v>
      </c>
      <c r="E108" s="438">
        <f>SUM(E109:E112)</f>
        <v>274544</v>
      </c>
      <c r="F108" s="117">
        <f t="shared" si="4"/>
        <v>80.617824108060489</v>
      </c>
    </row>
    <row r="109" spans="2:6" ht="15" customHeight="1">
      <c r="B109" s="106">
        <v>722531</v>
      </c>
      <c r="C109" s="74" t="s">
        <v>339</v>
      </c>
      <c r="D109" s="435">
        <v>97960</v>
      </c>
      <c r="E109" s="435">
        <v>83682</v>
      </c>
      <c r="F109" s="111">
        <f t="shared" si="4"/>
        <v>85.424663127807264</v>
      </c>
    </row>
    <row r="110" spans="2:6" ht="15" customHeight="1">
      <c r="B110" s="106">
        <v>722532</v>
      </c>
      <c r="C110" s="74" t="s">
        <v>340</v>
      </c>
      <c r="D110" s="435">
        <v>242560</v>
      </c>
      <c r="E110" s="435">
        <v>190862</v>
      </c>
      <c r="F110" s="111">
        <f t="shared" si="4"/>
        <v>78.686510554089708</v>
      </c>
    </row>
    <row r="111" spans="2:6" ht="15" customHeight="1">
      <c r="B111" s="106">
        <v>722538</v>
      </c>
      <c r="C111" s="74" t="s">
        <v>341</v>
      </c>
      <c r="D111" s="435">
        <v>20</v>
      </c>
      <c r="E111" s="435">
        <v>0</v>
      </c>
      <c r="F111" s="111">
        <f t="shared" si="4"/>
        <v>0</v>
      </c>
    </row>
    <row r="112" spans="2:6" ht="15" customHeight="1">
      <c r="B112" s="106">
        <v>722539</v>
      </c>
      <c r="C112" s="74" t="s">
        <v>529</v>
      </c>
      <c r="D112" s="435">
        <v>10</v>
      </c>
      <c r="E112" s="435">
        <v>0</v>
      </c>
      <c r="F112" s="111">
        <f t="shared" si="4"/>
        <v>0</v>
      </c>
    </row>
    <row r="113" spans="2:10" ht="15" customHeight="1">
      <c r="B113" s="119">
        <v>722540</v>
      </c>
      <c r="C113" s="123" t="s">
        <v>342</v>
      </c>
      <c r="D113" s="438">
        <f>D114</f>
        <v>200</v>
      </c>
      <c r="E113" s="438">
        <f>E114</f>
        <v>296</v>
      </c>
      <c r="F113" s="117">
        <f t="shared" si="4"/>
        <v>148</v>
      </c>
    </row>
    <row r="114" spans="2:10" ht="15" customHeight="1">
      <c r="B114" s="106">
        <v>722541</v>
      </c>
      <c r="C114" s="74" t="s">
        <v>343</v>
      </c>
      <c r="D114" s="435">
        <v>200</v>
      </c>
      <c r="E114" s="435">
        <v>296</v>
      </c>
      <c r="F114" s="111">
        <f t="shared" si="4"/>
        <v>148</v>
      </c>
    </row>
    <row r="115" spans="2:10" ht="15" customHeight="1">
      <c r="B115" s="119">
        <v>722550</v>
      </c>
      <c r="C115" s="123" t="s">
        <v>344</v>
      </c>
      <c r="D115" s="438">
        <f>D116+D118+D120+D122</f>
        <v>180000</v>
      </c>
      <c r="E115" s="438">
        <f>E116+E118+E120+E122</f>
        <v>156545</v>
      </c>
      <c r="F115" s="117">
        <f t="shared" si="4"/>
        <v>86.969444444444449</v>
      </c>
      <c r="H115" s="215"/>
    </row>
    <row r="116" spans="2:10" ht="15" customHeight="1">
      <c r="B116" s="106">
        <v>722551</v>
      </c>
      <c r="C116" s="74" t="s">
        <v>345</v>
      </c>
      <c r="D116" s="435">
        <f>D117</f>
        <v>13760</v>
      </c>
      <c r="E116" s="435">
        <f>E117</f>
        <v>14761</v>
      </c>
      <c r="F116" s="111">
        <f t="shared" si="4"/>
        <v>107.27470930232559</v>
      </c>
    </row>
    <row r="117" spans="2:10" ht="15" customHeight="1">
      <c r="B117" s="112"/>
      <c r="C117" s="176" t="s">
        <v>787</v>
      </c>
      <c r="D117" s="435">
        <v>13760</v>
      </c>
      <c r="E117" s="435">
        <v>14761</v>
      </c>
      <c r="F117" s="111">
        <f t="shared" si="4"/>
        <v>107.27470930232559</v>
      </c>
    </row>
    <row r="118" spans="2:10" s="534" customFormat="1" ht="15" customHeight="1">
      <c r="B118" s="106">
        <v>722552</v>
      </c>
      <c r="C118" s="536" t="s">
        <v>815</v>
      </c>
      <c r="D118" s="435">
        <f>D119</f>
        <v>0</v>
      </c>
      <c r="E118" s="435">
        <f>E119</f>
        <v>16</v>
      </c>
      <c r="F118" s="111" t="str">
        <f t="shared" ref="F118:F119" si="7">IF(D118=0,"",E118/D118*100)</f>
        <v/>
      </c>
      <c r="G118" s="164"/>
      <c r="H118" s="164"/>
      <c r="I118" s="164"/>
      <c r="J118" s="164"/>
    </row>
    <row r="119" spans="2:10" s="534" customFormat="1" ht="15" customHeight="1">
      <c r="B119" s="112"/>
      <c r="C119" s="176" t="s">
        <v>787</v>
      </c>
      <c r="D119" s="435">
        <v>0</v>
      </c>
      <c r="E119" s="435">
        <v>16</v>
      </c>
      <c r="F119" s="111" t="str">
        <f t="shared" si="7"/>
        <v/>
      </c>
      <c r="G119" s="164"/>
      <c r="H119" s="164"/>
      <c r="I119" s="164"/>
      <c r="J119" s="164"/>
    </row>
    <row r="120" spans="2:10" ht="25.5">
      <c r="B120" s="106">
        <v>722555</v>
      </c>
      <c r="C120" s="73" t="s">
        <v>351</v>
      </c>
      <c r="D120" s="435">
        <f>D121</f>
        <v>60890</v>
      </c>
      <c r="E120" s="435">
        <f>E121</f>
        <v>48516</v>
      </c>
      <c r="F120" s="111">
        <f t="shared" si="4"/>
        <v>79.678108063721467</v>
      </c>
    </row>
    <row r="121" spans="2:10" ht="17.100000000000001" customHeight="1">
      <c r="B121" s="112"/>
      <c r="C121" s="176" t="s">
        <v>787</v>
      </c>
      <c r="D121" s="435">
        <f>60890</f>
        <v>60890</v>
      </c>
      <c r="E121" s="435">
        <v>48516</v>
      </c>
      <c r="F121" s="111">
        <f t="shared" si="4"/>
        <v>79.678108063721467</v>
      </c>
    </row>
    <row r="122" spans="2:10" ht="25.5">
      <c r="B122" s="106">
        <v>722556</v>
      </c>
      <c r="C122" s="73" t="s">
        <v>352</v>
      </c>
      <c r="D122" s="435">
        <f>D123</f>
        <v>105350</v>
      </c>
      <c r="E122" s="435">
        <f>E123</f>
        <v>93252</v>
      </c>
      <c r="F122" s="111">
        <f t="shared" si="4"/>
        <v>88.516373991457044</v>
      </c>
    </row>
    <row r="123" spans="2:10" ht="15" customHeight="1">
      <c r="B123" s="112"/>
      <c r="C123" s="176" t="s">
        <v>524</v>
      </c>
      <c r="D123" s="435">
        <f>119840-14490</f>
        <v>105350</v>
      </c>
      <c r="E123" s="435">
        <v>93252</v>
      </c>
      <c r="F123" s="111">
        <f t="shared" si="4"/>
        <v>88.516373991457044</v>
      </c>
    </row>
    <row r="124" spans="2:10" ht="15" customHeight="1">
      <c r="B124" s="119">
        <v>722580</v>
      </c>
      <c r="C124" s="123" t="s">
        <v>353</v>
      </c>
      <c r="D124" s="438">
        <f>D125+D127+D128+D129+D130</f>
        <v>80460</v>
      </c>
      <c r="E124" s="438">
        <f>E125+E127+E128+E129+E130</f>
        <v>50187</v>
      </c>
      <c r="F124" s="117">
        <f t="shared" si="4"/>
        <v>62.375093214019387</v>
      </c>
    </row>
    <row r="125" spans="2:10" ht="25.5">
      <c r="B125" s="106">
        <v>722581</v>
      </c>
      <c r="C125" s="73" t="s">
        <v>621</v>
      </c>
      <c r="D125" s="435">
        <f>D126</f>
        <v>67700</v>
      </c>
      <c r="E125" s="435">
        <f>E126</f>
        <v>43810</v>
      </c>
      <c r="F125" s="111">
        <f t="shared" si="4"/>
        <v>64.711964549483014</v>
      </c>
    </row>
    <row r="126" spans="2:10" ht="15" customHeight="1">
      <c r="B126" s="112"/>
      <c r="C126" s="176" t="s">
        <v>785</v>
      </c>
      <c r="D126" s="435">
        <v>67700</v>
      </c>
      <c r="E126" s="435">
        <v>43810</v>
      </c>
      <c r="F126" s="111">
        <f t="shared" si="4"/>
        <v>64.711964549483014</v>
      </c>
      <c r="H126" s="215"/>
    </row>
    <row r="127" spans="2:10" ht="37.5" customHeight="1">
      <c r="B127" s="106">
        <v>722582</v>
      </c>
      <c r="C127" s="263" t="s">
        <v>618</v>
      </c>
      <c r="D127" s="435">
        <v>10230</v>
      </c>
      <c r="E127" s="435">
        <v>4302</v>
      </c>
      <c r="F127" s="111">
        <f t="shared" si="4"/>
        <v>42.052785923753667</v>
      </c>
    </row>
    <row r="128" spans="2:10" ht="26.25" customHeight="1">
      <c r="B128" s="106">
        <v>722583</v>
      </c>
      <c r="C128" s="73" t="s">
        <v>354</v>
      </c>
      <c r="D128" s="435">
        <v>1290</v>
      </c>
      <c r="E128" s="435">
        <v>781</v>
      </c>
      <c r="F128" s="111">
        <f t="shared" si="4"/>
        <v>60.542635658914733</v>
      </c>
    </row>
    <row r="129" spans="2:10" ht="25.5">
      <c r="B129" s="106">
        <v>722584</v>
      </c>
      <c r="C129" s="73" t="s">
        <v>355</v>
      </c>
      <c r="D129" s="435">
        <v>770</v>
      </c>
      <c r="E129" s="435">
        <v>611</v>
      </c>
      <c r="F129" s="111">
        <f t="shared" si="4"/>
        <v>79.350649350649348</v>
      </c>
    </row>
    <row r="130" spans="2:10" ht="25.5">
      <c r="B130" s="106">
        <v>722585</v>
      </c>
      <c r="C130" s="73" t="s">
        <v>356</v>
      </c>
      <c r="D130" s="435">
        <v>470</v>
      </c>
      <c r="E130" s="435">
        <v>683</v>
      </c>
      <c r="F130" s="111">
        <f t="shared" si="4"/>
        <v>145.31914893617022</v>
      </c>
    </row>
    <row r="131" spans="2:10" ht="15" customHeight="1">
      <c r="B131" s="109">
        <v>722600</v>
      </c>
      <c r="C131" s="45" t="s">
        <v>346</v>
      </c>
      <c r="D131" s="436">
        <f>SUM(D132:D138)</f>
        <v>460000</v>
      </c>
      <c r="E131" s="436">
        <f>SUM(E132:E138)</f>
        <v>310972</v>
      </c>
      <c r="F131" s="117">
        <f t="shared" si="4"/>
        <v>67.602608695652179</v>
      </c>
    </row>
    <row r="132" spans="2:10" ht="15" customHeight="1">
      <c r="B132" s="112">
        <v>722611</v>
      </c>
      <c r="C132" s="74" t="s">
        <v>357</v>
      </c>
      <c r="D132" s="435">
        <v>137240</v>
      </c>
      <c r="E132" s="435">
        <v>95134</v>
      </c>
      <c r="F132" s="111">
        <f t="shared" si="4"/>
        <v>69.319440396385886</v>
      </c>
    </row>
    <row r="133" spans="2:10" ht="15" customHeight="1">
      <c r="B133" s="112">
        <v>722612</v>
      </c>
      <c r="C133" s="74" t="s">
        <v>358</v>
      </c>
      <c r="D133" s="435">
        <v>38960</v>
      </c>
      <c r="E133" s="435">
        <v>69247</v>
      </c>
      <c r="F133" s="111">
        <f t="shared" si="4"/>
        <v>177.73870636550308</v>
      </c>
    </row>
    <row r="134" spans="2:10" ht="15" customHeight="1">
      <c r="B134" s="112">
        <v>722613</v>
      </c>
      <c r="C134" s="74" t="s">
        <v>359</v>
      </c>
      <c r="D134" s="435">
        <v>9620</v>
      </c>
      <c r="E134" s="435">
        <v>7085</v>
      </c>
      <c r="F134" s="111">
        <f t="shared" si="4"/>
        <v>73.648648648648646</v>
      </c>
    </row>
    <row r="135" spans="2:10" ht="15" customHeight="1">
      <c r="B135" s="112">
        <v>722621</v>
      </c>
      <c r="C135" s="74" t="s">
        <v>360</v>
      </c>
      <c r="D135" s="435">
        <v>149420</v>
      </c>
      <c r="E135" s="435">
        <v>106030</v>
      </c>
      <c r="F135" s="111">
        <f t="shared" si="4"/>
        <v>70.961049390978445</v>
      </c>
    </row>
    <row r="136" spans="2:10" ht="15" customHeight="1">
      <c r="B136" s="112">
        <v>722631</v>
      </c>
      <c r="C136" s="74" t="s">
        <v>361</v>
      </c>
      <c r="D136" s="435">
        <v>124570</v>
      </c>
      <c r="E136" s="435">
        <v>33471</v>
      </c>
      <c r="F136" s="111">
        <f t="shared" si="4"/>
        <v>26.869230151721922</v>
      </c>
    </row>
    <row r="137" spans="2:10" ht="15" customHeight="1">
      <c r="B137" s="112">
        <v>722632</v>
      </c>
      <c r="C137" s="74" t="s">
        <v>530</v>
      </c>
      <c r="D137" s="435">
        <v>190</v>
      </c>
      <c r="E137" s="435">
        <v>0</v>
      </c>
      <c r="F137" s="111">
        <f t="shared" ref="F137:F205" si="8">IF(D137=0,"",E137/D137*100)</f>
        <v>0</v>
      </c>
    </row>
    <row r="138" spans="2:10" s="534" customFormat="1" ht="15" customHeight="1">
      <c r="B138" s="112">
        <v>722633</v>
      </c>
      <c r="C138" s="536" t="s">
        <v>816</v>
      </c>
      <c r="D138" s="435">
        <v>0</v>
      </c>
      <c r="E138" s="435">
        <v>5</v>
      </c>
      <c r="F138" s="111" t="str">
        <f t="shared" ref="F138" si="9">IF(D138=0,"",E138/D138*100)</f>
        <v/>
      </c>
      <c r="G138" s="164"/>
      <c r="H138" s="164"/>
      <c r="I138" s="164"/>
      <c r="J138" s="164"/>
    </row>
    <row r="139" spans="2:10" ht="15" customHeight="1">
      <c r="B139" s="119">
        <v>722700</v>
      </c>
      <c r="C139" s="45" t="s">
        <v>362</v>
      </c>
      <c r="D139" s="436">
        <f t="shared" ref="D139" si="10">SUM(D140:D143)</f>
        <v>910</v>
      </c>
      <c r="E139" s="436">
        <f t="shared" ref="E139" si="11">SUM(E140:E143)</f>
        <v>40959</v>
      </c>
      <c r="F139" s="117">
        <f t="shared" si="8"/>
        <v>4500.9890109890111</v>
      </c>
    </row>
    <row r="140" spans="2:10" ht="15" customHeight="1">
      <c r="B140" s="112">
        <v>722715</v>
      </c>
      <c r="C140" s="74" t="s">
        <v>637</v>
      </c>
      <c r="D140" s="435">
        <v>0</v>
      </c>
      <c r="E140" s="435">
        <v>0</v>
      </c>
      <c r="F140" s="111" t="str">
        <f t="shared" si="8"/>
        <v/>
      </c>
    </row>
    <row r="141" spans="2:10" ht="15" customHeight="1">
      <c r="B141" s="112">
        <v>722719</v>
      </c>
      <c r="C141" s="74" t="s">
        <v>526</v>
      </c>
      <c r="D141" s="435">
        <v>50</v>
      </c>
      <c r="E141" s="435">
        <v>118</v>
      </c>
      <c r="F141" s="111">
        <f t="shared" si="8"/>
        <v>236</v>
      </c>
    </row>
    <row r="142" spans="2:10" ht="15" customHeight="1">
      <c r="B142" s="112">
        <v>722732</v>
      </c>
      <c r="C142" s="74" t="s">
        <v>363</v>
      </c>
      <c r="D142" s="435">
        <v>430</v>
      </c>
      <c r="E142" s="435">
        <v>0</v>
      </c>
      <c r="F142" s="111">
        <f t="shared" si="8"/>
        <v>0</v>
      </c>
    </row>
    <row r="143" spans="2:10" ht="15" customHeight="1">
      <c r="B143" s="112">
        <v>722791</v>
      </c>
      <c r="C143" s="74" t="s">
        <v>364</v>
      </c>
      <c r="D143" s="435">
        <v>430</v>
      </c>
      <c r="E143" s="435">
        <v>40841</v>
      </c>
      <c r="F143" s="111">
        <f t="shared" si="8"/>
        <v>9497.9069767441852</v>
      </c>
    </row>
    <row r="144" spans="2:10" ht="17.100000000000001" customHeight="1">
      <c r="B144" s="201">
        <v>723000</v>
      </c>
      <c r="C144" s="202" t="s">
        <v>193</v>
      </c>
      <c r="D144" s="432">
        <f>D145</f>
        <v>439900</v>
      </c>
      <c r="E144" s="432">
        <f>E145</f>
        <v>459520</v>
      </c>
      <c r="F144" s="184">
        <f t="shared" si="8"/>
        <v>104.46010456922028</v>
      </c>
    </row>
    <row r="145" spans="2:8" ht="15" customHeight="1">
      <c r="B145" s="114">
        <v>723100</v>
      </c>
      <c r="C145" s="122" t="s">
        <v>365</v>
      </c>
      <c r="D145" s="438">
        <f>SUM(D146:D149)</f>
        <v>439900</v>
      </c>
      <c r="E145" s="438">
        <f>SUM(E146:E149)</f>
        <v>459520</v>
      </c>
      <c r="F145" s="111">
        <f t="shared" si="8"/>
        <v>104.46010456922028</v>
      </c>
    </row>
    <row r="146" spans="2:8" ht="15" customHeight="1">
      <c r="B146" s="112">
        <v>723121</v>
      </c>
      <c r="C146" s="21" t="s">
        <v>366</v>
      </c>
      <c r="D146" s="434">
        <v>120</v>
      </c>
      <c r="E146" s="434">
        <v>295</v>
      </c>
      <c r="F146" s="111">
        <f t="shared" si="8"/>
        <v>245.83333333333334</v>
      </c>
    </row>
    <row r="147" spans="2:8" ht="15" customHeight="1">
      <c r="B147" s="112">
        <v>723122</v>
      </c>
      <c r="C147" s="21" t="s">
        <v>367</v>
      </c>
      <c r="D147" s="435">
        <v>150</v>
      </c>
      <c r="E147" s="435">
        <v>0</v>
      </c>
      <c r="F147" s="111">
        <f t="shared" si="8"/>
        <v>0</v>
      </c>
    </row>
    <row r="148" spans="2:8" ht="25.5">
      <c r="B148" s="112">
        <v>723123</v>
      </c>
      <c r="C148" s="43" t="s">
        <v>369</v>
      </c>
      <c r="D148" s="434">
        <f>420600+11230</f>
        <v>431830</v>
      </c>
      <c r="E148" s="434">
        <v>453581</v>
      </c>
      <c r="F148" s="111">
        <f t="shared" si="8"/>
        <v>105.03693583122988</v>
      </c>
    </row>
    <row r="149" spans="2:8" ht="15" customHeight="1">
      <c r="B149" s="181">
        <v>723129</v>
      </c>
      <c r="C149" s="182" t="s">
        <v>368</v>
      </c>
      <c r="D149" s="439">
        <v>7800</v>
      </c>
      <c r="E149" s="439">
        <v>5644</v>
      </c>
      <c r="F149" s="185">
        <f t="shared" si="8"/>
        <v>72.358974358974365</v>
      </c>
    </row>
    <row r="150" spans="2:8">
      <c r="B150" s="112"/>
      <c r="C150" s="105"/>
      <c r="D150" s="434"/>
      <c r="E150" s="434"/>
      <c r="F150" s="113" t="str">
        <f t="shared" si="8"/>
        <v/>
      </c>
    </row>
    <row r="151" spans="2:8" ht="17.100000000000001" customHeight="1">
      <c r="B151" s="578" t="s">
        <v>388</v>
      </c>
      <c r="C151" s="579"/>
      <c r="D151" s="440">
        <f>D5+D57</f>
        <v>39832260</v>
      </c>
      <c r="E151" s="440">
        <f>E5+E57</f>
        <v>31019331</v>
      </c>
      <c r="F151" s="187">
        <f t="shared" si="8"/>
        <v>77.874895875855401</v>
      </c>
      <c r="H151" s="216"/>
    </row>
    <row r="152" spans="2:8">
      <c r="B152" s="46"/>
      <c r="C152" s="44"/>
      <c r="D152" s="434"/>
      <c r="E152" s="434"/>
      <c r="F152" s="113" t="str">
        <f t="shared" si="8"/>
        <v/>
      </c>
    </row>
    <row r="153" spans="2:8" ht="17.100000000000001" customHeight="1">
      <c r="B153" s="199">
        <v>730000</v>
      </c>
      <c r="C153" s="205" t="s">
        <v>441</v>
      </c>
      <c r="D153" s="431">
        <f>D154+D161+D177</f>
        <v>1374160</v>
      </c>
      <c r="E153" s="431">
        <f>E154+E161+E177</f>
        <v>900853</v>
      </c>
      <c r="F153" s="183">
        <f t="shared" si="8"/>
        <v>65.556630960004654</v>
      </c>
    </row>
    <row r="154" spans="2:8" ht="26.25">
      <c r="B154" s="206">
        <v>731000</v>
      </c>
      <c r="C154" s="207" t="s">
        <v>423</v>
      </c>
      <c r="D154" s="432">
        <f>D155</f>
        <v>77800</v>
      </c>
      <c r="E154" s="432">
        <f>E155</f>
        <v>0</v>
      </c>
      <c r="F154" s="184">
        <f t="shared" si="8"/>
        <v>0</v>
      </c>
    </row>
    <row r="155" spans="2:8" ht="15" customHeight="1">
      <c r="B155" s="119">
        <v>731100</v>
      </c>
      <c r="C155" s="175" t="s">
        <v>424</v>
      </c>
      <c r="D155" s="438">
        <f>D156+D157</f>
        <v>77800</v>
      </c>
      <c r="E155" s="438">
        <f>E156+E157</f>
        <v>0</v>
      </c>
      <c r="F155" s="107">
        <f t="shared" si="8"/>
        <v>0</v>
      </c>
    </row>
    <row r="156" spans="2:8" ht="15" customHeight="1">
      <c r="B156" s="219">
        <v>731111</v>
      </c>
      <c r="C156" s="168" t="s">
        <v>544</v>
      </c>
      <c r="D156" s="434">
        <v>0</v>
      </c>
      <c r="E156" s="434">
        <v>0</v>
      </c>
      <c r="F156" s="220" t="str">
        <f t="shared" si="8"/>
        <v/>
      </c>
    </row>
    <row r="157" spans="2:8" ht="15" customHeight="1">
      <c r="B157" s="219">
        <v>731121</v>
      </c>
      <c r="C157" s="168" t="s">
        <v>425</v>
      </c>
      <c r="D157" s="434">
        <f t="shared" ref="D157" si="12">SUM(D158:D160)</f>
        <v>77800</v>
      </c>
      <c r="E157" s="434">
        <f t="shared" ref="E157" si="13">SUM(E158:E160)</f>
        <v>0</v>
      </c>
      <c r="F157" s="220">
        <f t="shared" si="8"/>
        <v>0</v>
      </c>
    </row>
    <row r="158" spans="2:8" ht="15" customHeight="1">
      <c r="B158" s="219"/>
      <c r="C158" s="366" t="s">
        <v>703</v>
      </c>
      <c r="D158" s="435">
        <v>0</v>
      </c>
      <c r="E158" s="435">
        <v>0</v>
      </c>
      <c r="F158" s="220" t="str">
        <f t="shared" si="8"/>
        <v/>
      </c>
    </row>
    <row r="159" spans="2:8" ht="15" customHeight="1">
      <c r="B159" s="219"/>
      <c r="C159" s="176" t="s">
        <v>613</v>
      </c>
      <c r="D159" s="435">
        <v>0</v>
      </c>
      <c r="E159" s="435">
        <v>0</v>
      </c>
      <c r="F159" s="220" t="str">
        <f t="shared" si="8"/>
        <v/>
      </c>
    </row>
    <row r="160" spans="2:8" ht="15" customHeight="1">
      <c r="B160" s="219"/>
      <c r="C160" s="176" t="s">
        <v>800</v>
      </c>
      <c r="D160" s="435">
        <v>77800</v>
      </c>
      <c r="E160" s="435">
        <v>0</v>
      </c>
      <c r="F160" s="220">
        <f t="shared" si="8"/>
        <v>0</v>
      </c>
    </row>
    <row r="161" spans="2:10" ht="17.100000000000001" customHeight="1">
      <c r="B161" s="208">
        <v>732000</v>
      </c>
      <c r="C161" s="207" t="s">
        <v>426</v>
      </c>
      <c r="D161" s="432">
        <f>D162</f>
        <v>1296360</v>
      </c>
      <c r="E161" s="432">
        <f>E162</f>
        <v>900853</v>
      </c>
      <c r="F161" s="184">
        <f t="shared" si="8"/>
        <v>69.490959301428617</v>
      </c>
    </row>
    <row r="162" spans="2:10" ht="15" customHeight="1">
      <c r="B162" s="119">
        <v>732100</v>
      </c>
      <c r="C162" s="175" t="s">
        <v>427</v>
      </c>
      <c r="D162" s="438">
        <f>D163+D172+D174</f>
        <v>1296360</v>
      </c>
      <c r="E162" s="438">
        <f>E163+E172+E174</f>
        <v>900853</v>
      </c>
      <c r="F162" s="107">
        <f t="shared" si="8"/>
        <v>69.490959301428617</v>
      </c>
    </row>
    <row r="163" spans="2:10" ht="15" customHeight="1">
      <c r="B163" s="109">
        <v>732110</v>
      </c>
      <c r="C163" s="116" t="s">
        <v>428</v>
      </c>
      <c r="D163" s="436">
        <f>D164+D170</f>
        <v>1274160</v>
      </c>
      <c r="E163" s="436">
        <f>E164+E170</f>
        <v>879853</v>
      </c>
      <c r="F163" s="107">
        <f t="shared" si="8"/>
        <v>69.053572549758272</v>
      </c>
    </row>
    <row r="164" spans="2:10" ht="15" customHeight="1">
      <c r="B164" s="219">
        <v>732112</v>
      </c>
      <c r="C164" s="168" t="s">
        <v>429</v>
      </c>
      <c r="D164" s="434">
        <f>SUM(D165:D169)</f>
        <v>1274160</v>
      </c>
      <c r="E164" s="434">
        <f>SUM(E165:E169)</f>
        <v>874853</v>
      </c>
      <c r="F164" s="220">
        <f t="shared" si="8"/>
        <v>68.661157154517483</v>
      </c>
    </row>
    <row r="165" spans="2:10" ht="15" customHeight="1">
      <c r="B165" s="219"/>
      <c r="C165" s="176" t="s">
        <v>531</v>
      </c>
      <c r="D165" s="435">
        <v>0</v>
      </c>
      <c r="E165" s="435">
        <v>0</v>
      </c>
      <c r="F165" s="220" t="str">
        <f t="shared" si="8"/>
        <v/>
      </c>
    </row>
    <row r="166" spans="2:10" ht="25.5">
      <c r="B166" s="219"/>
      <c r="C166" s="176" t="s">
        <v>386</v>
      </c>
      <c r="D166" s="435">
        <v>266000</v>
      </c>
      <c r="E166" s="435">
        <v>196693</v>
      </c>
      <c r="F166" s="220">
        <f t="shared" si="8"/>
        <v>73.944736842105257</v>
      </c>
    </row>
    <row r="167" spans="2:10" ht="25.5">
      <c r="B167" s="219"/>
      <c r="C167" s="176" t="s">
        <v>704</v>
      </c>
      <c r="D167" s="435">
        <v>0</v>
      </c>
      <c r="E167" s="435">
        <v>0</v>
      </c>
      <c r="F167" s="220" t="str">
        <f t="shared" si="8"/>
        <v/>
      </c>
    </row>
    <row r="168" spans="2:10" ht="25.5">
      <c r="B168" s="219"/>
      <c r="C168" s="176" t="s">
        <v>780</v>
      </c>
      <c r="D168" s="435">
        <v>8160</v>
      </c>
      <c r="E168" s="435">
        <v>8160</v>
      </c>
      <c r="F168" s="220">
        <f t="shared" si="8"/>
        <v>100</v>
      </c>
    </row>
    <row r="169" spans="2:10" ht="17.100000000000001" customHeight="1">
      <c r="B169" s="219"/>
      <c r="C169" s="176" t="s">
        <v>387</v>
      </c>
      <c r="D169" s="435">
        <v>1000000</v>
      </c>
      <c r="E169" s="435">
        <v>670000</v>
      </c>
      <c r="F169" s="220">
        <f t="shared" si="8"/>
        <v>67</v>
      </c>
    </row>
    <row r="170" spans="2:10" ht="15" customHeight="1">
      <c r="B170" s="219">
        <v>732115</v>
      </c>
      <c r="C170" s="168" t="s">
        <v>645</v>
      </c>
      <c r="D170" s="434">
        <f>D171</f>
        <v>0</v>
      </c>
      <c r="E170" s="435">
        <f>E171</f>
        <v>5000</v>
      </c>
      <c r="F170" s="220" t="str">
        <f t="shared" si="8"/>
        <v/>
      </c>
      <c r="H170" s="216"/>
    </row>
    <row r="171" spans="2:10" s="538" customFormat="1" ht="15" customHeight="1">
      <c r="B171" s="219"/>
      <c r="C171" s="176" t="s">
        <v>823</v>
      </c>
      <c r="D171" s="435">
        <v>0</v>
      </c>
      <c r="E171" s="435">
        <v>5000</v>
      </c>
      <c r="F171" s="220" t="str">
        <f t="shared" ref="F171" si="14">IF(D171=0,"",E171/D171*100)</f>
        <v/>
      </c>
      <c r="G171" s="164"/>
      <c r="H171" s="164"/>
      <c r="I171" s="164"/>
      <c r="J171" s="164"/>
    </row>
    <row r="172" spans="2:10" ht="15" customHeight="1">
      <c r="B172" s="109">
        <v>732120</v>
      </c>
      <c r="C172" s="116" t="s">
        <v>430</v>
      </c>
      <c r="D172" s="436">
        <f>SUM(D173:D173)</f>
        <v>0</v>
      </c>
      <c r="E172" s="436">
        <f>SUM(E173:E173)</f>
        <v>0</v>
      </c>
      <c r="F172" s="107" t="str">
        <f t="shared" si="8"/>
        <v/>
      </c>
    </row>
    <row r="173" spans="2:10" ht="15" customHeight="1">
      <c r="B173" s="115">
        <v>732125</v>
      </c>
      <c r="C173" s="174" t="s">
        <v>614</v>
      </c>
      <c r="D173" s="435">
        <v>0</v>
      </c>
      <c r="E173" s="435">
        <v>0</v>
      </c>
      <c r="F173" s="220" t="str">
        <f t="shared" si="8"/>
        <v/>
      </c>
      <c r="G173" s="264"/>
    </row>
    <row r="174" spans="2:10" ht="15" customHeight="1">
      <c r="B174" s="109">
        <v>732130</v>
      </c>
      <c r="C174" s="116" t="s">
        <v>603</v>
      </c>
      <c r="D174" s="436">
        <f>SUM(D175:D176)</f>
        <v>22200</v>
      </c>
      <c r="E174" s="436">
        <f>SUM(E175:E176)</f>
        <v>21000</v>
      </c>
      <c r="F174" s="107">
        <f t="shared" si="8"/>
        <v>94.594594594594597</v>
      </c>
    </row>
    <row r="175" spans="2:10" ht="15" customHeight="1">
      <c r="B175" s="115">
        <v>732131</v>
      </c>
      <c r="C175" s="174" t="s">
        <v>629</v>
      </c>
      <c r="D175" s="435">
        <v>15000</v>
      </c>
      <c r="E175" s="435">
        <v>21000</v>
      </c>
      <c r="F175" s="220">
        <f t="shared" si="8"/>
        <v>140</v>
      </c>
      <c r="H175" s="537"/>
    </row>
    <row r="176" spans="2:10" ht="15" customHeight="1">
      <c r="B176" s="115">
        <v>732131</v>
      </c>
      <c r="C176" s="174" t="s">
        <v>630</v>
      </c>
      <c r="D176" s="435">
        <v>7200</v>
      </c>
      <c r="E176" s="435">
        <v>0</v>
      </c>
      <c r="F176" s="220">
        <f t="shared" si="8"/>
        <v>0</v>
      </c>
      <c r="G176" s="537"/>
    </row>
    <row r="177" spans="2:6" ht="17.100000000000001" customHeight="1">
      <c r="B177" s="208">
        <v>733000</v>
      </c>
      <c r="C177" s="207" t="s">
        <v>370</v>
      </c>
      <c r="D177" s="432">
        <f>D178</f>
        <v>0</v>
      </c>
      <c r="E177" s="432">
        <f>E178</f>
        <v>0</v>
      </c>
      <c r="F177" s="184" t="str">
        <f t="shared" si="8"/>
        <v/>
      </c>
    </row>
    <row r="178" spans="2:6" ht="15" customHeight="1">
      <c r="B178" s="119">
        <v>733100</v>
      </c>
      <c r="C178" s="175" t="s">
        <v>371</v>
      </c>
      <c r="D178" s="438">
        <f>D179+D180</f>
        <v>0</v>
      </c>
      <c r="E178" s="438">
        <f>E179+E180</f>
        <v>0</v>
      </c>
      <c r="F178" s="107" t="str">
        <f t="shared" si="8"/>
        <v/>
      </c>
    </row>
    <row r="179" spans="2:6" ht="15" customHeight="1">
      <c r="B179" s="109">
        <v>733110</v>
      </c>
      <c r="C179" s="116" t="s">
        <v>372</v>
      </c>
      <c r="D179" s="436">
        <v>0</v>
      </c>
      <c r="E179" s="436">
        <v>0</v>
      </c>
      <c r="F179" s="107" t="str">
        <f t="shared" si="8"/>
        <v/>
      </c>
    </row>
    <row r="180" spans="2:6" ht="15" customHeight="1">
      <c r="B180" s="109">
        <v>733120</v>
      </c>
      <c r="C180" s="116" t="s">
        <v>373</v>
      </c>
      <c r="D180" s="436">
        <v>0</v>
      </c>
      <c r="E180" s="436">
        <v>0</v>
      </c>
      <c r="F180" s="107" t="str">
        <f t="shared" si="8"/>
        <v/>
      </c>
    </row>
    <row r="181" spans="2:6" ht="15">
      <c r="B181" s="30"/>
      <c r="C181" s="45"/>
      <c r="D181" s="433"/>
      <c r="E181" s="433"/>
      <c r="F181" s="220" t="str">
        <f t="shared" si="8"/>
        <v/>
      </c>
    </row>
    <row r="182" spans="2:6" ht="17.100000000000001" customHeight="1">
      <c r="B182" s="199">
        <v>740000</v>
      </c>
      <c r="C182" s="205" t="s">
        <v>431</v>
      </c>
      <c r="D182" s="431">
        <f>D183+D191</f>
        <v>36650</v>
      </c>
      <c r="E182" s="431">
        <f>E183+E191</f>
        <v>137193</v>
      </c>
      <c r="F182" s="183">
        <f t="shared" si="8"/>
        <v>374.33287858117325</v>
      </c>
    </row>
    <row r="183" spans="2:6" ht="26.25">
      <c r="B183" s="208">
        <v>741000</v>
      </c>
      <c r="C183" s="207" t="s">
        <v>432</v>
      </c>
      <c r="D183" s="432">
        <f t="shared" ref="D183:E184" si="15">D184</f>
        <v>5150</v>
      </c>
      <c r="E183" s="432">
        <f t="shared" si="15"/>
        <v>5143</v>
      </c>
      <c r="F183" s="184">
        <f t="shared" si="8"/>
        <v>99.864077669902912</v>
      </c>
    </row>
    <row r="184" spans="2:6" ht="25.5">
      <c r="B184" s="119">
        <v>741100</v>
      </c>
      <c r="C184" s="177" t="s">
        <v>433</v>
      </c>
      <c r="D184" s="438">
        <f t="shared" si="15"/>
        <v>5150</v>
      </c>
      <c r="E184" s="438">
        <f t="shared" si="15"/>
        <v>5143</v>
      </c>
      <c r="F184" s="107">
        <f t="shared" si="8"/>
        <v>99.864077669902912</v>
      </c>
    </row>
    <row r="185" spans="2:6" ht="15" customHeight="1">
      <c r="B185" s="115">
        <v>741111</v>
      </c>
      <c r="C185" s="168" t="s">
        <v>434</v>
      </c>
      <c r="D185" s="434">
        <f>SUM(D186:D190)</f>
        <v>5150</v>
      </c>
      <c r="E185" s="434">
        <f>SUM(E186:E190)</f>
        <v>5143</v>
      </c>
      <c r="F185" s="220">
        <f t="shared" si="8"/>
        <v>99.864077669902912</v>
      </c>
    </row>
    <row r="186" spans="2:6" ht="15" customHeight="1">
      <c r="B186" s="219"/>
      <c r="C186" s="176" t="s">
        <v>532</v>
      </c>
      <c r="D186" s="435">
        <v>0</v>
      </c>
      <c r="E186" s="435">
        <v>0</v>
      </c>
      <c r="F186" s="220" t="str">
        <f t="shared" si="8"/>
        <v/>
      </c>
    </row>
    <row r="187" spans="2:6" ht="15" customHeight="1">
      <c r="B187" s="219"/>
      <c r="C187" s="176" t="s">
        <v>615</v>
      </c>
      <c r="D187" s="435">
        <v>0</v>
      </c>
      <c r="E187" s="435">
        <v>0</v>
      </c>
      <c r="F187" s="220" t="str">
        <f t="shared" si="8"/>
        <v/>
      </c>
    </row>
    <row r="188" spans="2:6" ht="15" customHeight="1">
      <c r="B188" s="219"/>
      <c r="C188" s="176" t="s">
        <v>799</v>
      </c>
      <c r="D188" s="435">
        <v>5150</v>
      </c>
      <c r="E188" s="435">
        <v>5143</v>
      </c>
      <c r="F188" s="220">
        <f t="shared" si="8"/>
        <v>99.864077669902912</v>
      </c>
    </row>
    <row r="189" spans="2:6" ht="15" customHeight="1">
      <c r="B189" s="219"/>
      <c r="C189" s="176" t="s">
        <v>638</v>
      </c>
      <c r="D189" s="435">
        <v>0</v>
      </c>
      <c r="E189" s="435">
        <v>0</v>
      </c>
      <c r="F189" s="220" t="str">
        <f t="shared" si="8"/>
        <v/>
      </c>
    </row>
    <row r="190" spans="2:6" ht="15" customHeight="1">
      <c r="B190" s="219"/>
      <c r="C190" s="176" t="s">
        <v>639</v>
      </c>
      <c r="D190" s="435">
        <v>0</v>
      </c>
      <c r="E190" s="435">
        <v>0</v>
      </c>
      <c r="F190" s="220" t="str">
        <f t="shared" si="8"/>
        <v/>
      </c>
    </row>
    <row r="191" spans="2:6" ht="25.5" customHeight="1">
      <c r="B191" s="208">
        <v>742000</v>
      </c>
      <c r="C191" s="207" t="s">
        <v>435</v>
      </c>
      <c r="D191" s="432">
        <f>D192+D204</f>
        <v>31500</v>
      </c>
      <c r="E191" s="432">
        <f>E192+E204</f>
        <v>132050</v>
      </c>
      <c r="F191" s="184">
        <f t="shared" si="8"/>
        <v>419.20634920634922</v>
      </c>
    </row>
    <row r="192" spans="2:6" ht="15" customHeight="1">
      <c r="B192" s="119">
        <v>742100</v>
      </c>
      <c r="C192" s="177" t="s">
        <v>436</v>
      </c>
      <c r="D192" s="438">
        <f>D193+D194+D202</f>
        <v>26500</v>
      </c>
      <c r="E192" s="438">
        <f>E193+E194+E202</f>
        <v>126500</v>
      </c>
      <c r="F192" s="107">
        <f t="shared" si="8"/>
        <v>477.35849056603774</v>
      </c>
    </row>
    <row r="193" spans="2:10" ht="15" customHeight="1">
      <c r="B193" s="115">
        <v>742111</v>
      </c>
      <c r="C193" s="168" t="s">
        <v>545</v>
      </c>
      <c r="D193" s="434">
        <v>0</v>
      </c>
      <c r="E193" s="434">
        <v>0</v>
      </c>
      <c r="F193" s="220" t="str">
        <f t="shared" si="8"/>
        <v/>
      </c>
    </row>
    <row r="194" spans="2:10" ht="15" customHeight="1">
      <c r="B194" s="115">
        <v>742112</v>
      </c>
      <c r="C194" s="168" t="s">
        <v>437</v>
      </c>
      <c r="D194" s="434">
        <f>SUM(D195:D201)</f>
        <v>21500</v>
      </c>
      <c r="E194" s="434">
        <f>SUM(E195:E201)</f>
        <v>121500</v>
      </c>
      <c r="F194" s="220">
        <f t="shared" si="8"/>
        <v>565.11627906976742</v>
      </c>
    </row>
    <row r="195" spans="2:10" ht="15" customHeight="1">
      <c r="B195" s="109"/>
      <c r="C195" s="176" t="s">
        <v>602</v>
      </c>
      <c r="D195" s="435">
        <v>0</v>
      </c>
      <c r="E195" s="435">
        <v>0</v>
      </c>
      <c r="F195" s="220" t="str">
        <f t="shared" si="8"/>
        <v/>
      </c>
    </row>
    <row r="196" spans="2:10" ht="25.5">
      <c r="B196" s="109"/>
      <c r="C196" s="176" t="s">
        <v>527</v>
      </c>
      <c r="D196" s="435">
        <v>0</v>
      </c>
      <c r="E196" s="435">
        <v>0</v>
      </c>
      <c r="F196" s="220" t="str">
        <f t="shared" si="8"/>
        <v/>
      </c>
    </row>
    <row r="197" spans="2:10" s="538" customFormat="1" ht="25.5">
      <c r="B197" s="109"/>
      <c r="C197" s="176" t="s">
        <v>824</v>
      </c>
      <c r="D197" s="435">
        <v>0</v>
      </c>
      <c r="E197" s="435">
        <v>100000</v>
      </c>
      <c r="F197" s="220" t="str">
        <f t="shared" ref="F197" si="16">IF(D197=0,"",E197/D197*100)</f>
        <v/>
      </c>
      <c r="G197" s="164"/>
      <c r="H197" s="164"/>
      <c r="I197" s="164"/>
      <c r="J197" s="164"/>
    </row>
    <row r="198" spans="2:10" ht="25.5">
      <c r="B198" s="219"/>
      <c r="C198" s="176" t="s">
        <v>640</v>
      </c>
      <c r="D198" s="435">
        <v>0</v>
      </c>
      <c r="E198" s="435">
        <v>0</v>
      </c>
      <c r="F198" s="220" t="str">
        <f t="shared" si="8"/>
        <v/>
      </c>
    </row>
    <row r="199" spans="2:10" ht="25.5">
      <c r="B199" s="219"/>
      <c r="C199" s="176" t="s">
        <v>616</v>
      </c>
      <c r="D199" s="435">
        <v>11940</v>
      </c>
      <c r="E199" s="435">
        <v>11941</v>
      </c>
      <c r="F199" s="220">
        <f t="shared" si="8"/>
        <v>100.00837520938023</v>
      </c>
    </row>
    <row r="200" spans="2:10" s="527" customFormat="1" ht="25.5">
      <c r="B200" s="219"/>
      <c r="C200" s="176" t="s">
        <v>783</v>
      </c>
      <c r="D200" s="435">
        <v>4660</v>
      </c>
      <c r="E200" s="435">
        <v>4660</v>
      </c>
      <c r="F200" s="220">
        <f t="shared" si="8"/>
        <v>100</v>
      </c>
      <c r="G200" s="164"/>
      <c r="H200" s="164"/>
      <c r="I200" s="164"/>
      <c r="J200" s="164"/>
    </row>
    <row r="201" spans="2:10" s="527" customFormat="1" ht="25.5">
      <c r="B201" s="219"/>
      <c r="C201" s="176" t="s">
        <v>784</v>
      </c>
      <c r="D201" s="435">
        <v>4900</v>
      </c>
      <c r="E201" s="435">
        <v>4899</v>
      </c>
      <c r="F201" s="220">
        <f t="shared" si="8"/>
        <v>99.979591836734699</v>
      </c>
      <c r="G201" s="164"/>
      <c r="H201" s="164"/>
      <c r="I201" s="164"/>
      <c r="J201" s="164"/>
    </row>
    <row r="202" spans="2:10" s="538" customFormat="1" ht="15" customHeight="1">
      <c r="B202" s="115">
        <v>742114</v>
      </c>
      <c r="C202" s="168" t="s">
        <v>820</v>
      </c>
      <c r="D202" s="434">
        <f>D203</f>
        <v>5000</v>
      </c>
      <c r="E202" s="434">
        <f>E203</f>
        <v>5000</v>
      </c>
      <c r="F202" s="220">
        <f>IF(D202=0,"",E202/D202*100)</f>
        <v>100</v>
      </c>
      <c r="G202" s="164"/>
      <c r="H202" s="164"/>
      <c r="I202" s="164"/>
      <c r="J202" s="164"/>
    </row>
    <row r="203" spans="2:10" s="538" customFormat="1" ht="15" customHeight="1">
      <c r="B203" s="109"/>
      <c r="C203" s="176" t="s">
        <v>821</v>
      </c>
      <c r="D203" s="435">
        <v>5000</v>
      </c>
      <c r="E203" s="435">
        <v>5000</v>
      </c>
      <c r="F203" s="220">
        <f>IF(D203=0,"",E203/D203*100)</f>
        <v>100</v>
      </c>
      <c r="G203" s="164"/>
      <c r="H203" s="164"/>
      <c r="I203" s="164"/>
      <c r="J203" s="164"/>
    </row>
    <row r="204" spans="2:10" ht="15" customHeight="1">
      <c r="B204" s="119">
        <v>742200</v>
      </c>
      <c r="C204" s="177" t="s">
        <v>641</v>
      </c>
      <c r="D204" s="438">
        <f>D205</f>
        <v>5000</v>
      </c>
      <c r="E204" s="438">
        <f>E205</f>
        <v>5550</v>
      </c>
      <c r="F204" s="107">
        <f t="shared" si="8"/>
        <v>111.00000000000001</v>
      </c>
    </row>
    <row r="205" spans="2:10" ht="15" customHeight="1">
      <c r="B205" s="115">
        <v>742212</v>
      </c>
      <c r="C205" s="168" t="s">
        <v>642</v>
      </c>
      <c r="D205" s="434">
        <f>SUM(D206:D210)</f>
        <v>5000</v>
      </c>
      <c r="E205" s="434">
        <f>SUM(E206:E210)</f>
        <v>5550</v>
      </c>
      <c r="F205" s="220">
        <f t="shared" si="8"/>
        <v>111.00000000000001</v>
      </c>
    </row>
    <row r="206" spans="2:10" ht="15" customHeight="1">
      <c r="B206" s="109"/>
      <c r="C206" s="176" t="s">
        <v>643</v>
      </c>
      <c r="D206" s="435">
        <v>0</v>
      </c>
      <c r="E206" s="435">
        <v>0</v>
      </c>
      <c r="F206" s="220" t="str">
        <f t="shared" ref="F206:F226" si="17">IF(D206=0,"",E206/D206*100)</f>
        <v/>
      </c>
    </row>
    <row r="207" spans="2:10" ht="15" customHeight="1">
      <c r="B207" s="109"/>
      <c r="C207" s="176" t="s">
        <v>644</v>
      </c>
      <c r="D207" s="435">
        <v>0</v>
      </c>
      <c r="E207" s="435">
        <v>0</v>
      </c>
      <c r="F207" s="220" t="str">
        <f t="shared" si="17"/>
        <v/>
      </c>
    </row>
    <row r="208" spans="2:10" s="534" customFormat="1" ht="15" customHeight="1">
      <c r="B208" s="109"/>
      <c r="C208" s="176" t="s">
        <v>819</v>
      </c>
      <c r="D208" s="435">
        <v>0</v>
      </c>
      <c r="E208" s="435">
        <v>550</v>
      </c>
      <c r="F208" s="220" t="str">
        <f t="shared" ref="F208:F209" si="18">IF(D208=0,"",E208/D208*100)</f>
        <v/>
      </c>
      <c r="G208" s="164"/>
      <c r="H208" s="164"/>
      <c r="I208" s="164"/>
      <c r="J208" s="164"/>
    </row>
    <row r="209" spans="2:10" s="534" customFormat="1" ht="15" customHeight="1">
      <c r="B209" s="109"/>
      <c r="C209" s="176" t="s">
        <v>818</v>
      </c>
      <c r="D209" s="435">
        <v>3000</v>
      </c>
      <c r="E209" s="435">
        <v>3000</v>
      </c>
      <c r="F209" s="220">
        <f t="shared" si="18"/>
        <v>100</v>
      </c>
      <c r="G209" s="164"/>
      <c r="H209" s="164"/>
      <c r="I209" s="164"/>
      <c r="J209" s="164"/>
    </row>
    <row r="210" spans="2:10" s="534" customFormat="1" ht="15" customHeight="1">
      <c r="B210" s="109"/>
      <c r="C210" s="176" t="s">
        <v>817</v>
      </c>
      <c r="D210" s="435">
        <v>2000</v>
      </c>
      <c r="E210" s="435">
        <v>2000</v>
      </c>
      <c r="F210" s="220">
        <f t="shared" ref="F210" si="19">IF(D210=0,"",E210/D210*100)</f>
        <v>100</v>
      </c>
      <c r="G210" s="164"/>
      <c r="H210" s="164"/>
      <c r="I210" s="164"/>
      <c r="J210" s="164"/>
    </row>
    <row r="211" spans="2:10">
      <c r="B211" s="109"/>
      <c r="C211" s="176"/>
      <c r="D211" s="435"/>
      <c r="E211" s="435"/>
      <c r="F211" s="220" t="str">
        <f t="shared" si="17"/>
        <v/>
      </c>
    </row>
    <row r="212" spans="2:10" ht="17.100000000000001" customHeight="1">
      <c r="B212" s="199">
        <v>777000</v>
      </c>
      <c r="C212" s="200" t="s">
        <v>374</v>
      </c>
      <c r="D212" s="432">
        <f>SUM(D213:D214)</f>
        <v>11000</v>
      </c>
      <c r="E212" s="432">
        <f>SUM(E213:E214)</f>
        <v>1278</v>
      </c>
      <c r="F212" s="194">
        <f t="shared" si="17"/>
        <v>11.618181818181817</v>
      </c>
    </row>
    <row r="213" spans="2:10" ht="15" customHeight="1">
      <c r="B213" s="106">
        <v>777778</v>
      </c>
      <c r="C213" s="174" t="s">
        <v>375</v>
      </c>
      <c r="D213" s="434">
        <v>10950</v>
      </c>
      <c r="E213" s="434">
        <v>1278</v>
      </c>
      <c r="F213" s="220">
        <f t="shared" si="17"/>
        <v>11.671232876712329</v>
      </c>
    </row>
    <row r="214" spans="2:10" ht="15" customHeight="1">
      <c r="B214" s="106">
        <v>777779</v>
      </c>
      <c r="C214" s="168" t="s">
        <v>376</v>
      </c>
      <c r="D214" s="435">
        <v>50</v>
      </c>
      <c r="E214" s="435">
        <v>0</v>
      </c>
      <c r="F214" s="220">
        <f t="shared" si="17"/>
        <v>0</v>
      </c>
    </row>
    <row r="215" spans="2:10" ht="15" customHeight="1">
      <c r="B215" s="63"/>
      <c r="C215" s="64"/>
      <c r="D215" s="435"/>
      <c r="E215" s="435"/>
      <c r="F215" s="220" t="str">
        <f t="shared" si="17"/>
        <v/>
      </c>
    </row>
    <row r="216" spans="2:10" ht="15" customHeight="1">
      <c r="B216" s="578" t="s">
        <v>389</v>
      </c>
      <c r="C216" s="579"/>
      <c r="D216" s="440">
        <f>D151+D153+D182+D212</f>
        <v>41254070</v>
      </c>
      <c r="E216" s="440">
        <f>E151+E153+E182+E212</f>
        <v>32058655</v>
      </c>
      <c r="F216" s="187">
        <f t="shared" si="17"/>
        <v>77.710284100453606</v>
      </c>
    </row>
    <row r="217" spans="2:10" ht="15" customHeight="1">
      <c r="B217" s="124"/>
      <c r="C217" s="125"/>
      <c r="D217" s="440"/>
      <c r="E217" s="440"/>
      <c r="F217" s="220" t="str">
        <f t="shared" si="17"/>
        <v/>
      </c>
    </row>
    <row r="218" spans="2:10" ht="17.100000000000001" customHeight="1">
      <c r="B218" s="199">
        <v>810000</v>
      </c>
      <c r="C218" s="200" t="s">
        <v>377</v>
      </c>
      <c r="D218" s="431">
        <f>D219</f>
        <v>0</v>
      </c>
      <c r="E218" s="431">
        <f>E219</f>
        <v>5436</v>
      </c>
      <c r="F218" s="184" t="str">
        <f t="shared" si="17"/>
        <v/>
      </c>
    </row>
    <row r="219" spans="2:10" ht="17.100000000000001" customHeight="1">
      <c r="B219" s="206">
        <v>811000</v>
      </c>
      <c r="C219" s="207" t="s">
        <v>379</v>
      </c>
      <c r="D219" s="432">
        <f>SUM(D220:D220)</f>
        <v>0</v>
      </c>
      <c r="E219" s="432">
        <f>SUM(E220:E220)</f>
        <v>5436</v>
      </c>
      <c r="F219" s="184" t="str">
        <f t="shared" si="17"/>
        <v/>
      </c>
    </row>
    <row r="220" spans="2:10" ht="15" customHeight="1">
      <c r="B220" s="119">
        <v>811100</v>
      </c>
      <c r="C220" s="123" t="s">
        <v>378</v>
      </c>
      <c r="D220" s="436">
        <f>D221+D223</f>
        <v>0</v>
      </c>
      <c r="E220" s="436">
        <f>E221+E223</f>
        <v>5436</v>
      </c>
      <c r="F220" s="107" t="str">
        <f t="shared" si="17"/>
        <v/>
      </c>
    </row>
    <row r="221" spans="2:10" ht="15" customHeight="1">
      <c r="B221" s="106">
        <v>811111</v>
      </c>
      <c r="C221" s="174" t="s">
        <v>536</v>
      </c>
      <c r="D221" s="434">
        <v>0</v>
      </c>
      <c r="E221" s="434">
        <f>E222</f>
        <v>4080</v>
      </c>
      <c r="F221" s="220" t="str">
        <f t="shared" si="17"/>
        <v/>
      </c>
    </row>
    <row r="222" spans="2:10" s="538" customFormat="1" ht="15" customHeight="1">
      <c r="B222" s="106"/>
      <c r="C222" s="176" t="s">
        <v>822</v>
      </c>
      <c r="D222" s="434">
        <v>0</v>
      </c>
      <c r="E222" s="434">
        <v>4080</v>
      </c>
      <c r="F222" s="220" t="str">
        <f t="shared" ref="F222" si="20">IF(D222=0,"",E222/D222*100)</f>
        <v/>
      </c>
      <c r="G222" s="164"/>
      <c r="H222" s="164"/>
      <c r="I222" s="164"/>
      <c r="J222" s="164"/>
    </row>
    <row r="223" spans="2:10" ht="15" customHeight="1">
      <c r="B223" s="106">
        <v>811114</v>
      </c>
      <c r="C223" s="168" t="s">
        <v>537</v>
      </c>
      <c r="D223" s="434">
        <v>0</v>
      </c>
      <c r="E223" s="434">
        <v>1356</v>
      </c>
      <c r="F223" s="220" t="str">
        <f t="shared" si="17"/>
        <v/>
      </c>
    </row>
    <row r="224" spans="2:10" ht="15" customHeight="1">
      <c r="B224" s="106"/>
      <c r="C224" s="176" t="s">
        <v>646</v>
      </c>
      <c r="D224" s="434">
        <v>0</v>
      </c>
      <c r="E224" s="434">
        <v>0</v>
      </c>
      <c r="F224" s="220" t="str">
        <f t="shared" si="17"/>
        <v/>
      </c>
    </row>
    <row r="225" spans="2:6" ht="15" customHeight="1" thickBot="1">
      <c r="B225" s="144"/>
      <c r="C225" s="145"/>
      <c r="D225" s="441"/>
      <c r="E225" s="441"/>
      <c r="F225" s="221" t="str">
        <f t="shared" si="17"/>
        <v/>
      </c>
    </row>
    <row r="226" spans="2:6" ht="17.100000000000001" customHeight="1" thickBot="1">
      <c r="B226" s="580" t="s">
        <v>438</v>
      </c>
      <c r="C226" s="581"/>
      <c r="D226" s="442">
        <f>D216+D218</f>
        <v>41254070</v>
      </c>
      <c r="E226" s="442">
        <f>E216+E218</f>
        <v>32064091</v>
      </c>
      <c r="F226" s="188">
        <f t="shared" si="17"/>
        <v>77.723460982152787</v>
      </c>
    </row>
    <row r="229" spans="2:6">
      <c r="D229" s="65"/>
    </row>
  </sheetData>
  <mergeCells count="4">
    <mergeCell ref="B2:F2"/>
    <mergeCell ref="B151:C151"/>
    <mergeCell ref="B216:C216"/>
    <mergeCell ref="B226:C226"/>
  </mergeCells>
  <pageMargins left="0.91" right="0.31496062992125984" top="0.57999999999999996" bottom="0.51181102362204722" header="0.57999999999999996" footer="0.31496062992125984"/>
  <pageSetup paperSize="9" scale="88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S119"/>
  <sheetViews>
    <sheetView topLeftCell="C13" zoomScaleNormal="100" workbookViewId="0">
      <selection activeCell="L47" sqref="L47"/>
    </sheetView>
  </sheetViews>
  <sheetFormatPr defaultRowHeight="12" customHeight="1"/>
  <cols>
    <col min="1" max="1" width="0.5703125" style="9" hidden="1" customWidth="1"/>
    <col min="2" max="2" width="5.7109375" style="9" hidden="1" customWidth="1"/>
    <col min="3" max="3" width="9.7109375" style="17" customWidth="1"/>
    <col min="4" max="4" width="7.42578125" style="289" customWidth="1"/>
    <col min="5" max="5" width="54" style="9" customWidth="1"/>
    <col min="6" max="7" width="12.7109375" style="284" customWidth="1"/>
    <col min="8" max="8" width="14.7109375" style="9" customWidth="1"/>
    <col min="9" max="10" width="12.7109375" style="284" customWidth="1"/>
    <col min="11" max="11" width="14.7109375" style="284" customWidth="1"/>
    <col min="12" max="12" width="7.85546875" style="82" customWidth="1"/>
    <col min="13" max="13" width="9.140625" style="9"/>
    <col min="14" max="14" width="13.140625" style="9" bestFit="1" customWidth="1"/>
    <col min="15" max="16" width="10.140625" style="9" bestFit="1" customWidth="1"/>
    <col min="17" max="16384" width="9.140625" style="9"/>
  </cols>
  <sheetData>
    <row r="2" spans="2:16" ht="2.25" customHeight="1"/>
    <row r="3" spans="2:16" s="1" customFormat="1" ht="30.75" customHeight="1" thickBot="1">
      <c r="C3" s="584" t="s">
        <v>77</v>
      </c>
      <c r="D3" s="584"/>
      <c r="E3" s="584"/>
      <c r="F3" s="369"/>
      <c r="G3" s="369"/>
      <c r="H3" s="582"/>
      <c r="I3" s="582"/>
      <c r="J3" s="582"/>
      <c r="K3" s="582"/>
      <c r="L3" s="583"/>
    </row>
    <row r="4" spans="2:16" s="1" customFormat="1" ht="39.75" customHeight="1">
      <c r="B4" s="3" t="s">
        <v>78</v>
      </c>
      <c r="C4" s="590" t="s">
        <v>594</v>
      </c>
      <c r="D4" s="592" t="s">
        <v>653</v>
      </c>
      <c r="E4" s="594" t="s">
        <v>80</v>
      </c>
      <c r="F4" s="587" t="s">
        <v>647</v>
      </c>
      <c r="G4" s="588"/>
      <c r="H4" s="589"/>
      <c r="I4" s="587" t="s">
        <v>826</v>
      </c>
      <c r="J4" s="588"/>
      <c r="K4" s="589"/>
      <c r="L4" s="596" t="s">
        <v>804</v>
      </c>
    </row>
    <row r="5" spans="2:16" s="281" customFormat="1" ht="28.5" customHeight="1">
      <c r="B5" s="373"/>
      <c r="C5" s="591"/>
      <c r="D5" s="593"/>
      <c r="E5" s="595"/>
      <c r="F5" s="410" t="s">
        <v>705</v>
      </c>
      <c r="G5" s="410" t="s">
        <v>706</v>
      </c>
      <c r="H5" s="382" t="s">
        <v>413</v>
      </c>
      <c r="I5" s="410" t="s">
        <v>705</v>
      </c>
      <c r="J5" s="410" t="s">
        <v>706</v>
      </c>
      <c r="K5" s="382" t="s">
        <v>413</v>
      </c>
      <c r="L5" s="597"/>
    </row>
    <row r="6" spans="2:16" s="2" customFormat="1" ht="14.1" customHeight="1">
      <c r="B6" s="4">
        <v>1</v>
      </c>
      <c r="C6" s="504">
        <v>1</v>
      </c>
      <c r="D6" s="317"/>
      <c r="E6" s="331">
        <v>2</v>
      </c>
      <c r="F6" s="331">
        <v>3</v>
      </c>
      <c r="G6" s="331">
        <v>4</v>
      </c>
      <c r="H6" s="506" t="s">
        <v>801</v>
      </c>
      <c r="I6" s="331">
        <v>6</v>
      </c>
      <c r="J6" s="331">
        <v>7</v>
      </c>
      <c r="K6" s="506" t="s">
        <v>708</v>
      </c>
      <c r="L6" s="505">
        <v>9</v>
      </c>
    </row>
    <row r="7" spans="2:16" s="2" customFormat="1" ht="15" customHeight="1">
      <c r="B7" s="4"/>
      <c r="C7" s="415"/>
      <c r="D7" s="416"/>
      <c r="E7" s="417" t="s">
        <v>159</v>
      </c>
      <c r="F7" s="418">
        <f t="shared" ref="F7:H7" si="0">F9+F15+F21+F24+F46+F91+F94+F99+F105</f>
        <v>38977250</v>
      </c>
      <c r="G7" s="418">
        <f t="shared" si="0"/>
        <v>2271250</v>
      </c>
      <c r="H7" s="389">
        <f t="shared" si="0"/>
        <v>41248500</v>
      </c>
      <c r="I7" s="418">
        <f t="shared" ref="I7:J7" si="1">I9+I15+I21+I24+I46+I91+I94+I99+I105</f>
        <v>26812512</v>
      </c>
      <c r="J7" s="418">
        <f t="shared" si="1"/>
        <v>506445</v>
      </c>
      <c r="K7" s="389">
        <f t="shared" ref="K7" si="2">K9+K15+K21+K24+K46+K91+K94+K99+K105</f>
        <v>27318957</v>
      </c>
      <c r="L7" s="419">
        <f>IF(H7=0,"",K7/H7*100)</f>
        <v>66.23018291574239</v>
      </c>
      <c r="N7" s="142"/>
    </row>
    <row r="8" spans="2:16" s="2" customFormat="1" ht="9" customHeight="1">
      <c r="B8" s="4"/>
      <c r="C8" s="4"/>
      <c r="D8" s="317"/>
      <c r="E8" s="19"/>
      <c r="F8" s="278"/>
      <c r="G8" s="278"/>
      <c r="H8" s="389"/>
      <c r="I8" s="278"/>
      <c r="J8" s="278"/>
      <c r="K8" s="389"/>
      <c r="L8" s="89" t="str">
        <f t="shared" ref="L8:L71" si="3">IF(H8=0,"",K8/H8*100)</f>
        <v/>
      </c>
      <c r="N8" s="81"/>
    </row>
    <row r="9" spans="2:16" s="2" customFormat="1" ht="15" customHeight="1">
      <c r="B9" s="4"/>
      <c r="C9" s="420">
        <v>600000</v>
      </c>
      <c r="D9" s="421"/>
      <c r="E9" s="417" t="s">
        <v>120</v>
      </c>
      <c r="F9" s="418">
        <f t="shared" ref="F9:K9" si="4">F10+F11+F12+F13</f>
        <v>460000</v>
      </c>
      <c r="G9" s="418">
        <f t="shared" si="4"/>
        <v>0</v>
      </c>
      <c r="H9" s="389">
        <f t="shared" si="4"/>
        <v>460000</v>
      </c>
      <c r="I9" s="418">
        <f t="shared" ref="I9:J9" si="5">I10+I11+I12+I13</f>
        <v>393416</v>
      </c>
      <c r="J9" s="418">
        <f t="shared" si="5"/>
        <v>0</v>
      </c>
      <c r="K9" s="389">
        <f t="shared" si="4"/>
        <v>393416</v>
      </c>
      <c r="L9" s="419">
        <f t="shared" si="3"/>
        <v>85.525217391304338</v>
      </c>
      <c r="N9" s="142"/>
    </row>
    <row r="10" spans="2:16" s="2" customFormat="1" ht="15" customHeight="1">
      <c r="B10" s="4"/>
      <c r="C10" s="236">
        <v>600000</v>
      </c>
      <c r="D10" s="319"/>
      <c r="E10" s="35" t="s">
        <v>97</v>
      </c>
      <c r="F10" s="217">
        <f>'3'!H9</f>
        <v>400000</v>
      </c>
      <c r="G10" s="217">
        <f>'3'!I9</f>
        <v>0</v>
      </c>
      <c r="H10" s="411">
        <f>'3'!J9</f>
        <v>400000</v>
      </c>
      <c r="I10" s="217">
        <f>'3'!K9</f>
        <v>350716</v>
      </c>
      <c r="J10" s="217">
        <f>'3'!L9</f>
        <v>0</v>
      </c>
      <c r="K10" s="411">
        <f>SUM(I10:J10)</f>
        <v>350716</v>
      </c>
      <c r="L10" s="89">
        <f t="shared" si="3"/>
        <v>87.679000000000002</v>
      </c>
      <c r="P10" s="81"/>
    </row>
    <row r="11" spans="2:16" s="2" customFormat="1" ht="15" customHeight="1">
      <c r="B11" s="4"/>
      <c r="C11" s="236">
        <v>600000</v>
      </c>
      <c r="D11" s="319"/>
      <c r="E11" s="35" t="s">
        <v>98</v>
      </c>
      <c r="F11" s="38">
        <f>'3'!H10</f>
        <v>30000</v>
      </c>
      <c r="G11" s="38">
        <f>'3'!I10</f>
        <v>0</v>
      </c>
      <c r="H11" s="411">
        <f>'3'!J10</f>
        <v>30000</v>
      </c>
      <c r="I11" s="38">
        <f>'3'!K10</f>
        <v>21200</v>
      </c>
      <c r="J11" s="38">
        <f>'3'!L10</f>
        <v>0</v>
      </c>
      <c r="K11" s="411">
        <f t="shared" ref="K11:K13" si="6">SUM(I11:J11)</f>
        <v>21200</v>
      </c>
      <c r="L11" s="89">
        <f t="shared" si="3"/>
        <v>70.666666666666671</v>
      </c>
      <c r="O11" s="81"/>
    </row>
    <row r="12" spans="2:16" s="2" customFormat="1" ht="15" customHeight="1">
      <c r="B12" s="4"/>
      <c r="C12" s="236">
        <v>600000</v>
      </c>
      <c r="D12" s="319"/>
      <c r="E12" s="35" t="s">
        <v>121</v>
      </c>
      <c r="F12" s="38">
        <f>'3'!H11</f>
        <v>15000</v>
      </c>
      <c r="G12" s="38">
        <f>'3'!I11</f>
        <v>0</v>
      </c>
      <c r="H12" s="411">
        <f>'3'!J11</f>
        <v>15000</v>
      </c>
      <c r="I12" s="38">
        <f>'3'!K11</f>
        <v>14800</v>
      </c>
      <c r="J12" s="38">
        <f>'3'!L11</f>
        <v>0</v>
      </c>
      <c r="K12" s="411">
        <f t="shared" si="6"/>
        <v>14800</v>
      </c>
      <c r="L12" s="89">
        <f t="shared" si="3"/>
        <v>98.666666666666671</v>
      </c>
      <c r="P12" s="81"/>
    </row>
    <row r="13" spans="2:16" s="2" customFormat="1" ht="15" customHeight="1">
      <c r="B13" s="4"/>
      <c r="C13" s="236">
        <v>600000</v>
      </c>
      <c r="D13" s="319"/>
      <c r="E13" s="35" t="s">
        <v>109</v>
      </c>
      <c r="F13" s="38">
        <f>'16'!H9</f>
        <v>15000</v>
      </c>
      <c r="G13" s="38">
        <f>'16'!I9</f>
        <v>0</v>
      </c>
      <c r="H13" s="411">
        <f>'16'!J9</f>
        <v>15000</v>
      </c>
      <c r="I13" s="38">
        <f>'16'!K9</f>
        <v>6700</v>
      </c>
      <c r="J13" s="38">
        <f>'16'!L9</f>
        <v>0</v>
      </c>
      <c r="K13" s="411">
        <f t="shared" si="6"/>
        <v>6700</v>
      </c>
      <c r="L13" s="89">
        <f t="shared" si="3"/>
        <v>44.666666666666664</v>
      </c>
    </row>
    <row r="14" spans="2:16" s="2" customFormat="1" ht="10.5" customHeight="1">
      <c r="B14" s="4"/>
      <c r="C14" s="236"/>
      <c r="D14" s="319"/>
      <c r="E14" s="35"/>
      <c r="F14" s="297"/>
      <c r="G14" s="297"/>
      <c r="H14" s="389"/>
      <c r="I14" s="297"/>
      <c r="J14" s="297"/>
      <c r="K14" s="389"/>
      <c r="L14" s="89" t="str">
        <f t="shared" si="3"/>
        <v/>
      </c>
    </row>
    <row r="15" spans="2:16" s="1" customFormat="1" ht="15" customHeight="1">
      <c r="B15" s="6"/>
      <c r="C15" s="420">
        <v>611000</v>
      </c>
      <c r="D15" s="421"/>
      <c r="E15" s="422" t="s">
        <v>163</v>
      </c>
      <c r="F15" s="423">
        <f t="shared" ref="F15:K15" si="7">F16+F17</f>
        <v>21500940</v>
      </c>
      <c r="G15" s="423">
        <f t="shared" si="7"/>
        <v>0</v>
      </c>
      <c r="H15" s="387">
        <f t="shared" si="7"/>
        <v>21500940</v>
      </c>
      <c r="I15" s="423">
        <f t="shared" ref="I15:J15" si="8">I16+I17</f>
        <v>15602041</v>
      </c>
      <c r="J15" s="423">
        <f t="shared" si="8"/>
        <v>0</v>
      </c>
      <c r="K15" s="387">
        <f t="shared" si="7"/>
        <v>15602041</v>
      </c>
      <c r="L15" s="424">
        <f t="shared" si="3"/>
        <v>72.564459972447708</v>
      </c>
      <c r="N15" s="58"/>
      <c r="O15" s="58"/>
    </row>
    <row r="16" spans="2:16" ht="15" customHeight="1">
      <c r="B16" s="10"/>
      <c r="C16" s="237">
        <v>611100</v>
      </c>
      <c r="D16" s="319"/>
      <c r="E16" s="18" t="s">
        <v>198</v>
      </c>
      <c r="F16" s="291">
        <f>'1'!H9+'3'!H14+'4'!H9+'5'!H9+'6'!H9+'8'!H9+'9'!H9+'10'!H9+'11'!H9+'12'!H9+'13'!H9+'14'!H9+'15'!H9+'16'!H12+'17'!H9+'18'!H9+'19'!H9+'20'!H9+'22'!H9+'23'!H9+'21'!H9+'24'!H9+'25'!H9+'26'!H9+'27'!H9+'28'!H9+'29'!H9+'30'!H9+'31'!H9+'32'!H9+'33'!H9+'34'!H9+'35'!H9+'36'!H9+'37'!H9+'7'!H9</f>
        <v>17704390</v>
      </c>
      <c r="G16" s="291">
        <f>'1'!I9+'3'!I14+'4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0</v>
      </c>
      <c r="H16" s="386">
        <f>'1'!J9+'3'!J14+'4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17704390</v>
      </c>
      <c r="I16" s="291">
        <f>'1'!K9+'3'!K14+'4'!K9+'5'!K9+'6'!K9+'8'!K9+'9'!K9+'10'!K9+'11'!K9+'12'!K9+'13'!K9+'14'!K9+'15'!K9+'16'!K12+'17'!K9+'18'!K9+'19'!K9+'20'!K9+'22'!K9+'23'!K9+'21'!K9+'24'!K9+'25'!K9+'26'!K9+'27'!K9+'28'!K9+'29'!K9+'30'!K9+'31'!K9+'32'!K9+'33'!K9+'34'!K9+'35'!K9+'36'!K9+'37'!K9+'7'!K9</f>
        <v>12991086</v>
      </c>
      <c r="J16" s="291">
        <f>'1'!L9+'3'!L14+'4'!L9+'5'!L9+'6'!L9+'8'!L9+'9'!L9+'10'!L9+'11'!L9+'12'!L9+'13'!L9+'14'!L9+'15'!L9+'16'!L12+'17'!L9+'18'!L9+'19'!L9+'20'!L9+'22'!L9+'23'!L9+'21'!L9+'24'!L9+'25'!L9+'26'!L9+'27'!L9+'28'!L9+'29'!L9+'30'!L9+'31'!L9+'32'!L9+'33'!L9+'34'!L9+'35'!L9+'36'!L9+'37'!L9+'7'!L9</f>
        <v>0</v>
      </c>
      <c r="K16" s="386">
        <f>SUM(I16:J16)</f>
        <v>12991086</v>
      </c>
      <c r="L16" s="89">
        <f t="shared" si="3"/>
        <v>73.37776675728449</v>
      </c>
      <c r="N16" s="57"/>
    </row>
    <row r="17" spans="2:15" ht="15" customHeight="1">
      <c r="B17" s="10"/>
      <c r="C17" s="237">
        <v>611200</v>
      </c>
      <c r="D17" s="319"/>
      <c r="E17" s="18" t="s">
        <v>199</v>
      </c>
      <c r="F17" s="291">
        <f t="shared" ref="F17:G17" si="9">F18+F19</f>
        <v>3796550</v>
      </c>
      <c r="G17" s="291">
        <f t="shared" si="9"/>
        <v>0</v>
      </c>
      <c r="H17" s="386">
        <f t="shared" ref="H17:J17" si="10">H18+H19</f>
        <v>3796550</v>
      </c>
      <c r="I17" s="291">
        <f t="shared" si="10"/>
        <v>2610955</v>
      </c>
      <c r="J17" s="291">
        <f t="shared" si="10"/>
        <v>0</v>
      </c>
      <c r="K17" s="386">
        <f t="shared" ref="K17:K19" si="11">SUM(I17:J17)</f>
        <v>2610955</v>
      </c>
      <c r="L17" s="89">
        <f t="shared" si="3"/>
        <v>68.771779642043427</v>
      </c>
      <c r="N17" s="57"/>
    </row>
    <row r="18" spans="2:15" ht="15" customHeight="1">
      <c r="B18" s="10"/>
      <c r="C18" s="238">
        <v>611200</v>
      </c>
      <c r="D18" s="320"/>
      <c r="E18" s="225" t="s">
        <v>199</v>
      </c>
      <c r="F18" s="300">
        <f>'1'!H10+'3'!H15+'4'!H10+'5'!H10+'6'!H10+'8'!H10+'9'!H10+'10'!H10+'11'!H10+'12'!H10+'13'!H10+'14'!H10+'15'!H10+'16'!H13+'17'!H10+'18'!H10+'19'!H10+'20'!H10+'22'!H10+'23'!H10+'21'!H10+'24'!H10+'25'!H10+'26'!H10+'27'!H10+'28'!H10+'29'!H10+'30'!H10+'31'!H10+'32'!H10+'33'!H10+'34'!H10+'35'!H10+'36'!H10+'37'!H10+'7'!H10</f>
        <v>3678290</v>
      </c>
      <c r="G18" s="300">
        <f>'1'!I10+'3'!I15+'4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0</v>
      </c>
      <c r="H18" s="412">
        <f>'1'!J10+'3'!J15+'4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3678290</v>
      </c>
      <c r="I18" s="300">
        <f>'1'!K10+'3'!K15+'4'!K10+'5'!K10+'6'!K10+'8'!K10+'9'!K10+'10'!K10+'11'!K10+'12'!K10+'13'!K10+'14'!K10+'15'!K10+'16'!K13+'17'!K10+'18'!K10+'19'!K10+'20'!K10+'22'!K10+'23'!K10+'21'!K10+'24'!K10+'25'!K10+'26'!K10+'27'!K10+'28'!K10+'29'!K10+'30'!K10+'31'!K10+'32'!K10+'33'!K10+'34'!K10+'35'!K10+'36'!K10+'37'!K10+'7'!K10</f>
        <v>2550149</v>
      </c>
      <c r="J18" s="300">
        <f>'1'!L10+'3'!L15+'4'!L10+'5'!L10+'6'!L10+'8'!L10+'9'!L10+'10'!L10+'11'!L10+'12'!L10+'13'!L10+'14'!L10+'15'!L10+'16'!L13+'17'!L10+'18'!L10+'19'!L10+'20'!L10+'22'!L10+'23'!L10+'21'!L10+'24'!L10+'25'!L10+'26'!L10+'27'!L10+'28'!L10+'29'!L10+'30'!L10+'31'!L10+'32'!L10+'33'!L10+'34'!L10+'35'!L10+'36'!L10+'37'!L10+'7'!L10</f>
        <v>0</v>
      </c>
      <c r="K18" s="539">
        <f t="shared" si="11"/>
        <v>2550149</v>
      </c>
      <c r="L18" s="226">
        <f t="shared" si="3"/>
        <v>69.329742896835214</v>
      </c>
      <c r="N18" s="57"/>
    </row>
    <row r="19" spans="2:15" ht="15" customHeight="1">
      <c r="B19" s="10"/>
      <c r="C19" s="238">
        <v>611200</v>
      </c>
      <c r="D19" s="320" t="s">
        <v>654</v>
      </c>
      <c r="E19" s="299" t="s">
        <v>812</v>
      </c>
      <c r="F19" s="300">
        <f>'1'!H11+'3'!H16+'4'!H11+'5'!H11+'6'!H11+'8'!H11+'9'!H11+'10'!H11+'11'!H11+'12'!H11+'13'!H11+'14'!H11+'15'!H11+'16'!H14+'17'!H11+'18'!H11+'19'!H11+'20'!H11+'22'!H11+'23'!H11+'21'!H11+'24'!H11+'25'!H11+'26'!H11+'27'!H11+'28'!H11+'29'!H11+'30'!H11+'31'!H11+'32'!H11+'33'!H11+'34'!H11+'35'!H11+'36'!H11+'37'!H11+'7'!H11</f>
        <v>118260</v>
      </c>
      <c r="G19" s="300">
        <f>'1'!I11+'3'!I16+'4'!I11+'5'!I11+'6'!I11+'8'!I11+'9'!I11+'10'!I11+'11'!I11+'12'!I11+'13'!I11+'14'!I11+'15'!I11+'16'!I14+'17'!I11+'18'!I11+'19'!I11+'20'!I11+'22'!I11+'23'!I11+'21'!I11+'24'!I11+'25'!I11+'26'!I11+'27'!I11+'28'!I11+'29'!I11+'30'!I11+'31'!I11+'32'!I11+'33'!I11+'34'!I11+'35'!I11+'36'!I11+'37'!I11+'7'!I11</f>
        <v>0</v>
      </c>
      <c r="H19" s="412">
        <f>'1'!J11+'3'!J16+'4'!J11+'5'!J11+'6'!J11+'8'!J11+'9'!J11+'10'!J11+'11'!J11+'12'!J11+'13'!J11+'14'!J11+'15'!J11+'16'!J14+'17'!J11+'18'!J11+'19'!J11+'20'!J11+'22'!J11+'23'!J11+'21'!J11+'24'!J11+'25'!J11+'26'!J11+'27'!J11+'28'!J11+'29'!J11+'30'!J11+'31'!J11+'32'!J11+'33'!J11+'34'!J11+'35'!J11+'36'!J11+'37'!J11+'7'!J11</f>
        <v>118260</v>
      </c>
      <c r="I19" s="300">
        <f>'1'!K11+'3'!K16+'4'!K11+'5'!K11+'6'!K11+'8'!K11+'9'!K11+'10'!K11+'11'!K11+'12'!K11+'13'!K11+'14'!K11+'15'!K11+'16'!K14+'17'!K11+'18'!K11+'19'!K11+'20'!K11+'22'!K11+'23'!K11+'21'!K11+'24'!K11+'25'!K11+'26'!K11+'27'!K11+'28'!K11+'29'!K11+'30'!K11+'31'!K11+'32'!K11+'33'!K11+'34'!K11+'35'!K11+'36'!K11+'37'!K11+'7'!K11</f>
        <v>60806</v>
      </c>
      <c r="J19" s="300">
        <f>'1'!L11+'3'!L16+'4'!L11+'5'!L11+'6'!L11+'8'!L11+'9'!L11+'10'!L11+'11'!L11+'12'!L11+'13'!L11+'14'!L11+'15'!L11+'16'!L14+'17'!L11+'18'!L11+'19'!L11+'20'!L11+'22'!L11+'23'!L11+'21'!L11+'24'!L11+'25'!L11+'26'!L11+'27'!L11+'28'!L11+'29'!L11+'30'!L11+'31'!L11+'32'!L11+'33'!L11+'34'!L11+'35'!L11+'36'!L11+'37'!L11+'7'!L11</f>
        <v>0</v>
      </c>
      <c r="K19" s="539">
        <f t="shared" si="11"/>
        <v>60806</v>
      </c>
      <c r="L19" s="226">
        <f t="shared" si="3"/>
        <v>51.417216303061053</v>
      </c>
      <c r="N19" s="57"/>
    </row>
    <row r="20" spans="2:15" ht="12.75" customHeight="1">
      <c r="B20" s="10"/>
      <c r="C20" s="237"/>
      <c r="D20" s="319"/>
      <c r="E20" s="11"/>
      <c r="F20" s="280"/>
      <c r="G20" s="280"/>
      <c r="H20" s="386"/>
      <c r="I20" s="280"/>
      <c r="J20" s="280"/>
      <c r="K20" s="386"/>
      <c r="L20" s="89" t="str">
        <f t="shared" si="3"/>
        <v/>
      </c>
      <c r="N20" s="57"/>
    </row>
    <row r="21" spans="2:15" ht="15" customHeight="1">
      <c r="B21" s="10"/>
      <c r="C21" s="420">
        <v>612000</v>
      </c>
      <c r="D21" s="421"/>
      <c r="E21" s="422" t="s">
        <v>162</v>
      </c>
      <c r="F21" s="423">
        <f t="shared" ref="F21:K21" si="12">F22</f>
        <v>2108270</v>
      </c>
      <c r="G21" s="423">
        <f t="shared" si="12"/>
        <v>0</v>
      </c>
      <c r="H21" s="387">
        <f t="shared" si="12"/>
        <v>2108270</v>
      </c>
      <c r="I21" s="423">
        <f t="shared" si="12"/>
        <v>1548857</v>
      </c>
      <c r="J21" s="423">
        <f t="shared" si="12"/>
        <v>0</v>
      </c>
      <c r="K21" s="387">
        <f t="shared" si="12"/>
        <v>1548857</v>
      </c>
      <c r="L21" s="424">
        <f t="shared" si="3"/>
        <v>73.465779999715409</v>
      </c>
      <c r="N21" s="57"/>
      <c r="O21" s="57"/>
    </row>
    <row r="22" spans="2:15" s="1" customFormat="1" ht="15" customHeight="1">
      <c r="B22" s="12"/>
      <c r="C22" s="237">
        <v>612100</v>
      </c>
      <c r="D22" s="319"/>
      <c r="E22" s="13" t="s">
        <v>83</v>
      </c>
      <c r="F22" s="291">
        <f>'1'!H14+'3'!H19+'4'!H14+'5'!H14+'6'!H14+'8'!H14+'9'!H14+'10'!H14+'11'!H14+'12'!H14+'13'!H14+'14'!H14+'15'!H14+'16'!H17+'17'!H14+'18'!H14+'19'!H14+'20'!H14+'22'!H14+'23'!H14+'21'!H14+'24'!H14+'25'!H14+'26'!H14+'27'!H14+'28'!H14+'29'!H14+'30'!H14+'31'!H14+'32'!H14+'33'!H14+'34'!H14+'35'!H14+'36'!H14+'37'!H14+'7'!H14</f>
        <v>2108270</v>
      </c>
      <c r="G22" s="291">
        <f>'1'!I14+'3'!I19+'4'!I14+'5'!I14+'6'!I14+'8'!I14+'9'!I14+'10'!I14+'11'!I14+'12'!I14+'13'!I14+'14'!I14+'15'!I14+'16'!I17+'17'!I14+'18'!I14+'19'!I14+'20'!I14+'22'!I14+'23'!I14+'21'!I14+'24'!I14+'25'!I14+'26'!I14+'27'!I14+'28'!I14+'29'!I14+'30'!I14+'31'!I14+'32'!I14+'33'!I14+'34'!I14+'35'!I14+'36'!I14+'37'!I14+'7'!I14</f>
        <v>0</v>
      </c>
      <c r="H22" s="386">
        <f>'1'!J14+'3'!J19+'4'!J14+'5'!J14+'6'!J14+'8'!J14+'9'!J14+'10'!J14+'11'!J14+'12'!J14+'13'!J14+'14'!J14+'15'!J14+'16'!J17+'17'!J14+'18'!J14+'19'!J14+'20'!J14+'22'!J14+'23'!J14+'21'!J14+'24'!J14+'25'!J14+'26'!J14+'27'!J14+'28'!J14+'29'!J14+'30'!J14+'31'!J14+'32'!J14+'33'!J14+'34'!J14+'35'!J14+'36'!J14+'37'!J14+'7'!J14</f>
        <v>2108270</v>
      </c>
      <c r="I22" s="291">
        <f>'1'!K14+'3'!K19+'4'!K14+'5'!K14+'6'!K14+'8'!K14+'9'!K14+'10'!K14+'11'!K14+'12'!K14+'13'!K14+'14'!K14+'15'!K14+'16'!K17+'17'!K14+'18'!K14+'19'!K14+'20'!K14+'22'!K14+'23'!K14+'21'!K14+'24'!K14+'25'!K14+'26'!K14+'27'!K14+'28'!K14+'29'!K14+'30'!K14+'31'!K14+'32'!K14+'33'!K14+'34'!K14+'35'!K14+'36'!K14+'37'!K14+'7'!K14</f>
        <v>1548857</v>
      </c>
      <c r="J22" s="291">
        <f>'1'!L14+'3'!L19+'4'!L14+'5'!L14+'6'!L14+'8'!L14+'9'!L14+'10'!L14+'11'!L14+'12'!L14+'13'!L14+'14'!L14+'15'!L14+'16'!L17+'17'!L14+'18'!L14+'19'!L14+'20'!L14+'22'!L14+'23'!L14+'21'!L14+'24'!L14+'25'!L14+'26'!L14+'27'!L14+'28'!L14+'29'!L14+'30'!L14+'31'!L14+'32'!L14+'33'!L14+'34'!L14+'35'!L14+'36'!L14+'37'!L14+'7'!L14</f>
        <v>0</v>
      </c>
      <c r="K22" s="386">
        <f>SUM(I22:J22)</f>
        <v>1548857</v>
      </c>
      <c r="L22" s="89">
        <f t="shared" si="3"/>
        <v>73.465779999715409</v>
      </c>
      <c r="N22" s="58"/>
    </row>
    <row r="23" spans="2:15" ht="11.25" customHeight="1">
      <c r="B23" s="10"/>
      <c r="C23" s="237"/>
      <c r="D23" s="319"/>
      <c r="E23" s="18"/>
      <c r="F23" s="291"/>
      <c r="G23" s="291"/>
      <c r="H23" s="386"/>
      <c r="I23" s="291"/>
      <c r="J23" s="291"/>
      <c r="K23" s="386"/>
      <c r="L23" s="89" t="str">
        <f t="shared" si="3"/>
        <v/>
      </c>
    </row>
    <row r="24" spans="2:15" ht="15" customHeight="1">
      <c r="B24" s="10"/>
      <c r="C24" s="420">
        <v>613000</v>
      </c>
      <c r="D24" s="421"/>
      <c r="E24" s="422" t="s">
        <v>164</v>
      </c>
      <c r="F24" s="423">
        <f t="shared" ref="F24:K24" si="13">F25+F26+F27+F28+F29+F30+F31+F34+F37</f>
        <v>4210130</v>
      </c>
      <c r="G24" s="423">
        <f t="shared" si="13"/>
        <v>208160</v>
      </c>
      <c r="H24" s="387">
        <f t="shared" si="13"/>
        <v>4418290</v>
      </c>
      <c r="I24" s="423">
        <f t="shared" ref="I24:J24" si="14">I25+I26+I27+I28+I29+I30+I31+I34+I37</f>
        <v>2568754</v>
      </c>
      <c r="J24" s="423">
        <f t="shared" si="14"/>
        <v>128898</v>
      </c>
      <c r="K24" s="387">
        <f t="shared" si="13"/>
        <v>2697652</v>
      </c>
      <c r="L24" s="424">
        <f t="shared" si="3"/>
        <v>61.056472074037693</v>
      </c>
      <c r="N24" s="82"/>
    </row>
    <row r="25" spans="2:15" s="1" customFormat="1" ht="15" customHeight="1">
      <c r="B25" s="12"/>
      <c r="C25" s="237">
        <v>613100</v>
      </c>
      <c r="D25" s="319"/>
      <c r="E25" s="11" t="s">
        <v>84</v>
      </c>
      <c r="F25" s="291">
        <f>'1'!H17+'3'!H22+'4'!H17+'5'!H17+'6'!H17+'8'!H17+'9'!H17+'10'!H17+'11'!H17+'12'!H17+'13'!H17+'14'!H17+'15'!H17+'16'!H20+'17'!H17+'18'!H17+'19'!H17+'20'!H17+'22'!H17+'23'!H17+'21'!H17+'24'!H17+'25'!H17+'26'!H17+'27'!H17+'28'!H17+'29'!H17+'30'!H17+'31'!H17+'32'!H17+'33'!H17+'34'!H17+'35'!H17+'36'!H17+'37'!H17+'7'!H17</f>
        <v>162600</v>
      </c>
      <c r="G25" s="291">
        <f>'1'!I17+'3'!I22+'4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0</v>
      </c>
      <c r="H25" s="386">
        <f>SUM(F25:G25)</f>
        <v>162600</v>
      </c>
      <c r="I25" s="291">
        <f>'1'!K17+'3'!K22+'4'!K17+'5'!K17+'6'!K17+'8'!K17+'9'!K17+'10'!K17+'11'!K17+'12'!K17+'13'!K17+'14'!K17+'15'!K17+'16'!K20+'17'!K17+'18'!K17+'19'!K17+'20'!K17+'22'!K17+'23'!K17+'21'!K17+'24'!K17+'25'!K17+'26'!K17+'27'!K17+'28'!K17+'29'!K17+'30'!K17+'31'!K17+'32'!K17+'33'!K17+'34'!K17+'35'!K17+'36'!K17+'37'!K17+'7'!K17</f>
        <v>90003</v>
      </c>
      <c r="J25" s="291">
        <f>'1'!L17+'3'!L22+'4'!L17+'5'!L17+'6'!L17+'8'!L17+'9'!L17+'10'!L17+'11'!L17+'12'!L17+'13'!L17+'14'!L17+'15'!L17+'16'!L20+'17'!L17+'18'!L17+'19'!L17+'20'!L17+'22'!L17+'23'!L17+'21'!L17+'24'!L17+'25'!L17+'26'!L17+'27'!L17+'28'!L17+'29'!L17+'30'!L17+'31'!L17+'32'!L17+'33'!L17+'34'!L17+'35'!L17+'36'!L17+'37'!L17+'7'!L17</f>
        <v>0</v>
      </c>
      <c r="K25" s="386">
        <f>SUM(I25:J25)</f>
        <v>90003</v>
      </c>
      <c r="L25" s="89">
        <f t="shared" si="3"/>
        <v>55.352398523985237</v>
      </c>
      <c r="N25" s="58"/>
    </row>
    <row r="26" spans="2:15" ht="15" customHeight="1">
      <c r="B26" s="10"/>
      <c r="C26" s="237">
        <v>613200</v>
      </c>
      <c r="D26" s="319"/>
      <c r="E26" s="11" t="s">
        <v>85</v>
      </c>
      <c r="F26" s="291">
        <f>'1'!H18+'3'!H23+'4'!H18+'5'!H18+'6'!H18+'8'!H18+'9'!H18+'10'!H18+'11'!H18+'12'!H18+'13'!H18+'14'!H18+'15'!H18+'16'!H21+'17'!H18+'18'!H18+'19'!H18+'20'!H18+'22'!H18+'23'!H18+'21'!H18+'24'!H18+'25'!H18+'26'!H18+'27'!H18+'28'!H18+'29'!H18+'30'!H18+'31'!H18+'32'!H18+'33'!H18+'34'!H18+'35'!H18+'36'!H18+'37'!H18+'7'!H18</f>
        <v>748100</v>
      </c>
      <c r="G26" s="291">
        <f>'1'!I18+'3'!I23+'4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0</v>
      </c>
      <c r="H26" s="386">
        <f t="shared" ref="H26:H44" si="15">SUM(F26:G26)</f>
        <v>748100</v>
      </c>
      <c r="I26" s="291">
        <f>'1'!K18+'3'!K23+'4'!K18+'5'!K18+'6'!K18+'8'!K18+'9'!K18+'10'!K18+'11'!K18+'12'!K18+'13'!K18+'14'!K18+'15'!K18+'16'!K21+'17'!K18+'18'!K18+'19'!K18+'20'!K18+'22'!K18+'23'!K18+'21'!K18+'24'!K18+'25'!K18+'26'!K18+'27'!K18+'28'!K18+'29'!K18+'30'!K18+'31'!K18+'32'!K18+'33'!K18+'34'!K18+'35'!K18+'36'!K18+'37'!K18+'7'!K18</f>
        <v>472477</v>
      </c>
      <c r="J26" s="291">
        <f>'1'!L18+'3'!L23+'4'!L18+'5'!L18+'6'!L18+'8'!L18+'9'!L18+'10'!L18+'11'!L18+'12'!L18+'13'!L18+'14'!L18+'15'!L18+'16'!L21+'17'!L18+'18'!L18+'19'!L18+'20'!L18+'22'!L18+'23'!L18+'21'!L18+'24'!L18+'25'!L18+'26'!L18+'27'!L18+'28'!L18+'29'!L18+'30'!L18+'31'!L18+'32'!L18+'33'!L18+'34'!L18+'35'!L18+'36'!L18+'37'!L18+'7'!L18</f>
        <v>0</v>
      </c>
      <c r="K26" s="386">
        <f t="shared" ref="K26:K44" si="16">SUM(I26:J26)</f>
        <v>472477</v>
      </c>
      <c r="L26" s="89">
        <f t="shared" si="3"/>
        <v>63.156930891592033</v>
      </c>
    </row>
    <row r="27" spans="2:15" ht="15" customHeight="1">
      <c r="B27" s="10"/>
      <c r="C27" s="237">
        <v>613300</v>
      </c>
      <c r="D27" s="319"/>
      <c r="E27" s="18" t="s">
        <v>200</v>
      </c>
      <c r="F27" s="291">
        <f>'1'!H19+'3'!H24+'4'!H19+'5'!H19+'6'!H19+'8'!H19+'9'!H19+'10'!H19+'11'!H19+'12'!H19+'13'!H19+'14'!H19+'15'!H19+'16'!H22+'17'!H19+'18'!H19+'19'!H19+'20'!H19+'22'!H19+'23'!H19+'21'!H19+'24'!H19+'25'!H19+'26'!H19+'27'!H19+'28'!H19+'29'!H19+'30'!H19+'31'!H19+'32'!H19+'33'!H19+'34'!H19+'35'!H19+'36'!H19+'37'!H19+'7'!H19</f>
        <v>438580</v>
      </c>
      <c r="G27" s="291">
        <f>'1'!I19+'3'!I24+'4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0</v>
      </c>
      <c r="H27" s="386">
        <f t="shared" si="15"/>
        <v>438580</v>
      </c>
      <c r="I27" s="291">
        <f>'1'!K19+'3'!K24+'4'!K19+'5'!K19+'6'!K19+'8'!K19+'9'!K19+'10'!K19+'11'!K19+'12'!K19+'13'!K19+'14'!K19+'15'!K19+'16'!K22+'17'!K19+'18'!K19+'19'!K19+'20'!K19+'22'!K19+'23'!K19+'21'!K19+'24'!K19+'25'!K19+'26'!K19+'27'!K19+'28'!K19+'29'!K19+'30'!K19+'31'!K19+'32'!K19+'33'!K19+'34'!K19+'35'!K19+'36'!K19+'37'!K19+'7'!K19</f>
        <v>273881</v>
      </c>
      <c r="J27" s="291">
        <f>'1'!L19+'3'!L24+'4'!L19+'5'!L19+'6'!L19+'8'!L19+'9'!L19+'10'!L19+'11'!L19+'12'!L19+'13'!L19+'14'!L19+'15'!L19+'16'!L22+'17'!L19+'18'!L19+'19'!L19+'20'!L19+'22'!L19+'23'!L19+'21'!L19+'24'!L19+'25'!L19+'26'!L19+'27'!L19+'28'!L19+'29'!L19+'30'!L19+'31'!L19+'32'!L19+'33'!L19+'34'!L19+'35'!L19+'36'!L19+'37'!L19+'7'!L19</f>
        <v>0</v>
      </c>
      <c r="K27" s="386">
        <f t="shared" si="16"/>
        <v>273881</v>
      </c>
      <c r="L27" s="89">
        <f t="shared" si="3"/>
        <v>62.447216015322169</v>
      </c>
    </row>
    <row r="28" spans="2:15" ht="15" customHeight="1">
      <c r="B28" s="10"/>
      <c r="C28" s="237">
        <v>613400</v>
      </c>
      <c r="D28" s="319"/>
      <c r="E28" s="18" t="s">
        <v>165</v>
      </c>
      <c r="F28" s="291">
        <f>'1'!H20+'3'!H25+'4'!H20+'5'!H20+'6'!H20+'8'!H20+'9'!H20+'10'!H20+'11'!H20+'12'!H20+'13'!H20+'14'!H20+'15'!H20+'16'!H23+'17'!H20+'18'!H20+'19'!H20+'20'!H20+'22'!H20+'23'!H20+'21'!H20+'24'!H20+'25'!H20+'26'!H20+'27'!H20+'28'!H20+'29'!H20+'30'!H20+'31'!H20+'32'!H20+'33'!H20+'34'!H20+'35'!H20+'36'!H20+'37'!H20+'7'!H20</f>
        <v>515250</v>
      </c>
      <c r="G28" s="291">
        <f>'1'!I20+'3'!I25+'4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8160</v>
      </c>
      <c r="H28" s="386">
        <f t="shared" si="15"/>
        <v>523410</v>
      </c>
      <c r="I28" s="291">
        <f>'1'!K20+'3'!K25+'4'!K20+'5'!K20+'6'!K20+'8'!K20+'9'!K20+'10'!K20+'11'!K20+'12'!K20+'13'!K20+'14'!K20+'15'!K20+'16'!K23+'17'!K20+'18'!K20+'19'!K20+'20'!K20+'22'!K20+'23'!K20+'21'!K20+'24'!K20+'25'!K20+'26'!K20+'27'!K20+'28'!K20+'29'!K20+'30'!K20+'31'!K20+'32'!K20+'33'!K20+'34'!K20+'35'!K20+'36'!K20+'37'!K20+'7'!K20</f>
        <v>277758</v>
      </c>
      <c r="J28" s="296">
        <f>'1'!L20+'3'!L25+'4'!L20+'5'!L20+'6'!L20+'8'!L20+'9'!L20+'10'!L20+'11'!L20+'12'!L20+'13'!L20+'14'!L20+'15'!L20+'16'!L23+'17'!L20+'18'!L20+'19'!L20+'20'!L20+'22'!L20+'23'!L20+'21'!L20+'24'!L20+'25'!L20+'26'!L20+'27'!L20+'28'!L20+'29'!L20+'30'!L20+'31'!L20+'32'!L20+'33'!L20+'34'!L20+'35'!L20+'36'!L20+'37'!L20+'7'!L20</f>
        <v>1951</v>
      </c>
      <c r="K28" s="386">
        <f t="shared" si="16"/>
        <v>279709</v>
      </c>
      <c r="L28" s="89">
        <f t="shared" si="3"/>
        <v>53.439750864523027</v>
      </c>
    </row>
    <row r="29" spans="2:15" ht="15" customHeight="1">
      <c r="B29" s="10"/>
      <c r="C29" s="237">
        <v>613500</v>
      </c>
      <c r="D29" s="319"/>
      <c r="E29" s="14" t="s">
        <v>86</v>
      </c>
      <c r="F29" s="291">
        <f>'1'!H21+'3'!H26+'4'!H21+'5'!H21+'6'!H21+'8'!H21+'9'!H21+'10'!H21+'11'!H21+'12'!H21+'13'!H21+'14'!H21+'15'!H21+'16'!H24+'17'!H21+'18'!H21+'19'!H21+'20'!H21+'22'!H21+'23'!H21+'21'!H21+'24'!H21+'25'!H21+'26'!H21+'27'!H21+'28'!H21+'29'!H21+'30'!H21+'31'!H21+'32'!H21+'33'!H21+'34'!H21+'35'!H21+'36'!H21+'37'!H21+'7'!H21</f>
        <v>210500</v>
      </c>
      <c r="G29" s="291">
        <f>'1'!I21+'3'!I26+'4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0</v>
      </c>
      <c r="H29" s="386">
        <f t="shared" si="15"/>
        <v>210500</v>
      </c>
      <c r="I29" s="291">
        <f>'1'!K21+'3'!K26+'4'!K21+'5'!K21+'6'!K21+'8'!K21+'9'!K21+'10'!K21+'11'!K21+'12'!K21+'13'!K21+'14'!K21+'15'!K21+'16'!K24+'17'!K21+'18'!K21+'19'!K21+'20'!K21+'22'!K21+'23'!K21+'21'!K21+'24'!K21+'25'!K21+'26'!K21+'27'!K21+'28'!K21+'29'!K21+'30'!K21+'31'!K21+'32'!K21+'33'!K21+'34'!K21+'35'!K21+'36'!K21+'37'!K21+'7'!K21</f>
        <v>153886</v>
      </c>
      <c r="J29" s="296">
        <f>'1'!L21+'3'!L26+'4'!L21+'5'!L21+'6'!L21+'8'!L21+'9'!L21+'10'!L21+'11'!L21+'12'!L21+'13'!L21+'14'!L21+'15'!L21+'16'!L24+'17'!L21+'18'!L21+'19'!L21+'20'!L21+'22'!L21+'23'!L21+'21'!L21+'24'!L21+'25'!L21+'26'!L21+'27'!L21+'28'!L21+'29'!L21+'30'!L21+'31'!L21+'32'!L21+'33'!L21+'34'!L21+'35'!L21+'36'!L21+'37'!L21+'7'!L21</f>
        <v>0</v>
      </c>
      <c r="K29" s="386">
        <f t="shared" si="16"/>
        <v>153886</v>
      </c>
      <c r="L29" s="89">
        <f t="shared" si="3"/>
        <v>73.10498812351544</v>
      </c>
    </row>
    <row r="30" spans="2:15" ht="15" customHeight="1">
      <c r="B30" s="10"/>
      <c r="C30" s="237">
        <v>613600</v>
      </c>
      <c r="D30" s="319"/>
      <c r="E30" s="69" t="s">
        <v>201</v>
      </c>
      <c r="F30" s="291">
        <f>'1'!H22+'3'!H27+'4'!H22+'5'!H22+'6'!H22+'8'!H22+'9'!H22+'10'!H22+'11'!H22+'12'!H22+'13'!H22+'14'!H22+'15'!H22+'16'!H25+'17'!H22+'18'!H22+'19'!H22+'20'!H22+'22'!H22+'23'!H22+'21'!H22+'24'!H22+'25'!H22+'26'!H22+'27'!H22+'28'!H22+'29'!H22+'30'!H22+'31'!H22+'32'!H22+'33'!H22+'34'!H22+'35'!H22+'36'!H22+'37'!H22+'7'!H22</f>
        <v>38500</v>
      </c>
      <c r="G30" s="291">
        <f>'1'!I22+'3'!I27+'4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0</v>
      </c>
      <c r="H30" s="386">
        <f t="shared" si="15"/>
        <v>38500</v>
      </c>
      <c r="I30" s="291">
        <f>'1'!K22+'3'!K27+'4'!K22+'5'!K22+'6'!K22+'8'!K22+'9'!K22+'10'!K22+'11'!K22+'12'!K22+'13'!K22+'14'!K22+'15'!K22+'16'!K25+'17'!K22+'18'!K22+'19'!K22+'20'!K22+'22'!K22+'23'!K22+'21'!K22+'24'!K22+'25'!K22+'26'!K22+'27'!K22+'28'!K22+'29'!K22+'30'!K22+'31'!K22+'32'!K22+'33'!K22+'34'!K22+'35'!K22+'36'!K22+'37'!K22+'7'!K22</f>
        <v>27586</v>
      </c>
      <c r="J30" s="296">
        <f>'1'!L22+'3'!L27+'4'!L22+'5'!L22+'6'!L22+'8'!L22+'9'!L22+'10'!L22+'11'!L22+'12'!L22+'13'!L22+'14'!L22+'15'!L22+'16'!L25+'17'!L22+'18'!L22+'19'!L22+'20'!L22+'22'!L22+'23'!L22+'21'!L22+'24'!L22+'25'!L22+'26'!L22+'27'!L22+'28'!L22+'29'!L22+'30'!L22+'31'!L22+'32'!L22+'33'!L22+'34'!L22+'35'!L22+'36'!L22+'37'!L22+'7'!L22</f>
        <v>0</v>
      </c>
      <c r="K30" s="386">
        <f t="shared" si="16"/>
        <v>27586</v>
      </c>
      <c r="L30" s="89">
        <f t="shared" si="3"/>
        <v>71.651948051948054</v>
      </c>
    </row>
    <row r="31" spans="2:15" ht="15" customHeight="1">
      <c r="B31" s="10"/>
      <c r="C31" s="237">
        <v>613700</v>
      </c>
      <c r="D31" s="319"/>
      <c r="E31" s="14" t="s">
        <v>87</v>
      </c>
      <c r="F31" s="296">
        <f t="shared" ref="F31:G31" si="17">F32+F33</f>
        <v>314800</v>
      </c>
      <c r="G31" s="296">
        <f t="shared" si="17"/>
        <v>200000</v>
      </c>
      <c r="H31" s="386">
        <f t="shared" si="15"/>
        <v>514800</v>
      </c>
      <c r="I31" s="296">
        <f t="shared" ref="I31:J31" si="18">I32+I33</f>
        <v>196521</v>
      </c>
      <c r="J31" s="296">
        <f t="shared" si="18"/>
        <v>126947</v>
      </c>
      <c r="K31" s="386">
        <f t="shared" si="16"/>
        <v>323468</v>
      </c>
      <c r="L31" s="89">
        <f t="shared" si="3"/>
        <v>62.833721833721832</v>
      </c>
    </row>
    <row r="32" spans="2:15" ht="15" customHeight="1">
      <c r="B32" s="10"/>
      <c r="C32" s="238">
        <v>613700</v>
      </c>
      <c r="D32" s="320"/>
      <c r="E32" s="227" t="s">
        <v>549</v>
      </c>
      <c r="F32" s="302">
        <f>'1'!H23+'3'!H28+'4'!H23+'5'!H23+'6'!H23+'7'!H23+'8'!H23+'9'!H23+'10'!H23+'11'!H23+'12'!H23+'13'!H23+'14'!H23+'15'!H23+'16'!H26+'17'!H23+'18'!H23+'19'!H23+'20'!H23+'21'!H23+'22'!H23+'23'!H23+'24'!H23+'25'!H23+'26'!H23+'27'!H23+'28'!H23+'29'!H23+'30'!H23+'31'!H23+'32'!H23+'33'!H23+'34'!H23+'35'!H23+'36'!H23+'37'!H23</f>
        <v>314800</v>
      </c>
      <c r="G32" s="302">
        <f>'1'!I23+'3'!I28+'4'!I23+'5'!I23+'6'!I23+'8'!I23+'9'!I23+'10'!I23+'11'!I23+'12'!I23+'13'!I23+'14'!I23+'15'!I23+'16'!I26+'17'!I23+'18'!I23+'19'!I23+'20'!I23+'22'!I23+'23'!I23+'21'!I23+'24'!I23+'25'!I23+'26'!I23+'27'!I23+'28'!I23+'29'!I23+'30'!I23+'31'!I23+'32'!I23+'33'!I23+'34'!I23+'35'!I23+'36'!I23+'37'!I23+'7'!I23</f>
        <v>0</v>
      </c>
      <c r="H32" s="412">
        <f t="shared" si="15"/>
        <v>314800</v>
      </c>
      <c r="I32" s="302">
        <f>'1'!K23+'3'!K28+'4'!K23+'5'!K23+'6'!K23+'7'!K23+'8'!K23+'9'!K23+'10'!K23+'11'!K23+'12'!K23+'13'!K23+'14'!K23+'15'!K23+'16'!K26+'17'!K23+'18'!K23+'19'!K23+'20'!K23+'21'!K23+'22'!K23+'23'!K23+'24'!K23+'25'!K23+'26'!K23+'27'!K23+'28'!K23+'29'!K23+'30'!K23+'31'!K23+'32'!K23+'33'!K23+'34'!K23+'35'!K23+'36'!K23+'37'!K23</f>
        <v>196521</v>
      </c>
      <c r="J32" s="302">
        <f>'1'!L23+'3'!L28+'4'!L23+'5'!L23+'6'!L23+'8'!L23+'9'!L23+'10'!L23+'11'!L23+'12'!L23+'13'!L23+'14'!L23+'15'!L23+'16'!L26+'17'!L23+'18'!L23+'19'!L23+'20'!L23+'22'!L23+'23'!L23+'21'!L23+'24'!L23+'25'!L23+'26'!L23+'27'!L23+'28'!L23+'29'!L23+'30'!L23+'31'!L23+'32'!L23+'33'!L23+'34'!L23+'35'!L23+'36'!L23+'37'!L23+'7'!L23</f>
        <v>0</v>
      </c>
      <c r="K32" s="386">
        <f t="shared" si="16"/>
        <v>196521</v>
      </c>
      <c r="L32" s="226">
        <f t="shared" si="3"/>
        <v>62.427255400254133</v>
      </c>
    </row>
    <row r="33" spans="2:14" ht="15" customHeight="1">
      <c r="B33" s="10"/>
      <c r="C33" s="238">
        <v>613700</v>
      </c>
      <c r="D33" s="320" t="s">
        <v>677</v>
      </c>
      <c r="E33" s="227" t="s">
        <v>550</v>
      </c>
      <c r="F33" s="302">
        <f>'18'!H24</f>
        <v>0</v>
      </c>
      <c r="G33" s="302">
        <f>'18'!I24</f>
        <v>200000</v>
      </c>
      <c r="H33" s="412">
        <f t="shared" si="15"/>
        <v>200000</v>
      </c>
      <c r="I33" s="302">
        <f>'18'!K24</f>
        <v>0</v>
      </c>
      <c r="J33" s="302">
        <f>'18'!L24</f>
        <v>126947</v>
      </c>
      <c r="K33" s="386">
        <f t="shared" si="16"/>
        <v>126947</v>
      </c>
      <c r="L33" s="226">
        <f t="shared" si="3"/>
        <v>63.473500000000001</v>
      </c>
    </row>
    <row r="34" spans="2:14" ht="15" customHeight="1">
      <c r="B34" s="10"/>
      <c r="C34" s="237">
        <v>613800</v>
      </c>
      <c r="D34" s="319"/>
      <c r="E34" s="69" t="s">
        <v>166</v>
      </c>
      <c r="F34" s="296">
        <f t="shared" ref="F34:G34" si="19">F35+F36</f>
        <v>41500</v>
      </c>
      <c r="G34" s="296">
        <f t="shared" si="19"/>
        <v>0</v>
      </c>
      <c r="H34" s="386">
        <f t="shared" si="15"/>
        <v>41500</v>
      </c>
      <c r="I34" s="296">
        <f t="shared" ref="I34:J34" si="20">I35+I36</f>
        <v>26021</v>
      </c>
      <c r="J34" s="296">
        <f t="shared" si="20"/>
        <v>0</v>
      </c>
      <c r="K34" s="386">
        <f t="shared" si="16"/>
        <v>26021</v>
      </c>
      <c r="L34" s="89">
        <f t="shared" si="3"/>
        <v>62.701204819277109</v>
      </c>
    </row>
    <row r="35" spans="2:14" ht="15" customHeight="1">
      <c r="B35" s="10"/>
      <c r="C35" s="238">
        <v>613800</v>
      </c>
      <c r="D35" s="320"/>
      <c r="E35" s="227" t="s">
        <v>551</v>
      </c>
      <c r="F35" s="302">
        <f>'1'!H24+'3'!H29+'4'!H24+'5'!H24+'6'!H24+'8'!H24+'9'!H24+'10'!H24+'11'!H24+'12'!H24+'13'!H24+'14'!H24+'15'!H24+'16'!H27+'17'!H24+'18'!H25+'19'!H24+'20'!H24+'22'!H24+'23'!H24+'21'!H24+'24'!H24+'25'!H24+'26'!H24+'27'!H24+'28'!H24+'29'!H24+'30'!H24+'31'!H24+'32'!H24+'33'!H24+'34'!H24+'35'!H24+'36'!H24+'37'!H24+'7'!H24</f>
        <v>41500</v>
      </c>
      <c r="G35" s="302">
        <f>'1'!I24+'3'!I29+'4'!I24+'5'!I24+'6'!I24+'8'!I24+'9'!I24+'10'!I24+'11'!I24+'12'!I24+'13'!I24+'14'!I24+'15'!I24+'16'!I27+'17'!I24+'18'!I25+'19'!I24+'20'!I24+'22'!I24+'23'!I24+'21'!I24+'24'!I24+'25'!I24+'26'!I24+'27'!I24+'28'!I24+'29'!I24+'30'!I24+'31'!I24+'32'!I24+'33'!I24+'34'!I24+'35'!I24+'36'!I24+'37'!I24+'7'!I24</f>
        <v>0</v>
      </c>
      <c r="H35" s="412">
        <f t="shared" si="15"/>
        <v>41500</v>
      </c>
      <c r="I35" s="302">
        <f>'1'!K24+'3'!K29+'4'!K24+'5'!K24+'6'!K24+'8'!K24+'9'!K24+'10'!K24+'11'!K24+'12'!K24+'13'!K24+'14'!K24+'15'!K24+'16'!K27+'17'!K24+'18'!K25+'19'!K24+'20'!K24+'22'!K24+'23'!K24+'21'!K24+'24'!K24+'25'!K24+'26'!K24+'27'!K24+'28'!K24+'29'!K24+'30'!K24+'31'!K24+'32'!K24+'33'!K24+'34'!K24+'35'!K24+'36'!K24+'37'!K24+'7'!K24</f>
        <v>26021</v>
      </c>
      <c r="J35" s="302">
        <f>'1'!L24+'3'!L29+'4'!L24+'5'!L24+'6'!L24+'8'!L24+'9'!L24+'10'!L24+'11'!L24+'12'!L24+'13'!L24+'14'!L24+'15'!L24+'16'!L27+'17'!L24+'18'!L25+'19'!L24+'20'!L24+'22'!L24+'23'!L24+'21'!L24+'24'!L24+'25'!L24+'26'!L24+'27'!L24+'28'!L24+'29'!L24+'30'!L24+'31'!L24+'32'!L24+'33'!L24+'34'!L24+'35'!L24+'36'!L24+'37'!L24+'7'!L24</f>
        <v>0</v>
      </c>
      <c r="K35" s="386">
        <f t="shared" si="16"/>
        <v>26021</v>
      </c>
      <c r="L35" s="226">
        <f t="shared" si="3"/>
        <v>62.701204819277109</v>
      </c>
    </row>
    <row r="36" spans="2:14" ht="15" customHeight="1">
      <c r="B36" s="10"/>
      <c r="C36" s="238">
        <v>613800</v>
      </c>
      <c r="D36" s="320"/>
      <c r="E36" s="225" t="s">
        <v>552</v>
      </c>
      <c r="F36" s="300">
        <f>'20'!H25</f>
        <v>0</v>
      </c>
      <c r="G36" s="300">
        <f>'20'!I25</f>
        <v>0</v>
      </c>
      <c r="H36" s="412">
        <f t="shared" si="15"/>
        <v>0</v>
      </c>
      <c r="I36" s="300">
        <f>'20'!K25</f>
        <v>0</v>
      </c>
      <c r="J36" s="300">
        <f>'20'!L25</f>
        <v>0</v>
      </c>
      <c r="K36" s="386">
        <f t="shared" si="16"/>
        <v>0</v>
      </c>
      <c r="L36" s="226" t="str">
        <f t="shared" si="3"/>
        <v/>
      </c>
    </row>
    <row r="37" spans="2:14" ht="15" customHeight="1">
      <c r="B37" s="10"/>
      <c r="C37" s="239">
        <v>613900</v>
      </c>
      <c r="D37" s="321"/>
      <c r="E37" s="69" t="s">
        <v>167</v>
      </c>
      <c r="F37" s="76">
        <f t="shared" ref="F37:G37" si="21">SUM(F38:F44)</f>
        <v>1740300</v>
      </c>
      <c r="G37" s="76">
        <f t="shared" si="21"/>
        <v>0</v>
      </c>
      <c r="H37" s="413">
        <f t="shared" si="15"/>
        <v>1740300</v>
      </c>
      <c r="I37" s="76">
        <f t="shared" ref="I37:J37" si="22">SUM(I38:I44)</f>
        <v>1050621</v>
      </c>
      <c r="J37" s="76">
        <f t="shared" si="22"/>
        <v>0</v>
      </c>
      <c r="K37" s="386">
        <f t="shared" si="16"/>
        <v>1050621</v>
      </c>
      <c r="L37" s="89">
        <f t="shared" si="3"/>
        <v>60.370108601965178</v>
      </c>
    </row>
    <row r="38" spans="2:14" ht="15" customHeight="1">
      <c r="B38" s="10"/>
      <c r="C38" s="240">
        <v>613900</v>
      </c>
      <c r="D38" s="322"/>
      <c r="E38" s="227" t="s">
        <v>553</v>
      </c>
      <c r="F38" s="303">
        <f>'1'!H25+'3'!H30+'4'!H25+'5'!H25+'6'!H25+'8'!H25+'9'!H25+'10'!H25+'11'!H25+'12'!H25+'13'!H25+'14'!H25+'15'!H25+'16'!H28+'17'!H25+'18'!H26+'19'!H25+'20'!H26+'22'!H25+'23'!H25+'21'!H25+'24'!H25+'25'!H25+'26'!H25+'27'!H25+'28'!H25+'29'!H25+'30'!H25+'31'!H25+'32'!H25+'33'!H25+'34'!H25+'35'!H25+'36'!H25+'37'!H25+'7'!H25</f>
        <v>1399200</v>
      </c>
      <c r="G38" s="303">
        <f>'1'!I25+'3'!I30+'4'!I25+'5'!I25+'6'!I25+'8'!I25+'9'!I25+'10'!I25+'11'!I25+'12'!I25+'13'!I25+'14'!I25+'15'!I25+'16'!I28+'17'!I25+'18'!I26+'19'!I25+'20'!I26+'22'!I25+'23'!I25+'21'!I25+'24'!I25+'25'!I25+'26'!I25+'27'!I25+'28'!I25+'29'!I25+'30'!I25+'31'!I25+'32'!I25+'33'!I25+'34'!I25+'35'!I25+'36'!I25+'37'!I25+'7'!I25</f>
        <v>0</v>
      </c>
      <c r="H38" s="414">
        <f t="shared" si="15"/>
        <v>1399200</v>
      </c>
      <c r="I38" s="303">
        <f>'1'!K25+'3'!K30+'4'!K25+'5'!K25+'6'!K25+'8'!K25+'9'!K25+'10'!K25+'11'!K25+'12'!K25+'13'!K25+'14'!K25+'15'!K25+'16'!K28+'17'!K25+'18'!K26+'19'!K25+'20'!K26+'22'!K25+'23'!K25+'21'!K25+'24'!K25+'25'!K25+'26'!K25+'27'!K25+'28'!K25+'29'!K25+'30'!K25+'31'!K25+'32'!K25+'33'!K25+'34'!K25+'35'!K25+'36'!K25+'37'!K25+'7'!K25</f>
        <v>893295</v>
      </c>
      <c r="J38" s="303">
        <f>'1'!L25+'3'!L30+'4'!L25+'5'!L25+'6'!L25+'8'!L25+'9'!L25+'10'!L25+'11'!L25+'12'!L25+'13'!L25+'14'!L25+'15'!L25+'16'!L28+'17'!L25+'18'!L26+'19'!L25+'20'!L26+'22'!L25+'23'!L25+'21'!L25+'24'!L25+'25'!L25+'26'!L25+'27'!L25+'28'!L25+'29'!L25+'30'!L25+'31'!L25+'32'!L25+'33'!L25+'34'!L25+'35'!L25+'36'!L25+'37'!L25+'7'!L25</f>
        <v>0</v>
      </c>
      <c r="K38" s="386">
        <f t="shared" si="16"/>
        <v>893295</v>
      </c>
      <c r="L38" s="226">
        <f t="shared" si="3"/>
        <v>63.843267581475125</v>
      </c>
    </row>
    <row r="39" spans="2:14" ht="15" customHeight="1">
      <c r="B39" s="10"/>
      <c r="C39" s="238">
        <v>613900</v>
      </c>
      <c r="D39" s="320" t="s">
        <v>655</v>
      </c>
      <c r="E39" s="225" t="s">
        <v>554</v>
      </c>
      <c r="F39" s="300">
        <f>'3'!H31</f>
        <v>44400</v>
      </c>
      <c r="G39" s="300">
        <f>'3'!I31</f>
        <v>0</v>
      </c>
      <c r="H39" s="412">
        <f t="shared" si="15"/>
        <v>44400</v>
      </c>
      <c r="I39" s="300">
        <f>'3'!K31</f>
        <v>17747</v>
      </c>
      <c r="J39" s="300">
        <f>'3'!L31</f>
        <v>0</v>
      </c>
      <c r="K39" s="386">
        <f t="shared" si="16"/>
        <v>17747</v>
      </c>
      <c r="L39" s="226">
        <f t="shared" si="3"/>
        <v>39.97072072072072</v>
      </c>
    </row>
    <row r="40" spans="2:14" ht="15" customHeight="1">
      <c r="B40" s="10"/>
      <c r="C40" s="238">
        <v>613900</v>
      </c>
      <c r="D40" s="320" t="s">
        <v>670</v>
      </c>
      <c r="E40" s="225" t="s">
        <v>555</v>
      </c>
      <c r="F40" s="300">
        <f>'16'!H29</f>
        <v>64700</v>
      </c>
      <c r="G40" s="300">
        <f>'16'!I29</f>
        <v>0</v>
      </c>
      <c r="H40" s="412">
        <f t="shared" si="15"/>
        <v>64700</v>
      </c>
      <c r="I40" s="300">
        <f>'16'!K29</f>
        <v>37970</v>
      </c>
      <c r="J40" s="300">
        <f>'16'!L29</f>
        <v>0</v>
      </c>
      <c r="K40" s="386">
        <f t="shared" si="16"/>
        <v>37970</v>
      </c>
      <c r="L40" s="226">
        <f t="shared" si="3"/>
        <v>58.686244204018543</v>
      </c>
    </row>
    <row r="41" spans="2:14" ht="15" customHeight="1">
      <c r="B41" s="10"/>
      <c r="C41" s="238">
        <v>613900</v>
      </c>
      <c r="D41" s="320" t="s">
        <v>684</v>
      </c>
      <c r="E41" s="225" t="s">
        <v>556</v>
      </c>
      <c r="F41" s="300">
        <f>'20'!H27</f>
        <v>60000</v>
      </c>
      <c r="G41" s="300">
        <f>'20'!I27</f>
        <v>0</v>
      </c>
      <c r="H41" s="412">
        <f t="shared" si="15"/>
        <v>60000</v>
      </c>
      <c r="I41" s="300">
        <f>'20'!K27</f>
        <v>32514</v>
      </c>
      <c r="J41" s="300">
        <f>'20'!L27</f>
        <v>0</v>
      </c>
      <c r="K41" s="386">
        <f t="shared" si="16"/>
        <v>32514</v>
      </c>
      <c r="L41" s="226">
        <f t="shared" si="3"/>
        <v>54.190000000000005</v>
      </c>
    </row>
    <row r="42" spans="2:14" ht="15" customHeight="1">
      <c r="B42" s="10"/>
      <c r="C42" s="238">
        <v>613900</v>
      </c>
      <c r="D42" s="320" t="s">
        <v>654</v>
      </c>
      <c r="E42" s="299" t="s">
        <v>813</v>
      </c>
      <c r="F42" s="300">
        <f>'1'!H26+'3'!H32+'4'!H26+'5'!H26+'6'!H26+'8'!H26+'9'!H26+'10'!H26+'11'!H26+'12'!H26+'13'!H26+'14'!H26+'15'!H26+'16'!H30+'17'!H26+'18'!H27+'19'!H26+'20'!H28+'22'!H26+'23'!H26+'21'!H26+'24'!H26+'25'!H26+'26'!H26+'27'!H26+'28'!H26+'29'!H26+'30'!H26+'31'!H26+'32'!H26+'33'!H26+'34'!H26+'35'!H26+'36'!H26+'37'!H26+'7'!H26</f>
        <v>122000</v>
      </c>
      <c r="G42" s="300">
        <f>'1'!I26+'3'!I32+'4'!I26+'5'!I26+'6'!I26+'8'!I26+'9'!I26+'10'!I26+'11'!I26+'12'!I26+'13'!I26+'14'!I26+'15'!I26+'16'!I30+'17'!I26+'18'!I27+'19'!I26+'20'!I28+'22'!I26+'23'!I26+'21'!I26+'24'!I26+'25'!I26+'26'!I26+'27'!I26+'28'!I26+'29'!I26+'30'!I26+'31'!I26+'32'!I26+'33'!I26+'34'!I26+'35'!I26+'36'!I26+'37'!I26+'7'!I26</f>
        <v>0</v>
      </c>
      <c r="H42" s="412">
        <f t="shared" si="15"/>
        <v>122000</v>
      </c>
      <c r="I42" s="300">
        <f>'1'!K26+'3'!K32+'4'!K26+'5'!K26+'6'!K26+'8'!K26+'9'!K26+'10'!K26+'11'!K26+'12'!K26+'13'!K26+'14'!K26+'15'!K26+'16'!K30+'17'!K26+'18'!K27+'19'!K26+'20'!K28+'22'!K26+'23'!K26+'21'!K26+'24'!K26+'25'!K26+'26'!K26+'27'!K26+'28'!K26+'29'!K26+'30'!K26+'31'!K26+'32'!K26+'33'!K26+'34'!K26+'35'!K26+'36'!K26+'37'!K26+'7'!K26</f>
        <v>69095</v>
      </c>
      <c r="J42" s="300">
        <f>'1'!L26+'3'!L32+'4'!L26+'5'!L26+'6'!L26+'8'!L26+'9'!L26+'10'!L26+'11'!L26+'12'!L26+'13'!L26+'14'!L26+'15'!L26+'16'!L30+'17'!L26+'18'!L27+'19'!L26+'20'!L28+'22'!L26+'23'!L26+'21'!L26+'24'!L26+'25'!L26+'26'!L26+'27'!L26+'28'!L26+'29'!L26+'30'!L26+'31'!L26+'32'!L26+'33'!L26+'34'!L26+'35'!L26+'36'!L26+'37'!L26+'7'!L26</f>
        <v>0</v>
      </c>
      <c r="K42" s="386">
        <f t="shared" si="16"/>
        <v>69095</v>
      </c>
      <c r="L42" s="226">
        <f t="shared" si="3"/>
        <v>56.635245901639344</v>
      </c>
    </row>
    <row r="43" spans="2:14" ht="15" customHeight="1">
      <c r="B43" s="10"/>
      <c r="C43" s="238">
        <v>613900</v>
      </c>
      <c r="D43" s="320" t="s">
        <v>668</v>
      </c>
      <c r="E43" s="225" t="s">
        <v>557</v>
      </c>
      <c r="F43" s="300">
        <f>'15'!H27</f>
        <v>50000</v>
      </c>
      <c r="G43" s="300">
        <f>'15'!I27</f>
        <v>0</v>
      </c>
      <c r="H43" s="412">
        <f t="shared" si="15"/>
        <v>50000</v>
      </c>
      <c r="I43" s="300">
        <f>'15'!K27</f>
        <v>0</v>
      </c>
      <c r="J43" s="300">
        <f>'15'!L27</f>
        <v>0</v>
      </c>
      <c r="K43" s="386">
        <f t="shared" si="16"/>
        <v>0</v>
      </c>
      <c r="L43" s="226">
        <f t="shared" si="3"/>
        <v>0</v>
      </c>
    </row>
    <row r="44" spans="2:14" ht="15" customHeight="1">
      <c r="B44" s="10"/>
      <c r="C44" s="238">
        <v>613900</v>
      </c>
      <c r="D44" s="320" t="s">
        <v>693</v>
      </c>
      <c r="E44" s="225" t="s">
        <v>558</v>
      </c>
      <c r="F44" s="300">
        <f>'23'!H27</f>
        <v>0</v>
      </c>
      <c r="G44" s="300">
        <f>'23'!I27</f>
        <v>0</v>
      </c>
      <c r="H44" s="412">
        <f t="shared" si="15"/>
        <v>0</v>
      </c>
      <c r="I44" s="300">
        <f>'23'!K27</f>
        <v>0</v>
      </c>
      <c r="J44" s="300">
        <f>'23'!L27</f>
        <v>0</v>
      </c>
      <c r="K44" s="386">
        <f t="shared" si="16"/>
        <v>0</v>
      </c>
      <c r="L44" s="226" t="str">
        <f t="shared" si="3"/>
        <v/>
      </c>
    </row>
    <row r="45" spans="2:14" ht="11.25" customHeight="1">
      <c r="B45" s="10"/>
      <c r="C45" s="237"/>
      <c r="D45" s="319"/>
      <c r="E45" s="11"/>
      <c r="F45" s="280"/>
      <c r="G45" s="280"/>
      <c r="H45" s="386"/>
      <c r="I45" s="280"/>
      <c r="J45" s="280"/>
      <c r="K45" s="386"/>
      <c r="L45" s="89" t="str">
        <f t="shared" si="3"/>
        <v/>
      </c>
    </row>
    <row r="46" spans="2:14" ht="15" customHeight="1">
      <c r="B46" s="10"/>
      <c r="C46" s="420">
        <v>614000</v>
      </c>
      <c r="D46" s="421"/>
      <c r="E46" s="422" t="s">
        <v>202</v>
      </c>
      <c r="F46" s="423">
        <f t="shared" ref="F46:H46" si="23">F47+F60+F70+F82+F87</f>
        <v>9309220</v>
      </c>
      <c r="G46" s="423">
        <f t="shared" si="23"/>
        <v>1063780</v>
      </c>
      <c r="H46" s="387">
        <f t="shared" si="23"/>
        <v>10373000</v>
      </c>
      <c r="I46" s="423">
        <f t="shared" ref="I46:J46" si="24">I47+I60+I70+I82+I87</f>
        <v>5883955</v>
      </c>
      <c r="J46" s="423">
        <f t="shared" si="24"/>
        <v>311036</v>
      </c>
      <c r="K46" s="387">
        <f t="shared" ref="K46" si="25">K47+K60+K70+K82+K87</f>
        <v>6194991</v>
      </c>
      <c r="L46" s="424">
        <f t="shared" si="3"/>
        <v>59.722269353128311</v>
      </c>
      <c r="N46" s="82"/>
    </row>
    <row r="47" spans="2:14" s="50" customFormat="1" ht="15" customHeight="1">
      <c r="B47" s="246"/>
      <c r="C47" s="247">
        <v>614100</v>
      </c>
      <c r="D47" s="319"/>
      <c r="E47" s="18" t="s">
        <v>589</v>
      </c>
      <c r="F47" s="277">
        <f t="shared" ref="F47:G47" si="26">SUM(F48:F59)</f>
        <v>1675000</v>
      </c>
      <c r="G47" s="277">
        <f t="shared" si="26"/>
        <v>330000</v>
      </c>
      <c r="H47" s="386">
        <f>SUM(F47:G47)</f>
        <v>2005000</v>
      </c>
      <c r="I47" s="277">
        <f t="shared" ref="I47:J47" si="27">SUM(I48:I59)</f>
        <v>1110560</v>
      </c>
      <c r="J47" s="277">
        <f t="shared" si="27"/>
        <v>29529</v>
      </c>
      <c r="K47" s="386">
        <f>SUM(I47:J47)</f>
        <v>1140089</v>
      </c>
      <c r="L47" s="89">
        <f t="shared" si="3"/>
        <v>56.862294264339155</v>
      </c>
      <c r="N47" s="59"/>
    </row>
    <row r="48" spans="2:14" s="60" customFormat="1" ht="15" customHeight="1">
      <c r="B48" s="61"/>
      <c r="C48" s="238">
        <v>614100</v>
      </c>
      <c r="D48" s="320" t="s">
        <v>656</v>
      </c>
      <c r="E48" s="225" t="s">
        <v>559</v>
      </c>
      <c r="F48" s="302">
        <f>'3'!H35</f>
        <v>0</v>
      </c>
      <c r="G48" s="302">
        <f>'3'!I35</f>
        <v>0</v>
      </c>
      <c r="H48" s="412">
        <f t="shared" ref="H48:H89" si="28">SUM(F48:G48)</f>
        <v>0</v>
      </c>
      <c r="I48" s="302">
        <f>'3'!K35</f>
        <v>0</v>
      </c>
      <c r="J48" s="302">
        <f>'3'!L35</f>
        <v>0</v>
      </c>
      <c r="K48" s="412">
        <f t="shared" ref="K48:K89" si="29">SUM(I48:J48)</f>
        <v>0</v>
      </c>
      <c r="L48" s="226" t="str">
        <f t="shared" si="3"/>
        <v/>
      </c>
      <c r="N48" s="90"/>
    </row>
    <row r="49" spans="2:12" s="60" customFormat="1" ht="15" customHeight="1">
      <c r="B49" s="61"/>
      <c r="C49" s="238">
        <v>614100</v>
      </c>
      <c r="D49" s="320" t="s">
        <v>657</v>
      </c>
      <c r="E49" s="227" t="s">
        <v>560</v>
      </c>
      <c r="F49" s="302">
        <f>'3'!H36</f>
        <v>200000</v>
      </c>
      <c r="G49" s="302">
        <f>'3'!I36</f>
        <v>0</v>
      </c>
      <c r="H49" s="412">
        <f t="shared" si="28"/>
        <v>200000</v>
      </c>
      <c r="I49" s="302">
        <f>'3'!K36</f>
        <v>100000</v>
      </c>
      <c r="J49" s="302">
        <f>'3'!L36</f>
        <v>0</v>
      </c>
      <c r="K49" s="412">
        <f t="shared" si="29"/>
        <v>100000</v>
      </c>
      <c r="L49" s="226">
        <f t="shared" si="3"/>
        <v>50</v>
      </c>
    </row>
    <row r="50" spans="2:12" s="1" customFormat="1" ht="15" customHeight="1">
      <c r="B50" s="12"/>
      <c r="C50" s="238">
        <v>614100</v>
      </c>
      <c r="D50" s="320" t="s">
        <v>671</v>
      </c>
      <c r="E50" s="228" t="s">
        <v>561</v>
      </c>
      <c r="F50" s="300">
        <f>'16'!H33</f>
        <v>200000</v>
      </c>
      <c r="G50" s="300">
        <f>'16'!I33</f>
        <v>0</v>
      </c>
      <c r="H50" s="412">
        <f t="shared" si="28"/>
        <v>200000</v>
      </c>
      <c r="I50" s="300">
        <f>'16'!K33</f>
        <v>123500</v>
      </c>
      <c r="J50" s="300">
        <f>'16'!L33</f>
        <v>0</v>
      </c>
      <c r="K50" s="412">
        <f t="shared" si="29"/>
        <v>123500</v>
      </c>
      <c r="L50" s="226">
        <f t="shared" si="3"/>
        <v>61.750000000000007</v>
      </c>
    </row>
    <row r="51" spans="2:12" s="1" customFormat="1" ht="15" customHeight="1">
      <c r="B51" s="12"/>
      <c r="C51" s="241">
        <v>614100</v>
      </c>
      <c r="D51" s="323" t="s">
        <v>688</v>
      </c>
      <c r="E51" s="225" t="s">
        <v>562</v>
      </c>
      <c r="F51" s="300">
        <f>'17'!H29</f>
        <v>420000</v>
      </c>
      <c r="G51" s="300">
        <f>'17'!I29</f>
        <v>0</v>
      </c>
      <c r="H51" s="412">
        <f t="shared" si="28"/>
        <v>420000</v>
      </c>
      <c r="I51" s="300">
        <f>'17'!K29</f>
        <v>270000</v>
      </c>
      <c r="J51" s="300">
        <f>'17'!L29</f>
        <v>0</v>
      </c>
      <c r="K51" s="412">
        <f t="shared" si="29"/>
        <v>270000</v>
      </c>
      <c r="L51" s="226">
        <f t="shared" si="3"/>
        <v>64.285714285714292</v>
      </c>
    </row>
    <row r="52" spans="2:12" s="1" customFormat="1" ht="15" customHeight="1">
      <c r="B52" s="12"/>
      <c r="C52" s="238">
        <v>614100</v>
      </c>
      <c r="D52" s="324" t="s">
        <v>678</v>
      </c>
      <c r="E52" s="229" t="s">
        <v>563</v>
      </c>
      <c r="F52" s="300">
        <f>'18'!H30</f>
        <v>0</v>
      </c>
      <c r="G52" s="300">
        <f>'18'!I30</f>
        <v>180000</v>
      </c>
      <c r="H52" s="412">
        <f t="shared" si="28"/>
        <v>180000</v>
      </c>
      <c r="I52" s="300">
        <f>'18'!K30</f>
        <v>0</v>
      </c>
      <c r="J52" s="302">
        <f>'18'!L30</f>
        <v>17500</v>
      </c>
      <c r="K52" s="412">
        <f t="shared" si="29"/>
        <v>17500</v>
      </c>
      <c r="L52" s="226">
        <f t="shared" si="3"/>
        <v>9.7222222222222232</v>
      </c>
    </row>
    <row r="53" spans="2:12" s="1" customFormat="1" ht="15" customHeight="1">
      <c r="B53" s="12"/>
      <c r="C53" s="238">
        <v>614100</v>
      </c>
      <c r="D53" s="324" t="s">
        <v>679</v>
      </c>
      <c r="E53" s="229" t="s">
        <v>564</v>
      </c>
      <c r="F53" s="302">
        <f>'18'!H31</f>
        <v>30000</v>
      </c>
      <c r="G53" s="302">
        <f>'18'!I31</f>
        <v>0</v>
      </c>
      <c r="H53" s="412">
        <f t="shared" si="28"/>
        <v>30000</v>
      </c>
      <c r="I53" s="302">
        <f>'18'!K31</f>
        <v>0</v>
      </c>
      <c r="J53" s="302">
        <f>'18'!L31</f>
        <v>0</v>
      </c>
      <c r="K53" s="412">
        <f t="shared" si="29"/>
        <v>0</v>
      </c>
      <c r="L53" s="226">
        <f t="shared" si="3"/>
        <v>0</v>
      </c>
    </row>
    <row r="54" spans="2:12" s="1" customFormat="1" ht="15" customHeight="1">
      <c r="B54" s="12"/>
      <c r="C54" s="238">
        <v>614100</v>
      </c>
      <c r="D54" s="320" t="s">
        <v>681</v>
      </c>
      <c r="E54" s="227" t="s">
        <v>565</v>
      </c>
      <c r="F54" s="300">
        <f>'19'!H29</f>
        <v>0</v>
      </c>
      <c r="G54" s="300">
        <f>'19'!I29</f>
        <v>150000</v>
      </c>
      <c r="H54" s="412">
        <f t="shared" si="28"/>
        <v>150000</v>
      </c>
      <c r="I54" s="300">
        <f>'19'!K29</f>
        <v>0</v>
      </c>
      <c r="J54" s="302">
        <f>'19'!L29</f>
        <v>12029</v>
      </c>
      <c r="K54" s="412">
        <f t="shared" si="29"/>
        <v>12029</v>
      </c>
      <c r="L54" s="226">
        <f t="shared" si="3"/>
        <v>8.0193333333333339</v>
      </c>
    </row>
    <row r="55" spans="2:12" s="1" customFormat="1" ht="24.75" customHeight="1">
      <c r="B55" s="12"/>
      <c r="C55" s="241">
        <v>614100</v>
      </c>
      <c r="D55" s="323" t="s">
        <v>685</v>
      </c>
      <c r="E55" s="230" t="s">
        <v>566</v>
      </c>
      <c r="F55" s="300">
        <f>'20'!H31</f>
        <v>150000</v>
      </c>
      <c r="G55" s="300">
        <f>'20'!I31</f>
        <v>0</v>
      </c>
      <c r="H55" s="412">
        <f t="shared" si="28"/>
        <v>150000</v>
      </c>
      <c r="I55" s="300">
        <f>'20'!K31</f>
        <v>101750</v>
      </c>
      <c r="J55" s="300">
        <f>'20'!L31</f>
        <v>0</v>
      </c>
      <c r="K55" s="412">
        <f t="shared" si="29"/>
        <v>101750</v>
      </c>
      <c r="L55" s="226">
        <f t="shared" si="3"/>
        <v>67.833333333333329</v>
      </c>
    </row>
    <row r="56" spans="2:12" s="1" customFormat="1" ht="15" customHeight="1">
      <c r="B56" s="12"/>
      <c r="C56" s="242" t="s">
        <v>108</v>
      </c>
      <c r="D56" s="325"/>
      <c r="E56" s="231" t="s">
        <v>567</v>
      </c>
      <c r="F56" s="302">
        <f>'20'!H32</f>
        <v>0</v>
      </c>
      <c r="G56" s="302">
        <f>'20'!I32</f>
        <v>0</v>
      </c>
      <c r="H56" s="412">
        <f t="shared" si="28"/>
        <v>0</v>
      </c>
      <c r="I56" s="302">
        <f>'20'!K32</f>
        <v>0</v>
      </c>
      <c r="J56" s="302">
        <f>'20'!L32</f>
        <v>0</v>
      </c>
      <c r="K56" s="412">
        <f t="shared" si="29"/>
        <v>0</v>
      </c>
      <c r="L56" s="226" t="str">
        <f t="shared" si="3"/>
        <v/>
      </c>
    </row>
    <row r="57" spans="2:12" s="281" customFormat="1" ht="15" customHeight="1">
      <c r="B57" s="287"/>
      <c r="C57" s="242" t="s">
        <v>108</v>
      </c>
      <c r="D57" s="325" t="s">
        <v>793</v>
      </c>
      <c r="E57" s="231" t="s">
        <v>701</v>
      </c>
      <c r="F57" s="302">
        <f>'20'!H33</f>
        <v>280000</v>
      </c>
      <c r="G57" s="302">
        <f>'20'!I33</f>
        <v>0</v>
      </c>
      <c r="H57" s="412">
        <f t="shared" si="28"/>
        <v>280000</v>
      </c>
      <c r="I57" s="302">
        <f>'20'!K33</f>
        <v>270400</v>
      </c>
      <c r="J57" s="302">
        <f>'20'!L33</f>
        <v>0</v>
      </c>
      <c r="K57" s="412">
        <f t="shared" si="29"/>
        <v>270400</v>
      </c>
      <c r="L57" s="301">
        <f t="shared" si="3"/>
        <v>96.571428571428569</v>
      </c>
    </row>
    <row r="58" spans="2:12" s="281" customFormat="1" ht="15" customHeight="1">
      <c r="B58" s="287"/>
      <c r="C58" s="242" t="s">
        <v>108</v>
      </c>
      <c r="D58" s="325" t="s">
        <v>794</v>
      </c>
      <c r="E58" s="231" t="s">
        <v>702</v>
      </c>
      <c r="F58" s="302">
        <f>'20'!H34</f>
        <v>60000</v>
      </c>
      <c r="G58" s="302">
        <f>'20'!I34</f>
        <v>0</v>
      </c>
      <c r="H58" s="412">
        <f t="shared" si="28"/>
        <v>60000</v>
      </c>
      <c r="I58" s="302">
        <f>'20'!K34</f>
        <v>51100</v>
      </c>
      <c r="J58" s="302">
        <f>'20'!L34</f>
        <v>0</v>
      </c>
      <c r="K58" s="412">
        <f t="shared" si="29"/>
        <v>51100</v>
      </c>
      <c r="L58" s="301">
        <f t="shared" si="3"/>
        <v>85.166666666666671</v>
      </c>
    </row>
    <row r="59" spans="2:12" s="1" customFormat="1" ht="15" customHeight="1">
      <c r="B59" s="12"/>
      <c r="C59" s="242" t="s">
        <v>108</v>
      </c>
      <c r="D59" s="325" t="s">
        <v>688</v>
      </c>
      <c r="E59" s="231" t="s">
        <v>568</v>
      </c>
      <c r="F59" s="302">
        <f>'20'!H35</f>
        <v>335000</v>
      </c>
      <c r="G59" s="302">
        <f>'20'!I35</f>
        <v>0</v>
      </c>
      <c r="H59" s="412">
        <f t="shared" si="28"/>
        <v>335000</v>
      </c>
      <c r="I59" s="302">
        <f>'20'!K35</f>
        <v>193810</v>
      </c>
      <c r="J59" s="302">
        <f>'20'!L35</f>
        <v>0</v>
      </c>
      <c r="K59" s="412">
        <f t="shared" si="29"/>
        <v>193810</v>
      </c>
      <c r="L59" s="226">
        <f t="shared" si="3"/>
        <v>57.853731343283584</v>
      </c>
    </row>
    <row r="60" spans="2:12" s="50" customFormat="1" ht="15" customHeight="1">
      <c r="B60" s="246"/>
      <c r="C60" s="248" t="s">
        <v>106</v>
      </c>
      <c r="D60" s="326"/>
      <c r="E60" s="249" t="s">
        <v>590</v>
      </c>
      <c r="F60" s="277">
        <f t="shared" ref="F60:G60" si="30">SUM(F61:F69)</f>
        <v>4787000</v>
      </c>
      <c r="G60" s="277">
        <f t="shared" si="30"/>
        <v>306000</v>
      </c>
      <c r="H60" s="386">
        <f t="shared" si="28"/>
        <v>5093000</v>
      </c>
      <c r="I60" s="277">
        <f t="shared" ref="I60:J60" si="31">SUM(I61:I69)</f>
        <v>3225677</v>
      </c>
      <c r="J60" s="277">
        <f t="shared" si="31"/>
        <v>198017</v>
      </c>
      <c r="K60" s="386">
        <f t="shared" si="29"/>
        <v>3423694</v>
      </c>
      <c r="L60" s="89">
        <f t="shared" si="3"/>
        <v>67.223522481837819</v>
      </c>
    </row>
    <row r="61" spans="2:12" s="1" customFormat="1" ht="15" customHeight="1">
      <c r="B61" s="12"/>
      <c r="C61" s="242" t="s">
        <v>106</v>
      </c>
      <c r="D61" s="325" t="s">
        <v>658</v>
      </c>
      <c r="E61" s="232" t="s">
        <v>569</v>
      </c>
      <c r="F61" s="302">
        <f>'3'!H37</f>
        <v>188000</v>
      </c>
      <c r="G61" s="302">
        <f>'3'!I37</f>
        <v>0</v>
      </c>
      <c r="H61" s="412">
        <f t="shared" si="28"/>
        <v>188000</v>
      </c>
      <c r="I61" s="302">
        <f>'3'!K37</f>
        <v>185400</v>
      </c>
      <c r="J61" s="302">
        <f>'3'!L37</f>
        <v>0</v>
      </c>
      <c r="K61" s="412">
        <f t="shared" si="29"/>
        <v>185400</v>
      </c>
      <c r="L61" s="226">
        <f t="shared" si="3"/>
        <v>98.617021276595736</v>
      </c>
    </row>
    <row r="62" spans="2:12" s="1" customFormat="1" ht="15" customHeight="1">
      <c r="B62" s="12"/>
      <c r="C62" s="241">
        <v>614200</v>
      </c>
      <c r="D62" s="325" t="s">
        <v>667</v>
      </c>
      <c r="E62" s="228" t="s">
        <v>570</v>
      </c>
      <c r="F62" s="300">
        <f>'4'!H29</f>
        <v>20000</v>
      </c>
      <c r="G62" s="300">
        <f>'4'!I29</f>
        <v>0</v>
      </c>
      <c r="H62" s="412">
        <f t="shared" si="28"/>
        <v>20000</v>
      </c>
      <c r="I62" s="300">
        <f>'4'!K29</f>
        <v>0</v>
      </c>
      <c r="J62" s="300">
        <f>'4'!L29</f>
        <v>0</v>
      </c>
      <c r="K62" s="412">
        <f t="shared" si="29"/>
        <v>0</v>
      </c>
      <c r="L62" s="226">
        <f t="shared" si="3"/>
        <v>0</v>
      </c>
    </row>
    <row r="63" spans="2:12" s="1" customFormat="1" ht="15" customHeight="1">
      <c r="B63" s="12"/>
      <c r="C63" s="241" t="s">
        <v>106</v>
      </c>
      <c r="D63" s="325"/>
      <c r="E63" s="225" t="s">
        <v>571</v>
      </c>
      <c r="F63" s="300">
        <f>'17'!H30</f>
        <v>0</v>
      </c>
      <c r="G63" s="300">
        <f>'17'!I30</f>
        <v>0</v>
      </c>
      <c r="H63" s="412">
        <f t="shared" si="28"/>
        <v>0</v>
      </c>
      <c r="I63" s="300">
        <f>'17'!K30</f>
        <v>0</v>
      </c>
      <c r="J63" s="300">
        <f>'17'!L30</f>
        <v>0</v>
      </c>
      <c r="K63" s="412">
        <f t="shared" si="29"/>
        <v>0</v>
      </c>
      <c r="L63" s="226" t="str">
        <f t="shared" si="3"/>
        <v/>
      </c>
    </row>
    <row r="64" spans="2:12" s="281" customFormat="1" ht="15" customHeight="1">
      <c r="B64" s="287"/>
      <c r="C64" s="241" t="s">
        <v>106</v>
      </c>
      <c r="D64" s="325" t="s">
        <v>795</v>
      </c>
      <c r="E64" s="299" t="s">
        <v>699</v>
      </c>
      <c r="F64" s="300">
        <f>'17'!H31</f>
        <v>60000</v>
      </c>
      <c r="G64" s="300">
        <f>'17'!I31</f>
        <v>0</v>
      </c>
      <c r="H64" s="412">
        <f t="shared" si="28"/>
        <v>60000</v>
      </c>
      <c r="I64" s="300">
        <f>'17'!K31</f>
        <v>45200</v>
      </c>
      <c r="J64" s="300">
        <f>'17'!L31</f>
        <v>0</v>
      </c>
      <c r="K64" s="412">
        <f t="shared" si="29"/>
        <v>45200</v>
      </c>
      <c r="L64" s="301">
        <f t="shared" si="3"/>
        <v>75.333333333333329</v>
      </c>
    </row>
    <row r="65" spans="2:12" s="281" customFormat="1" ht="15" customHeight="1">
      <c r="B65" s="287"/>
      <c r="C65" s="241" t="s">
        <v>106</v>
      </c>
      <c r="D65" s="325" t="s">
        <v>796</v>
      </c>
      <c r="E65" s="299" t="s">
        <v>700</v>
      </c>
      <c r="F65" s="300">
        <f>'17'!H32</f>
        <v>3254000</v>
      </c>
      <c r="G65" s="300">
        <f>'17'!I32</f>
        <v>266000</v>
      </c>
      <c r="H65" s="412">
        <f t="shared" si="28"/>
        <v>3520000</v>
      </c>
      <c r="I65" s="300">
        <f>'17'!K32</f>
        <v>2142943</v>
      </c>
      <c r="J65" s="302">
        <f>'17'!L32</f>
        <v>196693</v>
      </c>
      <c r="K65" s="412">
        <f t="shared" si="29"/>
        <v>2339636</v>
      </c>
      <c r="L65" s="301">
        <f t="shared" si="3"/>
        <v>66.46693181818182</v>
      </c>
    </row>
    <row r="66" spans="2:12" s="1" customFormat="1" ht="15" customHeight="1">
      <c r="B66" s="12"/>
      <c r="C66" s="241" t="s">
        <v>106</v>
      </c>
      <c r="D66" s="323" t="s">
        <v>689</v>
      </c>
      <c r="E66" s="228" t="s">
        <v>572</v>
      </c>
      <c r="F66" s="300">
        <f>'20'!H36</f>
        <v>150000</v>
      </c>
      <c r="G66" s="300">
        <f>'20'!I36</f>
        <v>0</v>
      </c>
      <c r="H66" s="412">
        <f t="shared" si="28"/>
        <v>150000</v>
      </c>
      <c r="I66" s="300">
        <f>'20'!K36</f>
        <v>114000</v>
      </c>
      <c r="J66" s="300">
        <f>'20'!L36</f>
        <v>0</v>
      </c>
      <c r="K66" s="412">
        <f t="shared" si="29"/>
        <v>114000</v>
      </c>
      <c r="L66" s="226">
        <f t="shared" si="3"/>
        <v>76</v>
      </c>
    </row>
    <row r="67" spans="2:12" s="1" customFormat="1" ht="24.75" customHeight="1">
      <c r="B67" s="12"/>
      <c r="C67" s="241" t="s">
        <v>106</v>
      </c>
      <c r="D67" s="323" t="s">
        <v>690</v>
      </c>
      <c r="E67" s="233" t="s">
        <v>573</v>
      </c>
      <c r="F67" s="300">
        <f>'20'!H37</f>
        <v>15000</v>
      </c>
      <c r="G67" s="300">
        <f>'20'!I37</f>
        <v>0</v>
      </c>
      <c r="H67" s="412">
        <f t="shared" si="28"/>
        <v>15000</v>
      </c>
      <c r="I67" s="300">
        <f>'20'!K37</f>
        <v>0</v>
      </c>
      <c r="J67" s="300">
        <f>'20'!L37</f>
        <v>0</v>
      </c>
      <c r="K67" s="412">
        <f t="shared" si="29"/>
        <v>0</v>
      </c>
      <c r="L67" s="226">
        <f t="shared" si="3"/>
        <v>0</v>
      </c>
    </row>
    <row r="68" spans="2:12" s="1" customFormat="1" ht="15" customHeight="1">
      <c r="B68" s="12"/>
      <c r="C68" s="241">
        <v>614200</v>
      </c>
      <c r="D68" s="323" t="s">
        <v>694</v>
      </c>
      <c r="E68" s="228" t="s">
        <v>574</v>
      </c>
      <c r="F68" s="300">
        <f>'31'!H29</f>
        <v>1100000</v>
      </c>
      <c r="G68" s="300">
        <f>'31'!I29</f>
        <v>0</v>
      </c>
      <c r="H68" s="412">
        <f t="shared" si="28"/>
        <v>1100000</v>
      </c>
      <c r="I68" s="300">
        <f>'31'!K29</f>
        <v>738134</v>
      </c>
      <c r="J68" s="300">
        <f>'31'!L29</f>
        <v>0</v>
      </c>
      <c r="K68" s="412">
        <f t="shared" si="29"/>
        <v>738134</v>
      </c>
      <c r="L68" s="226">
        <f t="shared" si="3"/>
        <v>67.103090909090909</v>
      </c>
    </row>
    <row r="69" spans="2:12" s="1" customFormat="1" ht="15" customHeight="1">
      <c r="B69" s="12"/>
      <c r="C69" s="241" t="s">
        <v>106</v>
      </c>
      <c r="D69" s="323" t="s">
        <v>695</v>
      </c>
      <c r="E69" s="225" t="s">
        <v>575</v>
      </c>
      <c r="F69" s="300">
        <f>'33'!H29</f>
        <v>0</v>
      </c>
      <c r="G69" s="300">
        <f>'33'!I29</f>
        <v>40000</v>
      </c>
      <c r="H69" s="412">
        <f t="shared" si="28"/>
        <v>40000</v>
      </c>
      <c r="I69" s="300">
        <f>'33'!K29</f>
        <v>0</v>
      </c>
      <c r="J69" s="302">
        <f>'33'!L29</f>
        <v>1324</v>
      </c>
      <c r="K69" s="412">
        <f t="shared" si="29"/>
        <v>1324</v>
      </c>
      <c r="L69" s="226">
        <f t="shared" si="3"/>
        <v>3.3099999999999996</v>
      </c>
    </row>
    <row r="70" spans="2:12" s="50" customFormat="1" ht="15" customHeight="1">
      <c r="B70" s="246"/>
      <c r="C70" s="250" t="s">
        <v>107</v>
      </c>
      <c r="D70" s="327"/>
      <c r="E70" s="234" t="s">
        <v>591</v>
      </c>
      <c r="F70" s="276">
        <f t="shared" ref="F70:G70" si="32">SUM(F71:F81)</f>
        <v>595000</v>
      </c>
      <c r="G70" s="276">
        <f t="shared" si="32"/>
        <v>0</v>
      </c>
      <c r="H70" s="386">
        <f t="shared" si="28"/>
        <v>595000</v>
      </c>
      <c r="I70" s="276">
        <f t="shared" ref="I70:J70" si="33">SUM(I71:I81)</f>
        <v>445796</v>
      </c>
      <c r="J70" s="276">
        <f t="shared" si="33"/>
        <v>0</v>
      </c>
      <c r="K70" s="386">
        <f t="shared" si="29"/>
        <v>445796</v>
      </c>
      <c r="L70" s="89">
        <f t="shared" si="3"/>
        <v>74.923697478991599</v>
      </c>
    </row>
    <row r="71" spans="2:12" s="1" customFormat="1" ht="15" customHeight="1">
      <c r="B71" s="12"/>
      <c r="C71" s="241" t="s">
        <v>107</v>
      </c>
      <c r="D71" s="323" t="s">
        <v>666</v>
      </c>
      <c r="E71" s="228" t="s">
        <v>576</v>
      </c>
      <c r="F71" s="300">
        <f>'3'!H45</f>
        <v>160000</v>
      </c>
      <c r="G71" s="300">
        <f>'3'!I45</f>
        <v>0</v>
      </c>
      <c r="H71" s="412">
        <f t="shared" si="28"/>
        <v>160000</v>
      </c>
      <c r="I71" s="300">
        <f>'3'!K45</f>
        <v>101524</v>
      </c>
      <c r="J71" s="300">
        <f>'3'!L45</f>
        <v>0</v>
      </c>
      <c r="K71" s="412">
        <f t="shared" si="29"/>
        <v>101524</v>
      </c>
      <c r="L71" s="226">
        <f t="shared" si="3"/>
        <v>63.452500000000001</v>
      </c>
    </row>
    <row r="72" spans="2:12" s="1" customFormat="1" ht="15" customHeight="1">
      <c r="B72" s="12"/>
      <c r="C72" s="241" t="s">
        <v>107</v>
      </c>
      <c r="D72" s="323" t="s">
        <v>659</v>
      </c>
      <c r="E72" s="227" t="s">
        <v>577</v>
      </c>
      <c r="F72" s="300">
        <f>'3'!H38</f>
        <v>70000</v>
      </c>
      <c r="G72" s="300">
        <f>'3'!I38</f>
        <v>0</v>
      </c>
      <c r="H72" s="412">
        <f t="shared" si="28"/>
        <v>70000</v>
      </c>
      <c r="I72" s="300">
        <f>'3'!K38</f>
        <v>70000</v>
      </c>
      <c r="J72" s="300">
        <f>'3'!L38</f>
        <v>0</v>
      </c>
      <c r="K72" s="412">
        <f t="shared" si="29"/>
        <v>70000</v>
      </c>
      <c r="L72" s="226">
        <f t="shared" ref="L72:L111" si="34">IF(H72=0,"",K72/H72*100)</f>
        <v>100</v>
      </c>
    </row>
    <row r="73" spans="2:12" ht="15" customHeight="1">
      <c r="B73" s="10"/>
      <c r="C73" s="241" t="s">
        <v>107</v>
      </c>
      <c r="D73" s="323" t="s">
        <v>660</v>
      </c>
      <c r="E73" s="227" t="s">
        <v>578</v>
      </c>
      <c r="F73" s="302">
        <f>'3'!H39</f>
        <v>35000</v>
      </c>
      <c r="G73" s="302">
        <f>'3'!I39</f>
        <v>0</v>
      </c>
      <c r="H73" s="412">
        <f t="shared" si="28"/>
        <v>35000</v>
      </c>
      <c r="I73" s="302">
        <f>'3'!K39</f>
        <v>23336</v>
      </c>
      <c r="J73" s="302">
        <f>'3'!L39</f>
        <v>0</v>
      </c>
      <c r="K73" s="412">
        <f t="shared" si="29"/>
        <v>23336</v>
      </c>
      <c r="L73" s="226">
        <f t="shared" si="34"/>
        <v>66.674285714285716</v>
      </c>
    </row>
    <row r="74" spans="2:12" s="1" customFormat="1" ht="15" customHeight="1">
      <c r="B74" s="12"/>
      <c r="C74" s="242" t="s">
        <v>107</v>
      </c>
      <c r="D74" s="325" t="s">
        <v>661</v>
      </c>
      <c r="E74" s="227" t="s">
        <v>579</v>
      </c>
      <c r="F74" s="302">
        <f>'3'!H40</f>
        <v>40000</v>
      </c>
      <c r="G74" s="302">
        <f>'3'!I40</f>
        <v>0</v>
      </c>
      <c r="H74" s="412">
        <f t="shared" si="28"/>
        <v>40000</v>
      </c>
      <c r="I74" s="302">
        <f>'3'!K40</f>
        <v>26668</v>
      </c>
      <c r="J74" s="302">
        <f>'3'!L40</f>
        <v>0</v>
      </c>
      <c r="K74" s="412">
        <f t="shared" si="29"/>
        <v>26668</v>
      </c>
      <c r="L74" s="226">
        <f t="shared" si="34"/>
        <v>66.67</v>
      </c>
    </row>
    <row r="75" spans="2:12" s="1" customFormat="1" ht="25.5" customHeight="1">
      <c r="B75" s="20"/>
      <c r="C75" s="242" t="s">
        <v>107</v>
      </c>
      <c r="D75" s="325" t="s">
        <v>662</v>
      </c>
      <c r="E75" s="232" t="s">
        <v>628</v>
      </c>
      <c r="F75" s="302">
        <f>'3'!H41</f>
        <v>40000</v>
      </c>
      <c r="G75" s="302">
        <f>'3'!I41</f>
        <v>0</v>
      </c>
      <c r="H75" s="412">
        <f t="shared" si="28"/>
        <v>40000</v>
      </c>
      <c r="I75" s="302">
        <f>'3'!K41</f>
        <v>26668</v>
      </c>
      <c r="J75" s="302">
        <f>'3'!L41</f>
        <v>0</v>
      </c>
      <c r="K75" s="412">
        <f t="shared" si="29"/>
        <v>26668</v>
      </c>
      <c r="L75" s="226">
        <f t="shared" si="34"/>
        <v>66.67</v>
      </c>
    </row>
    <row r="76" spans="2:12" s="1" customFormat="1" ht="26.25" customHeight="1">
      <c r="B76" s="20"/>
      <c r="C76" s="242" t="s">
        <v>107</v>
      </c>
      <c r="D76" s="325" t="s">
        <v>663</v>
      </c>
      <c r="E76" s="232" t="s">
        <v>580</v>
      </c>
      <c r="F76" s="302">
        <f>'3'!H42</f>
        <v>15000</v>
      </c>
      <c r="G76" s="302">
        <f>'3'!I42</f>
        <v>0</v>
      </c>
      <c r="H76" s="412">
        <f t="shared" si="28"/>
        <v>15000</v>
      </c>
      <c r="I76" s="302">
        <f>'3'!K42</f>
        <v>10000</v>
      </c>
      <c r="J76" s="302">
        <f>'3'!L42</f>
        <v>0</v>
      </c>
      <c r="K76" s="412">
        <f t="shared" si="29"/>
        <v>10000</v>
      </c>
      <c r="L76" s="226">
        <f t="shared" si="34"/>
        <v>66.666666666666657</v>
      </c>
    </row>
    <row r="77" spans="2:12" s="1" customFormat="1" ht="15" customHeight="1">
      <c r="B77" s="20"/>
      <c r="C77" s="242" t="s">
        <v>107</v>
      </c>
      <c r="D77" s="325" t="s">
        <v>664</v>
      </c>
      <c r="E77" s="227" t="s">
        <v>581</v>
      </c>
      <c r="F77" s="302">
        <f>'3'!H43</f>
        <v>30000</v>
      </c>
      <c r="G77" s="302">
        <f>'3'!I43</f>
        <v>0</v>
      </c>
      <c r="H77" s="412">
        <f t="shared" si="28"/>
        <v>30000</v>
      </c>
      <c r="I77" s="302">
        <f>'3'!K43</f>
        <v>22500</v>
      </c>
      <c r="J77" s="302">
        <f>'3'!L43</f>
        <v>0</v>
      </c>
      <c r="K77" s="412">
        <f t="shared" si="29"/>
        <v>22500</v>
      </c>
      <c r="L77" s="226">
        <f t="shared" si="34"/>
        <v>75</v>
      </c>
    </row>
    <row r="78" spans="2:12" s="1" customFormat="1" ht="15" customHeight="1">
      <c r="B78" s="20"/>
      <c r="C78" s="242" t="s">
        <v>107</v>
      </c>
      <c r="D78" s="325" t="s">
        <v>665</v>
      </c>
      <c r="E78" s="227" t="s">
        <v>626</v>
      </c>
      <c r="F78" s="302">
        <f>'3'!H44</f>
        <v>15000</v>
      </c>
      <c r="G78" s="302">
        <f>'3'!I44</f>
        <v>0</v>
      </c>
      <c r="H78" s="412">
        <f t="shared" si="28"/>
        <v>15000</v>
      </c>
      <c r="I78" s="302">
        <f>'3'!K44</f>
        <v>10000</v>
      </c>
      <c r="J78" s="302">
        <f>'3'!L44</f>
        <v>0</v>
      </c>
      <c r="K78" s="412">
        <f t="shared" si="29"/>
        <v>10000</v>
      </c>
      <c r="L78" s="226">
        <f t="shared" si="34"/>
        <v>66.666666666666657</v>
      </c>
    </row>
    <row r="79" spans="2:12" ht="15" customHeight="1" thickBot="1">
      <c r="B79" s="15"/>
      <c r="C79" s="242" t="s">
        <v>107</v>
      </c>
      <c r="D79" s="325" t="s">
        <v>691</v>
      </c>
      <c r="E79" s="231" t="s">
        <v>582</v>
      </c>
      <c r="F79" s="302">
        <f>'20'!H38</f>
        <v>40000</v>
      </c>
      <c r="G79" s="302">
        <f>'20'!I38</f>
        <v>0</v>
      </c>
      <c r="H79" s="412">
        <f t="shared" si="28"/>
        <v>40000</v>
      </c>
      <c r="I79" s="302">
        <f>'20'!K38</f>
        <v>23100</v>
      </c>
      <c r="J79" s="302">
        <f>'20'!L38</f>
        <v>0</v>
      </c>
      <c r="K79" s="412">
        <f t="shared" si="29"/>
        <v>23100</v>
      </c>
      <c r="L79" s="226">
        <f t="shared" si="34"/>
        <v>57.75</v>
      </c>
    </row>
    <row r="80" spans="2:12" ht="15" customHeight="1">
      <c r="C80" s="242" t="s">
        <v>107</v>
      </c>
      <c r="D80" s="325" t="s">
        <v>692</v>
      </c>
      <c r="E80" s="231" t="s">
        <v>583</v>
      </c>
      <c r="F80" s="302">
        <f>'20'!H39</f>
        <v>150000</v>
      </c>
      <c r="G80" s="302">
        <f>'20'!I39</f>
        <v>0</v>
      </c>
      <c r="H80" s="412">
        <f t="shared" si="28"/>
        <v>150000</v>
      </c>
      <c r="I80" s="302">
        <f>'20'!K39</f>
        <v>132000</v>
      </c>
      <c r="J80" s="302">
        <f>'20'!L39</f>
        <v>0</v>
      </c>
      <c r="K80" s="412">
        <f t="shared" si="29"/>
        <v>132000</v>
      </c>
      <c r="L80" s="226">
        <f t="shared" si="34"/>
        <v>88</v>
      </c>
    </row>
    <row r="81" spans="3:12" ht="15" customHeight="1">
      <c r="C81" s="242" t="s">
        <v>107</v>
      </c>
      <c r="D81" s="325" t="s">
        <v>696</v>
      </c>
      <c r="E81" s="231" t="s">
        <v>604</v>
      </c>
      <c r="F81" s="302">
        <f>'33'!H30</f>
        <v>0</v>
      </c>
      <c r="G81" s="302">
        <f>'33'!I30</f>
        <v>0</v>
      </c>
      <c r="H81" s="412">
        <f t="shared" si="28"/>
        <v>0</v>
      </c>
      <c r="I81" s="302">
        <f>'33'!K30</f>
        <v>0</v>
      </c>
      <c r="J81" s="302">
        <f>'33'!L30</f>
        <v>0</v>
      </c>
      <c r="K81" s="412">
        <f t="shared" si="29"/>
        <v>0</v>
      </c>
      <c r="L81" s="226" t="str">
        <f t="shared" si="34"/>
        <v/>
      </c>
    </row>
    <row r="82" spans="3:12" s="50" customFormat="1" ht="15" customHeight="1">
      <c r="C82" s="248" t="s">
        <v>206</v>
      </c>
      <c r="D82" s="326"/>
      <c r="E82" s="235" t="s">
        <v>592</v>
      </c>
      <c r="F82" s="277">
        <f t="shared" ref="F82:G82" si="35">SUM(F83:F86)</f>
        <v>2172220</v>
      </c>
      <c r="G82" s="277">
        <f t="shared" si="35"/>
        <v>427780</v>
      </c>
      <c r="H82" s="386">
        <f t="shared" si="28"/>
        <v>2600000</v>
      </c>
      <c r="I82" s="277">
        <f t="shared" ref="I82:J82" si="36">SUM(I83:I86)</f>
        <v>1024087</v>
      </c>
      <c r="J82" s="277">
        <f t="shared" si="36"/>
        <v>83490</v>
      </c>
      <c r="K82" s="386">
        <f t="shared" si="29"/>
        <v>1107577</v>
      </c>
      <c r="L82" s="89">
        <f t="shared" si="34"/>
        <v>42.599115384615381</v>
      </c>
    </row>
    <row r="83" spans="3:12" ht="15" customHeight="1">
      <c r="C83" s="242" t="s">
        <v>206</v>
      </c>
      <c r="D83" s="325" t="s">
        <v>669</v>
      </c>
      <c r="E83" s="231" t="s">
        <v>632</v>
      </c>
      <c r="F83" s="302">
        <f>'15'!H30</f>
        <v>1000000</v>
      </c>
      <c r="G83" s="302">
        <f>'15'!I30</f>
        <v>0</v>
      </c>
      <c r="H83" s="412">
        <f t="shared" si="28"/>
        <v>1000000</v>
      </c>
      <c r="I83" s="302">
        <f>'15'!K30</f>
        <v>218783</v>
      </c>
      <c r="J83" s="302">
        <f>'15'!L30</f>
        <v>0</v>
      </c>
      <c r="K83" s="412">
        <f t="shared" si="29"/>
        <v>218783</v>
      </c>
      <c r="L83" s="226">
        <f t="shared" si="34"/>
        <v>21.878299999999999</v>
      </c>
    </row>
    <row r="84" spans="3:12" ht="15" customHeight="1">
      <c r="C84" s="241" t="s">
        <v>206</v>
      </c>
      <c r="D84" s="323" t="s">
        <v>680</v>
      </c>
      <c r="E84" s="228" t="s">
        <v>584</v>
      </c>
      <c r="F84" s="300">
        <f>'19'!H30</f>
        <v>1100000</v>
      </c>
      <c r="G84" s="300">
        <f>'19'!I30</f>
        <v>0</v>
      </c>
      <c r="H84" s="412">
        <f t="shared" si="28"/>
        <v>1100000</v>
      </c>
      <c r="I84" s="300">
        <f>'19'!K30</f>
        <v>805304</v>
      </c>
      <c r="J84" s="300">
        <f>'19'!L30</f>
        <v>0</v>
      </c>
      <c r="K84" s="412">
        <f t="shared" si="29"/>
        <v>805304</v>
      </c>
      <c r="L84" s="226">
        <f t="shared" si="34"/>
        <v>73.209454545454548</v>
      </c>
    </row>
    <row r="85" spans="3:12" ht="15" customHeight="1">
      <c r="C85" s="241" t="s">
        <v>206</v>
      </c>
      <c r="D85" s="323" t="s">
        <v>682</v>
      </c>
      <c r="E85" s="228" t="s">
        <v>585</v>
      </c>
      <c r="F85" s="300">
        <f>'19'!H31</f>
        <v>32220</v>
      </c>
      <c r="G85" s="300">
        <f>'19'!I31</f>
        <v>267780</v>
      </c>
      <c r="H85" s="412">
        <f t="shared" si="28"/>
        <v>300000</v>
      </c>
      <c r="I85" s="300">
        <f>'19'!K31</f>
        <v>0</v>
      </c>
      <c r="J85" s="302">
        <f>'19'!L31</f>
        <v>83490</v>
      </c>
      <c r="K85" s="412">
        <f t="shared" si="29"/>
        <v>83490</v>
      </c>
      <c r="L85" s="226">
        <f t="shared" si="34"/>
        <v>27.83</v>
      </c>
    </row>
    <row r="86" spans="3:12" ht="15" customHeight="1">
      <c r="C86" s="241" t="s">
        <v>206</v>
      </c>
      <c r="D86" s="323" t="s">
        <v>683</v>
      </c>
      <c r="E86" s="228" t="s">
        <v>586</v>
      </c>
      <c r="F86" s="300">
        <f>'19'!H32</f>
        <v>40000</v>
      </c>
      <c r="G86" s="300">
        <f>'19'!I32</f>
        <v>160000</v>
      </c>
      <c r="H86" s="412">
        <f t="shared" si="28"/>
        <v>200000</v>
      </c>
      <c r="I86" s="300">
        <f>'19'!K32</f>
        <v>0</v>
      </c>
      <c r="J86" s="300">
        <f>'19'!L32</f>
        <v>0</v>
      </c>
      <c r="K86" s="412">
        <f t="shared" si="29"/>
        <v>0</v>
      </c>
      <c r="L86" s="226">
        <f t="shared" si="34"/>
        <v>0</v>
      </c>
    </row>
    <row r="87" spans="3:12" s="50" customFormat="1" ht="15" customHeight="1">
      <c r="C87" s="250">
        <v>614800</v>
      </c>
      <c r="D87" s="327"/>
      <c r="E87" s="234" t="s">
        <v>593</v>
      </c>
      <c r="F87" s="276">
        <f t="shared" ref="F87:G87" si="37">SUM(F88:F89)</f>
        <v>80000</v>
      </c>
      <c r="G87" s="276">
        <f t="shared" si="37"/>
        <v>0</v>
      </c>
      <c r="H87" s="386">
        <f t="shared" si="28"/>
        <v>80000</v>
      </c>
      <c r="I87" s="276">
        <f t="shared" ref="I87:J87" si="38">SUM(I88:I89)</f>
        <v>77835</v>
      </c>
      <c r="J87" s="276">
        <f t="shared" si="38"/>
        <v>0</v>
      </c>
      <c r="K87" s="386">
        <f t="shared" si="29"/>
        <v>77835</v>
      </c>
      <c r="L87" s="89">
        <f t="shared" si="34"/>
        <v>97.293750000000003</v>
      </c>
    </row>
    <row r="88" spans="3:12" ht="15" customHeight="1">
      <c r="C88" s="241">
        <v>614800</v>
      </c>
      <c r="D88" s="323" t="s">
        <v>672</v>
      </c>
      <c r="E88" s="228" t="s">
        <v>587</v>
      </c>
      <c r="F88" s="300">
        <f>'16'!H34</f>
        <v>66000</v>
      </c>
      <c r="G88" s="300">
        <f>'16'!I34</f>
        <v>0</v>
      </c>
      <c r="H88" s="412">
        <f t="shared" si="28"/>
        <v>66000</v>
      </c>
      <c r="I88" s="300">
        <f>'16'!K34</f>
        <v>63840</v>
      </c>
      <c r="J88" s="300">
        <f>'16'!L34</f>
        <v>0</v>
      </c>
      <c r="K88" s="412">
        <f t="shared" si="29"/>
        <v>63840</v>
      </c>
      <c r="L88" s="226">
        <f t="shared" si="34"/>
        <v>96.727272727272734</v>
      </c>
    </row>
    <row r="89" spans="3:12" ht="27" customHeight="1">
      <c r="C89" s="241">
        <v>614800</v>
      </c>
      <c r="D89" s="323" t="s">
        <v>673</v>
      </c>
      <c r="E89" s="233" t="s">
        <v>588</v>
      </c>
      <c r="F89" s="300">
        <f>'16'!H35</f>
        <v>14000</v>
      </c>
      <c r="G89" s="300">
        <f>'16'!I35</f>
        <v>0</v>
      </c>
      <c r="H89" s="412">
        <f t="shared" si="28"/>
        <v>14000</v>
      </c>
      <c r="I89" s="300">
        <f>'16'!K35</f>
        <v>13995</v>
      </c>
      <c r="J89" s="300">
        <f>'16'!L35</f>
        <v>0</v>
      </c>
      <c r="K89" s="412">
        <f t="shared" si="29"/>
        <v>13995</v>
      </c>
      <c r="L89" s="226">
        <f t="shared" si="34"/>
        <v>99.964285714285722</v>
      </c>
    </row>
    <row r="90" spans="3:12" ht="13.5" customHeight="1">
      <c r="C90" s="243"/>
      <c r="D90" s="318"/>
      <c r="E90" s="8"/>
      <c r="F90" s="288"/>
      <c r="G90" s="288"/>
      <c r="H90" s="387"/>
      <c r="I90" s="288"/>
      <c r="J90" s="288"/>
      <c r="K90" s="387"/>
      <c r="L90" s="89" t="str">
        <f t="shared" si="34"/>
        <v/>
      </c>
    </row>
    <row r="91" spans="3:12" ht="15" customHeight="1">
      <c r="C91" s="425">
        <v>615000</v>
      </c>
      <c r="D91" s="426"/>
      <c r="E91" s="427" t="s">
        <v>89</v>
      </c>
      <c r="F91" s="423">
        <f t="shared" ref="F91:K91" si="39">SUM(F92:F93)</f>
        <v>362000</v>
      </c>
      <c r="G91" s="423">
        <f t="shared" si="39"/>
        <v>0</v>
      </c>
      <c r="H91" s="387">
        <f t="shared" si="39"/>
        <v>362000</v>
      </c>
      <c r="I91" s="423">
        <f t="shared" ref="I91:J91" si="40">SUM(I92:I93)</f>
        <v>0</v>
      </c>
      <c r="J91" s="423">
        <f t="shared" si="40"/>
        <v>0</v>
      </c>
      <c r="K91" s="387">
        <f t="shared" si="39"/>
        <v>0</v>
      </c>
      <c r="L91" s="424">
        <f t="shared" si="34"/>
        <v>0</v>
      </c>
    </row>
    <row r="92" spans="3:12" ht="15" customHeight="1">
      <c r="C92" s="244" t="s">
        <v>208</v>
      </c>
      <c r="D92" s="327"/>
      <c r="E92" s="39" t="s">
        <v>89</v>
      </c>
      <c r="F92" s="291">
        <f>'3'!H48</f>
        <v>362000</v>
      </c>
      <c r="G92" s="291">
        <f>'3'!I48</f>
        <v>0</v>
      </c>
      <c r="H92" s="386">
        <v>362000</v>
      </c>
      <c r="I92" s="291">
        <f>'3'!K48</f>
        <v>0</v>
      </c>
      <c r="J92" s="291">
        <f>'3'!L48</f>
        <v>0</v>
      </c>
      <c r="K92" s="386">
        <f>SUM(I92:J92)</f>
        <v>0</v>
      </c>
      <c r="L92" s="89">
        <f t="shared" si="34"/>
        <v>0</v>
      </c>
    </row>
    <row r="93" spans="3:12" ht="12.75" customHeight="1">
      <c r="C93" s="245"/>
      <c r="D93" s="328"/>
      <c r="E93" s="21"/>
      <c r="F93" s="291"/>
      <c r="G93" s="291"/>
      <c r="H93" s="386"/>
      <c r="I93" s="291"/>
      <c r="J93" s="291"/>
      <c r="K93" s="386"/>
      <c r="L93" s="89" t="str">
        <f t="shared" si="34"/>
        <v/>
      </c>
    </row>
    <row r="94" spans="3:12" ht="15" customHeight="1">
      <c r="C94" s="428" t="s">
        <v>103</v>
      </c>
      <c r="D94" s="429"/>
      <c r="E94" s="427" t="s">
        <v>203</v>
      </c>
      <c r="F94" s="423">
        <f t="shared" ref="F94:K94" si="41">SUM(F95:F97)</f>
        <v>58860</v>
      </c>
      <c r="G94" s="423">
        <f t="shared" si="41"/>
        <v>0</v>
      </c>
      <c r="H94" s="387">
        <f t="shared" si="41"/>
        <v>58860</v>
      </c>
      <c r="I94" s="423">
        <f t="shared" ref="I94:J94" si="42">SUM(I95:I97)</f>
        <v>45141</v>
      </c>
      <c r="J94" s="423">
        <f t="shared" si="42"/>
        <v>0</v>
      </c>
      <c r="K94" s="387">
        <f t="shared" si="41"/>
        <v>45141</v>
      </c>
      <c r="L94" s="424">
        <f t="shared" si="34"/>
        <v>76.692150866462796</v>
      </c>
    </row>
    <row r="95" spans="3:12" ht="15" customHeight="1">
      <c r="C95" s="237">
        <v>616300</v>
      </c>
      <c r="D95" s="319"/>
      <c r="E95" s="39" t="s">
        <v>194</v>
      </c>
      <c r="F95" s="291">
        <f>'20'!H42</f>
        <v>2560</v>
      </c>
      <c r="G95" s="291">
        <f>'20'!I42</f>
        <v>0</v>
      </c>
      <c r="H95" s="386">
        <f>SUM(F95:G95)</f>
        <v>2560</v>
      </c>
      <c r="I95" s="291">
        <f>'20'!K42</f>
        <v>2415</v>
      </c>
      <c r="J95" s="291">
        <f>'20'!L42</f>
        <v>0</v>
      </c>
      <c r="K95" s="386">
        <f>SUM(I95:J95)</f>
        <v>2415</v>
      </c>
      <c r="L95" s="89">
        <f t="shared" si="34"/>
        <v>94.3359375</v>
      </c>
    </row>
    <row r="96" spans="3:12" ht="15" customHeight="1">
      <c r="C96" s="237">
        <v>616300</v>
      </c>
      <c r="D96" s="319" t="s">
        <v>674</v>
      </c>
      <c r="E96" s="39" t="s">
        <v>210</v>
      </c>
      <c r="F96" s="291">
        <f>'16'!H38</f>
        <v>23400</v>
      </c>
      <c r="G96" s="291">
        <f>'16'!I38</f>
        <v>0</v>
      </c>
      <c r="H96" s="386">
        <f t="shared" ref="H96:H97" si="43">SUM(F96:G96)</f>
        <v>23400</v>
      </c>
      <c r="I96" s="291">
        <f>'16'!K38</f>
        <v>21130</v>
      </c>
      <c r="J96" s="291">
        <f>'16'!L38</f>
        <v>0</v>
      </c>
      <c r="K96" s="386">
        <f t="shared" ref="K96:K97" si="44">SUM(I96:J96)</f>
        <v>21130</v>
      </c>
      <c r="L96" s="89">
        <f t="shared" si="34"/>
        <v>90.299145299145295</v>
      </c>
    </row>
    <row r="97" spans="3:19" ht="15" customHeight="1">
      <c r="C97" s="237">
        <v>616300</v>
      </c>
      <c r="D97" s="319" t="s">
        <v>675</v>
      </c>
      <c r="E97" s="39" t="s">
        <v>214</v>
      </c>
      <c r="F97" s="291">
        <f>'16'!H39</f>
        <v>32900</v>
      </c>
      <c r="G97" s="291">
        <f>'16'!I39</f>
        <v>0</v>
      </c>
      <c r="H97" s="386">
        <f t="shared" si="43"/>
        <v>32900</v>
      </c>
      <c r="I97" s="291">
        <f>'16'!K39</f>
        <v>21596</v>
      </c>
      <c r="J97" s="291">
        <f>'16'!L39</f>
        <v>0</v>
      </c>
      <c r="K97" s="386">
        <f t="shared" si="44"/>
        <v>21596</v>
      </c>
      <c r="L97" s="89">
        <f t="shared" si="34"/>
        <v>65.641337386018236</v>
      </c>
    </row>
    <row r="98" spans="3:19" ht="12" customHeight="1">
      <c r="C98" s="237"/>
      <c r="D98" s="319"/>
      <c r="E98" s="39"/>
      <c r="F98" s="291"/>
      <c r="G98" s="291"/>
      <c r="H98" s="386"/>
      <c r="I98" s="291"/>
      <c r="J98" s="291"/>
      <c r="K98" s="386"/>
      <c r="L98" s="89" t="str">
        <f t="shared" si="34"/>
        <v/>
      </c>
      <c r="N98" s="71"/>
      <c r="O98" s="71"/>
      <c r="P98" s="71"/>
      <c r="Q98" s="71"/>
      <c r="R98" s="71"/>
      <c r="S98" s="71"/>
    </row>
    <row r="99" spans="3:19" ht="15" customHeight="1">
      <c r="C99" s="420">
        <v>821000</v>
      </c>
      <c r="D99" s="421"/>
      <c r="E99" s="422" t="s">
        <v>90</v>
      </c>
      <c r="F99" s="423">
        <f>SUM(F100:F103)</f>
        <v>368940</v>
      </c>
      <c r="G99" s="423">
        <f>SUM(G100:G103)</f>
        <v>999310</v>
      </c>
      <c r="H99" s="387">
        <f t="shared" ref="H99" si="45">SUM(H100:H103)</f>
        <v>1368250</v>
      </c>
      <c r="I99" s="423">
        <f>SUM(I100:I103)</f>
        <v>179214</v>
      </c>
      <c r="J99" s="423">
        <f>SUM(J100:J103)</f>
        <v>66511</v>
      </c>
      <c r="K99" s="387">
        <f t="shared" ref="K99" si="46">SUM(K100:K103)</f>
        <v>245725</v>
      </c>
      <c r="L99" s="424">
        <f t="shared" si="34"/>
        <v>17.959071807052805</v>
      </c>
      <c r="N99" s="542"/>
      <c r="O99" s="71"/>
      <c r="P99" s="71"/>
      <c r="Q99" s="71"/>
      <c r="R99" s="71"/>
      <c r="S99" s="71"/>
    </row>
    <row r="100" spans="3:19" ht="15" customHeight="1">
      <c r="C100" s="239">
        <v>821200</v>
      </c>
      <c r="D100" s="321"/>
      <c r="E100" s="14" t="s">
        <v>91</v>
      </c>
      <c r="F100" s="296">
        <f>'1'!H29+'3'!H51+'4'!H32+'5'!H29+'6'!H29+'7'!H29+'8'!H29+'9'!H29+'10'!H29+'11'!H30+'12'!H29+'13'!H29+'14'!H29+'15'!H33+'16'!H42+'17'!H35+'18'!H34+'19'!H35+'20'!H45+'21'!H29+'22'!H29+'23'!H30+'24'!H29+'25'!H29+'26'!H29+'27'!H29+'28'!H29+'29'!H29+'30'!H29+'31'!H32+'32'!H29+'33'!H33+'34'!H29+'35'!H29+'36'!H29+'37'!H29</f>
        <v>46630</v>
      </c>
      <c r="G100" s="296">
        <f>'1'!I29+'3'!I51+'4'!I32+'5'!I29+'6'!I29+'7'!I29+'8'!I29+'9'!I29+'10'!I29+'11'!I30+'12'!I29+'13'!I29+'14'!I29+'15'!I33+'16'!I42+'17'!I35+'18'!I34+'19'!I35+'20'!I45+'21'!I29+'22'!I29+'23'!I30+'24'!I29+'25'!I29+'26'!I29+'27'!I29+'28'!I29+'29'!I29+'30'!I29+'31'!I32+'32'!I29+'33'!I33+'34'!I29+'35'!I29+'36'!I29+'37'!I29</f>
        <v>0</v>
      </c>
      <c r="H100" s="386">
        <f>SUM(F100:G100)</f>
        <v>46630</v>
      </c>
      <c r="I100" s="296">
        <f>'1'!K29+'3'!K51+'4'!K32+'5'!K29+'6'!K29+'7'!K29+'8'!K29+'9'!K29+'10'!K29+'11'!K30+'12'!K29+'13'!K29+'14'!K29+'15'!K33+'16'!K42+'17'!K35+'18'!K34+'19'!K35+'20'!K45+'21'!K29+'22'!K29+'23'!K30+'24'!K29+'25'!K29+'26'!K29+'27'!K29+'28'!K29+'29'!K29+'30'!K29+'31'!K32+'32'!K29+'33'!K33+'34'!K29+'35'!K29+'36'!K29+'37'!K29</f>
        <v>17100</v>
      </c>
      <c r="J100" s="296">
        <f>'1'!L29+'3'!L51+'4'!L32+'5'!L29+'6'!L29+'7'!L29+'8'!L29+'9'!L29+'10'!L29+'11'!L30+'12'!L29+'13'!L29+'14'!L29+'15'!L33+'16'!L42+'17'!L35+'18'!L34+'19'!L35+'20'!L45+'21'!L29+'22'!L29+'23'!L30+'24'!L29+'25'!L29+'26'!L29+'27'!L29+'28'!L29+'29'!L29+'30'!L29+'31'!L32+'32'!L29+'33'!L33+'34'!L29+'35'!L29+'36'!L29+'37'!L29</f>
        <v>0</v>
      </c>
      <c r="K100" s="386">
        <f>SUM(I100:J100)</f>
        <v>17100</v>
      </c>
      <c r="L100" s="89">
        <f t="shared" si="34"/>
        <v>36.671670598327253</v>
      </c>
      <c r="N100" s="71"/>
      <c r="O100" s="71"/>
      <c r="P100" s="71"/>
      <c r="Q100" s="71"/>
      <c r="R100" s="71"/>
      <c r="S100" s="71"/>
    </row>
    <row r="101" spans="3:19" ht="15" customHeight="1">
      <c r="C101" s="239">
        <v>821300</v>
      </c>
      <c r="D101" s="321"/>
      <c r="E101" s="14" t="s">
        <v>92</v>
      </c>
      <c r="F101" s="296">
        <f>'1'!H30+'3'!H52+'4'!H33+'5'!H30+'6'!H30+'7'!H30+'8'!H30+'9'!H30+'10'!H30+'11'!H31+'12'!H30+'13'!H30+'14'!H30+'15'!H34+'16'!H43+'17'!H36+'18'!H35+'19'!H36+'20'!H46+'21'!H30+'22'!H30+'23'!H31+'24'!H30+'25'!H30+'26'!H30+'27'!H30+'28'!H30+'29'!H30+'30'!H30+'31'!H33+'32'!H30+'33'!H34+'34'!H30+'35'!H30+'36'!H30+'37'!H30</f>
        <v>272310</v>
      </c>
      <c r="G101" s="296">
        <f>'1'!I30+'3'!I52+'4'!I33+'5'!I30+'6'!I30+'7'!I30+'8'!I30+'9'!I30+'10'!I30+'11'!I31+'12'!I30+'13'!I30+'14'!I30+'15'!I34+'16'!I43+'17'!I36+'18'!I35+'19'!I36+'20'!I46+'21'!I30+'22'!I30+'23'!I31+'24'!I30+'25'!I30+'26'!I30+'27'!I30+'28'!I30+'29'!I30+'30'!I30+'31'!I33+'32'!I30+'33'!I34+'34'!I30+'35'!I30+'36'!I30+'37'!I30</f>
        <v>107310</v>
      </c>
      <c r="H101" s="386">
        <f t="shared" ref="H101:H103" si="47">SUM(F101:G101)</f>
        <v>379620</v>
      </c>
      <c r="I101" s="296">
        <f>'1'!K30+'3'!K52+'4'!K33+'5'!K30+'6'!K30+'7'!K30+'8'!K30+'9'!K30+'10'!K30+'11'!K31+'12'!K30+'13'!K30+'14'!K30+'15'!K34+'16'!K43+'17'!K36+'18'!K35+'19'!K36+'20'!K46+'21'!K30+'22'!K30+'23'!K31+'24'!K30+'25'!K30+'26'!K30+'27'!K30+'28'!K30+'29'!K30+'30'!K30+'31'!K33+'32'!K30+'33'!K34+'34'!K30+'35'!K30+'36'!K30+'37'!K30</f>
        <v>162114</v>
      </c>
      <c r="J101" s="296">
        <f>'1'!L30+'3'!L52+'4'!L33+'5'!L30+'6'!L30+'7'!L30+'8'!L30+'9'!L30+'10'!L30+'11'!L31+'12'!L30+'13'!L30+'14'!L30+'15'!L34+'16'!L43+'17'!L36+'18'!L35+'19'!L36+'20'!L46+'21'!L30+'22'!L30+'23'!L31+'24'!L30+'25'!L30+'26'!L30+'27'!L30+'28'!L30+'29'!L30+'30'!L30+'31'!L33+'32'!L30+'33'!L34+'34'!L30+'35'!L30+'36'!L30+'37'!L30</f>
        <v>59533</v>
      </c>
      <c r="K101" s="386">
        <f t="shared" ref="K101:K103" si="48">SUM(I101:J101)</f>
        <v>221647</v>
      </c>
      <c r="L101" s="89">
        <f t="shared" si="34"/>
        <v>58.386544439176014</v>
      </c>
      <c r="N101" s="71"/>
      <c r="O101" s="71"/>
      <c r="P101" s="71"/>
      <c r="Q101" s="71"/>
      <c r="R101" s="71"/>
      <c r="S101" s="71"/>
    </row>
    <row r="102" spans="3:19" ht="15" customHeight="1">
      <c r="C102" s="239">
        <v>821500</v>
      </c>
      <c r="D102" s="321"/>
      <c r="E102" s="162" t="s">
        <v>521</v>
      </c>
      <c r="F102" s="296">
        <f>'3'!H53</f>
        <v>50000</v>
      </c>
      <c r="G102" s="296">
        <f>'3'!I53</f>
        <v>0</v>
      </c>
      <c r="H102" s="386">
        <f t="shared" si="47"/>
        <v>50000</v>
      </c>
      <c r="I102" s="296">
        <f>'3'!K53</f>
        <v>0</v>
      </c>
      <c r="J102" s="296">
        <f>'3'!L53</f>
        <v>0</v>
      </c>
      <c r="K102" s="386">
        <f t="shared" si="48"/>
        <v>0</v>
      </c>
      <c r="L102" s="89">
        <f t="shared" si="34"/>
        <v>0</v>
      </c>
      <c r="N102" s="71"/>
      <c r="O102" s="71"/>
      <c r="P102" s="71"/>
      <c r="Q102" s="71"/>
      <c r="R102" s="71"/>
      <c r="S102" s="71"/>
    </row>
    <row r="103" spans="3:19" ht="15" customHeight="1">
      <c r="C103" s="239">
        <v>821600</v>
      </c>
      <c r="D103" s="321"/>
      <c r="E103" s="69" t="s">
        <v>104</v>
      </c>
      <c r="F103" s="296">
        <f>'18'!H36</f>
        <v>0</v>
      </c>
      <c r="G103" s="296">
        <f>'18'!I36</f>
        <v>892000</v>
      </c>
      <c r="H103" s="386">
        <f t="shared" si="47"/>
        <v>892000</v>
      </c>
      <c r="I103" s="296">
        <f>'18'!K36</f>
        <v>0</v>
      </c>
      <c r="J103" s="296">
        <f>'18'!L36</f>
        <v>6978</v>
      </c>
      <c r="K103" s="386">
        <f t="shared" si="48"/>
        <v>6978</v>
      </c>
      <c r="L103" s="89">
        <f t="shared" si="34"/>
        <v>0.78228699551569514</v>
      </c>
      <c r="N103" s="71"/>
      <c r="O103" s="71"/>
      <c r="P103" s="71"/>
      <c r="Q103" s="71"/>
      <c r="R103" s="71"/>
      <c r="S103" s="71"/>
    </row>
    <row r="104" spans="3:19" ht="11.25" customHeight="1">
      <c r="C104" s="237"/>
      <c r="D104" s="319"/>
      <c r="E104" s="11"/>
      <c r="F104" s="279"/>
      <c r="G104" s="279"/>
      <c r="H104" s="386"/>
      <c r="I104" s="279"/>
      <c r="J104" s="279"/>
      <c r="K104" s="386"/>
      <c r="L104" s="89" t="str">
        <f t="shared" si="34"/>
        <v/>
      </c>
    </row>
    <row r="105" spans="3:19" ht="15" customHeight="1">
      <c r="C105" s="420">
        <v>823000</v>
      </c>
      <c r="D105" s="421"/>
      <c r="E105" s="422" t="s">
        <v>204</v>
      </c>
      <c r="F105" s="423">
        <f t="shared" ref="F105:G105" si="49">SUM(F106:F108)</f>
        <v>598890</v>
      </c>
      <c r="G105" s="423">
        <f t="shared" si="49"/>
        <v>0</v>
      </c>
      <c r="H105" s="387">
        <f t="shared" ref="H105" si="50">SUM(H106:H108)</f>
        <v>598890</v>
      </c>
      <c r="I105" s="423">
        <f t="shared" ref="I105:J105" si="51">SUM(I106:I108)</f>
        <v>591134</v>
      </c>
      <c r="J105" s="423">
        <f t="shared" si="51"/>
        <v>0</v>
      </c>
      <c r="K105" s="387">
        <f t="shared" ref="K105" si="52">SUM(K106:K108)</f>
        <v>591134</v>
      </c>
      <c r="L105" s="424">
        <f t="shared" si="34"/>
        <v>98.704937467648477</v>
      </c>
    </row>
    <row r="106" spans="3:19" ht="15" customHeight="1">
      <c r="C106" s="237">
        <v>823300</v>
      </c>
      <c r="D106" s="319"/>
      <c r="E106" s="18" t="s">
        <v>213</v>
      </c>
      <c r="F106" s="279">
        <f>'20'!H49</f>
        <v>75000</v>
      </c>
      <c r="G106" s="279">
        <f>'20'!I49</f>
        <v>0</v>
      </c>
      <c r="H106" s="386">
        <f>F106+G106</f>
        <v>75000</v>
      </c>
      <c r="I106" s="279">
        <f>'20'!K49</f>
        <v>71436</v>
      </c>
      <c r="J106" s="279">
        <f>'20'!L49</f>
        <v>0</v>
      </c>
      <c r="K106" s="386">
        <f t="shared" ref="K106:K108" si="53">I106+J106</f>
        <v>71436</v>
      </c>
      <c r="L106" s="89">
        <f t="shared" si="34"/>
        <v>95.248000000000005</v>
      </c>
    </row>
    <row r="107" spans="3:19" ht="15" customHeight="1">
      <c r="C107" s="237">
        <v>823300</v>
      </c>
      <c r="D107" s="319" t="s">
        <v>674</v>
      </c>
      <c r="E107" s="18" t="s">
        <v>601</v>
      </c>
      <c r="F107" s="291">
        <f>'16'!H46</f>
        <v>93600</v>
      </c>
      <c r="G107" s="291">
        <f>'16'!I46</f>
        <v>0</v>
      </c>
      <c r="H107" s="386">
        <f t="shared" ref="H107:H108" si="54">F107+G107</f>
        <v>93600</v>
      </c>
      <c r="I107" s="291">
        <f>'16'!K46</f>
        <v>89415</v>
      </c>
      <c r="J107" s="291">
        <f>'16'!L46</f>
        <v>0</v>
      </c>
      <c r="K107" s="386">
        <f t="shared" si="53"/>
        <v>89415</v>
      </c>
      <c r="L107" s="89">
        <f t="shared" si="34"/>
        <v>95.52884615384616</v>
      </c>
    </row>
    <row r="108" spans="3:19" ht="15" customHeight="1">
      <c r="C108" s="237">
        <v>823300</v>
      </c>
      <c r="D108" s="319" t="s">
        <v>675</v>
      </c>
      <c r="E108" s="18" t="s">
        <v>600</v>
      </c>
      <c r="F108" s="291">
        <f>'16'!H47</f>
        <v>430290</v>
      </c>
      <c r="G108" s="291">
        <f>'16'!I47</f>
        <v>0</v>
      </c>
      <c r="H108" s="386">
        <f t="shared" si="54"/>
        <v>430290</v>
      </c>
      <c r="I108" s="291">
        <f>'16'!K47</f>
        <v>430283</v>
      </c>
      <c r="J108" s="291">
        <f>'16'!L47</f>
        <v>0</v>
      </c>
      <c r="K108" s="386">
        <f t="shared" si="53"/>
        <v>430283</v>
      </c>
      <c r="L108" s="89">
        <f t="shared" si="34"/>
        <v>99.998373190174078</v>
      </c>
    </row>
    <row r="109" spans="3:19" ht="15" customHeight="1">
      <c r="C109" s="25"/>
      <c r="D109" s="329"/>
      <c r="E109" s="11"/>
      <c r="F109" s="279"/>
      <c r="G109" s="279"/>
      <c r="H109" s="386"/>
      <c r="I109" s="279"/>
      <c r="J109" s="279"/>
      <c r="K109" s="386"/>
      <c r="L109" s="89" t="str">
        <f t="shared" si="34"/>
        <v/>
      </c>
    </row>
    <row r="110" spans="3:19" ht="15" customHeight="1">
      <c r="C110" s="4"/>
      <c r="D110" s="317"/>
      <c r="E110" s="8" t="s">
        <v>93</v>
      </c>
      <c r="F110" s="297" t="s">
        <v>798</v>
      </c>
      <c r="G110" s="297"/>
      <c r="H110" s="389" t="s">
        <v>798</v>
      </c>
      <c r="I110" s="297" t="s">
        <v>851</v>
      </c>
      <c r="J110" s="297"/>
      <c r="K110" s="389" t="s">
        <v>851</v>
      </c>
      <c r="L110" s="89"/>
    </row>
    <row r="111" spans="3:19" ht="15" customHeight="1">
      <c r="C111" s="4"/>
      <c r="D111" s="317"/>
      <c r="E111" s="8" t="s">
        <v>113</v>
      </c>
      <c r="F111" s="288">
        <f>'1'!H33+'3'!H56+'4'!H36+'5'!H33+'6'!H33+'7'!H33+'8'!H33+'9'!H33+'10'!H33+'11'!H34+'12'!H33+'13'!H33+'14'!H33+'15'!H37+'16'!H50+'17'!H39+'18'!H39+'19'!H39+'20'!H52+'21'!H33+'22'!H33+'23'!H34+'24'!H33+'25'!H33+'26'!H33+'27'!H33+'28'!H33+'29'!H33+'30'!H33+'31'!H36+'32'!H33+'33'!H37+'34'!H33+'35'!H33+'36'!H33+'37'!H33</f>
        <v>38977250</v>
      </c>
      <c r="G111" s="288">
        <f>'1'!I33+'3'!I56+'4'!I36+'5'!I33+'6'!I33+'7'!I33+'8'!I33+'9'!I33+'10'!I33+'11'!I34+'12'!I33+'13'!I33+'14'!I33+'15'!I37+'16'!I50+'17'!I39+'18'!I39+'19'!I39+'20'!I52+'21'!I33+'22'!I33+'23'!I34+'24'!I33+'25'!I33+'26'!I33+'27'!I33+'28'!I33+'29'!I33+'30'!I33+'31'!I36+'32'!I33+'33'!I37+'34'!I33+'35'!I33+'36'!I33+'37'!I33</f>
        <v>2271250</v>
      </c>
      <c r="H111" s="387">
        <f>'1'!J33+'3'!J56+'4'!J36+'5'!J33+'6'!J33+'7'!J33+'8'!J33+'9'!J33+'10'!J33+'11'!J34+'12'!J33+'13'!J33+'14'!J33+'15'!J37+'16'!J50+'17'!J39+'18'!J39+'19'!J39+'20'!J52+'21'!J33+'22'!J33+'23'!J34+'24'!J33+'25'!J33+'26'!J33+'27'!J33+'28'!J33+'29'!J33+'30'!J33+'31'!J36+'32'!J33+'33'!J37+'34'!J33+'35'!J33+'36'!J33+'37'!J33</f>
        <v>41248500</v>
      </c>
      <c r="I111" s="288">
        <f>'1'!K33+'3'!K56+'4'!K36+'5'!K33+'6'!K33+'7'!K33+'8'!K33+'9'!K33+'10'!K33+'11'!K34+'12'!K33+'13'!K33+'14'!K33+'15'!K37+'16'!K50+'17'!K39+'18'!K39+'19'!K39+'20'!K52+'21'!K33+'22'!K33+'23'!K34+'24'!K33+'25'!K33+'26'!K33+'27'!K33+'28'!K33+'29'!K33+'30'!K33+'31'!K36+'32'!K33+'33'!K37+'34'!K33+'35'!K33+'36'!K33+'37'!K33</f>
        <v>26812512</v>
      </c>
      <c r="J111" s="288">
        <f>'1'!L33+'3'!L56+'4'!L36+'5'!L33+'6'!L33+'7'!L33+'8'!L33+'9'!L33+'10'!L33+'11'!L34+'12'!L33+'13'!L33+'14'!L33+'15'!L37+'16'!L50+'17'!L39+'18'!L39+'19'!L39+'20'!L52+'21'!L33+'22'!L33+'23'!L34+'24'!L33+'25'!L33+'26'!L33+'27'!L33+'28'!L33+'29'!L33+'30'!L33+'31'!L36+'32'!L33+'33'!L37+'34'!L33+'35'!L33+'36'!L33+'37'!L33</f>
        <v>506445</v>
      </c>
      <c r="K111" s="387">
        <f>'1'!M33+'3'!M56+'4'!M36+'5'!M33+'6'!M33+'7'!M33+'8'!M33+'9'!M33+'10'!M33+'11'!M34+'12'!M33+'13'!M33+'14'!M33+'15'!M37+'16'!M50+'17'!M39+'18'!M39+'19'!M39+'20'!M52+'21'!M33+'22'!M33+'23'!M34+'24'!M33+'25'!M33+'26'!M33+'27'!M33+'28'!M33+'29'!M33+'30'!M33+'31'!M36+'32'!M33+'33'!M37+'34'!M33+'35'!M33+'36'!M33+'37'!M33</f>
        <v>27318957</v>
      </c>
      <c r="L111" s="262">
        <f t="shared" si="34"/>
        <v>66.23018291574239</v>
      </c>
      <c r="N111" s="57"/>
    </row>
    <row r="112" spans="3:19" ht="15" customHeight="1" thickBot="1">
      <c r="C112" s="26"/>
      <c r="D112" s="330"/>
      <c r="E112" s="16"/>
      <c r="F112" s="16"/>
      <c r="G112" s="16"/>
      <c r="H112" s="394"/>
      <c r="I112" s="16"/>
      <c r="J112" s="16"/>
      <c r="K112" s="394"/>
      <c r="L112" s="85"/>
    </row>
    <row r="113" spans="3:12" ht="15" customHeight="1" thickBot="1">
      <c r="C113" s="48"/>
      <c r="D113" s="304"/>
      <c r="E113" s="49"/>
      <c r="F113" s="49"/>
      <c r="G113" s="49"/>
      <c r="H113" s="49"/>
      <c r="I113" s="49"/>
      <c r="J113" s="49"/>
      <c r="K113" s="49"/>
      <c r="L113" s="83"/>
    </row>
    <row r="114" spans="3:12" ht="7.5" customHeight="1"/>
    <row r="115" spans="3:12" ht="8.25" customHeight="1">
      <c r="C115" s="28"/>
      <c r="D115" s="292"/>
    </row>
    <row r="116" spans="3:12" ht="12" customHeight="1">
      <c r="C116" s="66"/>
      <c r="D116" s="294"/>
      <c r="F116" s="57"/>
      <c r="G116" s="57"/>
      <c r="H116" s="57"/>
      <c r="I116" s="57"/>
      <c r="J116" s="57"/>
      <c r="K116" s="57"/>
    </row>
    <row r="117" spans="3:12" ht="6.75" customHeight="1">
      <c r="C117" s="67"/>
      <c r="D117" s="67"/>
    </row>
    <row r="118" spans="3:12" ht="12" customHeight="1">
      <c r="C118" s="585"/>
      <c r="D118" s="585"/>
      <c r="E118" s="585"/>
      <c r="F118" s="370"/>
      <c r="G118" s="370"/>
      <c r="H118" s="29"/>
      <c r="I118" s="529"/>
      <c r="J118" s="529"/>
      <c r="K118" s="541"/>
      <c r="L118" s="84"/>
    </row>
    <row r="119" spans="3:12" ht="18" customHeight="1">
      <c r="C119" s="586"/>
      <c r="D119" s="586"/>
      <c r="E119" s="586"/>
      <c r="F119" s="586"/>
      <c r="G119" s="586"/>
      <c r="H119" s="586"/>
      <c r="I119" s="586"/>
      <c r="J119" s="586"/>
      <c r="K119" s="586"/>
      <c r="L119" s="586"/>
    </row>
  </sheetData>
  <mergeCells count="10">
    <mergeCell ref="H3:L3"/>
    <mergeCell ref="C3:E3"/>
    <mergeCell ref="C118:E118"/>
    <mergeCell ref="C119:L119"/>
    <mergeCell ref="F4:H4"/>
    <mergeCell ref="C4:C5"/>
    <mergeCell ref="D4:D5"/>
    <mergeCell ref="E4:E5"/>
    <mergeCell ref="L4:L5"/>
    <mergeCell ref="I4:K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86" firstPageNumber="7" orientation="landscape" r:id="rId1"/>
  <headerFooter alignWithMargins="0">
    <oddFooter>&amp;R&amp;P</oddFooter>
  </headerFooter>
  <rowBreaks count="2" manualBreakCount="2">
    <brk id="40" min="2" max="11" man="1"/>
    <brk id="119" min="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6"/>
  <sheetViews>
    <sheetView zoomScaleNormal="100" workbookViewId="0">
      <selection activeCell="M33" sqref="M33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5" width="9.140625" style="9"/>
    <col min="16" max="16" width="9.5703125" style="9" bestFit="1" customWidth="1"/>
    <col min="17" max="16384" width="9.140625" style="9"/>
  </cols>
  <sheetData>
    <row r="1" spans="1:18" ht="13.5" thickBot="1"/>
    <row r="2" spans="1:18" s="98" customFormat="1" ht="20.100000000000001" customHeight="1" thickTop="1" thickBot="1">
      <c r="A2" s="376"/>
      <c r="B2" s="598" t="s">
        <v>116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600"/>
    </row>
    <row r="3" spans="1:18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8" s="1" customFormat="1" ht="39" customHeight="1">
      <c r="A4" s="281"/>
      <c r="B4" s="604" t="s">
        <v>78</v>
      </c>
      <c r="C4" s="606" t="s">
        <v>79</v>
      </c>
      <c r="D4" s="608" t="s">
        <v>110</v>
      </c>
      <c r="E4" s="610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01" t="s">
        <v>825</v>
      </c>
      <c r="L4" s="602"/>
      <c r="M4" s="603"/>
      <c r="N4" s="612" t="s">
        <v>803</v>
      </c>
    </row>
    <row r="5" spans="1:18" s="281" customFormat="1" ht="27" customHeight="1">
      <c r="B5" s="605"/>
      <c r="C5" s="607"/>
      <c r="D5" s="607"/>
      <c r="E5" s="611"/>
      <c r="F5" s="607"/>
      <c r="G5" s="611"/>
      <c r="H5" s="371" t="s">
        <v>705</v>
      </c>
      <c r="I5" s="371" t="s">
        <v>706</v>
      </c>
      <c r="J5" s="382" t="s">
        <v>413</v>
      </c>
      <c r="K5" s="371" t="s">
        <v>705</v>
      </c>
      <c r="L5" s="371" t="s">
        <v>706</v>
      </c>
      <c r="M5" s="382" t="s">
        <v>413</v>
      </c>
      <c r="N5" s="613"/>
    </row>
    <row r="6" spans="1:18" s="2" customFormat="1" ht="12.7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8" s="2" customFormat="1" ht="12.95" customHeight="1">
      <c r="A7" s="282"/>
      <c r="B7" s="6">
        <v>10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8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552600</v>
      </c>
      <c r="I8" s="210">
        <f t="shared" si="0"/>
        <v>0</v>
      </c>
      <c r="J8" s="384">
        <f t="shared" si="0"/>
        <v>552600</v>
      </c>
      <c r="K8" s="210">
        <f t="shared" si="0"/>
        <v>417245</v>
      </c>
      <c r="L8" s="210">
        <f t="shared" si="0"/>
        <v>0</v>
      </c>
      <c r="M8" s="384">
        <f t="shared" si="0"/>
        <v>417245</v>
      </c>
      <c r="N8" s="346">
        <f>IF(J8=0,"",M8/J8*100)</f>
        <v>75.505790807093746</v>
      </c>
      <c r="P8" s="56"/>
    </row>
    <row r="9" spans="1:18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356700+2500+2*500+111100</f>
        <v>471300</v>
      </c>
      <c r="I9" s="209">
        <v>0</v>
      </c>
      <c r="J9" s="385">
        <f>SUM(H9:I9)</f>
        <v>471300</v>
      </c>
      <c r="K9" s="209">
        <v>363697</v>
      </c>
      <c r="L9" s="209">
        <v>0</v>
      </c>
      <c r="M9" s="385">
        <f>SUM(K9:L9)</f>
        <v>363697</v>
      </c>
      <c r="N9" s="347">
        <f t="shared" ref="N9:N35" si="1">IF(J9=0,"",M9/J9*100)</f>
        <v>77.168894546997663</v>
      </c>
      <c r="O9" s="50"/>
      <c r="P9" s="56"/>
      <c r="Q9" s="57"/>
      <c r="R9" s="57"/>
    </row>
    <row r="10" spans="1:18" ht="12.95" customHeight="1">
      <c r="B10" s="10"/>
      <c r="C10" s="11"/>
      <c r="D10" s="11"/>
      <c r="E10" s="306">
        <v>611200</v>
      </c>
      <c r="F10" s="332"/>
      <c r="G10" s="18" t="s">
        <v>199</v>
      </c>
      <c r="H10" s="209">
        <f>73700+1500+2*900+4300</f>
        <v>81300</v>
      </c>
      <c r="I10" s="209">
        <v>0</v>
      </c>
      <c r="J10" s="385">
        <f t="shared" ref="J10:J11" si="2">SUM(H10:I10)</f>
        <v>81300</v>
      </c>
      <c r="K10" s="209">
        <v>53548</v>
      </c>
      <c r="L10" s="209">
        <v>0</v>
      </c>
      <c r="M10" s="385">
        <f t="shared" ref="M10:M11" si="3">SUM(K10:L10)</f>
        <v>53548</v>
      </c>
      <c r="N10" s="347">
        <f t="shared" si="1"/>
        <v>65.864698646986469</v>
      </c>
      <c r="P10" s="56"/>
    </row>
    <row r="11" spans="1:18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8" ht="8.1" customHeight="1">
      <c r="B12" s="10"/>
      <c r="C12" s="11"/>
      <c r="D12" s="11"/>
      <c r="E12" s="306"/>
      <c r="F12" s="332"/>
      <c r="G12" s="189"/>
      <c r="H12" s="209"/>
      <c r="I12" s="209"/>
      <c r="J12" s="385"/>
      <c r="K12" s="209"/>
      <c r="L12" s="209"/>
      <c r="M12" s="385"/>
      <c r="N12" s="347" t="str">
        <f t="shared" si="1"/>
        <v/>
      </c>
      <c r="P12" s="56"/>
    </row>
    <row r="13" spans="1:18" ht="12.95" customHeight="1"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H14+H15</f>
        <v>51900</v>
      </c>
      <c r="I13" s="210">
        <f t="shared" si="4"/>
        <v>0</v>
      </c>
      <c r="J13" s="384">
        <f t="shared" si="4"/>
        <v>51900</v>
      </c>
      <c r="K13" s="210">
        <f t="shared" si="4"/>
        <v>38423</v>
      </c>
      <c r="L13" s="210">
        <f t="shared" si="4"/>
        <v>0</v>
      </c>
      <c r="M13" s="384">
        <f t="shared" si="4"/>
        <v>38423</v>
      </c>
      <c r="N13" s="346">
        <f t="shared" si="1"/>
        <v>74.032755298651253</v>
      </c>
      <c r="P13" s="56"/>
    </row>
    <row r="14" spans="1:18" s="1" customFormat="1" ht="12.95" customHeight="1">
      <c r="A14" s="281"/>
      <c r="B14" s="10"/>
      <c r="C14" s="11"/>
      <c r="D14" s="11"/>
      <c r="E14" s="306">
        <v>612100</v>
      </c>
      <c r="F14" s="332"/>
      <c r="G14" s="13" t="s">
        <v>83</v>
      </c>
      <c r="H14" s="209">
        <f>37900+300+2*70+13560</f>
        <v>51900</v>
      </c>
      <c r="I14" s="209">
        <v>0</v>
      </c>
      <c r="J14" s="385">
        <f>SUM(H14:I14)</f>
        <v>51900</v>
      </c>
      <c r="K14" s="209">
        <v>38423</v>
      </c>
      <c r="L14" s="209">
        <v>0</v>
      </c>
      <c r="M14" s="385">
        <f>SUM(K14:L14)</f>
        <v>38423</v>
      </c>
      <c r="N14" s="347">
        <f t="shared" si="1"/>
        <v>74.032755298651253</v>
      </c>
      <c r="P14" s="56"/>
    </row>
    <row r="15" spans="1:18" ht="8.1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  <c r="P15" s="56"/>
    </row>
    <row r="16" spans="1:18" ht="12.95" customHeight="1"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276720</v>
      </c>
      <c r="I16" s="293">
        <f t="shared" si="5"/>
        <v>0</v>
      </c>
      <c r="J16" s="387">
        <f t="shared" si="5"/>
        <v>276720</v>
      </c>
      <c r="K16" s="293">
        <f t="shared" si="5"/>
        <v>179538</v>
      </c>
      <c r="L16" s="293">
        <f t="shared" si="5"/>
        <v>0</v>
      </c>
      <c r="M16" s="387">
        <f t="shared" si="5"/>
        <v>179538</v>
      </c>
      <c r="N16" s="346">
        <f t="shared" si="1"/>
        <v>64.880745880312233</v>
      </c>
      <c r="P16" s="56"/>
    </row>
    <row r="17" spans="1:17" s="1" customFormat="1" ht="12.95" customHeight="1">
      <c r="A17" s="281"/>
      <c r="B17" s="10"/>
      <c r="C17" s="11"/>
      <c r="D17" s="11"/>
      <c r="E17" s="306">
        <v>613100</v>
      </c>
      <c r="F17" s="332"/>
      <c r="G17" s="11" t="s">
        <v>84</v>
      </c>
      <c r="H17" s="362">
        <v>6500</v>
      </c>
      <c r="I17" s="362">
        <v>0</v>
      </c>
      <c r="J17" s="385">
        <f t="shared" ref="J17:J26" si="6">SUM(H17:I17)</f>
        <v>6500</v>
      </c>
      <c r="K17" s="362">
        <v>3924</v>
      </c>
      <c r="L17" s="362">
        <v>0</v>
      </c>
      <c r="M17" s="385">
        <f t="shared" ref="M17:M26" si="7">SUM(K17:L17)</f>
        <v>3924</v>
      </c>
      <c r="N17" s="347">
        <f t="shared" si="1"/>
        <v>60.369230769230761</v>
      </c>
      <c r="P17" s="56"/>
    </row>
    <row r="18" spans="1:17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12800</v>
      </c>
      <c r="I18" s="362">
        <v>0</v>
      </c>
      <c r="J18" s="385">
        <f t="shared" si="6"/>
        <v>12800</v>
      </c>
      <c r="K18" s="362">
        <v>5410</v>
      </c>
      <c r="L18" s="362">
        <v>0</v>
      </c>
      <c r="M18" s="385">
        <f t="shared" si="7"/>
        <v>5410</v>
      </c>
      <c r="N18" s="347">
        <f t="shared" si="1"/>
        <v>42.265625</v>
      </c>
      <c r="P18" s="56"/>
    </row>
    <row r="19" spans="1:17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8600</v>
      </c>
      <c r="I19" s="362">
        <v>0</v>
      </c>
      <c r="J19" s="385">
        <f t="shared" si="6"/>
        <v>8600</v>
      </c>
      <c r="K19" s="362">
        <v>5186</v>
      </c>
      <c r="L19" s="362">
        <v>0</v>
      </c>
      <c r="M19" s="385">
        <f t="shared" si="7"/>
        <v>5186</v>
      </c>
      <c r="N19" s="347">
        <f t="shared" si="1"/>
        <v>60.302325581395344</v>
      </c>
      <c r="P19" s="56"/>
    </row>
    <row r="20" spans="1:17" ht="12.95" customHeight="1">
      <c r="B20" s="10"/>
      <c r="C20" s="11"/>
      <c r="D20" s="11"/>
      <c r="E20" s="306">
        <v>613400</v>
      </c>
      <c r="F20" s="332"/>
      <c r="G20" s="18" t="s">
        <v>165</v>
      </c>
      <c r="H20" s="364">
        <v>5500</v>
      </c>
      <c r="I20" s="364">
        <v>0</v>
      </c>
      <c r="J20" s="385">
        <f t="shared" si="6"/>
        <v>5500</v>
      </c>
      <c r="K20" s="364">
        <v>3328</v>
      </c>
      <c r="L20" s="364">
        <v>0</v>
      </c>
      <c r="M20" s="385">
        <f t="shared" si="7"/>
        <v>3328</v>
      </c>
      <c r="N20" s="347">
        <f t="shared" si="1"/>
        <v>60.509090909090915</v>
      </c>
      <c r="P20" s="56"/>
    </row>
    <row r="21" spans="1:17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10000</v>
      </c>
      <c r="I21" s="364">
        <v>0</v>
      </c>
      <c r="J21" s="385">
        <f t="shared" si="6"/>
        <v>10000</v>
      </c>
      <c r="K21" s="364">
        <v>4670</v>
      </c>
      <c r="L21" s="364">
        <v>0</v>
      </c>
      <c r="M21" s="385">
        <f t="shared" si="7"/>
        <v>4670</v>
      </c>
      <c r="N21" s="347">
        <f t="shared" si="1"/>
        <v>46.7</v>
      </c>
      <c r="P21" s="56"/>
    </row>
    <row r="22" spans="1:17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  <c r="P22" s="56"/>
    </row>
    <row r="23" spans="1:17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6000</v>
      </c>
      <c r="I23" s="362">
        <v>0</v>
      </c>
      <c r="J23" s="385">
        <f t="shared" si="6"/>
        <v>6000</v>
      </c>
      <c r="K23" s="362">
        <v>4676</v>
      </c>
      <c r="L23" s="362">
        <v>0</v>
      </c>
      <c r="M23" s="385">
        <f t="shared" si="7"/>
        <v>4676</v>
      </c>
      <c r="N23" s="347">
        <f t="shared" si="1"/>
        <v>77.933333333333337</v>
      </c>
      <c r="P23" s="56"/>
    </row>
    <row r="24" spans="1:17" ht="12.95" customHeight="1">
      <c r="B24" s="10"/>
      <c r="C24" s="11"/>
      <c r="D24" s="11"/>
      <c r="E24" s="306">
        <v>613800</v>
      </c>
      <c r="F24" s="332"/>
      <c r="G24" s="18" t="s">
        <v>166</v>
      </c>
      <c r="H24" s="362">
        <v>2320</v>
      </c>
      <c r="I24" s="362">
        <v>0</v>
      </c>
      <c r="J24" s="385">
        <f t="shared" si="6"/>
        <v>2320</v>
      </c>
      <c r="K24" s="362">
        <v>2279</v>
      </c>
      <c r="L24" s="362">
        <v>0</v>
      </c>
      <c r="M24" s="385">
        <f t="shared" si="7"/>
        <v>2279</v>
      </c>
      <c r="N24" s="347">
        <f t="shared" si="1"/>
        <v>98.232758620689651</v>
      </c>
      <c r="P24" s="56"/>
    </row>
    <row r="25" spans="1:17" ht="12.95" customHeight="1">
      <c r="B25" s="10"/>
      <c r="C25" s="11"/>
      <c r="D25" s="11"/>
      <c r="E25" s="306">
        <v>613900</v>
      </c>
      <c r="F25" s="332"/>
      <c r="G25" s="18" t="s">
        <v>167</v>
      </c>
      <c r="H25" s="364">
        <v>225000</v>
      </c>
      <c r="I25" s="364">
        <v>0</v>
      </c>
      <c r="J25" s="385">
        <f t="shared" si="6"/>
        <v>225000</v>
      </c>
      <c r="K25" s="364">
        <v>150065</v>
      </c>
      <c r="L25" s="364">
        <v>0</v>
      </c>
      <c r="M25" s="385">
        <f t="shared" si="7"/>
        <v>150065</v>
      </c>
      <c r="N25" s="347">
        <f t="shared" si="1"/>
        <v>66.695555555555558</v>
      </c>
      <c r="O25" s="68"/>
      <c r="P25" s="56"/>
    </row>
    <row r="26" spans="1:17" ht="12.95" customHeight="1">
      <c r="B26" s="10"/>
      <c r="C26" s="11"/>
      <c r="D26" s="11"/>
      <c r="E26" s="306">
        <v>613900</v>
      </c>
      <c r="F26" s="332"/>
      <c r="G26" s="189" t="s">
        <v>535</v>
      </c>
      <c r="H26" s="362">
        <v>0</v>
      </c>
      <c r="I26" s="362">
        <v>0</v>
      </c>
      <c r="J26" s="385">
        <f t="shared" si="6"/>
        <v>0</v>
      </c>
      <c r="K26" s="362">
        <v>0</v>
      </c>
      <c r="L26" s="362">
        <v>0</v>
      </c>
      <c r="M26" s="385">
        <f t="shared" si="7"/>
        <v>0</v>
      </c>
      <c r="N26" s="347" t="str">
        <f t="shared" si="1"/>
        <v/>
      </c>
      <c r="P26" s="56"/>
      <c r="Q26" s="50"/>
    </row>
    <row r="27" spans="1:17" ht="8.1" customHeight="1">
      <c r="B27" s="10"/>
      <c r="C27" s="11"/>
      <c r="D27" s="11"/>
      <c r="E27" s="306"/>
      <c r="F27" s="332"/>
      <c r="G27" s="11"/>
      <c r="H27" s="279"/>
      <c r="I27" s="279"/>
      <c r="J27" s="386"/>
      <c r="K27" s="279"/>
      <c r="L27" s="279"/>
      <c r="M27" s="386"/>
      <c r="N27" s="347" t="str">
        <f t="shared" si="1"/>
        <v/>
      </c>
      <c r="P27" s="56"/>
    </row>
    <row r="28" spans="1:17" ht="12.95" customHeight="1"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SUM(H29:H30)</f>
        <v>10000</v>
      </c>
      <c r="I28" s="288">
        <f t="shared" si="8"/>
        <v>0</v>
      </c>
      <c r="J28" s="387">
        <f t="shared" si="8"/>
        <v>10000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6">
        <f t="shared" si="1"/>
        <v>0</v>
      </c>
      <c r="P28" s="56"/>
    </row>
    <row r="29" spans="1:17" s="1" customFormat="1" ht="12.95" customHeight="1">
      <c r="A29" s="281"/>
      <c r="B29" s="10"/>
      <c r="C29" s="11"/>
      <c r="D29" s="11"/>
      <c r="E29" s="306">
        <v>821200</v>
      </c>
      <c r="F29" s="332"/>
      <c r="G29" s="11" t="s">
        <v>91</v>
      </c>
      <c r="H29" s="280">
        <v>5000</v>
      </c>
      <c r="I29" s="280">
        <v>0</v>
      </c>
      <c r="J29" s="385">
        <f t="shared" ref="J29:J30" si="9">SUM(H29:I29)</f>
        <v>5000</v>
      </c>
      <c r="K29" s="280">
        <v>0</v>
      </c>
      <c r="L29" s="280">
        <v>0</v>
      </c>
      <c r="M29" s="385">
        <f t="shared" ref="M29:M30" si="10">SUM(K29:L29)</f>
        <v>0</v>
      </c>
      <c r="N29" s="347">
        <f t="shared" si="1"/>
        <v>0</v>
      </c>
      <c r="P29" s="56"/>
    </row>
    <row r="30" spans="1:17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5000</v>
      </c>
      <c r="I30" s="280">
        <v>0</v>
      </c>
      <c r="J30" s="385">
        <f t="shared" si="9"/>
        <v>5000</v>
      </c>
      <c r="K30" s="280">
        <v>0</v>
      </c>
      <c r="L30" s="280">
        <v>0</v>
      </c>
      <c r="M30" s="385">
        <f t="shared" si="10"/>
        <v>0</v>
      </c>
      <c r="N30" s="347">
        <f t="shared" si="1"/>
        <v>0</v>
      </c>
      <c r="O30" s="50"/>
      <c r="P30" s="56"/>
    </row>
    <row r="31" spans="1:17" ht="8.1" customHeight="1">
      <c r="B31" s="10"/>
      <c r="C31" s="11"/>
      <c r="D31" s="11"/>
      <c r="E31" s="306"/>
      <c r="F31" s="332"/>
      <c r="G31" s="11"/>
      <c r="H31" s="279"/>
      <c r="I31" s="279"/>
      <c r="J31" s="386"/>
      <c r="K31" s="279"/>
      <c r="L31" s="279"/>
      <c r="M31" s="386"/>
      <c r="N31" s="347" t="str">
        <f t="shared" si="1"/>
        <v/>
      </c>
      <c r="P31" s="56"/>
    </row>
    <row r="32" spans="1:17" ht="12.95" customHeight="1">
      <c r="B32" s="12"/>
      <c r="C32" s="8"/>
      <c r="D32" s="8"/>
      <c r="E32" s="305"/>
      <c r="F32" s="331"/>
      <c r="G32" s="8" t="s">
        <v>93</v>
      </c>
      <c r="H32" s="297">
        <v>23</v>
      </c>
      <c r="I32" s="297"/>
      <c r="J32" s="389">
        <v>23</v>
      </c>
      <c r="K32" s="297">
        <v>25</v>
      </c>
      <c r="L32" s="297"/>
      <c r="M32" s="389">
        <v>25</v>
      </c>
      <c r="N32" s="347"/>
      <c r="P32" s="56"/>
    </row>
    <row r="33" spans="1:16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J33" si="11">H8+H13+H16+H28</f>
        <v>891220</v>
      </c>
      <c r="I33" s="288">
        <f t="shared" si="11"/>
        <v>0</v>
      </c>
      <c r="J33" s="387">
        <f t="shared" si="11"/>
        <v>891220</v>
      </c>
      <c r="K33" s="288">
        <f t="shared" ref="K33:M33" si="12">K8+K13+K16+K28</f>
        <v>635206</v>
      </c>
      <c r="L33" s="288">
        <f t="shared" si="12"/>
        <v>0</v>
      </c>
      <c r="M33" s="387">
        <f t="shared" si="12"/>
        <v>635206</v>
      </c>
      <c r="N33" s="346">
        <f t="shared" si="1"/>
        <v>71.273759565539379</v>
      </c>
      <c r="P33" s="56"/>
    </row>
    <row r="34" spans="1:16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H35" si="13">H33</f>
        <v>891220</v>
      </c>
      <c r="I34" s="288">
        <f>I33</f>
        <v>0</v>
      </c>
      <c r="J34" s="387">
        <f>J33</f>
        <v>891220</v>
      </c>
      <c r="K34" s="288">
        <f t="shared" ref="K34:K35" si="14">K33</f>
        <v>635206</v>
      </c>
      <c r="L34" s="288">
        <f>L33</f>
        <v>0</v>
      </c>
      <c r="M34" s="387">
        <f>M33</f>
        <v>635206</v>
      </c>
      <c r="N34" s="347">
        <f t="shared" si="1"/>
        <v>71.273759565539379</v>
      </c>
    </row>
    <row r="35" spans="1:16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3"/>
        <v>891220</v>
      </c>
      <c r="I35" s="288">
        <f>I34</f>
        <v>0</v>
      </c>
      <c r="J35" s="387">
        <f>J34</f>
        <v>891220</v>
      </c>
      <c r="K35" s="288">
        <f t="shared" si="14"/>
        <v>635206</v>
      </c>
      <c r="L35" s="288">
        <f>L34</f>
        <v>0</v>
      </c>
      <c r="M35" s="387">
        <f>M34</f>
        <v>635206</v>
      </c>
      <c r="N35" s="347">
        <f t="shared" si="1"/>
        <v>71.273759565539379</v>
      </c>
    </row>
    <row r="36" spans="1:16" s="1" customFormat="1" ht="8.1" customHeight="1" thickBot="1">
      <c r="A36" s="281"/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/>
    </row>
    <row r="37" spans="1:16" ht="12.95" customHeight="1">
      <c r="E37" s="308"/>
      <c r="F37" s="334"/>
      <c r="J37" s="391"/>
      <c r="M37" s="391"/>
    </row>
    <row r="38" spans="1:16" ht="12.95" customHeight="1">
      <c r="B38" s="50"/>
      <c r="E38" s="308"/>
      <c r="F38" s="334"/>
      <c r="J38" s="391"/>
      <c r="M38" s="391"/>
    </row>
    <row r="39" spans="1:16" ht="12.95" customHeight="1">
      <c r="E39" s="308"/>
      <c r="F39" s="334"/>
      <c r="J39" s="391"/>
      <c r="M39" s="391"/>
    </row>
    <row r="40" spans="1:16" ht="12.95" customHeight="1">
      <c r="E40" s="308"/>
      <c r="F40" s="334"/>
      <c r="J40" s="391"/>
      <c r="M40" s="391"/>
    </row>
    <row r="41" spans="1:16" ht="12.95" customHeight="1">
      <c r="E41" s="308"/>
      <c r="F41" s="334"/>
      <c r="J41" s="391"/>
      <c r="M41" s="391"/>
    </row>
    <row r="42" spans="1:16" ht="12.95" customHeight="1">
      <c r="E42" s="308"/>
      <c r="F42" s="334"/>
      <c r="J42" s="391"/>
      <c r="M42" s="391"/>
    </row>
    <row r="43" spans="1:16" ht="12.95" customHeight="1">
      <c r="E43" s="308"/>
      <c r="F43" s="334"/>
      <c r="J43" s="391"/>
      <c r="M43" s="391"/>
    </row>
    <row r="44" spans="1:16" ht="12.95" customHeight="1">
      <c r="E44" s="308"/>
      <c r="F44" s="334"/>
      <c r="J44" s="391"/>
      <c r="M44" s="391"/>
    </row>
    <row r="45" spans="1:16" ht="12.95" customHeight="1">
      <c r="E45" s="308"/>
      <c r="F45" s="334"/>
      <c r="J45" s="391"/>
      <c r="M45" s="391"/>
    </row>
    <row r="46" spans="1:16" ht="12.95" customHeight="1">
      <c r="E46" s="308"/>
      <c r="F46" s="334"/>
      <c r="J46" s="391"/>
      <c r="M46" s="391"/>
    </row>
    <row r="47" spans="1:16" ht="12.95" customHeight="1">
      <c r="E47" s="308"/>
      <c r="F47" s="334"/>
      <c r="J47" s="391"/>
      <c r="M47" s="391"/>
    </row>
    <row r="48" spans="1:16" ht="12.95" customHeight="1">
      <c r="E48" s="308"/>
      <c r="F48" s="334"/>
      <c r="J48" s="391"/>
      <c r="M48" s="391"/>
    </row>
    <row r="49" spans="5:13" ht="12.95" customHeight="1">
      <c r="E49" s="308"/>
      <c r="F49" s="334"/>
      <c r="J49" s="391"/>
      <c r="M49" s="391"/>
    </row>
    <row r="50" spans="5:13" ht="12.95" customHeight="1">
      <c r="E50" s="308"/>
      <c r="F50" s="334"/>
      <c r="J50" s="391"/>
      <c r="M50" s="391"/>
    </row>
    <row r="51" spans="5:13" ht="12.95" customHeight="1">
      <c r="E51" s="308"/>
      <c r="F51" s="334"/>
      <c r="J51" s="391"/>
      <c r="M51" s="391"/>
    </row>
    <row r="52" spans="5:13" ht="12.95" customHeight="1">
      <c r="E52" s="308"/>
      <c r="F52" s="334"/>
      <c r="J52" s="391"/>
      <c r="M52" s="391"/>
    </row>
    <row r="53" spans="5:13" ht="12.95" customHeight="1">
      <c r="E53" s="308"/>
      <c r="F53" s="334"/>
      <c r="J53" s="391"/>
      <c r="M53" s="391"/>
    </row>
    <row r="54" spans="5:13" ht="12.95" customHeight="1">
      <c r="E54" s="308"/>
      <c r="F54" s="334"/>
      <c r="J54" s="391"/>
      <c r="M54" s="391"/>
    </row>
    <row r="55" spans="5:13" ht="12.95" customHeight="1">
      <c r="E55" s="308"/>
      <c r="F55" s="334"/>
      <c r="J55" s="391"/>
      <c r="M55" s="391"/>
    </row>
    <row r="56" spans="5:13" ht="12.95" customHeight="1">
      <c r="E56" s="308"/>
      <c r="F56" s="334"/>
      <c r="J56" s="391"/>
      <c r="M56" s="391"/>
    </row>
    <row r="57" spans="5:13" ht="12.95" customHeight="1">
      <c r="E57" s="308"/>
      <c r="F57" s="334"/>
      <c r="J57" s="391"/>
      <c r="M57" s="391"/>
    </row>
    <row r="58" spans="5:13" ht="12.95" customHeight="1">
      <c r="E58" s="308"/>
      <c r="F58" s="334"/>
      <c r="J58" s="391"/>
      <c r="M58" s="391"/>
    </row>
    <row r="59" spans="5:13" ht="12.95" customHeight="1">
      <c r="E59" s="308"/>
      <c r="F59" s="334"/>
      <c r="J59" s="391"/>
      <c r="M59" s="391"/>
    </row>
    <row r="60" spans="5:13" ht="17.100000000000001" customHeight="1">
      <c r="E60" s="308"/>
      <c r="F60" s="334"/>
      <c r="J60" s="391"/>
      <c r="M60" s="391"/>
    </row>
    <row r="61" spans="5:13" ht="14.25">
      <c r="E61" s="308"/>
      <c r="F61" s="334"/>
      <c r="J61" s="391"/>
      <c r="M61" s="391"/>
    </row>
    <row r="62" spans="5:13" ht="14.25">
      <c r="E62" s="308"/>
      <c r="F62" s="334"/>
      <c r="J62" s="391"/>
      <c r="M62" s="391"/>
    </row>
    <row r="63" spans="5:13" ht="14.25">
      <c r="E63" s="308"/>
      <c r="F63" s="334"/>
      <c r="J63" s="391"/>
      <c r="M63" s="391"/>
    </row>
    <row r="64" spans="5:13" ht="14.25">
      <c r="E64" s="308"/>
      <c r="F64" s="334"/>
      <c r="J64" s="391"/>
      <c r="M64" s="391"/>
    </row>
    <row r="65" spans="5:13" ht="14.25">
      <c r="E65" s="308"/>
      <c r="F65" s="334"/>
      <c r="J65" s="391"/>
      <c r="M65" s="391"/>
    </row>
    <row r="66" spans="5:13" ht="14.25">
      <c r="E66" s="308"/>
      <c r="F66" s="334"/>
      <c r="J66" s="391"/>
      <c r="M66" s="391"/>
    </row>
    <row r="67" spans="5:13" ht="14.25">
      <c r="E67" s="308"/>
      <c r="F67" s="334"/>
      <c r="J67" s="391"/>
      <c r="M67" s="391"/>
    </row>
    <row r="68" spans="5:13" ht="14.25">
      <c r="E68" s="308"/>
      <c r="F68" s="334"/>
      <c r="J68" s="391"/>
      <c r="M68" s="391"/>
    </row>
    <row r="69" spans="5:13" ht="14.25">
      <c r="E69" s="308"/>
      <c r="F69" s="334"/>
      <c r="J69" s="391"/>
      <c r="M69" s="391"/>
    </row>
    <row r="70" spans="5:13" ht="14.25">
      <c r="E70" s="308"/>
      <c r="F70" s="334"/>
      <c r="J70" s="391"/>
      <c r="M70" s="391"/>
    </row>
    <row r="71" spans="5:13" ht="14.25">
      <c r="E71" s="308"/>
      <c r="F71" s="334"/>
      <c r="J71" s="391"/>
      <c r="M71" s="391"/>
    </row>
    <row r="72" spans="5:13" ht="14.25">
      <c r="E72" s="308"/>
      <c r="F72" s="334"/>
      <c r="J72" s="391"/>
      <c r="M72" s="391"/>
    </row>
    <row r="73" spans="5:13" ht="14.25">
      <c r="E73" s="308"/>
      <c r="F73" s="334"/>
      <c r="J73" s="391"/>
      <c r="M73" s="391"/>
    </row>
    <row r="74" spans="5:13" ht="14.25">
      <c r="E74" s="308"/>
      <c r="F74" s="308"/>
      <c r="J74" s="391"/>
      <c r="M74" s="391"/>
    </row>
    <row r="75" spans="5:13" ht="14.25">
      <c r="E75" s="308"/>
      <c r="F75" s="308"/>
      <c r="J75" s="391"/>
      <c r="M75" s="391"/>
    </row>
    <row r="76" spans="5:13" ht="14.25">
      <c r="E76" s="308"/>
      <c r="F76" s="308"/>
      <c r="J76" s="391"/>
      <c r="M76" s="391"/>
    </row>
    <row r="77" spans="5:13" ht="14.25">
      <c r="E77" s="308"/>
      <c r="F77" s="308"/>
      <c r="J77" s="391"/>
      <c r="M77" s="391"/>
    </row>
    <row r="78" spans="5:13" ht="14.25">
      <c r="E78" s="308"/>
      <c r="F78" s="308"/>
      <c r="J78" s="391"/>
      <c r="M78" s="391"/>
    </row>
    <row r="79" spans="5:13" ht="14.25">
      <c r="E79" s="308"/>
      <c r="F79" s="308"/>
      <c r="J79" s="391"/>
      <c r="M79" s="391"/>
    </row>
    <row r="80" spans="5:13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N2"/>
    <mergeCell ref="H4:J4"/>
    <mergeCell ref="B4:B5"/>
    <mergeCell ref="C4:C5"/>
    <mergeCell ref="D4:D5"/>
    <mergeCell ref="F4:F5"/>
    <mergeCell ref="E4:E5"/>
    <mergeCell ref="N4:N5"/>
    <mergeCell ref="G4:G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96"/>
  <sheetViews>
    <sheetView topLeftCell="A13" zoomScaleNormal="100" workbookViewId="0">
      <selection activeCell="K10" sqref="K10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8" t="s">
        <v>118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6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119</v>
      </c>
      <c r="C7" s="7" t="s">
        <v>81</v>
      </c>
      <c r="D7" s="7" t="s">
        <v>82</v>
      </c>
      <c r="E7" s="5"/>
      <c r="F7" s="283"/>
      <c r="G7" s="5"/>
      <c r="H7" s="298"/>
      <c r="I7" s="298"/>
      <c r="J7" s="399"/>
      <c r="K7" s="298"/>
      <c r="L7" s="298"/>
      <c r="M7" s="399"/>
      <c r="N7" s="345"/>
    </row>
    <row r="8" spans="1:16" s="2" customFormat="1" ht="12.95" customHeight="1">
      <c r="A8" s="282"/>
      <c r="B8" s="6"/>
      <c r="C8" s="7"/>
      <c r="D8" s="7"/>
      <c r="E8" s="305">
        <v>600000</v>
      </c>
      <c r="F8" s="331"/>
      <c r="G8" s="19" t="s">
        <v>120</v>
      </c>
      <c r="H8" s="270">
        <f t="shared" ref="H8:M8" si="0">H9+H10+H11</f>
        <v>445000</v>
      </c>
      <c r="I8" s="270">
        <f t="shared" si="0"/>
        <v>0</v>
      </c>
      <c r="J8" s="400">
        <f t="shared" si="0"/>
        <v>445000</v>
      </c>
      <c r="K8" s="270">
        <f t="shared" si="0"/>
        <v>386716</v>
      </c>
      <c r="L8" s="270">
        <f t="shared" si="0"/>
        <v>0</v>
      </c>
      <c r="M8" s="400">
        <f t="shared" si="0"/>
        <v>386716</v>
      </c>
      <c r="N8" s="346">
        <f>IF(J8=0,"",M8/J8*100)</f>
        <v>86.902471910112354</v>
      </c>
    </row>
    <row r="9" spans="1:16" s="2" customFormat="1" ht="12.95" customHeight="1">
      <c r="A9" s="282"/>
      <c r="B9" s="6"/>
      <c r="C9" s="7"/>
      <c r="D9" s="7"/>
      <c r="E9" s="306">
        <v>600000</v>
      </c>
      <c r="F9" s="332"/>
      <c r="G9" s="35" t="s">
        <v>97</v>
      </c>
      <c r="H9" s="269">
        <v>400000</v>
      </c>
      <c r="I9" s="269">
        <v>0</v>
      </c>
      <c r="J9" s="401">
        <f t="shared" ref="J9:J11" si="1">SUM(H9:I9)</f>
        <v>400000</v>
      </c>
      <c r="K9" s="269">
        <v>350716</v>
      </c>
      <c r="L9" s="269">
        <v>0</v>
      </c>
      <c r="M9" s="401">
        <f t="shared" ref="M9:M11" si="2">SUM(K9:L9)</f>
        <v>350716</v>
      </c>
      <c r="N9" s="347">
        <f t="shared" ref="N9:N56" si="3">IF(J9=0,"",M9/J9*100)</f>
        <v>87.679000000000002</v>
      </c>
    </row>
    <row r="10" spans="1:16" s="2" customFormat="1" ht="12.95" customHeight="1">
      <c r="A10" s="282"/>
      <c r="B10" s="6"/>
      <c r="C10" s="7"/>
      <c r="D10" s="7"/>
      <c r="E10" s="306">
        <v>600000</v>
      </c>
      <c r="F10" s="332"/>
      <c r="G10" s="35" t="s">
        <v>98</v>
      </c>
      <c r="H10" s="269">
        <v>30000</v>
      </c>
      <c r="I10" s="269">
        <v>0</v>
      </c>
      <c r="J10" s="401">
        <f t="shared" si="1"/>
        <v>30000</v>
      </c>
      <c r="K10" s="269">
        <v>21200</v>
      </c>
      <c r="L10" s="269">
        <v>0</v>
      </c>
      <c r="M10" s="401">
        <f t="shared" si="2"/>
        <v>21200</v>
      </c>
      <c r="N10" s="347">
        <f t="shared" si="3"/>
        <v>70.666666666666671</v>
      </c>
    </row>
    <row r="11" spans="1:16" s="2" customFormat="1" ht="12.95" customHeight="1">
      <c r="A11" s="282"/>
      <c r="B11" s="6"/>
      <c r="C11" s="7"/>
      <c r="D11" s="7"/>
      <c r="E11" s="306">
        <v>600000</v>
      </c>
      <c r="F11" s="332"/>
      <c r="G11" s="35" t="s">
        <v>121</v>
      </c>
      <c r="H11" s="269">
        <v>15000</v>
      </c>
      <c r="I11" s="269">
        <v>0</v>
      </c>
      <c r="J11" s="401">
        <f t="shared" si="1"/>
        <v>15000</v>
      </c>
      <c r="K11" s="269">
        <v>14800</v>
      </c>
      <c r="L11" s="269">
        <v>0</v>
      </c>
      <c r="M11" s="401">
        <f t="shared" si="2"/>
        <v>14800</v>
      </c>
      <c r="N11" s="347">
        <f t="shared" si="3"/>
        <v>98.666666666666671</v>
      </c>
    </row>
    <row r="12" spans="1:16" s="2" customFormat="1" ht="8.1" customHeight="1">
      <c r="A12" s="282"/>
      <c r="B12" s="6"/>
      <c r="C12" s="7"/>
      <c r="D12" s="7"/>
      <c r="E12" s="305"/>
      <c r="F12" s="332"/>
      <c r="G12" s="5"/>
      <c r="H12" s="271"/>
      <c r="I12" s="271"/>
      <c r="J12" s="402"/>
      <c r="K12" s="271"/>
      <c r="L12" s="271"/>
      <c r="M12" s="402"/>
      <c r="N12" s="347" t="str">
        <f t="shared" si="3"/>
        <v/>
      </c>
    </row>
    <row r="13" spans="1:16" s="1" customFormat="1" ht="12.95" customHeight="1">
      <c r="A13" s="281"/>
      <c r="B13" s="12"/>
      <c r="C13" s="8"/>
      <c r="D13" s="8"/>
      <c r="E13" s="305">
        <v>611000</v>
      </c>
      <c r="F13" s="331"/>
      <c r="G13" s="8" t="s">
        <v>163</v>
      </c>
      <c r="H13" s="214">
        <f t="shared" ref="H13:M13" si="4">SUM(H14:H17)</f>
        <v>273760</v>
      </c>
      <c r="I13" s="214">
        <f t="shared" si="4"/>
        <v>0</v>
      </c>
      <c r="J13" s="403">
        <f t="shared" si="4"/>
        <v>273760</v>
      </c>
      <c r="K13" s="214">
        <f t="shared" si="4"/>
        <v>174772</v>
      </c>
      <c r="L13" s="214">
        <f t="shared" si="4"/>
        <v>0</v>
      </c>
      <c r="M13" s="403">
        <f t="shared" si="4"/>
        <v>174772</v>
      </c>
      <c r="N13" s="346">
        <f t="shared" si="3"/>
        <v>63.841320864991232</v>
      </c>
    </row>
    <row r="14" spans="1:16" ht="12.95" customHeight="1">
      <c r="B14" s="10"/>
      <c r="C14" s="11"/>
      <c r="D14" s="11"/>
      <c r="E14" s="306">
        <v>611100</v>
      </c>
      <c r="F14" s="332"/>
      <c r="G14" s="18" t="s">
        <v>198</v>
      </c>
      <c r="H14" s="211">
        <f>129600+500</f>
        <v>130100</v>
      </c>
      <c r="I14" s="211">
        <v>0</v>
      </c>
      <c r="J14" s="401">
        <f t="shared" ref="J14:J16" si="5">SUM(H14:I14)</f>
        <v>130100</v>
      </c>
      <c r="K14" s="211">
        <v>95729</v>
      </c>
      <c r="L14" s="211">
        <v>0</v>
      </c>
      <c r="M14" s="401">
        <f t="shared" ref="M14:M16" si="6">SUM(K14:L14)</f>
        <v>95729</v>
      </c>
      <c r="N14" s="347">
        <f t="shared" si="3"/>
        <v>73.581091468101462</v>
      </c>
    </row>
    <row r="15" spans="1:16" ht="12.95" customHeight="1">
      <c r="B15" s="10"/>
      <c r="C15" s="11"/>
      <c r="D15" s="11"/>
      <c r="E15" s="306">
        <v>611200</v>
      </c>
      <c r="F15" s="332"/>
      <c r="G15" s="11" t="s">
        <v>199</v>
      </c>
      <c r="H15" s="211">
        <f>25100+300</f>
        <v>25400</v>
      </c>
      <c r="I15" s="211">
        <v>0</v>
      </c>
      <c r="J15" s="401">
        <f t="shared" si="5"/>
        <v>25400</v>
      </c>
      <c r="K15" s="211">
        <v>18237</v>
      </c>
      <c r="L15" s="211">
        <v>0</v>
      </c>
      <c r="M15" s="401">
        <f t="shared" si="6"/>
        <v>18237</v>
      </c>
      <c r="N15" s="347">
        <f t="shared" si="3"/>
        <v>71.7992125984252</v>
      </c>
    </row>
    <row r="16" spans="1:16" ht="12.95" customHeight="1">
      <c r="B16" s="10"/>
      <c r="C16" s="11"/>
      <c r="D16" s="11"/>
      <c r="E16" s="306">
        <v>611200</v>
      </c>
      <c r="F16" s="332" t="s">
        <v>654</v>
      </c>
      <c r="G16" s="356" t="s">
        <v>812</v>
      </c>
      <c r="H16" s="211">
        <v>118260</v>
      </c>
      <c r="I16" s="211">
        <v>0</v>
      </c>
      <c r="J16" s="401">
        <f t="shared" si="5"/>
        <v>118260</v>
      </c>
      <c r="K16" s="211">
        <v>60806</v>
      </c>
      <c r="L16" s="211">
        <v>0</v>
      </c>
      <c r="M16" s="401">
        <f t="shared" si="6"/>
        <v>60806</v>
      </c>
      <c r="N16" s="347">
        <f t="shared" si="3"/>
        <v>51.417216303061053</v>
      </c>
      <c r="P16" s="56"/>
    </row>
    <row r="17" spans="1:15" ht="8.1" customHeight="1">
      <c r="B17" s="10"/>
      <c r="C17" s="11"/>
      <c r="D17" s="11"/>
      <c r="E17" s="306"/>
      <c r="F17" s="332"/>
      <c r="G17" s="18"/>
      <c r="H17" s="214"/>
      <c r="I17" s="214"/>
      <c r="J17" s="403"/>
      <c r="K17" s="214"/>
      <c r="L17" s="214"/>
      <c r="M17" s="403"/>
      <c r="N17" s="347" t="str">
        <f t="shared" si="3"/>
        <v/>
      </c>
    </row>
    <row r="18" spans="1:15" s="1" customFormat="1" ht="12.95" customHeight="1">
      <c r="A18" s="281"/>
      <c r="B18" s="12"/>
      <c r="C18" s="8"/>
      <c r="D18" s="8"/>
      <c r="E18" s="305">
        <v>612000</v>
      </c>
      <c r="F18" s="332"/>
      <c r="G18" s="8" t="s">
        <v>162</v>
      </c>
      <c r="H18" s="214">
        <f t="shared" ref="H18:M18" si="7">H19+H20</f>
        <v>13850</v>
      </c>
      <c r="I18" s="214">
        <f t="shared" si="7"/>
        <v>0</v>
      </c>
      <c r="J18" s="403">
        <f t="shared" si="7"/>
        <v>13850</v>
      </c>
      <c r="K18" s="214">
        <f t="shared" si="7"/>
        <v>10132</v>
      </c>
      <c r="L18" s="214">
        <f t="shared" si="7"/>
        <v>0</v>
      </c>
      <c r="M18" s="403">
        <f t="shared" si="7"/>
        <v>10132</v>
      </c>
      <c r="N18" s="346">
        <f t="shared" si="3"/>
        <v>73.155234657039713</v>
      </c>
    </row>
    <row r="19" spans="1:15" ht="12.95" customHeight="1">
      <c r="B19" s="10"/>
      <c r="C19" s="11"/>
      <c r="D19" s="11"/>
      <c r="E19" s="306">
        <v>612100</v>
      </c>
      <c r="F19" s="332"/>
      <c r="G19" s="13" t="s">
        <v>83</v>
      </c>
      <c r="H19" s="211">
        <f>13790+60</f>
        <v>13850</v>
      </c>
      <c r="I19" s="211">
        <v>0</v>
      </c>
      <c r="J19" s="401">
        <f>SUM(H19:I19)</f>
        <v>13850</v>
      </c>
      <c r="K19" s="211">
        <v>10132</v>
      </c>
      <c r="L19" s="211">
        <v>0</v>
      </c>
      <c r="M19" s="401">
        <f>SUM(K19:L19)</f>
        <v>10132</v>
      </c>
      <c r="N19" s="347">
        <f t="shared" si="3"/>
        <v>73.155234657039713</v>
      </c>
    </row>
    <row r="20" spans="1:15" ht="8.1" customHeight="1">
      <c r="B20" s="10"/>
      <c r="C20" s="11"/>
      <c r="D20" s="11"/>
      <c r="E20" s="306"/>
      <c r="F20" s="332"/>
      <c r="G20" s="11"/>
      <c r="H20" s="266"/>
      <c r="I20" s="266"/>
      <c r="J20" s="401"/>
      <c r="K20" s="266"/>
      <c r="L20" s="266"/>
      <c r="M20" s="401"/>
      <c r="N20" s="347" t="str">
        <f t="shared" si="3"/>
        <v/>
      </c>
    </row>
    <row r="21" spans="1:15" s="1" customFormat="1" ht="12.95" customHeight="1">
      <c r="A21" s="281"/>
      <c r="B21" s="12"/>
      <c r="C21" s="8"/>
      <c r="D21" s="8"/>
      <c r="E21" s="305">
        <v>613000</v>
      </c>
      <c r="F21" s="332"/>
      <c r="G21" s="8" t="s">
        <v>164</v>
      </c>
      <c r="H21" s="267">
        <f t="shared" ref="H21:M21" si="8">SUM(H22:H32)</f>
        <v>344400</v>
      </c>
      <c r="I21" s="267">
        <f t="shared" si="8"/>
        <v>0</v>
      </c>
      <c r="J21" s="402">
        <f t="shared" si="8"/>
        <v>344400</v>
      </c>
      <c r="K21" s="267">
        <f t="shared" si="8"/>
        <v>223720</v>
      </c>
      <c r="L21" s="267">
        <f t="shared" si="8"/>
        <v>0</v>
      </c>
      <c r="M21" s="402">
        <f t="shared" si="8"/>
        <v>223720</v>
      </c>
      <c r="N21" s="346">
        <f t="shared" si="3"/>
        <v>64.959349593495929</v>
      </c>
    </row>
    <row r="22" spans="1:15" ht="12.95" customHeight="1">
      <c r="B22" s="10"/>
      <c r="C22" s="11"/>
      <c r="D22" s="11"/>
      <c r="E22" s="306">
        <v>613100</v>
      </c>
      <c r="F22" s="332"/>
      <c r="G22" s="11" t="s">
        <v>84</v>
      </c>
      <c r="H22" s="266">
        <v>14000</v>
      </c>
      <c r="I22" s="266">
        <v>0</v>
      </c>
      <c r="J22" s="401">
        <f t="shared" ref="J22:J32" si="9">SUM(H22:I22)</f>
        <v>14000</v>
      </c>
      <c r="K22" s="266">
        <v>9289</v>
      </c>
      <c r="L22" s="266">
        <v>0</v>
      </c>
      <c r="M22" s="401">
        <f t="shared" ref="M22:M32" si="10">SUM(K22:L22)</f>
        <v>9289</v>
      </c>
      <c r="N22" s="347">
        <f t="shared" si="3"/>
        <v>66.349999999999994</v>
      </c>
    </row>
    <row r="23" spans="1:15" ht="12.95" customHeight="1">
      <c r="B23" s="10"/>
      <c r="C23" s="11"/>
      <c r="D23" s="11"/>
      <c r="E23" s="306">
        <v>613200</v>
      </c>
      <c r="F23" s="332"/>
      <c r="G23" s="11" t="s">
        <v>85</v>
      </c>
      <c r="H23" s="266">
        <v>0</v>
      </c>
      <c r="I23" s="266">
        <v>0</v>
      </c>
      <c r="J23" s="401">
        <f t="shared" si="9"/>
        <v>0</v>
      </c>
      <c r="K23" s="266">
        <v>0</v>
      </c>
      <c r="L23" s="266">
        <v>0</v>
      </c>
      <c r="M23" s="401">
        <f t="shared" si="10"/>
        <v>0</v>
      </c>
      <c r="N23" s="347" t="str">
        <f t="shared" si="3"/>
        <v/>
      </c>
    </row>
    <row r="24" spans="1:15" ht="12.95" customHeight="1">
      <c r="B24" s="10"/>
      <c r="C24" s="11"/>
      <c r="D24" s="11"/>
      <c r="E24" s="306">
        <v>613300</v>
      </c>
      <c r="F24" s="332"/>
      <c r="G24" s="18" t="s">
        <v>200</v>
      </c>
      <c r="H24" s="266">
        <v>5500</v>
      </c>
      <c r="I24" s="266">
        <v>0</v>
      </c>
      <c r="J24" s="401">
        <f t="shared" si="9"/>
        <v>5500</v>
      </c>
      <c r="K24" s="266">
        <v>3058</v>
      </c>
      <c r="L24" s="266">
        <v>0</v>
      </c>
      <c r="M24" s="401">
        <f t="shared" si="10"/>
        <v>3058</v>
      </c>
      <c r="N24" s="347">
        <f t="shared" si="3"/>
        <v>55.600000000000009</v>
      </c>
    </row>
    <row r="25" spans="1:15" ht="12.95" customHeight="1">
      <c r="B25" s="10"/>
      <c r="C25" s="11"/>
      <c r="D25" s="11"/>
      <c r="E25" s="306">
        <v>613400</v>
      </c>
      <c r="F25" s="332"/>
      <c r="G25" s="11" t="s">
        <v>165</v>
      </c>
      <c r="H25" s="266">
        <v>1500</v>
      </c>
      <c r="I25" s="266">
        <v>0</v>
      </c>
      <c r="J25" s="401">
        <f t="shared" si="9"/>
        <v>1500</v>
      </c>
      <c r="K25" s="266">
        <v>275</v>
      </c>
      <c r="L25" s="266">
        <v>0</v>
      </c>
      <c r="M25" s="401">
        <f t="shared" si="10"/>
        <v>275</v>
      </c>
      <c r="N25" s="347">
        <f t="shared" si="3"/>
        <v>18.333333333333332</v>
      </c>
    </row>
    <row r="26" spans="1:15" ht="12.95" customHeight="1">
      <c r="B26" s="10"/>
      <c r="C26" s="11"/>
      <c r="D26" s="11"/>
      <c r="E26" s="306">
        <v>613500</v>
      </c>
      <c r="F26" s="332"/>
      <c r="G26" s="11" t="s">
        <v>86</v>
      </c>
      <c r="H26" s="268">
        <v>500</v>
      </c>
      <c r="I26" s="268">
        <v>0</v>
      </c>
      <c r="J26" s="401">
        <f t="shared" si="9"/>
        <v>500</v>
      </c>
      <c r="K26" s="268">
        <v>346</v>
      </c>
      <c r="L26" s="268">
        <v>0</v>
      </c>
      <c r="M26" s="401">
        <f t="shared" si="10"/>
        <v>346</v>
      </c>
      <c r="N26" s="347">
        <f t="shared" si="3"/>
        <v>69.199999999999989</v>
      </c>
    </row>
    <row r="27" spans="1:15" ht="12.95" customHeight="1">
      <c r="B27" s="10"/>
      <c r="C27" s="11"/>
      <c r="D27" s="11"/>
      <c r="E27" s="306">
        <v>613600</v>
      </c>
      <c r="F27" s="332"/>
      <c r="G27" s="18" t="s">
        <v>201</v>
      </c>
      <c r="H27" s="266">
        <v>0</v>
      </c>
      <c r="I27" s="266">
        <v>0</v>
      </c>
      <c r="J27" s="401">
        <f t="shared" si="9"/>
        <v>0</v>
      </c>
      <c r="K27" s="266">
        <v>0</v>
      </c>
      <c r="L27" s="266">
        <v>0</v>
      </c>
      <c r="M27" s="401">
        <f t="shared" si="10"/>
        <v>0</v>
      </c>
      <c r="N27" s="347" t="str">
        <f t="shared" si="3"/>
        <v/>
      </c>
    </row>
    <row r="28" spans="1:15" ht="12.95" customHeight="1">
      <c r="B28" s="10"/>
      <c r="C28" s="11"/>
      <c r="D28" s="11"/>
      <c r="E28" s="306">
        <v>613700</v>
      </c>
      <c r="F28" s="332"/>
      <c r="G28" s="11" t="s">
        <v>87</v>
      </c>
      <c r="H28" s="266">
        <v>4000</v>
      </c>
      <c r="I28" s="266">
        <v>0</v>
      </c>
      <c r="J28" s="401">
        <f t="shared" si="9"/>
        <v>4000</v>
      </c>
      <c r="K28" s="266">
        <v>1127</v>
      </c>
      <c r="L28" s="266">
        <v>0</v>
      </c>
      <c r="M28" s="401">
        <f t="shared" si="10"/>
        <v>1127</v>
      </c>
      <c r="N28" s="347">
        <f t="shared" si="3"/>
        <v>28.175000000000001</v>
      </c>
    </row>
    <row r="29" spans="1:15" ht="12.95" customHeight="1">
      <c r="B29" s="10"/>
      <c r="C29" s="11"/>
      <c r="D29" s="11"/>
      <c r="E29" s="306">
        <v>613800</v>
      </c>
      <c r="F29" s="332"/>
      <c r="G29" s="11" t="s">
        <v>166</v>
      </c>
      <c r="H29" s="269">
        <v>2500</v>
      </c>
      <c r="I29" s="269">
        <v>0</v>
      </c>
      <c r="J29" s="401">
        <f t="shared" si="9"/>
        <v>2500</v>
      </c>
      <c r="K29" s="269">
        <v>420</v>
      </c>
      <c r="L29" s="269">
        <v>0</v>
      </c>
      <c r="M29" s="401">
        <f t="shared" si="10"/>
        <v>420</v>
      </c>
      <c r="N29" s="347">
        <f t="shared" si="3"/>
        <v>16.8</v>
      </c>
    </row>
    <row r="30" spans="1:15" ht="12.95" customHeight="1">
      <c r="B30" s="10"/>
      <c r="C30" s="11"/>
      <c r="D30" s="11"/>
      <c r="E30" s="309">
        <v>613900</v>
      </c>
      <c r="F30" s="332"/>
      <c r="G30" s="14" t="s">
        <v>167</v>
      </c>
      <c r="H30" s="269">
        <v>150000</v>
      </c>
      <c r="I30" s="269">
        <v>0</v>
      </c>
      <c r="J30" s="401">
        <f t="shared" si="9"/>
        <v>150000</v>
      </c>
      <c r="K30" s="269">
        <v>122363</v>
      </c>
      <c r="L30" s="269">
        <v>0</v>
      </c>
      <c r="M30" s="401">
        <f t="shared" si="10"/>
        <v>122363</v>
      </c>
      <c r="N30" s="347">
        <f t="shared" si="3"/>
        <v>81.575333333333333</v>
      </c>
      <c r="O30" s="50"/>
    </row>
    <row r="31" spans="1:15" ht="12.95" customHeight="1">
      <c r="B31" s="10"/>
      <c r="C31" s="11"/>
      <c r="D31" s="11"/>
      <c r="E31" s="306">
        <v>613900</v>
      </c>
      <c r="F31" s="332" t="s">
        <v>655</v>
      </c>
      <c r="G31" s="18" t="s">
        <v>207</v>
      </c>
      <c r="H31" s="269">
        <v>44400</v>
      </c>
      <c r="I31" s="269">
        <v>0</v>
      </c>
      <c r="J31" s="401">
        <f t="shared" si="9"/>
        <v>44400</v>
      </c>
      <c r="K31" s="269">
        <v>17747</v>
      </c>
      <c r="L31" s="269">
        <v>0</v>
      </c>
      <c r="M31" s="401">
        <f t="shared" si="10"/>
        <v>17747</v>
      </c>
      <c r="N31" s="347">
        <f t="shared" si="3"/>
        <v>39.97072072072072</v>
      </c>
    </row>
    <row r="32" spans="1:15" ht="12.95" customHeight="1">
      <c r="B32" s="10"/>
      <c r="C32" s="11"/>
      <c r="D32" s="11"/>
      <c r="E32" s="306">
        <v>613900</v>
      </c>
      <c r="F32" s="332" t="s">
        <v>654</v>
      </c>
      <c r="G32" s="356" t="s">
        <v>814</v>
      </c>
      <c r="H32" s="269">
        <v>122000</v>
      </c>
      <c r="I32" s="269">
        <v>0</v>
      </c>
      <c r="J32" s="401">
        <f t="shared" si="9"/>
        <v>122000</v>
      </c>
      <c r="K32" s="269">
        <v>69095</v>
      </c>
      <c r="L32" s="269">
        <v>0</v>
      </c>
      <c r="M32" s="401">
        <f t="shared" si="10"/>
        <v>69095</v>
      </c>
      <c r="N32" s="347">
        <f t="shared" si="3"/>
        <v>56.635245901639344</v>
      </c>
    </row>
    <row r="33" spans="1:18" ht="8.1" customHeight="1">
      <c r="B33" s="10"/>
      <c r="C33" s="11"/>
      <c r="D33" s="11"/>
      <c r="E33" s="306"/>
      <c r="F33" s="332"/>
      <c r="G33" s="11"/>
      <c r="H33" s="266"/>
      <c r="I33" s="266"/>
      <c r="J33" s="401"/>
      <c r="K33" s="266"/>
      <c r="L33" s="266"/>
      <c r="M33" s="401"/>
      <c r="N33" s="347" t="str">
        <f t="shared" si="3"/>
        <v/>
      </c>
    </row>
    <row r="34" spans="1:18" s="1" customFormat="1" ht="12.95" customHeight="1">
      <c r="A34" s="281"/>
      <c r="B34" s="12"/>
      <c r="C34" s="8"/>
      <c r="D34" s="8"/>
      <c r="E34" s="305">
        <v>614000</v>
      </c>
      <c r="F34" s="332"/>
      <c r="G34" s="8" t="s">
        <v>202</v>
      </c>
      <c r="H34" s="271">
        <f t="shared" ref="H34:M34" si="11">SUM(H35:H45)</f>
        <v>793000</v>
      </c>
      <c r="I34" s="271">
        <f t="shared" si="11"/>
        <v>0</v>
      </c>
      <c r="J34" s="402">
        <f t="shared" si="11"/>
        <v>793000</v>
      </c>
      <c r="K34" s="271">
        <f t="shared" si="11"/>
        <v>576096</v>
      </c>
      <c r="L34" s="271">
        <f t="shared" si="11"/>
        <v>0</v>
      </c>
      <c r="M34" s="402">
        <f t="shared" si="11"/>
        <v>576096</v>
      </c>
      <c r="N34" s="346">
        <f t="shared" si="3"/>
        <v>72.647667087011342</v>
      </c>
    </row>
    <row r="35" spans="1:18" s="60" customFormat="1" ht="12.95" customHeight="1">
      <c r="B35" s="61"/>
      <c r="C35" s="13"/>
      <c r="D35" s="13"/>
      <c r="E35" s="306">
        <v>614100</v>
      </c>
      <c r="F35" s="332" t="s">
        <v>656</v>
      </c>
      <c r="G35" s="13" t="s">
        <v>272</v>
      </c>
      <c r="H35" s="357">
        <v>0</v>
      </c>
      <c r="I35" s="357">
        <v>0</v>
      </c>
      <c r="J35" s="401">
        <f t="shared" ref="J35:J45" si="12">SUM(H35:I35)</f>
        <v>0</v>
      </c>
      <c r="K35" s="357">
        <v>0</v>
      </c>
      <c r="L35" s="357">
        <v>0</v>
      </c>
      <c r="M35" s="401">
        <f t="shared" ref="M35:M45" si="13">SUM(K35:L35)</f>
        <v>0</v>
      </c>
      <c r="N35" s="347" t="str">
        <f t="shared" si="3"/>
        <v/>
      </c>
    </row>
    <row r="36" spans="1:18" s="60" customFormat="1" ht="12.95" customHeight="1">
      <c r="B36" s="61"/>
      <c r="C36" s="13"/>
      <c r="D36" s="13"/>
      <c r="E36" s="306">
        <v>614100</v>
      </c>
      <c r="F36" s="332" t="s">
        <v>657</v>
      </c>
      <c r="G36" s="75" t="s">
        <v>273</v>
      </c>
      <c r="H36" s="357">
        <v>200000</v>
      </c>
      <c r="I36" s="357">
        <v>0</v>
      </c>
      <c r="J36" s="401">
        <f t="shared" si="12"/>
        <v>200000</v>
      </c>
      <c r="K36" s="357">
        <v>100000</v>
      </c>
      <c r="L36" s="357">
        <v>0</v>
      </c>
      <c r="M36" s="401">
        <f t="shared" si="13"/>
        <v>100000</v>
      </c>
      <c r="N36" s="347">
        <f t="shared" si="3"/>
        <v>50</v>
      </c>
    </row>
    <row r="37" spans="1:18" s="103" customFormat="1" ht="12.95" customHeight="1">
      <c r="B37" s="100"/>
      <c r="C37" s="101"/>
      <c r="D37" s="101"/>
      <c r="E37" s="310">
        <v>614200</v>
      </c>
      <c r="F37" s="332" t="s">
        <v>658</v>
      </c>
      <c r="G37" s="102" t="s">
        <v>627</v>
      </c>
      <c r="H37" s="381">
        <v>188000</v>
      </c>
      <c r="I37" s="381">
        <v>0</v>
      </c>
      <c r="J37" s="401">
        <f t="shared" si="12"/>
        <v>188000</v>
      </c>
      <c r="K37" s="381">
        <v>185400</v>
      </c>
      <c r="L37" s="381">
        <v>0</v>
      </c>
      <c r="M37" s="401">
        <f t="shared" si="13"/>
        <v>185400</v>
      </c>
      <c r="N37" s="347">
        <f t="shared" si="3"/>
        <v>98.617021276595736</v>
      </c>
      <c r="R37" s="104"/>
    </row>
    <row r="38" spans="1:18" ht="12.95" customHeight="1">
      <c r="B38" s="10"/>
      <c r="C38" s="11"/>
      <c r="D38" s="11"/>
      <c r="E38" s="306">
        <v>614300</v>
      </c>
      <c r="F38" s="332" t="s">
        <v>659</v>
      </c>
      <c r="G38" s="375" t="s">
        <v>709</v>
      </c>
      <c r="H38" s="358">
        <v>70000</v>
      </c>
      <c r="I38" s="358">
        <v>0</v>
      </c>
      <c r="J38" s="401">
        <f t="shared" si="12"/>
        <v>70000</v>
      </c>
      <c r="K38" s="358">
        <v>70000</v>
      </c>
      <c r="L38" s="358">
        <v>0</v>
      </c>
      <c r="M38" s="401">
        <f t="shared" si="13"/>
        <v>70000</v>
      </c>
      <c r="N38" s="347">
        <f t="shared" si="3"/>
        <v>100</v>
      </c>
    </row>
    <row r="39" spans="1:18" ht="12.95" customHeight="1">
      <c r="B39" s="10"/>
      <c r="C39" s="11"/>
      <c r="D39" s="11"/>
      <c r="E39" s="306">
        <v>614300</v>
      </c>
      <c r="F39" s="332" t="s">
        <v>660</v>
      </c>
      <c r="G39" s="69" t="s">
        <v>219</v>
      </c>
      <c r="H39" s="358">
        <v>35000</v>
      </c>
      <c r="I39" s="358">
        <v>0</v>
      </c>
      <c r="J39" s="401">
        <f t="shared" si="12"/>
        <v>35000</v>
      </c>
      <c r="K39" s="358">
        <v>23336</v>
      </c>
      <c r="L39" s="358">
        <v>0</v>
      </c>
      <c r="M39" s="401">
        <f t="shared" si="13"/>
        <v>23336</v>
      </c>
      <c r="N39" s="347">
        <f t="shared" si="3"/>
        <v>66.674285714285716</v>
      </c>
    </row>
    <row r="40" spans="1:18" ht="12.95" customHeight="1">
      <c r="B40" s="10"/>
      <c r="C40" s="11"/>
      <c r="D40" s="11"/>
      <c r="E40" s="306">
        <v>614300</v>
      </c>
      <c r="F40" s="332" t="s">
        <v>661</v>
      </c>
      <c r="G40" s="69" t="s">
        <v>267</v>
      </c>
      <c r="H40" s="358">
        <v>40000</v>
      </c>
      <c r="I40" s="358">
        <v>0</v>
      </c>
      <c r="J40" s="401">
        <f t="shared" si="12"/>
        <v>40000</v>
      </c>
      <c r="K40" s="358">
        <v>26668</v>
      </c>
      <c r="L40" s="358">
        <v>0</v>
      </c>
      <c r="M40" s="401">
        <f t="shared" si="13"/>
        <v>26668</v>
      </c>
      <c r="N40" s="347">
        <f t="shared" si="3"/>
        <v>66.67</v>
      </c>
    </row>
    <row r="41" spans="1:18" ht="12.95" customHeight="1">
      <c r="B41" s="10"/>
      <c r="C41" s="11"/>
      <c r="D41" s="11"/>
      <c r="E41" s="306">
        <v>614300</v>
      </c>
      <c r="F41" s="332" t="s">
        <v>662</v>
      </c>
      <c r="G41" s="374" t="s">
        <v>791</v>
      </c>
      <c r="H41" s="358">
        <v>40000</v>
      </c>
      <c r="I41" s="358">
        <v>0</v>
      </c>
      <c r="J41" s="401">
        <f t="shared" si="12"/>
        <v>40000</v>
      </c>
      <c r="K41" s="358">
        <v>26668</v>
      </c>
      <c r="L41" s="358">
        <v>0</v>
      </c>
      <c r="M41" s="401">
        <f t="shared" si="13"/>
        <v>26668</v>
      </c>
      <c r="N41" s="347">
        <f t="shared" si="3"/>
        <v>66.67</v>
      </c>
    </row>
    <row r="42" spans="1:18" ht="12.95" customHeight="1">
      <c r="B42" s="10"/>
      <c r="C42" s="11"/>
      <c r="D42" s="11"/>
      <c r="E42" s="306">
        <v>614300</v>
      </c>
      <c r="F42" s="332" t="s">
        <v>663</v>
      </c>
      <c r="G42" s="374" t="s">
        <v>790</v>
      </c>
      <c r="H42" s="358">
        <v>15000</v>
      </c>
      <c r="I42" s="358">
        <v>0</v>
      </c>
      <c r="J42" s="401">
        <f t="shared" si="12"/>
        <v>15000</v>
      </c>
      <c r="K42" s="358">
        <v>10000</v>
      </c>
      <c r="L42" s="358">
        <v>0</v>
      </c>
      <c r="M42" s="401">
        <f t="shared" si="13"/>
        <v>10000</v>
      </c>
      <c r="N42" s="347">
        <f t="shared" si="3"/>
        <v>66.666666666666657</v>
      </c>
    </row>
    <row r="43" spans="1:18" ht="12.95" customHeight="1">
      <c r="B43" s="10"/>
      <c r="C43" s="11"/>
      <c r="D43" s="11"/>
      <c r="E43" s="306">
        <v>614300</v>
      </c>
      <c r="F43" s="332" t="s">
        <v>664</v>
      </c>
      <c r="G43" s="69" t="s">
        <v>221</v>
      </c>
      <c r="H43" s="358">
        <v>30000</v>
      </c>
      <c r="I43" s="358">
        <v>0</v>
      </c>
      <c r="J43" s="401">
        <f t="shared" si="12"/>
        <v>30000</v>
      </c>
      <c r="K43" s="358">
        <v>22500</v>
      </c>
      <c r="L43" s="358">
        <v>0</v>
      </c>
      <c r="M43" s="401">
        <f t="shared" si="13"/>
        <v>22500</v>
      </c>
      <c r="N43" s="347">
        <f t="shared" si="3"/>
        <v>75</v>
      </c>
    </row>
    <row r="44" spans="1:18" ht="12.95" customHeight="1">
      <c r="B44" s="10"/>
      <c r="C44" s="11"/>
      <c r="D44" s="11"/>
      <c r="E44" s="306">
        <v>614300</v>
      </c>
      <c r="F44" s="332" t="s">
        <v>665</v>
      </c>
      <c r="G44" s="69" t="s">
        <v>625</v>
      </c>
      <c r="H44" s="358">
        <v>15000</v>
      </c>
      <c r="I44" s="358">
        <v>0</v>
      </c>
      <c r="J44" s="401">
        <f t="shared" si="12"/>
        <v>15000</v>
      </c>
      <c r="K44" s="358">
        <v>10000</v>
      </c>
      <c r="L44" s="358">
        <v>0</v>
      </c>
      <c r="M44" s="401">
        <f t="shared" si="13"/>
        <v>10000</v>
      </c>
      <c r="N44" s="347">
        <f t="shared" si="3"/>
        <v>66.666666666666657</v>
      </c>
    </row>
    <row r="45" spans="1:18" ht="12.95" customHeight="1">
      <c r="B45" s="10"/>
      <c r="C45" s="11"/>
      <c r="D45" s="11"/>
      <c r="E45" s="306">
        <v>614300</v>
      </c>
      <c r="F45" s="332" t="s">
        <v>666</v>
      </c>
      <c r="G45" s="162" t="s">
        <v>96</v>
      </c>
      <c r="H45" s="358">
        <v>160000</v>
      </c>
      <c r="I45" s="358">
        <v>0</v>
      </c>
      <c r="J45" s="401">
        <f t="shared" si="12"/>
        <v>160000</v>
      </c>
      <c r="K45" s="358">
        <v>101524</v>
      </c>
      <c r="L45" s="358">
        <v>0</v>
      </c>
      <c r="M45" s="401">
        <f t="shared" si="13"/>
        <v>101524</v>
      </c>
      <c r="N45" s="347">
        <f t="shared" si="3"/>
        <v>63.452500000000001</v>
      </c>
    </row>
    <row r="46" spans="1:18" ht="8.1" customHeight="1">
      <c r="B46" s="10"/>
      <c r="C46" s="11"/>
      <c r="D46" s="11"/>
      <c r="E46" s="306"/>
      <c r="F46" s="332"/>
      <c r="G46" s="69"/>
      <c r="H46" s="272"/>
      <c r="I46" s="272"/>
      <c r="J46" s="401"/>
      <c r="K46" s="272"/>
      <c r="L46" s="272"/>
      <c r="M46" s="401"/>
      <c r="N46" s="347" t="str">
        <f t="shared" si="3"/>
        <v/>
      </c>
    </row>
    <row r="47" spans="1:18" ht="12.95" customHeight="1">
      <c r="B47" s="10"/>
      <c r="C47" s="11"/>
      <c r="D47" s="11"/>
      <c r="E47" s="305">
        <v>615000</v>
      </c>
      <c r="F47" s="332"/>
      <c r="G47" s="8" t="s">
        <v>89</v>
      </c>
      <c r="H47" s="271">
        <f t="shared" ref="H47:M47" si="14">H48</f>
        <v>362000</v>
      </c>
      <c r="I47" s="271">
        <f t="shared" si="14"/>
        <v>0</v>
      </c>
      <c r="J47" s="402">
        <f t="shared" si="14"/>
        <v>362000</v>
      </c>
      <c r="K47" s="271">
        <f t="shared" si="14"/>
        <v>0</v>
      </c>
      <c r="L47" s="271">
        <f t="shared" si="14"/>
        <v>0</v>
      </c>
      <c r="M47" s="402">
        <f t="shared" si="14"/>
        <v>0</v>
      </c>
      <c r="N47" s="346">
        <f t="shared" si="3"/>
        <v>0</v>
      </c>
    </row>
    <row r="48" spans="1:18" ht="12.95" customHeight="1">
      <c r="B48" s="10"/>
      <c r="C48" s="11"/>
      <c r="D48" s="11"/>
      <c r="E48" s="306">
        <v>615100</v>
      </c>
      <c r="F48" s="332"/>
      <c r="G48" s="13" t="s">
        <v>89</v>
      </c>
      <c r="H48" s="268">
        <v>362000</v>
      </c>
      <c r="I48" s="268">
        <v>0</v>
      </c>
      <c r="J48" s="401">
        <f>SUM(H48:I48)</f>
        <v>362000</v>
      </c>
      <c r="K48" s="268">
        <v>0</v>
      </c>
      <c r="L48" s="268">
        <v>0</v>
      </c>
      <c r="M48" s="401">
        <f>SUM(K48:L48)</f>
        <v>0</v>
      </c>
      <c r="N48" s="347">
        <f t="shared" si="3"/>
        <v>0</v>
      </c>
    </row>
    <row r="49" spans="1:14" ht="8.1" customHeight="1">
      <c r="B49" s="10"/>
      <c r="C49" s="11"/>
      <c r="D49" s="11"/>
      <c r="E49" s="306"/>
      <c r="F49" s="332"/>
      <c r="G49" s="14"/>
      <c r="H49" s="269"/>
      <c r="I49" s="269"/>
      <c r="J49" s="401"/>
      <c r="K49" s="269"/>
      <c r="L49" s="269"/>
      <c r="M49" s="401"/>
      <c r="N49" s="347" t="str">
        <f t="shared" si="3"/>
        <v/>
      </c>
    </row>
    <row r="50" spans="1:14" ht="12.95" customHeight="1">
      <c r="B50" s="12"/>
      <c r="C50" s="8"/>
      <c r="D50" s="8"/>
      <c r="E50" s="305">
        <v>821000</v>
      </c>
      <c r="F50" s="332"/>
      <c r="G50" s="8" t="s">
        <v>90</v>
      </c>
      <c r="H50" s="288">
        <f t="shared" ref="H50:M50" si="15">SUM(H51:H53)</f>
        <v>55000</v>
      </c>
      <c r="I50" s="288">
        <f t="shared" si="15"/>
        <v>0</v>
      </c>
      <c r="J50" s="387">
        <f t="shared" si="15"/>
        <v>55000</v>
      </c>
      <c r="K50" s="288">
        <f t="shared" si="15"/>
        <v>3775</v>
      </c>
      <c r="L50" s="288">
        <f t="shared" si="15"/>
        <v>0</v>
      </c>
      <c r="M50" s="387">
        <f t="shared" si="15"/>
        <v>3775</v>
      </c>
      <c r="N50" s="346">
        <f t="shared" si="3"/>
        <v>6.8636363636363633</v>
      </c>
    </row>
    <row r="51" spans="1:14" ht="12.95" customHeight="1">
      <c r="B51" s="10"/>
      <c r="C51" s="11"/>
      <c r="D51" s="11"/>
      <c r="E51" s="306">
        <v>821200</v>
      </c>
      <c r="F51" s="332"/>
      <c r="G51" s="11" t="s">
        <v>91</v>
      </c>
      <c r="H51" s="280">
        <v>0</v>
      </c>
      <c r="I51" s="280">
        <v>0</v>
      </c>
      <c r="J51" s="401">
        <f t="shared" ref="J51:J53" si="16">SUM(H51:I51)</f>
        <v>0</v>
      </c>
      <c r="K51" s="280">
        <v>0</v>
      </c>
      <c r="L51" s="280">
        <v>0</v>
      </c>
      <c r="M51" s="401">
        <f t="shared" ref="M51:M53" si="17">SUM(K51:L51)</f>
        <v>0</v>
      </c>
      <c r="N51" s="347" t="str">
        <f t="shared" si="3"/>
        <v/>
      </c>
    </row>
    <row r="52" spans="1:14" ht="12.95" customHeight="1">
      <c r="B52" s="10"/>
      <c r="C52" s="11"/>
      <c r="D52" s="11"/>
      <c r="E52" s="306">
        <v>821300</v>
      </c>
      <c r="F52" s="332"/>
      <c r="G52" s="11" t="s">
        <v>92</v>
      </c>
      <c r="H52" s="296">
        <v>5000</v>
      </c>
      <c r="I52" s="296">
        <v>0</v>
      </c>
      <c r="J52" s="401">
        <f t="shared" si="16"/>
        <v>5000</v>
      </c>
      <c r="K52" s="296">
        <v>3775</v>
      </c>
      <c r="L52" s="296">
        <v>0</v>
      </c>
      <c r="M52" s="401">
        <f t="shared" si="17"/>
        <v>3775</v>
      </c>
      <c r="N52" s="347">
        <f t="shared" si="3"/>
        <v>75.5</v>
      </c>
    </row>
    <row r="53" spans="1:14" ht="12.95" customHeight="1">
      <c r="B53" s="10"/>
      <c r="C53" s="11"/>
      <c r="D53" s="11"/>
      <c r="E53" s="306">
        <v>821500</v>
      </c>
      <c r="F53" s="332"/>
      <c r="G53" s="11" t="s">
        <v>521</v>
      </c>
      <c r="H53" s="87">
        <v>50000</v>
      </c>
      <c r="I53" s="87">
        <v>0</v>
      </c>
      <c r="J53" s="401">
        <f t="shared" si="16"/>
        <v>50000</v>
      </c>
      <c r="K53" s="87">
        <v>0</v>
      </c>
      <c r="L53" s="87">
        <v>0</v>
      </c>
      <c r="M53" s="401">
        <f t="shared" si="17"/>
        <v>0</v>
      </c>
      <c r="N53" s="347">
        <f t="shared" si="3"/>
        <v>0</v>
      </c>
    </row>
    <row r="54" spans="1:14" s="1" customFormat="1" ht="8.1" customHeight="1">
      <c r="A54" s="281"/>
      <c r="B54" s="10"/>
      <c r="C54" s="11"/>
      <c r="D54" s="11"/>
      <c r="E54" s="306"/>
      <c r="F54" s="332"/>
      <c r="G54" s="11"/>
      <c r="H54" s="288"/>
      <c r="I54" s="288"/>
      <c r="J54" s="387"/>
      <c r="K54" s="288"/>
      <c r="L54" s="288"/>
      <c r="M54" s="387"/>
      <c r="N54" s="347" t="str">
        <f t="shared" si="3"/>
        <v/>
      </c>
    </row>
    <row r="55" spans="1:14" ht="12.95" customHeight="1">
      <c r="B55" s="12"/>
      <c r="C55" s="8"/>
      <c r="D55" s="8"/>
      <c r="E55" s="305"/>
      <c r="F55" s="332"/>
      <c r="G55" s="8" t="s">
        <v>93</v>
      </c>
      <c r="H55" s="288">
        <v>6</v>
      </c>
      <c r="I55" s="288"/>
      <c r="J55" s="387">
        <v>6</v>
      </c>
      <c r="K55" s="288">
        <v>6</v>
      </c>
      <c r="L55" s="288"/>
      <c r="M55" s="387">
        <v>6</v>
      </c>
      <c r="N55" s="347"/>
    </row>
    <row r="56" spans="1:14" ht="12.95" customHeight="1">
      <c r="B56" s="12"/>
      <c r="C56" s="8"/>
      <c r="D56" s="8"/>
      <c r="E56" s="305"/>
      <c r="F56" s="332"/>
      <c r="G56" s="8" t="s">
        <v>113</v>
      </c>
      <c r="H56" s="288">
        <f t="shared" ref="H56:J56" si="18">H8+H13+H18+H21+H34+H47+H50</f>
        <v>2287010</v>
      </c>
      <c r="I56" s="288">
        <f t="shared" si="18"/>
        <v>0</v>
      </c>
      <c r="J56" s="387">
        <f t="shared" si="18"/>
        <v>2287010</v>
      </c>
      <c r="K56" s="288">
        <f t="shared" ref="K56:M56" si="19">K8+K13+K18+K21+K34+K47+K50</f>
        <v>1375211</v>
      </c>
      <c r="L56" s="288">
        <f t="shared" si="19"/>
        <v>0</v>
      </c>
      <c r="M56" s="387">
        <f t="shared" si="19"/>
        <v>1375211</v>
      </c>
      <c r="N56" s="346">
        <f t="shared" si="3"/>
        <v>60.131394265875528</v>
      </c>
    </row>
    <row r="57" spans="1:14" ht="12.95" customHeight="1">
      <c r="B57" s="12"/>
      <c r="C57" s="8"/>
      <c r="D57" s="8"/>
      <c r="E57" s="305"/>
      <c r="F57" s="332"/>
      <c r="G57" s="8" t="s">
        <v>94</v>
      </c>
      <c r="H57" s="286"/>
      <c r="I57" s="286"/>
      <c r="J57" s="397"/>
      <c r="K57" s="286"/>
      <c r="L57" s="286"/>
      <c r="M57" s="397"/>
      <c r="N57" s="348"/>
    </row>
    <row r="58" spans="1:14" ht="12.95" customHeight="1">
      <c r="B58" s="12"/>
      <c r="C58" s="8"/>
      <c r="D58" s="8"/>
      <c r="E58" s="305"/>
      <c r="F58" s="332"/>
      <c r="G58" s="8" t="s">
        <v>95</v>
      </c>
      <c r="H58" s="286"/>
      <c r="I58" s="286"/>
      <c r="J58" s="397"/>
      <c r="K58" s="286"/>
      <c r="L58" s="286"/>
      <c r="M58" s="397"/>
      <c r="N58" s="348"/>
    </row>
    <row r="59" spans="1:14" s="1" customFormat="1" ht="8.1" customHeight="1" thickBot="1">
      <c r="A59" s="281"/>
      <c r="B59" s="15"/>
      <c r="C59" s="16"/>
      <c r="D59" s="16"/>
      <c r="E59" s="307"/>
      <c r="F59" s="333"/>
      <c r="G59" s="16"/>
      <c r="H59" s="16"/>
      <c r="I59" s="16"/>
      <c r="J59" s="394"/>
      <c r="K59" s="16"/>
      <c r="L59" s="16"/>
      <c r="M59" s="394"/>
      <c r="N59" s="349"/>
    </row>
    <row r="60" spans="1:14" s="1" customFormat="1" ht="15.95" customHeight="1">
      <c r="A60" s="281"/>
      <c r="B60" s="9"/>
      <c r="C60" s="9"/>
      <c r="D60" s="9"/>
      <c r="E60" s="308"/>
      <c r="F60" s="334"/>
      <c r="G60" s="9"/>
      <c r="H60" s="284"/>
      <c r="I60" s="284"/>
      <c r="J60" s="391"/>
      <c r="K60" s="284"/>
      <c r="L60" s="284"/>
      <c r="M60" s="391"/>
      <c r="N60" s="350"/>
    </row>
    <row r="61" spans="1:14" s="1" customFormat="1" ht="15.95" customHeight="1">
      <c r="A61" s="281"/>
      <c r="B61" s="9"/>
      <c r="C61" s="9"/>
      <c r="D61" s="9"/>
      <c r="E61" s="308"/>
      <c r="F61" s="334"/>
      <c r="G61" s="9"/>
      <c r="H61" s="284"/>
      <c r="I61" s="284"/>
      <c r="J61" s="391"/>
      <c r="K61" s="284"/>
      <c r="L61" s="284"/>
      <c r="M61" s="391"/>
      <c r="N61" s="350"/>
    </row>
    <row r="62" spans="1:14" s="1" customFormat="1" ht="12.95" customHeight="1">
      <c r="A62" s="281"/>
      <c r="B62" s="9"/>
      <c r="C62" s="9"/>
      <c r="D62" s="9"/>
      <c r="E62" s="308"/>
      <c r="F62" s="334"/>
      <c r="G62" s="9"/>
      <c r="H62" s="284"/>
      <c r="I62" s="284"/>
      <c r="J62" s="391"/>
      <c r="K62" s="284"/>
      <c r="L62" s="284"/>
      <c r="M62" s="391"/>
      <c r="N62" s="350"/>
    </row>
    <row r="63" spans="1:14" ht="12.95" customHeight="1">
      <c r="E63" s="308"/>
      <c r="F63" s="334"/>
      <c r="J63" s="391"/>
      <c r="M63" s="391"/>
    </row>
    <row r="64" spans="1:14" ht="14.25">
      <c r="E64" s="308"/>
      <c r="F64" s="334"/>
      <c r="J64" s="391"/>
      <c r="M64" s="391"/>
    </row>
    <row r="65" spans="5:13" ht="14.25">
      <c r="E65" s="308"/>
      <c r="F65" s="334"/>
      <c r="J65" s="391"/>
      <c r="M65" s="391"/>
    </row>
    <row r="66" spans="5:13" ht="14.25">
      <c r="E66" s="308"/>
      <c r="F66" s="334"/>
      <c r="J66" s="391"/>
      <c r="M66" s="391"/>
    </row>
    <row r="67" spans="5:13" ht="14.25">
      <c r="E67" s="308"/>
      <c r="F67" s="334"/>
      <c r="J67" s="391"/>
      <c r="M67" s="391"/>
    </row>
    <row r="68" spans="5:13" ht="14.25">
      <c r="E68" s="308"/>
      <c r="F68" s="334"/>
      <c r="J68" s="391"/>
      <c r="M68" s="391"/>
    </row>
    <row r="69" spans="5:13" ht="14.25">
      <c r="E69" s="308"/>
      <c r="F69" s="334"/>
      <c r="J69" s="391"/>
      <c r="M69" s="391"/>
    </row>
    <row r="70" spans="5:13" ht="14.25">
      <c r="E70" s="308"/>
      <c r="F70" s="334"/>
      <c r="J70" s="391"/>
      <c r="M70" s="391"/>
    </row>
    <row r="71" spans="5:13" ht="14.25">
      <c r="E71" s="308"/>
      <c r="F71" s="334"/>
      <c r="J71" s="391"/>
      <c r="M71" s="391"/>
    </row>
    <row r="72" spans="5:13" ht="14.25">
      <c r="E72" s="308"/>
      <c r="F72" s="334"/>
      <c r="J72" s="391"/>
      <c r="M72" s="391"/>
    </row>
    <row r="73" spans="5:13" ht="14.25">
      <c r="E73" s="308"/>
      <c r="F73" s="334"/>
      <c r="J73" s="391"/>
      <c r="M73" s="391"/>
    </row>
    <row r="74" spans="5:13" ht="14.25">
      <c r="E74" s="308"/>
      <c r="F74" s="308"/>
      <c r="J74" s="391"/>
      <c r="M74" s="391"/>
    </row>
    <row r="75" spans="5:13" ht="14.25">
      <c r="E75" s="308"/>
      <c r="F75" s="308"/>
      <c r="J75" s="391"/>
      <c r="M75" s="391"/>
    </row>
    <row r="76" spans="5:13" ht="14.25">
      <c r="E76" s="308"/>
      <c r="F76" s="308"/>
      <c r="J76" s="391"/>
      <c r="M76" s="391"/>
    </row>
    <row r="77" spans="5:13" ht="14.25">
      <c r="E77" s="308"/>
      <c r="F77" s="308"/>
      <c r="J77" s="391"/>
      <c r="M77" s="391"/>
    </row>
    <row r="78" spans="5:13" ht="14.25">
      <c r="E78" s="308"/>
      <c r="F78" s="308"/>
      <c r="J78" s="391"/>
      <c r="M78" s="391"/>
    </row>
    <row r="79" spans="5:13" ht="14.25">
      <c r="E79" s="308"/>
      <c r="F79" s="308"/>
      <c r="J79" s="391"/>
      <c r="M79" s="391"/>
    </row>
    <row r="80" spans="5:13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96"/>
  <sheetViews>
    <sheetView zoomScaleNormal="100" workbookViewId="0">
      <selection activeCell="K35" sqref="K3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7" ht="13.5" thickBot="1"/>
    <row r="2" spans="1:17" s="376" customFormat="1" ht="20.100000000000001" customHeight="1" thickTop="1" thickBot="1">
      <c r="B2" s="598" t="s">
        <v>122</v>
      </c>
      <c r="C2" s="599"/>
      <c r="D2" s="599"/>
      <c r="E2" s="599"/>
      <c r="F2" s="599"/>
      <c r="G2" s="599"/>
      <c r="H2" s="599"/>
      <c r="I2" s="599"/>
      <c r="J2" s="599"/>
      <c r="K2" s="530"/>
      <c r="L2" s="530"/>
      <c r="M2" s="530"/>
      <c r="N2" s="379"/>
    </row>
    <row r="3" spans="1:17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7" s="1" customFormat="1" ht="39" customHeight="1">
      <c r="A4" s="281"/>
      <c r="B4" s="604" t="s">
        <v>78</v>
      </c>
      <c r="C4" s="614" t="s">
        <v>79</v>
      </c>
      <c r="D4" s="615" t="s">
        <v>110</v>
      </c>
      <c r="E4" s="616" t="s">
        <v>594</v>
      </c>
      <c r="F4" s="609" t="s">
        <v>653</v>
      </c>
      <c r="G4" s="610" t="s">
        <v>80</v>
      </c>
      <c r="H4" s="601" t="s">
        <v>647</v>
      </c>
      <c r="I4" s="602"/>
      <c r="J4" s="603"/>
      <c r="K4" s="617" t="s">
        <v>825</v>
      </c>
      <c r="L4" s="602"/>
      <c r="M4" s="603"/>
      <c r="N4" s="612" t="s">
        <v>803</v>
      </c>
    </row>
    <row r="5" spans="1:17" s="281" customFormat="1" ht="27" customHeight="1">
      <c r="B5" s="605"/>
      <c r="C5" s="607"/>
      <c r="D5" s="607"/>
      <c r="E5" s="611"/>
      <c r="F5" s="607"/>
      <c r="G5" s="611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13"/>
    </row>
    <row r="6" spans="1:17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802</v>
      </c>
      <c r="K6" s="331">
        <v>10</v>
      </c>
      <c r="L6" s="331">
        <v>11</v>
      </c>
      <c r="M6" s="523" t="s">
        <v>707</v>
      </c>
      <c r="N6" s="505">
        <v>13</v>
      </c>
    </row>
    <row r="7" spans="1:17" s="2" customFormat="1" ht="12.95" customHeight="1">
      <c r="A7" s="282"/>
      <c r="B7" s="6" t="s">
        <v>119</v>
      </c>
      <c r="C7" s="7" t="s">
        <v>81</v>
      </c>
      <c r="D7" s="7" t="s">
        <v>117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7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54300</v>
      </c>
      <c r="I8" s="210">
        <f t="shared" si="0"/>
        <v>0</v>
      </c>
      <c r="J8" s="384">
        <f t="shared" si="0"/>
        <v>54300</v>
      </c>
      <c r="K8" s="210">
        <f t="shared" si="0"/>
        <v>40368</v>
      </c>
      <c r="L8" s="210">
        <f t="shared" si="0"/>
        <v>0</v>
      </c>
      <c r="M8" s="384">
        <f t="shared" si="0"/>
        <v>40368</v>
      </c>
      <c r="N8" s="346">
        <f>IF(J8=0,"",M8/J8*100)</f>
        <v>74.342541436464089</v>
      </c>
    </row>
    <row r="9" spans="1:17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17550+200+25500</f>
        <v>43250</v>
      </c>
      <c r="I9" s="209">
        <v>0</v>
      </c>
      <c r="J9" s="385">
        <f>SUM(H9:I9)</f>
        <v>43250</v>
      </c>
      <c r="K9" s="209">
        <v>32898</v>
      </c>
      <c r="L9" s="209">
        <v>0</v>
      </c>
      <c r="M9" s="385">
        <f>SUM(K9:L9)</f>
        <v>32898</v>
      </c>
      <c r="N9" s="347">
        <f t="shared" ref="N9:N66" si="1">IF(J9=0,"",M9/J9*100)</f>
        <v>76.064739884393063</v>
      </c>
    </row>
    <row r="10" spans="1:17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3650+7400</f>
        <v>11050</v>
      </c>
      <c r="I10" s="209">
        <v>0</v>
      </c>
      <c r="J10" s="385">
        <f t="shared" ref="J10:J11" si="2">SUM(H10:I10)</f>
        <v>11050</v>
      </c>
      <c r="K10" s="209">
        <v>7470</v>
      </c>
      <c r="L10" s="209">
        <v>0</v>
      </c>
      <c r="M10" s="385">
        <f t="shared" ref="M10:M11" si="3">SUM(K10:L10)</f>
        <v>7470</v>
      </c>
      <c r="N10" s="347">
        <f t="shared" si="1"/>
        <v>67.601809954751133</v>
      </c>
    </row>
    <row r="11" spans="1:17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7" ht="8.1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7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4800</v>
      </c>
      <c r="I13" s="210">
        <f t="shared" si="4"/>
        <v>0</v>
      </c>
      <c r="J13" s="384">
        <f t="shared" si="4"/>
        <v>4800</v>
      </c>
      <c r="K13" s="210">
        <f t="shared" si="4"/>
        <v>3481</v>
      </c>
      <c r="L13" s="210">
        <f t="shared" si="4"/>
        <v>0</v>
      </c>
      <c r="M13" s="384">
        <f t="shared" si="4"/>
        <v>3481</v>
      </c>
      <c r="N13" s="346">
        <f t="shared" si="1"/>
        <v>72.520833333333329</v>
      </c>
      <c r="Q13" s="60"/>
    </row>
    <row r="14" spans="1:17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1900+100+2800</f>
        <v>4800</v>
      </c>
      <c r="I14" s="209">
        <v>0</v>
      </c>
      <c r="J14" s="385">
        <f>SUM(H14:I14)</f>
        <v>4800</v>
      </c>
      <c r="K14" s="209">
        <v>3481</v>
      </c>
      <c r="L14" s="209">
        <v>0</v>
      </c>
      <c r="M14" s="385">
        <f>SUM(K14:L14)</f>
        <v>3481</v>
      </c>
      <c r="N14" s="347">
        <f t="shared" si="1"/>
        <v>72.520833333333329</v>
      </c>
      <c r="Q14" s="50"/>
    </row>
    <row r="15" spans="1:17" ht="8.1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7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4600</v>
      </c>
      <c r="I16" s="293">
        <f t="shared" si="5"/>
        <v>0</v>
      </c>
      <c r="J16" s="387">
        <f t="shared" si="5"/>
        <v>4600</v>
      </c>
      <c r="K16" s="293">
        <f t="shared" si="5"/>
        <v>1308</v>
      </c>
      <c r="L16" s="293">
        <f t="shared" si="5"/>
        <v>0</v>
      </c>
      <c r="M16" s="387">
        <f t="shared" si="5"/>
        <v>1308</v>
      </c>
      <c r="N16" s="346">
        <f t="shared" si="1"/>
        <v>28.434782608695652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1500</v>
      </c>
      <c r="I17" s="362">
        <v>0</v>
      </c>
      <c r="J17" s="385">
        <f t="shared" ref="J17:J26" si="6">SUM(H17:I17)</f>
        <v>1500</v>
      </c>
      <c r="K17" s="362">
        <v>465</v>
      </c>
      <c r="L17" s="362">
        <v>0</v>
      </c>
      <c r="M17" s="385">
        <f t="shared" ref="M17:M26" si="7">SUM(K17:L17)</f>
        <v>465</v>
      </c>
      <c r="N17" s="347">
        <f t="shared" si="1"/>
        <v>31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1700</v>
      </c>
      <c r="I19" s="362">
        <v>0</v>
      </c>
      <c r="J19" s="385">
        <f t="shared" si="6"/>
        <v>1700</v>
      </c>
      <c r="K19" s="362">
        <v>509</v>
      </c>
      <c r="L19" s="362">
        <v>0</v>
      </c>
      <c r="M19" s="385">
        <f t="shared" si="7"/>
        <v>509</v>
      </c>
      <c r="N19" s="347">
        <f t="shared" si="1"/>
        <v>29.941176470588239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2">
        <v>0</v>
      </c>
      <c r="I20" s="362">
        <v>0</v>
      </c>
      <c r="J20" s="385">
        <f t="shared" si="6"/>
        <v>0</v>
      </c>
      <c r="K20" s="362">
        <v>0</v>
      </c>
      <c r="L20" s="362">
        <v>0</v>
      </c>
      <c r="M20" s="385">
        <f t="shared" si="7"/>
        <v>0</v>
      </c>
      <c r="N20" s="347" t="str">
        <f t="shared" si="1"/>
        <v/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0</v>
      </c>
      <c r="I21" s="362">
        <v>0</v>
      </c>
      <c r="J21" s="385">
        <f t="shared" si="6"/>
        <v>0</v>
      </c>
      <c r="K21" s="362">
        <v>0</v>
      </c>
      <c r="L21" s="362">
        <v>0</v>
      </c>
      <c r="M21" s="385">
        <f t="shared" si="7"/>
        <v>0</v>
      </c>
      <c r="N21" s="347" t="str">
        <f t="shared" si="1"/>
        <v/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400</v>
      </c>
      <c r="I23" s="362">
        <v>0</v>
      </c>
      <c r="J23" s="385">
        <f t="shared" si="6"/>
        <v>400</v>
      </c>
      <c r="K23" s="362">
        <v>53</v>
      </c>
      <c r="L23" s="362">
        <v>0</v>
      </c>
      <c r="M23" s="385">
        <f t="shared" si="7"/>
        <v>53</v>
      </c>
      <c r="N23" s="347">
        <f t="shared" si="1"/>
        <v>13.25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2">
        <v>0</v>
      </c>
      <c r="I24" s="362">
        <v>0</v>
      </c>
      <c r="J24" s="385">
        <f t="shared" si="6"/>
        <v>0</v>
      </c>
      <c r="K24" s="362">
        <v>0</v>
      </c>
      <c r="L24" s="362">
        <v>0</v>
      </c>
      <c r="M24" s="385">
        <f t="shared" si="7"/>
        <v>0</v>
      </c>
      <c r="N24" s="347" t="str">
        <f t="shared" si="1"/>
        <v/>
      </c>
      <c r="O24" s="50"/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1000</v>
      </c>
      <c r="I25" s="364">
        <v>0</v>
      </c>
      <c r="J25" s="385">
        <f t="shared" si="6"/>
        <v>1000</v>
      </c>
      <c r="K25" s="364">
        <v>281</v>
      </c>
      <c r="L25" s="364">
        <v>0</v>
      </c>
      <c r="M25" s="385">
        <f t="shared" si="7"/>
        <v>281</v>
      </c>
      <c r="N25" s="347">
        <f t="shared" si="1"/>
        <v>28.1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2">
        <v>0</v>
      </c>
      <c r="I26" s="362">
        <v>0</v>
      </c>
      <c r="J26" s="385">
        <f t="shared" si="6"/>
        <v>0</v>
      </c>
      <c r="K26" s="362">
        <v>0</v>
      </c>
      <c r="L26" s="362">
        <v>0</v>
      </c>
      <c r="M26" s="385">
        <f t="shared" si="7"/>
        <v>0</v>
      </c>
      <c r="N26" s="347" t="str">
        <f t="shared" si="1"/>
        <v/>
      </c>
    </row>
    <row r="27" spans="1:15" ht="8.1" customHeight="1">
      <c r="B27" s="10"/>
      <c r="C27" s="11"/>
      <c r="D27" s="11"/>
      <c r="E27" s="306"/>
      <c r="F27" s="332"/>
      <c r="G27" s="11"/>
      <c r="H27" s="288"/>
      <c r="I27" s="288"/>
      <c r="J27" s="387"/>
      <c r="K27" s="288"/>
      <c r="L27" s="288"/>
      <c r="M27" s="387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16">
        <v>614000</v>
      </c>
      <c r="F28" s="343"/>
      <c r="G28" s="8" t="s">
        <v>202</v>
      </c>
      <c r="H28" s="288">
        <f t="shared" ref="H28:M28" si="8">H29</f>
        <v>20000</v>
      </c>
      <c r="I28" s="288">
        <f t="shared" si="8"/>
        <v>0</v>
      </c>
      <c r="J28" s="387">
        <f t="shared" si="8"/>
        <v>20000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22"/>
      <c r="E29" s="354">
        <v>614200</v>
      </c>
      <c r="F29" s="340" t="s">
        <v>667</v>
      </c>
      <c r="G29" s="36" t="s">
        <v>99</v>
      </c>
      <c r="H29" s="280">
        <v>20000</v>
      </c>
      <c r="I29" s="280"/>
      <c r="J29" s="385">
        <f>SUM(H29:I29)</f>
        <v>20000</v>
      </c>
      <c r="K29" s="280">
        <v>0</v>
      </c>
      <c r="L29" s="280">
        <v>0</v>
      </c>
      <c r="M29" s="385">
        <f>SUM(K29:L29)</f>
        <v>0</v>
      </c>
      <c r="N29" s="347">
        <f t="shared" si="1"/>
        <v>0</v>
      </c>
    </row>
    <row r="30" spans="1:15" ht="8.1" customHeight="1">
      <c r="B30" s="10"/>
      <c r="C30" s="11"/>
      <c r="D30" s="11"/>
      <c r="E30" s="314"/>
      <c r="F30" s="339"/>
      <c r="G30" s="11"/>
      <c r="H30" s="279"/>
      <c r="I30" s="279"/>
      <c r="J30" s="386"/>
      <c r="K30" s="279"/>
      <c r="L30" s="279"/>
      <c r="M30" s="386"/>
      <c r="N30" s="347" t="str">
        <f t="shared" si="1"/>
        <v/>
      </c>
    </row>
    <row r="31" spans="1:15" s="1" customFormat="1" ht="12.95" customHeight="1">
      <c r="A31" s="281"/>
      <c r="B31" s="12"/>
      <c r="C31" s="8"/>
      <c r="D31" s="8"/>
      <c r="E31" s="305">
        <v>821000</v>
      </c>
      <c r="F31" s="331"/>
      <c r="G31" s="8" t="s">
        <v>90</v>
      </c>
      <c r="H31" s="288">
        <f t="shared" ref="H31:M31" si="9">SUM(H32:H33)</f>
        <v>1000</v>
      </c>
      <c r="I31" s="288">
        <f t="shared" si="9"/>
        <v>0</v>
      </c>
      <c r="J31" s="387">
        <f t="shared" si="9"/>
        <v>1000</v>
      </c>
      <c r="K31" s="288">
        <f t="shared" si="9"/>
        <v>953</v>
      </c>
      <c r="L31" s="288">
        <f t="shared" si="9"/>
        <v>0</v>
      </c>
      <c r="M31" s="387">
        <f t="shared" si="9"/>
        <v>953</v>
      </c>
      <c r="N31" s="346">
        <f t="shared" si="1"/>
        <v>95.3</v>
      </c>
    </row>
    <row r="32" spans="1:15" ht="12.95" customHeight="1">
      <c r="B32" s="10"/>
      <c r="C32" s="11"/>
      <c r="D32" s="11"/>
      <c r="E32" s="306">
        <v>821200</v>
      </c>
      <c r="F32" s="332"/>
      <c r="G32" s="11" t="s">
        <v>91</v>
      </c>
      <c r="H32" s="280">
        <v>0</v>
      </c>
      <c r="I32" s="280">
        <v>0</v>
      </c>
      <c r="J32" s="385">
        <f t="shared" ref="J32:J33" si="10">SUM(H32:I32)</f>
        <v>0</v>
      </c>
      <c r="K32" s="280">
        <v>0</v>
      </c>
      <c r="L32" s="280">
        <v>0</v>
      </c>
      <c r="M32" s="385">
        <f t="shared" ref="M32:M33" si="11">SUM(K32:L32)</f>
        <v>0</v>
      </c>
      <c r="N32" s="347" t="str">
        <f t="shared" si="1"/>
        <v/>
      </c>
    </row>
    <row r="33" spans="1:14" ht="12.95" customHeight="1">
      <c r="B33" s="10"/>
      <c r="C33" s="11"/>
      <c r="D33" s="11"/>
      <c r="E33" s="306">
        <v>821300</v>
      </c>
      <c r="F33" s="332"/>
      <c r="G33" s="11" t="s">
        <v>92</v>
      </c>
      <c r="H33" s="279">
        <v>1000</v>
      </c>
      <c r="I33" s="279">
        <v>0</v>
      </c>
      <c r="J33" s="385">
        <f t="shared" si="10"/>
        <v>1000</v>
      </c>
      <c r="K33" s="279">
        <v>953</v>
      </c>
      <c r="L33" s="279">
        <v>0</v>
      </c>
      <c r="M33" s="385">
        <f t="shared" si="11"/>
        <v>953</v>
      </c>
      <c r="N33" s="347">
        <f t="shared" si="1"/>
        <v>95.3</v>
      </c>
    </row>
    <row r="34" spans="1:14" ht="8.1" customHeight="1">
      <c r="B34" s="10"/>
      <c r="C34" s="11"/>
      <c r="D34" s="11"/>
      <c r="E34" s="306"/>
      <c r="F34" s="332"/>
      <c r="G34" s="11"/>
      <c r="H34" s="279"/>
      <c r="I34" s="279"/>
      <c r="J34" s="386"/>
      <c r="K34" s="279"/>
      <c r="L34" s="279"/>
      <c r="M34" s="386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93</v>
      </c>
      <c r="H35" s="295">
        <v>2</v>
      </c>
      <c r="I35" s="295"/>
      <c r="J35" s="387">
        <v>2</v>
      </c>
      <c r="K35" s="295">
        <v>2</v>
      </c>
      <c r="L35" s="295"/>
      <c r="M35" s="387">
        <v>2</v>
      </c>
      <c r="N35" s="347"/>
    </row>
    <row r="36" spans="1:14" s="1" customFormat="1" ht="12.95" customHeight="1">
      <c r="A36" s="281"/>
      <c r="B36" s="12"/>
      <c r="C36" s="8"/>
      <c r="D36" s="8"/>
      <c r="E36" s="305"/>
      <c r="F36" s="331"/>
      <c r="G36" s="8" t="s">
        <v>113</v>
      </c>
      <c r="H36" s="288">
        <f t="shared" ref="H36:M36" si="12">H31+H28+H16+H13+H8</f>
        <v>84700</v>
      </c>
      <c r="I36" s="288">
        <f t="shared" si="12"/>
        <v>0</v>
      </c>
      <c r="J36" s="387">
        <f t="shared" si="12"/>
        <v>84700</v>
      </c>
      <c r="K36" s="288">
        <f t="shared" si="12"/>
        <v>46110</v>
      </c>
      <c r="L36" s="288">
        <f t="shared" si="12"/>
        <v>0</v>
      </c>
      <c r="M36" s="387">
        <f t="shared" si="12"/>
        <v>46110</v>
      </c>
      <c r="N36" s="346">
        <f t="shared" si="1"/>
        <v>54.439197166469896</v>
      </c>
    </row>
    <row r="37" spans="1:14" s="1" customFormat="1" ht="12.95" customHeight="1">
      <c r="A37" s="281"/>
      <c r="B37" s="12"/>
      <c r="C37" s="8"/>
      <c r="D37" s="8"/>
      <c r="E37" s="305"/>
      <c r="F37" s="331"/>
      <c r="G37" s="8" t="s">
        <v>94</v>
      </c>
      <c r="H37" s="288"/>
      <c r="I37" s="288"/>
      <c r="J37" s="387"/>
      <c r="K37" s="288"/>
      <c r="L37" s="288"/>
      <c r="M37" s="387"/>
      <c r="N37" s="353" t="str">
        <f t="shared" si="1"/>
        <v/>
      </c>
    </row>
    <row r="38" spans="1:14" s="1" customFormat="1" ht="12.95" customHeight="1">
      <c r="A38" s="281"/>
      <c r="B38" s="12"/>
      <c r="C38" s="8"/>
      <c r="D38" s="8"/>
      <c r="E38" s="305"/>
      <c r="F38" s="331"/>
      <c r="G38" s="8" t="s">
        <v>95</v>
      </c>
      <c r="H38" s="279"/>
      <c r="I38" s="279"/>
      <c r="J38" s="386"/>
      <c r="K38" s="279"/>
      <c r="L38" s="279"/>
      <c r="M38" s="386"/>
      <c r="N38" s="348" t="str">
        <f t="shared" si="1"/>
        <v/>
      </c>
    </row>
    <row r="39" spans="1:14" ht="8.1" customHeight="1" thickBot="1">
      <c r="B39" s="15"/>
      <c r="C39" s="16"/>
      <c r="D39" s="16"/>
      <c r="E39" s="307"/>
      <c r="F39" s="333"/>
      <c r="G39" s="16"/>
      <c r="H39" s="16"/>
      <c r="I39" s="16"/>
      <c r="J39" s="394"/>
      <c r="K39" s="16"/>
      <c r="L39" s="16"/>
      <c r="M39" s="394"/>
      <c r="N39" s="349" t="str">
        <f t="shared" si="1"/>
        <v/>
      </c>
    </row>
    <row r="40" spans="1:14" ht="12.95" customHeight="1"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45</vt:i4>
      </vt:variant>
      <vt:variant>
        <vt:lpstr>Imenovani rasponi</vt:lpstr>
      </vt:variant>
      <vt:variant>
        <vt:i4>43</vt:i4>
      </vt:variant>
    </vt:vector>
  </HeadingPairs>
  <TitlesOfParts>
    <vt:vector size="88" baseType="lpstr">
      <vt:lpstr>Naslovnica</vt:lpstr>
      <vt:lpstr>Sadrzaj</vt:lpstr>
      <vt:lpstr>Uvod</vt:lpstr>
      <vt:lpstr>Prihodi</vt:lpstr>
      <vt:lpstr>Rashodi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'21'!Podrucje_ispisa</vt:lpstr>
      <vt:lpstr>'22'!Podrucje_ispisa</vt:lpstr>
      <vt:lpstr>'23'!Podrucje_ispisa</vt:lpstr>
      <vt:lpstr>'24'!Podrucje_ispisa</vt:lpstr>
      <vt:lpstr>'25'!Podrucje_ispisa</vt:lpstr>
      <vt:lpstr>'26'!Podrucje_ispisa</vt:lpstr>
      <vt:lpstr>'27'!Podrucje_ispisa</vt:lpstr>
      <vt:lpstr>'28'!Podrucje_ispisa</vt:lpstr>
      <vt:lpstr>'29'!Podrucje_ispisa</vt:lpstr>
      <vt:lpstr>'30'!Podrucje_ispisa</vt:lpstr>
      <vt:lpstr>'31'!Podrucje_ispisa</vt:lpstr>
      <vt:lpstr>'32'!Podrucje_ispisa</vt:lpstr>
      <vt:lpstr>'33'!Podrucje_ispisa</vt:lpstr>
      <vt:lpstr>'34'!Podrucje_ispisa</vt:lpstr>
      <vt:lpstr>'35'!Podrucje_ispisa</vt:lpstr>
      <vt:lpstr>'36'!Podrucje_ispisa</vt:lpstr>
      <vt:lpstr>'37'!Podrucje_ispisa</vt:lpstr>
      <vt:lpstr>'4'!Podrucje_ispisa</vt:lpstr>
      <vt:lpstr>'5'!Podrucje_ispisa</vt:lpstr>
      <vt:lpstr>'6'!Podrucje_ispisa</vt:lpstr>
      <vt:lpstr>'7'!Podrucje_ispisa</vt:lpstr>
      <vt:lpstr>'8'!Podrucje_ispisa</vt:lpstr>
      <vt:lpstr>'9'!Podrucje_ispisa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2019-10-28T09:58:25Z</cp:lastPrinted>
  <dcterms:created xsi:type="dcterms:W3CDTF">2004-07-23T11:14:23Z</dcterms:created>
  <dcterms:modified xsi:type="dcterms:W3CDTF">2019-10-28T11:47:01Z</dcterms:modified>
</cp:coreProperties>
</file>