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0" yWindow="-15" windowWidth="28845" windowHeight="6450" tabRatio="964" activeTab="4"/>
  </bookViews>
  <sheets>
    <sheet name="Naslovnica" sheetId="65120" r:id="rId1"/>
    <sheet name="Sadrzaj" sheetId="65121" r:id="rId2"/>
    <sheet name="Uvod" sheetId="304" r:id="rId3"/>
    <sheet name="CODE" sheetId="65119" state="veryHidden" r:id="rId4"/>
    <sheet name="Prihodi" sheetId="65139" r:id="rId5"/>
    <sheet name="Rashodi" sheetId="300" r:id="rId6"/>
    <sheet name="1" sheetId="16" r:id="rId7"/>
    <sheet name="3" sheetId="65065" r:id="rId8"/>
    <sheet name="4" sheetId="65066" r:id="rId9"/>
    <sheet name="5" sheetId="65067" r:id="rId10"/>
    <sheet name="6" sheetId="65099" r:id="rId11"/>
    <sheet name="7" sheetId="65123" r:id="rId12"/>
    <sheet name="8" sheetId="65068" r:id="rId13"/>
    <sheet name="9" sheetId="65069" r:id="rId14"/>
    <sheet name="10" sheetId="65070" r:id="rId15"/>
    <sheet name="11" sheetId="65071" r:id="rId16"/>
    <sheet name="12" sheetId="65074" r:id="rId17"/>
    <sheet name="13" sheetId="65100" r:id="rId18"/>
    <sheet name="14" sheetId="65115" r:id="rId19"/>
    <sheet name="15" sheetId="65075" r:id="rId20"/>
    <sheet name="16" sheetId="65076" r:id="rId21"/>
    <sheet name="17" sheetId="65077" r:id="rId22"/>
    <sheet name="18" sheetId="65078" r:id="rId23"/>
    <sheet name="19" sheetId="65079" r:id="rId24"/>
    <sheet name="20" sheetId="65080" r:id="rId25"/>
    <sheet name="21" sheetId="65082" r:id="rId26"/>
    <sheet name="22" sheetId="65081" r:id="rId27"/>
    <sheet name="23" sheetId="65122" r:id="rId28"/>
    <sheet name="24" sheetId="65083" r:id="rId29"/>
    <sheet name="25" sheetId="65084" r:id="rId30"/>
    <sheet name="26" sheetId="65085" r:id="rId31"/>
    <sheet name="27" sheetId="65086" r:id="rId32"/>
    <sheet name="28" sheetId="65087" r:id="rId33"/>
    <sheet name="29" sheetId="65088" r:id="rId34"/>
    <sheet name="30" sheetId="65089" r:id="rId35"/>
    <sheet name="31" sheetId="65093" r:id="rId36"/>
    <sheet name="32" sheetId="65094" r:id="rId37"/>
    <sheet name="33" sheetId="65095" r:id="rId38"/>
    <sheet name="34" sheetId="65096" r:id="rId39"/>
    <sheet name="35" sheetId="65097" r:id="rId40"/>
    <sheet name="36" sheetId="65098" r:id="rId41"/>
    <sheet name="37" sheetId="65105" r:id="rId42"/>
    <sheet name="Sumarno" sheetId="65124" r:id="rId43"/>
    <sheet name="Funkcijska" sheetId="65137" r:id="rId44"/>
    <sheet name="Kap.pror." sheetId="65125" r:id="rId45"/>
    <sheet name="Kraj" sheetId="65061" r:id="rId46"/>
  </sheets>
  <definedNames>
    <definedName name="ACCOUNTEDPERIODTYPE1">#REF!</definedName>
    <definedName name="APPSUSERNAME1">#REF!</definedName>
    <definedName name="BUDGETORGID1">#REF!</definedName>
    <definedName name="BUDGETORGNAME1">#REF!</definedName>
    <definedName name="CHARTOFACCOUNTSID1">#REF!</definedName>
    <definedName name="CONNECTSTRING1">#REF!</definedName>
    <definedName name="CREATESUMMARYJNLS1">#REF!</definedName>
    <definedName name="CRITERIACOLUMN1">#REF!</definedName>
    <definedName name="DBNAME1">#REF!</definedName>
    <definedName name="DBUSERNAME1">#REF!</definedName>
    <definedName name="DELETELOGICTYPE1">#REF!</definedName>
    <definedName name="FFAPPCOLNAME1_1">#REF!</definedName>
    <definedName name="FFAPPCOLNAME2_1">#REF!</definedName>
    <definedName name="FFAPPCOLNAME3_1">#REF!</definedName>
    <definedName name="FFAPPCOLNAME4_1">#REF!</definedName>
    <definedName name="FFAPPCOLNAME5_1">#REF!</definedName>
    <definedName name="FFAPPCOLNAME6_1">#REF!</definedName>
    <definedName name="FFSEGMENT1_1">#REF!</definedName>
    <definedName name="FFSEGMENT2_1">#REF!</definedName>
    <definedName name="FFSEGMENT3_1">#REF!</definedName>
    <definedName name="FFSEGMENT4_1">#REF!</definedName>
    <definedName name="FFSEGMENT5_1">#REF!</definedName>
    <definedName name="FFSEGMENT6_1">#REF!</definedName>
    <definedName name="FFSEGSEPARATOR1">#REF!</definedName>
    <definedName name="FIELDNAMECOLUMN1">#REF!</definedName>
    <definedName name="FIELDNAMEROW1">#REF!</definedName>
    <definedName name="FIRSTDATAROW1">#REF!</definedName>
    <definedName name="FNDNAM1">#REF!</definedName>
    <definedName name="FNDUSERID1">#REF!</definedName>
    <definedName name="FUNCTIONALCURRENCY1">#REF!</definedName>
    <definedName name="GWYUID1">#REF!</definedName>
    <definedName name="IMPORTDFF1">#REF!</definedName>
    <definedName name="_xlnm.Print_Titles" localSheetId="43">Funkcijska!$1:$6</definedName>
    <definedName name="_xlnm.Print_Titles" localSheetId="4">Prihodi!$2:$4</definedName>
    <definedName name="_xlnm.Print_Titles" localSheetId="5">Rashodi!$1:$6</definedName>
    <definedName name="LABELTEXTCOLUMN1">#REF!</definedName>
    <definedName name="LABELTEXTROW1">#REF!</definedName>
    <definedName name="NOOFFFSEGMENTS1">#REF!</definedName>
    <definedName name="NUMBEROFDETAILFIELDS1">#REF!</definedName>
    <definedName name="NUMBEROFHEADERFIELDS1">#REF!</definedName>
    <definedName name="PERIODSETNAME1">#REF!</definedName>
    <definedName name="_xlnm.Print_Area" localSheetId="14">'10'!$A$1:$N$57</definedName>
    <definedName name="_xlnm.Print_Area" localSheetId="15">'11'!$A$1:$N$57</definedName>
    <definedName name="_xlnm.Print_Area" localSheetId="16">'12'!$A$1:$N$57</definedName>
    <definedName name="_xlnm.Print_Area" localSheetId="17">'13'!$A$1:$N$57</definedName>
    <definedName name="_xlnm.Print_Area" localSheetId="18">'14'!$A$1:$N$57</definedName>
    <definedName name="_xlnm.Print_Area" localSheetId="19">'15'!$A$1:$N$42</definedName>
    <definedName name="_xlnm.Print_Area" localSheetId="20">'16'!$A$1:$N$54</definedName>
    <definedName name="_xlnm.Print_Area" localSheetId="21">'17'!$A$1:$N$44</definedName>
    <definedName name="_xlnm.Print_Area" localSheetId="22">'18'!$A$1:$N$57</definedName>
    <definedName name="_xlnm.Print_Area" localSheetId="23">'19'!$A$1:$N$57</definedName>
    <definedName name="_xlnm.Print_Area" localSheetId="24">'20'!$A$1:$N$57</definedName>
    <definedName name="_xlnm.Print_Area" localSheetId="25">'21'!$A$1:$N$36</definedName>
    <definedName name="_xlnm.Print_Area" localSheetId="26">'22'!$A$1:$N$57</definedName>
    <definedName name="_xlnm.Print_Area" localSheetId="27">'23'!$A$1:$N$57</definedName>
    <definedName name="_xlnm.Print_Area" localSheetId="28">'24'!$A$1:$N$57</definedName>
    <definedName name="_xlnm.Print_Area" localSheetId="29">'25'!$A$1:$N$57</definedName>
    <definedName name="_xlnm.Print_Area" localSheetId="30">'26'!$A$1:$N$57</definedName>
    <definedName name="_xlnm.Print_Area" localSheetId="31">'27'!$A$1:$N$57</definedName>
    <definedName name="_xlnm.Print_Area" localSheetId="32">'28'!$A$1:$N$57</definedName>
    <definedName name="_xlnm.Print_Area" localSheetId="33">'29'!$A$1:$N$57</definedName>
    <definedName name="_xlnm.Print_Area" localSheetId="7">'3'!$A$1:$N$60</definedName>
    <definedName name="_xlnm.Print_Area" localSheetId="34">'30'!$A$1:$N$57</definedName>
    <definedName name="_xlnm.Print_Area" localSheetId="35">'31'!$A$1:$N$57</definedName>
    <definedName name="_xlnm.Print_Area" localSheetId="36">'32'!$A$1:$N$57</definedName>
    <definedName name="_xlnm.Print_Area" localSheetId="37">'33'!$A$1:$N$57</definedName>
    <definedName name="_xlnm.Print_Area" localSheetId="38">'34'!$A$1:$N$57</definedName>
    <definedName name="_xlnm.Print_Area" localSheetId="39">'35'!$A$1:$N$57</definedName>
    <definedName name="_xlnm.Print_Area" localSheetId="40">'36'!$A$1:$N$57</definedName>
    <definedName name="_xlnm.Print_Area" localSheetId="41">'37'!$A$1:$N$57</definedName>
    <definedName name="_xlnm.Print_Area" localSheetId="8">'4'!$A$1:$N$59</definedName>
    <definedName name="_xlnm.Print_Area" localSheetId="9">'5'!$A$1:$N$59</definedName>
    <definedName name="_xlnm.Print_Area" localSheetId="10">'6'!$A$1:$N$59</definedName>
    <definedName name="_xlnm.Print_Area" localSheetId="11">'7'!$A$1:$N$57</definedName>
    <definedName name="_xlnm.Print_Area" localSheetId="12">'8'!$A$1:$N$57</definedName>
    <definedName name="_xlnm.Print_Area" localSheetId="13">'9'!$A$1:$N$57</definedName>
    <definedName name="_xlnm.Print_Area" localSheetId="43">Funkcijska!$A$7:$G$106</definedName>
    <definedName name="_xlnm.Print_Area" localSheetId="45">Kraj!$A$1:$H$23</definedName>
    <definedName name="_xlnm.Print_Area" localSheetId="4">Prihodi!$B$4:$G$235</definedName>
    <definedName name="_xlnm.Print_Area" localSheetId="5">Rashodi!$C$7:$L$122</definedName>
    <definedName name="_xlnm.Print_Area" localSheetId="1">Sadrzaj!$A$1:$U$33</definedName>
    <definedName name="_xlnm.Print_Area" localSheetId="2">Uvod!$B$1:$H$47</definedName>
    <definedName name="POSTERRORSTOSUSP1">#REF!</definedName>
    <definedName name="RESPONSIBILITYAPPLICATIONID1">#REF!</definedName>
    <definedName name="RESPONSIBILITYID1">#REF!</definedName>
    <definedName name="RESPONSIBILITYNAME1">#REF!</definedName>
    <definedName name="ROWSTOUPLOAD1">#REF!</definedName>
    <definedName name="SETOFBOOKSID1">#REF!</definedName>
    <definedName name="SETOFBOOKSNAME1">#REF!</definedName>
    <definedName name="STARTJOURNALIMPORT1">#REF!</definedName>
    <definedName name="TEMPLATENUMBER1">#REF!</definedName>
    <definedName name="TEMPLATESTYLE1">#REF!</definedName>
    <definedName name="TEMPLATETYPE1">#REF!</definedName>
  </definedNames>
  <calcPr calcId="125725"/>
</workbook>
</file>

<file path=xl/calcChain.xml><?xml version="1.0" encoding="utf-8"?>
<calcChain xmlns="http://schemas.openxmlformats.org/spreadsheetml/2006/main">
  <c r="L9" i="65139"/>
  <c r="K9"/>
  <c r="L8"/>
  <c r="K8"/>
  <c r="L7"/>
  <c r="K7"/>
  <c r="L6"/>
  <c r="K6"/>
  <c r="M5"/>
  <c r="M6"/>
  <c r="M7"/>
  <c r="M8"/>
  <c r="M9"/>
  <c r="L5"/>
  <c r="K5"/>
  <c r="K4"/>
  <c r="I48"/>
  <c r="M4"/>
  <c r="L4"/>
  <c r="K109"/>
  <c r="G202"/>
  <c r="F210"/>
  <c r="E210"/>
  <c r="D210"/>
  <c r="G212"/>
  <c r="G145"/>
  <c r="E59"/>
  <c r="D59"/>
  <c r="F59"/>
  <c r="G62"/>
  <c r="E132"/>
  <c r="D132"/>
  <c r="F132"/>
  <c r="G140"/>
  <c r="E232"/>
  <c r="E230"/>
  <c r="E229" s="1"/>
  <c r="E228" s="1"/>
  <c r="E227" s="1"/>
  <c r="E221"/>
  <c r="E214"/>
  <c r="E213" s="1"/>
  <c r="E198"/>
  <c r="E196" s="1"/>
  <c r="E188"/>
  <c r="E187"/>
  <c r="E186" s="1"/>
  <c r="E181"/>
  <c r="E180"/>
  <c r="E178"/>
  <c r="E177"/>
  <c r="E175"/>
  <c r="E173"/>
  <c r="E172"/>
  <c r="E167"/>
  <c r="E166" s="1"/>
  <c r="E165" s="1"/>
  <c r="E164" s="1"/>
  <c r="E160"/>
  <c r="E158" s="1"/>
  <c r="E157" s="1"/>
  <c r="E148"/>
  <c r="E147" s="1"/>
  <c r="E141"/>
  <c r="E127"/>
  <c r="E126"/>
  <c r="E125" s="1"/>
  <c r="E124"/>
  <c r="E123" s="1"/>
  <c r="E121"/>
  <c r="E119"/>
  <c r="E117"/>
  <c r="E114"/>
  <c r="E109"/>
  <c r="E99"/>
  <c r="E98" s="1"/>
  <c r="E93"/>
  <c r="E88"/>
  <c r="E87" s="1"/>
  <c r="E84"/>
  <c r="E81"/>
  <c r="E80"/>
  <c r="E78" s="1"/>
  <c r="E75"/>
  <c r="E73"/>
  <c r="E70"/>
  <c r="E67"/>
  <c r="E63"/>
  <c r="E58"/>
  <c r="E52"/>
  <c r="E51" s="1"/>
  <c r="E47"/>
  <c r="E46" s="1"/>
  <c r="E39"/>
  <c r="E38" s="1"/>
  <c r="E37" s="1"/>
  <c r="E35"/>
  <c r="E33"/>
  <c r="E28"/>
  <c r="E27" s="1"/>
  <c r="E20"/>
  <c r="E19" s="1"/>
  <c r="E16"/>
  <c r="E15" s="1"/>
  <c r="E12"/>
  <c r="E7"/>
  <c r="E6" s="1"/>
  <c r="D232"/>
  <c r="D230"/>
  <c r="D229" s="1"/>
  <c r="D228" s="1"/>
  <c r="D227" s="1"/>
  <c r="D221"/>
  <c r="D214"/>
  <c r="D213"/>
  <c r="D198"/>
  <c r="D196" s="1"/>
  <c r="D195" s="1"/>
  <c r="D188"/>
  <c r="D187"/>
  <c r="D186" s="1"/>
  <c r="D185" s="1"/>
  <c r="D181"/>
  <c r="D180"/>
  <c r="D178"/>
  <c r="D177"/>
  <c r="D175"/>
  <c r="D173"/>
  <c r="D172"/>
  <c r="D167"/>
  <c r="D166" s="1"/>
  <c r="D165" s="1"/>
  <c r="D164" s="1"/>
  <c r="D160"/>
  <c r="D158" s="1"/>
  <c r="D157" s="1"/>
  <c r="D148"/>
  <c r="D147" s="1"/>
  <c r="D141"/>
  <c r="D127"/>
  <c r="D126"/>
  <c r="D125" s="1"/>
  <c r="D124"/>
  <c r="D123" s="1"/>
  <c r="D121"/>
  <c r="D119"/>
  <c r="D117"/>
  <c r="D114"/>
  <c r="D109"/>
  <c r="D99"/>
  <c r="D98" s="1"/>
  <c r="D93"/>
  <c r="D88"/>
  <c r="D87" s="1"/>
  <c r="D84"/>
  <c r="D81"/>
  <c r="D80"/>
  <c r="D78" s="1"/>
  <c r="D75"/>
  <c r="D73"/>
  <c r="D70"/>
  <c r="D67"/>
  <c r="D63"/>
  <c r="D58"/>
  <c r="D52"/>
  <c r="D51" s="1"/>
  <c r="D47"/>
  <c r="D46" s="1"/>
  <c r="D39"/>
  <c r="D38" s="1"/>
  <c r="D37" s="1"/>
  <c r="D35"/>
  <c r="D33"/>
  <c r="D28"/>
  <c r="D27" s="1"/>
  <c r="D20"/>
  <c r="D19" s="1"/>
  <c r="D16"/>
  <c r="D15" s="1"/>
  <c r="D12"/>
  <c r="D7"/>
  <c r="K31" i="65065"/>
  <c r="K10" i="65105"/>
  <c r="K10" i="65098"/>
  <c r="K10" i="65097"/>
  <c r="K10" i="65096"/>
  <c r="K10" i="65095"/>
  <c r="K10" i="65094"/>
  <c r="K10" i="65093"/>
  <c r="K10" i="65089"/>
  <c r="K10" i="65088"/>
  <c r="K10" i="65087"/>
  <c r="K10" i="65086"/>
  <c r="K10" i="65085"/>
  <c r="K10" i="65084"/>
  <c r="K10" i="65083"/>
  <c r="K10" i="65122"/>
  <c r="K10" i="65081"/>
  <c r="K10" i="65082"/>
  <c r="K10" i="65080"/>
  <c r="K10" i="65079"/>
  <c r="K10" i="65078"/>
  <c r="K10" i="65077"/>
  <c r="K13" i="65076"/>
  <c r="K10" i="65075"/>
  <c r="K10" i="65115"/>
  <c r="K10" i="65100"/>
  <c r="K10" i="65074"/>
  <c r="K10" i="65071"/>
  <c r="K10" i="65070"/>
  <c r="K10" i="65069"/>
  <c r="K10" i="65068"/>
  <c r="K10" i="65123"/>
  <c r="K10" i="65099"/>
  <c r="K10" i="65067"/>
  <c r="K10" i="65066"/>
  <c r="K15" i="65065"/>
  <c r="K10" i="16"/>
  <c r="K26" i="65078"/>
  <c r="K35" i="65076"/>
  <c r="K32" i="65079"/>
  <c r="K14" i="65083"/>
  <c r="K9"/>
  <c r="G203" i="65139"/>
  <c r="K9" i="65082"/>
  <c r="K9" i="16"/>
  <c r="K14" i="65089"/>
  <c r="K9"/>
  <c r="K14" i="65088"/>
  <c r="K9"/>
  <c r="K14" i="65087"/>
  <c r="K9"/>
  <c r="K14" i="65086"/>
  <c r="K9"/>
  <c r="K14" i="65085"/>
  <c r="K9"/>
  <c r="K14" i="65084"/>
  <c r="K9"/>
  <c r="K14" i="65122"/>
  <c r="K9"/>
  <c r="K14" i="65081"/>
  <c r="K9"/>
  <c r="K14" i="65082"/>
  <c r="K14" i="65105"/>
  <c r="K9"/>
  <c r="K14" i="65098"/>
  <c r="K9"/>
  <c r="K14" i="65097"/>
  <c r="K9"/>
  <c r="K9" i="65096"/>
  <c r="K14" i="65095"/>
  <c r="K9"/>
  <c r="K14" i="65094"/>
  <c r="K9"/>
  <c r="K14" i="65093"/>
  <c r="K9"/>
  <c r="K14" i="65077"/>
  <c r="K9"/>
  <c r="K17" i="65076"/>
  <c r="K14" i="65075"/>
  <c r="K9"/>
  <c r="K14" i="65071"/>
  <c r="K9"/>
  <c r="K14" i="65069"/>
  <c r="K9"/>
  <c r="K9" i="65068"/>
  <c r="E195" i="65139" l="1"/>
  <c r="E185" s="1"/>
  <c r="D6"/>
  <c r="E5"/>
  <c r="E77"/>
  <c r="E92"/>
  <c r="E72" s="1"/>
  <c r="E57" s="1"/>
  <c r="E116"/>
  <c r="E156"/>
  <c r="D5"/>
  <c r="D77"/>
  <c r="D116"/>
  <c r="D92" s="1"/>
  <c r="D72" s="1"/>
  <c r="D57" s="1"/>
  <c r="D156"/>
  <c r="E154" l="1"/>
  <c r="E225" s="1"/>
  <c r="E235" s="1"/>
  <c r="D154"/>
  <c r="D225" s="1"/>
  <c r="D235" s="1"/>
  <c r="K31" i="65079"/>
  <c r="K29" i="65087" l="1"/>
  <c r="K29" i="65086"/>
  <c r="K23" i="65069" l="1"/>
  <c r="K23" i="65065"/>
  <c r="G190" i="65139"/>
  <c r="K32" i="65077"/>
  <c r="K14" i="65096"/>
  <c r="K14" i="65080"/>
  <c r="K9"/>
  <c r="K14" i="65079"/>
  <c r="K9"/>
  <c r="K14" i="65078"/>
  <c r="K9"/>
  <c r="K14" i="65115"/>
  <c r="K9"/>
  <c r="K14" i="65100"/>
  <c r="K9"/>
  <c r="K14" i="65074"/>
  <c r="K9"/>
  <c r="K9" i="65070"/>
  <c r="K19" i="65065"/>
  <c r="K14"/>
  <c r="E76" i="65137" l="1"/>
  <c r="E69"/>
  <c r="E39" l="1"/>
  <c r="E32"/>
  <c r="E29"/>
  <c r="E26"/>
  <c r="E25"/>
  <c r="E24"/>
  <c r="E11"/>
  <c r="E9"/>
  <c r="F72"/>
  <c r="E72"/>
  <c r="E70"/>
  <c r="E65"/>
  <c r="F64"/>
  <c r="E64"/>
  <c r="F63"/>
  <c r="E63"/>
  <c r="E62"/>
  <c r="E23" i="65125" l="1"/>
  <c r="F42"/>
  <c r="F41"/>
  <c r="F40"/>
  <c r="F39"/>
  <c r="F38"/>
  <c r="F37"/>
  <c r="F36"/>
  <c r="F35"/>
  <c r="F34"/>
  <c r="F33"/>
  <c r="F32"/>
  <c r="F31"/>
  <c r="F30"/>
  <c r="F28"/>
  <c r="F27"/>
  <c r="K12" i="65076" l="1"/>
  <c r="K9" i="65066"/>
  <c r="K9" i="65067"/>
  <c r="K9" i="65099"/>
  <c r="G206" i="65139"/>
  <c r="G208"/>
  <c r="K28" i="65099"/>
  <c r="K16"/>
  <c r="L31" i="65122" l="1"/>
  <c r="K26" i="65087"/>
  <c r="K22"/>
  <c r="K26" i="65085"/>
  <c r="K24"/>
  <c r="K22"/>
  <c r="L30" i="65084"/>
  <c r="K26" i="65097"/>
  <c r="K24"/>
  <c r="K22"/>
  <c r="K21"/>
  <c r="K18"/>
  <c r="K39" i="65076"/>
  <c r="F34" i="304" l="1"/>
  <c r="E34"/>
  <c r="H34" s="1"/>
  <c r="F232" i="65139"/>
  <c r="G232" s="1"/>
  <c r="F230"/>
  <c r="G231"/>
  <c r="G234"/>
  <c r="G233"/>
  <c r="G230"/>
  <c r="G226"/>
  <c r="G224"/>
  <c r="G223"/>
  <c r="G222"/>
  <c r="G220"/>
  <c r="G219"/>
  <c r="G218"/>
  <c r="G217"/>
  <c r="G216"/>
  <c r="G215"/>
  <c r="G211"/>
  <c r="G209"/>
  <c r="G207"/>
  <c r="G205"/>
  <c r="G204"/>
  <c r="G201"/>
  <c r="G200"/>
  <c r="G199"/>
  <c r="G197"/>
  <c r="G194"/>
  <c r="G193"/>
  <c r="G192"/>
  <c r="G191"/>
  <c r="G189"/>
  <c r="G184"/>
  <c r="G183"/>
  <c r="G182"/>
  <c r="G179"/>
  <c r="G178"/>
  <c r="G176"/>
  <c r="G174"/>
  <c r="G172"/>
  <c r="G171"/>
  <c r="G170"/>
  <c r="G169"/>
  <c r="G168"/>
  <c r="G163"/>
  <c r="G162"/>
  <c r="G161"/>
  <c r="G159"/>
  <c r="G155"/>
  <c r="G153"/>
  <c r="G152"/>
  <c r="G150"/>
  <c r="G149"/>
  <c r="G146"/>
  <c r="G144"/>
  <c r="G143"/>
  <c r="G142"/>
  <c r="G139"/>
  <c r="G138"/>
  <c r="G137"/>
  <c r="G136"/>
  <c r="G135"/>
  <c r="G134"/>
  <c r="G133"/>
  <c r="G131"/>
  <c r="G130"/>
  <c r="G129"/>
  <c r="G128"/>
  <c r="G127"/>
  <c r="G120"/>
  <c r="G118"/>
  <c r="G115"/>
  <c r="G113"/>
  <c r="G112"/>
  <c r="G111"/>
  <c r="G110"/>
  <c r="G108"/>
  <c r="G107"/>
  <c r="G106"/>
  <c r="G105"/>
  <c r="G104"/>
  <c r="G103"/>
  <c r="G102"/>
  <c r="G101"/>
  <c r="G100"/>
  <c r="G97"/>
  <c r="G96"/>
  <c r="G95"/>
  <c r="G94"/>
  <c r="G91"/>
  <c r="G90"/>
  <c r="G86"/>
  <c r="G85"/>
  <c r="G83"/>
  <c r="G82"/>
  <c r="G81"/>
  <c r="G79"/>
  <c r="G76"/>
  <c r="G74"/>
  <c r="G71"/>
  <c r="G69"/>
  <c r="G68"/>
  <c r="G66"/>
  <c r="G65"/>
  <c r="G64"/>
  <c r="G61"/>
  <c r="G60"/>
  <c r="G56"/>
  <c r="G55"/>
  <c r="G54"/>
  <c r="G53"/>
  <c r="G50"/>
  <c r="G49"/>
  <c r="G48"/>
  <c r="G45"/>
  <c r="G44"/>
  <c r="G43"/>
  <c r="G42"/>
  <c r="G41"/>
  <c r="G40"/>
  <c r="G39"/>
  <c r="G36"/>
  <c r="G32"/>
  <c r="G31"/>
  <c r="G30"/>
  <c r="G29"/>
  <c r="G26"/>
  <c r="G25"/>
  <c r="G24"/>
  <c r="G23"/>
  <c r="G22"/>
  <c r="G21"/>
  <c r="G18"/>
  <c r="G14"/>
  <c r="G13"/>
  <c r="G11"/>
  <c r="G10"/>
  <c r="G9"/>
  <c r="G8"/>
  <c r="F173"/>
  <c r="G210"/>
  <c r="G173"/>
  <c r="I29" i="65105"/>
  <c r="I28"/>
  <c r="I26"/>
  <c r="I22"/>
  <c r="I16" s="1"/>
  <c r="I13"/>
  <c r="I11"/>
  <c r="I8"/>
  <c r="I29" i="65098"/>
  <c r="I28"/>
  <c r="I26"/>
  <c r="I22"/>
  <c r="I16" s="1"/>
  <c r="I13"/>
  <c r="I11"/>
  <c r="I8"/>
  <c r="I29" i="65097"/>
  <c r="I28"/>
  <c r="I26"/>
  <c r="I24"/>
  <c r="I22"/>
  <c r="I21"/>
  <c r="I18"/>
  <c r="I16"/>
  <c r="I13"/>
  <c r="I11"/>
  <c r="I8" s="1"/>
  <c r="I28" i="65096"/>
  <c r="I26"/>
  <c r="I22"/>
  <c r="I16"/>
  <c r="I13"/>
  <c r="I11"/>
  <c r="I8" s="1"/>
  <c r="I32" i="65095"/>
  <c r="I30"/>
  <c r="I28"/>
  <c r="I26"/>
  <c r="I22"/>
  <c r="I16" s="1"/>
  <c r="I13"/>
  <c r="I11"/>
  <c r="I8"/>
  <c r="I30" i="65094"/>
  <c r="I29"/>
  <c r="I28"/>
  <c r="I26"/>
  <c r="I24"/>
  <c r="I22"/>
  <c r="I21"/>
  <c r="I16"/>
  <c r="I13"/>
  <c r="I11"/>
  <c r="I8"/>
  <c r="I32" i="65093"/>
  <c r="I31"/>
  <c r="I28"/>
  <c r="I26"/>
  <c r="I24"/>
  <c r="I22"/>
  <c r="I21"/>
  <c r="I18"/>
  <c r="I16" s="1"/>
  <c r="I13"/>
  <c r="I11"/>
  <c r="I8"/>
  <c r="I29" i="65089"/>
  <c r="I28"/>
  <c r="I26"/>
  <c r="I24"/>
  <c r="I22"/>
  <c r="I16"/>
  <c r="I13"/>
  <c r="I11"/>
  <c r="I8" s="1"/>
  <c r="I29" i="65088"/>
  <c r="I28" s="1"/>
  <c r="I26"/>
  <c r="I24"/>
  <c r="I22"/>
  <c r="I16"/>
  <c r="I13"/>
  <c r="I11"/>
  <c r="I8"/>
  <c r="I28" i="65087"/>
  <c r="I26"/>
  <c r="I22"/>
  <c r="I16"/>
  <c r="I13"/>
  <c r="I11"/>
  <c r="I8" s="1"/>
  <c r="I28" i="65086"/>
  <c r="I26"/>
  <c r="I24"/>
  <c r="I22"/>
  <c r="I21"/>
  <c r="I16"/>
  <c r="I13"/>
  <c r="I11"/>
  <c r="I8" s="1"/>
  <c r="I28" i="65085"/>
  <c r="I26"/>
  <c r="I24"/>
  <c r="I22"/>
  <c r="I16" s="1"/>
  <c r="I13"/>
  <c r="I11"/>
  <c r="I8"/>
  <c r="I29" i="65084"/>
  <c r="I28"/>
  <c r="I26"/>
  <c r="I24"/>
  <c r="I22"/>
  <c r="I16"/>
  <c r="I13"/>
  <c r="I11"/>
  <c r="I8" s="1"/>
  <c r="I28" i="65083"/>
  <c r="I26"/>
  <c r="I24"/>
  <c r="I22"/>
  <c r="I16" s="1"/>
  <c r="I13"/>
  <c r="I11"/>
  <c r="I8"/>
  <c r="I29" i="65122"/>
  <c r="I27"/>
  <c r="I26"/>
  <c r="I24"/>
  <c r="I22"/>
  <c r="I16" s="1"/>
  <c r="I13"/>
  <c r="I11"/>
  <c r="I8"/>
  <c r="I28" i="65081"/>
  <c r="I26"/>
  <c r="I24"/>
  <c r="I22"/>
  <c r="I16" s="1"/>
  <c r="I13"/>
  <c r="I11"/>
  <c r="I8"/>
  <c r="I28" i="65082"/>
  <c r="I26"/>
  <c r="I24"/>
  <c r="I22"/>
  <c r="I16" s="1"/>
  <c r="I13"/>
  <c r="I11"/>
  <c r="I8"/>
  <c r="I48" i="65080"/>
  <c r="I44"/>
  <c r="I41"/>
  <c r="I32"/>
  <c r="I30" s="1"/>
  <c r="I28"/>
  <c r="I25"/>
  <c r="I24"/>
  <c r="I22"/>
  <c r="I21"/>
  <c r="I18"/>
  <c r="I16"/>
  <c r="I13"/>
  <c r="I11"/>
  <c r="I8" s="1"/>
  <c r="I34" i="65079"/>
  <c r="I28"/>
  <c r="I26"/>
  <c r="I18"/>
  <c r="I16" s="1"/>
  <c r="I13"/>
  <c r="I11"/>
  <c r="I8"/>
  <c r="I33" i="65078"/>
  <c r="I29"/>
  <c r="I27"/>
  <c r="I25"/>
  <c r="I22"/>
  <c r="I21"/>
  <c r="I20"/>
  <c r="I18"/>
  <c r="I16"/>
  <c r="I13"/>
  <c r="I11"/>
  <c r="I8" s="1"/>
  <c r="I34" i="65077"/>
  <c r="I30"/>
  <c r="I28"/>
  <c r="I26"/>
  <c r="I24"/>
  <c r="I22"/>
  <c r="I21"/>
  <c r="I18"/>
  <c r="I16"/>
  <c r="I13"/>
  <c r="I11"/>
  <c r="I8" s="1"/>
  <c r="I45" i="65076"/>
  <c r="I41"/>
  <c r="I37"/>
  <c r="I32"/>
  <c r="I30"/>
  <c r="I25"/>
  <c r="I24"/>
  <c r="I21"/>
  <c r="I19" s="1"/>
  <c r="I16"/>
  <c r="I14"/>
  <c r="I11"/>
  <c r="I8"/>
  <c r="I32" i="65075"/>
  <c r="I29"/>
  <c r="I26"/>
  <c r="I24"/>
  <c r="I22"/>
  <c r="I21"/>
  <c r="I18"/>
  <c r="I16"/>
  <c r="I13"/>
  <c r="I11"/>
  <c r="I8" s="1"/>
  <c r="I29" i="65115"/>
  <c r="I28"/>
  <c r="I26"/>
  <c r="I24"/>
  <c r="I22"/>
  <c r="I21"/>
  <c r="I18"/>
  <c r="I16"/>
  <c r="I13"/>
  <c r="I11"/>
  <c r="I8" s="1"/>
  <c r="I29" i="65100"/>
  <c r="I28"/>
  <c r="I26"/>
  <c r="I24"/>
  <c r="I22"/>
  <c r="I21"/>
  <c r="I18"/>
  <c r="I16"/>
  <c r="I13"/>
  <c r="I11"/>
  <c r="I8" s="1"/>
  <c r="I29" i="65074"/>
  <c r="I28"/>
  <c r="I26"/>
  <c r="I24"/>
  <c r="I23"/>
  <c r="I22"/>
  <c r="I21"/>
  <c r="I18"/>
  <c r="I16" s="1"/>
  <c r="I13"/>
  <c r="I11"/>
  <c r="I8"/>
  <c r="I30" i="65071"/>
  <c r="I29"/>
  <c r="I26"/>
  <c r="I22"/>
  <c r="I16" s="1"/>
  <c r="I13"/>
  <c r="I11"/>
  <c r="I8"/>
  <c r="I30" i="65070"/>
  <c r="I29"/>
  <c r="I28" s="1"/>
  <c r="I26"/>
  <c r="I24"/>
  <c r="I22"/>
  <c r="I21"/>
  <c r="I18"/>
  <c r="I16" s="1"/>
  <c r="I13"/>
  <c r="I11"/>
  <c r="I8"/>
  <c r="I29" i="65069"/>
  <c r="I28" s="1"/>
  <c r="I26"/>
  <c r="I16" s="1"/>
  <c r="I13"/>
  <c r="I11"/>
  <c r="I8"/>
  <c r="I29" i="65068"/>
  <c r="I28" s="1"/>
  <c r="I26"/>
  <c r="I22"/>
  <c r="I16"/>
  <c r="I13"/>
  <c r="I11"/>
  <c r="I8" s="1"/>
  <c r="I29" i="65123"/>
  <c r="I28"/>
  <c r="I26"/>
  <c r="I24"/>
  <c r="I22"/>
  <c r="I21"/>
  <c r="I18"/>
  <c r="I16"/>
  <c r="I13"/>
  <c r="I11"/>
  <c r="I8" s="1"/>
  <c r="I29" i="65099"/>
  <c r="I28"/>
  <c r="I26"/>
  <c r="I24"/>
  <c r="I23"/>
  <c r="I22"/>
  <c r="I21"/>
  <c r="I18"/>
  <c r="I16" s="1"/>
  <c r="I13"/>
  <c r="I11"/>
  <c r="I8"/>
  <c r="I29" i="65067"/>
  <c r="I28"/>
  <c r="I26"/>
  <c r="I24"/>
  <c r="I23"/>
  <c r="I22"/>
  <c r="I21"/>
  <c r="I20"/>
  <c r="I19"/>
  <c r="I18"/>
  <c r="I16" s="1"/>
  <c r="I13"/>
  <c r="I11"/>
  <c r="I8"/>
  <c r="I32" i="65066"/>
  <c r="I31"/>
  <c r="I28"/>
  <c r="I26"/>
  <c r="I24"/>
  <c r="I22"/>
  <c r="I21"/>
  <c r="I20"/>
  <c r="I18"/>
  <c r="I16"/>
  <c r="I13"/>
  <c r="I11"/>
  <c r="I8" s="1"/>
  <c r="I50" i="65065"/>
  <c r="I47"/>
  <c r="I34"/>
  <c r="I23"/>
  <c r="I21" s="1"/>
  <c r="I18"/>
  <c r="I13"/>
  <c r="I8"/>
  <c r="I28" i="16"/>
  <c r="I26"/>
  <c r="I16"/>
  <c r="I13"/>
  <c r="I11"/>
  <c r="I8" s="1"/>
  <c r="F15" i="304" l="1"/>
  <c r="F16"/>
  <c r="J37" i="65095"/>
  <c r="J33" i="65081"/>
  <c r="J28" i="16"/>
  <c r="J16"/>
  <c r="J13"/>
  <c r="J8"/>
  <c r="F29" i="304" l="1"/>
  <c r="F19"/>
  <c r="G175" i="65139"/>
  <c r="G151"/>
  <c r="G124"/>
  <c r="G122"/>
  <c r="G34"/>
  <c r="G17"/>
  <c r="H108" i="300"/>
  <c r="H107"/>
  <c r="H106"/>
  <c r="H105"/>
  <c r="F36" i="304" s="1"/>
  <c r="F35" s="1"/>
  <c r="F37" s="1"/>
  <c r="H103" i="300"/>
  <c r="H102"/>
  <c r="H101"/>
  <c r="H100"/>
  <c r="H97"/>
  <c r="H96"/>
  <c r="H95"/>
  <c r="H92"/>
  <c r="H91" s="1"/>
  <c r="F26" i="304" s="1"/>
  <c r="H89" i="300"/>
  <c r="H88"/>
  <c r="H87" s="1"/>
  <c r="H86"/>
  <c r="H85"/>
  <c r="H84"/>
  <c r="H83"/>
  <c r="H81"/>
  <c r="H80"/>
  <c r="H79"/>
  <c r="H78"/>
  <c r="H77"/>
  <c r="H76"/>
  <c r="H75"/>
  <c r="H74"/>
  <c r="H73"/>
  <c r="H72"/>
  <c r="H71"/>
  <c r="H69"/>
  <c r="H68"/>
  <c r="H67"/>
  <c r="H66"/>
  <c r="H65"/>
  <c r="H64"/>
  <c r="H63"/>
  <c r="H62"/>
  <c r="H61"/>
  <c r="H59"/>
  <c r="H58"/>
  <c r="H57"/>
  <c r="H56"/>
  <c r="H55"/>
  <c r="H54"/>
  <c r="H53"/>
  <c r="H52"/>
  <c r="H51"/>
  <c r="H50"/>
  <c r="H49"/>
  <c r="H48"/>
  <c r="H44"/>
  <c r="H43"/>
  <c r="H42"/>
  <c r="H41"/>
  <c r="H40"/>
  <c r="H39"/>
  <c r="H38"/>
  <c r="H36"/>
  <c r="H35"/>
  <c r="H34" s="1"/>
  <c r="H33"/>
  <c r="H32"/>
  <c r="H31" s="1"/>
  <c r="H30"/>
  <c r="H29"/>
  <c r="H28"/>
  <c r="H27"/>
  <c r="H26"/>
  <c r="H25"/>
  <c r="H22"/>
  <c r="H21" s="1"/>
  <c r="F23" i="304" s="1"/>
  <c r="H19" i="300"/>
  <c r="H18"/>
  <c r="H16"/>
  <c r="H13"/>
  <c r="H12"/>
  <c r="H11"/>
  <c r="H10"/>
  <c r="H9" s="1"/>
  <c r="F21" i="304" s="1"/>
  <c r="L109" i="300"/>
  <c r="L104"/>
  <c r="L98"/>
  <c r="L93"/>
  <c r="L90"/>
  <c r="L45"/>
  <c r="L23"/>
  <c r="L20"/>
  <c r="L14"/>
  <c r="N77" i="65066"/>
  <c r="N76"/>
  <c r="N75"/>
  <c r="N74"/>
  <c r="N73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4"/>
  <c r="N32"/>
  <c r="N30"/>
  <c r="N27"/>
  <c r="N26"/>
  <c r="N24"/>
  <c r="N22"/>
  <c r="N21"/>
  <c r="N20"/>
  <c r="N18"/>
  <c r="N15"/>
  <c r="N12"/>
  <c r="N11"/>
  <c r="N77" i="65067"/>
  <c r="N76"/>
  <c r="N75"/>
  <c r="N74"/>
  <c r="N73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1"/>
  <c r="N29"/>
  <c r="N27"/>
  <c r="N26"/>
  <c r="N24"/>
  <c r="N23"/>
  <c r="N22"/>
  <c r="N21"/>
  <c r="N20"/>
  <c r="N19"/>
  <c r="N18"/>
  <c r="N15"/>
  <c r="N12"/>
  <c r="N11"/>
  <c r="N77" i="65099"/>
  <c r="N76"/>
  <c r="N75"/>
  <c r="N74"/>
  <c r="N73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1"/>
  <c r="N29"/>
  <c r="N27"/>
  <c r="N26"/>
  <c r="N24"/>
  <c r="N23"/>
  <c r="N22"/>
  <c r="N21"/>
  <c r="N18"/>
  <c r="N15"/>
  <c r="N12"/>
  <c r="N11"/>
  <c r="N77" i="65123"/>
  <c r="N76"/>
  <c r="N75"/>
  <c r="N74"/>
  <c r="N73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1"/>
  <c r="N29"/>
  <c r="N27"/>
  <c r="N26"/>
  <c r="N24"/>
  <c r="N22"/>
  <c r="N21"/>
  <c r="N18"/>
  <c r="N15"/>
  <c r="N12"/>
  <c r="N11"/>
  <c r="N77" i="65068"/>
  <c r="N76"/>
  <c r="N75"/>
  <c r="N74"/>
  <c r="N73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1"/>
  <c r="N29"/>
  <c r="N27"/>
  <c r="N26"/>
  <c r="N22"/>
  <c r="N15"/>
  <c r="N12"/>
  <c r="N11"/>
  <c r="N77" i="65069"/>
  <c r="N76"/>
  <c r="N75"/>
  <c r="N74"/>
  <c r="N73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1"/>
  <c r="N29"/>
  <c r="N27"/>
  <c r="N26"/>
  <c r="N15"/>
  <c r="N12"/>
  <c r="N11"/>
  <c r="N77" i="65070"/>
  <c r="N76"/>
  <c r="N75"/>
  <c r="N74"/>
  <c r="N73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1"/>
  <c r="N30"/>
  <c r="N29"/>
  <c r="N28"/>
  <c r="N27"/>
  <c r="N26"/>
  <c r="N24"/>
  <c r="N22"/>
  <c r="N21"/>
  <c r="N18"/>
  <c r="N15"/>
  <c r="N12"/>
  <c r="N11"/>
  <c r="N77" i="65071"/>
  <c r="N76"/>
  <c r="N75"/>
  <c r="N74"/>
  <c r="N73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2"/>
  <c r="N30"/>
  <c r="N28"/>
  <c r="N27"/>
  <c r="N26"/>
  <c r="N22"/>
  <c r="N15"/>
  <c r="N12"/>
  <c r="N11"/>
  <c r="N77" i="65074"/>
  <c r="N76"/>
  <c r="N75"/>
  <c r="N74"/>
  <c r="N73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1"/>
  <c r="N29"/>
  <c r="N27"/>
  <c r="N26"/>
  <c r="N24"/>
  <c r="N23"/>
  <c r="N22"/>
  <c r="N21"/>
  <c r="N18"/>
  <c r="N15"/>
  <c r="N12"/>
  <c r="N11"/>
  <c r="N77" i="65100"/>
  <c r="N76"/>
  <c r="N75"/>
  <c r="N74"/>
  <c r="N73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1"/>
  <c r="N29"/>
  <c r="N27"/>
  <c r="N26"/>
  <c r="N24"/>
  <c r="N22"/>
  <c r="N21"/>
  <c r="N18"/>
  <c r="N15"/>
  <c r="N12"/>
  <c r="N11"/>
  <c r="N77" i="65115"/>
  <c r="N76"/>
  <c r="N75"/>
  <c r="N74"/>
  <c r="N73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1"/>
  <c r="N29"/>
  <c r="N27"/>
  <c r="N26"/>
  <c r="N24"/>
  <c r="N22"/>
  <c r="N21"/>
  <c r="N18"/>
  <c r="N15"/>
  <c r="N12"/>
  <c r="N11"/>
  <c r="N77" i="65075"/>
  <c r="N76"/>
  <c r="N75"/>
  <c r="N74"/>
  <c r="N73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5"/>
  <c r="N33"/>
  <c r="N31"/>
  <c r="N28"/>
  <c r="N26"/>
  <c r="N24"/>
  <c r="N22"/>
  <c r="N21"/>
  <c r="N18"/>
  <c r="N15"/>
  <c r="N12"/>
  <c r="N11"/>
  <c r="N77" i="65076"/>
  <c r="N76"/>
  <c r="N75"/>
  <c r="N74"/>
  <c r="N73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48"/>
  <c r="N44"/>
  <c r="N42"/>
  <c r="N40"/>
  <c r="N36"/>
  <c r="N31"/>
  <c r="N30"/>
  <c r="N25"/>
  <c r="N24"/>
  <c r="N21"/>
  <c r="N18"/>
  <c r="N15"/>
  <c r="N14"/>
  <c r="N10"/>
  <c r="N77" i="65077"/>
  <c r="N76"/>
  <c r="N75"/>
  <c r="N74"/>
  <c r="N73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37"/>
  <c r="N35"/>
  <c r="N33"/>
  <c r="N30"/>
  <c r="N27"/>
  <c r="N26"/>
  <c r="N24"/>
  <c r="N22"/>
  <c r="N21"/>
  <c r="N18"/>
  <c r="N15"/>
  <c r="N12"/>
  <c r="N11"/>
  <c r="N77" i="65078"/>
  <c r="N76"/>
  <c r="N75"/>
  <c r="N74"/>
  <c r="N73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37"/>
  <c r="N34"/>
  <c r="N32"/>
  <c r="N28"/>
  <c r="N27"/>
  <c r="N25"/>
  <c r="N22"/>
  <c r="N21"/>
  <c r="N20"/>
  <c r="N18"/>
  <c r="N15"/>
  <c r="N12"/>
  <c r="N11"/>
  <c r="N77" i="65079"/>
  <c r="N76"/>
  <c r="N75"/>
  <c r="N74"/>
  <c r="N73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37"/>
  <c r="N35"/>
  <c r="N33"/>
  <c r="N27"/>
  <c r="N26"/>
  <c r="N18"/>
  <c r="N15"/>
  <c r="N12"/>
  <c r="N11"/>
  <c r="N77" i="65080"/>
  <c r="N76"/>
  <c r="N75"/>
  <c r="N74"/>
  <c r="N73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0"/>
  <c r="N47"/>
  <c r="N45"/>
  <c r="N43"/>
  <c r="N40"/>
  <c r="N32"/>
  <c r="N29"/>
  <c r="N28"/>
  <c r="N25"/>
  <c r="N24"/>
  <c r="N22"/>
  <c r="N21"/>
  <c r="N18"/>
  <c r="N15"/>
  <c r="N12"/>
  <c r="N11"/>
  <c r="N77" i="65082"/>
  <c r="N76"/>
  <c r="N75"/>
  <c r="N74"/>
  <c r="N73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1"/>
  <c r="N27"/>
  <c r="N26"/>
  <c r="N24"/>
  <c r="N22"/>
  <c r="N15"/>
  <c r="N12"/>
  <c r="N11"/>
  <c r="N77" i="65081"/>
  <c r="N76"/>
  <c r="N75"/>
  <c r="N74"/>
  <c r="N73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1"/>
  <c r="N27"/>
  <c r="N26"/>
  <c r="N24"/>
  <c r="N22"/>
  <c r="N15"/>
  <c r="N12"/>
  <c r="N11"/>
  <c r="N77" i="65122"/>
  <c r="N76"/>
  <c r="N75"/>
  <c r="N74"/>
  <c r="N73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2"/>
  <c r="N28"/>
  <c r="N27"/>
  <c r="N26"/>
  <c r="N24"/>
  <c r="N22"/>
  <c r="N15"/>
  <c r="N12"/>
  <c r="N11"/>
  <c r="N77" i="65083"/>
  <c r="N76"/>
  <c r="N75"/>
  <c r="N74"/>
  <c r="N73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1"/>
  <c r="N27"/>
  <c r="N26"/>
  <c r="N24"/>
  <c r="N22"/>
  <c r="N15"/>
  <c r="N12"/>
  <c r="N11"/>
  <c r="N77" i="65084"/>
  <c r="N76"/>
  <c r="N75"/>
  <c r="N74"/>
  <c r="N73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1"/>
  <c r="N29"/>
  <c r="N27"/>
  <c r="N26"/>
  <c r="N24"/>
  <c r="N22"/>
  <c r="N15"/>
  <c r="N12"/>
  <c r="N11"/>
  <c r="N77" i="65085"/>
  <c r="N76"/>
  <c r="N75"/>
  <c r="N74"/>
  <c r="N73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1"/>
  <c r="N29"/>
  <c r="N27"/>
  <c r="N26"/>
  <c r="N24"/>
  <c r="N22"/>
  <c r="N15"/>
  <c r="N12"/>
  <c r="N11"/>
  <c r="N77" i="65086"/>
  <c r="N76"/>
  <c r="N75"/>
  <c r="N74"/>
  <c r="N73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1"/>
  <c r="N27"/>
  <c r="N26"/>
  <c r="N24"/>
  <c r="N22"/>
  <c r="N21"/>
  <c r="N15"/>
  <c r="N12"/>
  <c r="N11"/>
  <c r="N77" i="65087"/>
  <c r="N76"/>
  <c r="N75"/>
  <c r="N74"/>
  <c r="N73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1"/>
  <c r="N27"/>
  <c r="N26"/>
  <c r="N22"/>
  <c r="N15"/>
  <c r="N12"/>
  <c r="N11"/>
  <c r="N77" i="65088"/>
  <c r="N76"/>
  <c r="N75"/>
  <c r="N74"/>
  <c r="N73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1"/>
  <c r="N29"/>
  <c r="N27"/>
  <c r="N26"/>
  <c r="N24"/>
  <c r="N22"/>
  <c r="N15"/>
  <c r="N12"/>
  <c r="N11"/>
  <c r="N77" i="65089"/>
  <c r="N76"/>
  <c r="N75"/>
  <c r="N74"/>
  <c r="N73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1"/>
  <c r="N29"/>
  <c r="N27"/>
  <c r="N26"/>
  <c r="N24"/>
  <c r="N22"/>
  <c r="N15"/>
  <c r="N12"/>
  <c r="N11"/>
  <c r="N77" i="65093"/>
  <c r="N76"/>
  <c r="N75"/>
  <c r="N74"/>
  <c r="N73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4"/>
  <c r="N32"/>
  <c r="N30"/>
  <c r="N27"/>
  <c r="N26"/>
  <c r="N24"/>
  <c r="N22"/>
  <c r="N21"/>
  <c r="N18"/>
  <c r="N15"/>
  <c r="N12"/>
  <c r="N11"/>
  <c r="N77" i="65094"/>
  <c r="N76"/>
  <c r="N75"/>
  <c r="N74"/>
  <c r="N73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1"/>
  <c r="N30"/>
  <c r="N29"/>
  <c r="N28"/>
  <c r="N27"/>
  <c r="N26"/>
  <c r="N24"/>
  <c r="N22"/>
  <c r="N21"/>
  <c r="N15"/>
  <c r="N12"/>
  <c r="N11"/>
  <c r="N77" i="65095"/>
  <c r="N76"/>
  <c r="N75"/>
  <c r="N74"/>
  <c r="N73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5"/>
  <c r="N33"/>
  <c r="N31"/>
  <c r="N30"/>
  <c r="N27"/>
  <c r="N26"/>
  <c r="N22"/>
  <c r="N15"/>
  <c r="N12"/>
  <c r="N11"/>
  <c r="N77" i="65096"/>
  <c r="N76"/>
  <c r="N75"/>
  <c r="N74"/>
  <c r="N73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1"/>
  <c r="N27"/>
  <c r="N26"/>
  <c r="N22"/>
  <c r="N15"/>
  <c r="N12"/>
  <c r="N11"/>
  <c r="N77" i="65097"/>
  <c r="N76"/>
  <c r="N75"/>
  <c r="N74"/>
  <c r="N73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1"/>
  <c r="N29"/>
  <c r="N27"/>
  <c r="N26"/>
  <c r="N24"/>
  <c r="N22"/>
  <c r="N21"/>
  <c r="N18"/>
  <c r="N15"/>
  <c r="N12"/>
  <c r="N11"/>
  <c r="N77" i="65098"/>
  <c r="N76"/>
  <c r="N75"/>
  <c r="N74"/>
  <c r="N73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1"/>
  <c r="N29"/>
  <c r="N27"/>
  <c r="N26"/>
  <c r="N22"/>
  <c r="N15"/>
  <c r="N12"/>
  <c r="N11"/>
  <c r="N77" i="65105"/>
  <c r="N76"/>
  <c r="N75"/>
  <c r="N74"/>
  <c r="N73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1"/>
  <c r="N29"/>
  <c r="N27"/>
  <c r="N26"/>
  <c r="N22"/>
  <c r="N15"/>
  <c r="N12"/>
  <c r="N11"/>
  <c r="N77" i="65065"/>
  <c r="N76"/>
  <c r="N75"/>
  <c r="N74"/>
  <c r="N73"/>
  <c r="N72"/>
  <c r="N71"/>
  <c r="N70"/>
  <c r="N69"/>
  <c r="N68"/>
  <c r="N67"/>
  <c r="N66"/>
  <c r="N65"/>
  <c r="N64"/>
  <c r="N63"/>
  <c r="N62"/>
  <c r="N61"/>
  <c r="N60"/>
  <c r="N59"/>
  <c r="N58"/>
  <c r="N57"/>
  <c r="N54"/>
  <c r="N51"/>
  <c r="N49"/>
  <c r="N46"/>
  <c r="N35"/>
  <c r="N33"/>
  <c r="N27"/>
  <c r="N23"/>
  <c r="N20"/>
  <c r="N17"/>
  <c r="N12"/>
  <c r="N31" i="16"/>
  <c r="N27"/>
  <c r="N26"/>
  <c r="N22"/>
  <c r="N15"/>
  <c r="N12"/>
  <c r="N11"/>
  <c r="H70" i="300" l="1"/>
  <c r="H94"/>
  <c r="F27" i="304" s="1"/>
  <c r="H47" i="300"/>
  <c r="G180" i="65139"/>
  <c r="G181"/>
  <c r="E19" i="304"/>
  <c r="G89" i="65139"/>
  <c r="G214"/>
  <c r="F17" i="304"/>
  <c r="H82" i="300"/>
  <c r="H99"/>
  <c r="F31" i="304" s="1"/>
  <c r="F30" s="1"/>
  <c r="F32" s="1"/>
  <c r="H60" i="300"/>
  <c r="H17"/>
  <c r="H15" s="1"/>
  <c r="F22" i="304" s="1"/>
  <c r="H46" i="300"/>
  <c r="F25" i="304" s="1"/>
  <c r="H37" i="300"/>
  <c r="H24" s="1"/>
  <c r="F24" i="304" s="1"/>
  <c r="F18"/>
  <c r="E18"/>
  <c r="H23" i="65065"/>
  <c r="H21"/>
  <c r="H18"/>
  <c r="H13"/>
  <c r="H8"/>
  <c r="H32" i="65066"/>
  <c r="H31"/>
  <c r="H28"/>
  <c r="H26"/>
  <c r="H24"/>
  <c r="H22"/>
  <c r="H21"/>
  <c r="H20"/>
  <c r="H18"/>
  <c r="H16"/>
  <c r="H13"/>
  <c r="H11"/>
  <c r="H8"/>
  <c r="H29" i="65067"/>
  <c r="H28"/>
  <c r="H26"/>
  <c r="H24"/>
  <c r="H23"/>
  <c r="H22"/>
  <c r="H21"/>
  <c r="H20"/>
  <c r="H19"/>
  <c r="H18"/>
  <c r="H16"/>
  <c r="H13"/>
  <c r="H11"/>
  <c r="H8"/>
  <c r="H29" i="65099"/>
  <c r="H28"/>
  <c r="H26"/>
  <c r="H24"/>
  <c r="H23"/>
  <c r="H22"/>
  <c r="H21"/>
  <c r="H18"/>
  <c r="H16"/>
  <c r="H13"/>
  <c r="H11"/>
  <c r="H8"/>
  <c r="H29" i="65123"/>
  <c r="H28"/>
  <c r="H26"/>
  <c r="H24"/>
  <c r="H22"/>
  <c r="H21"/>
  <c r="H18"/>
  <c r="H16"/>
  <c r="H13"/>
  <c r="H11"/>
  <c r="H8"/>
  <c r="H29" i="65068"/>
  <c r="H28"/>
  <c r="H26"/>
  <c r="H22"/>
  <c r="H16"/>
  <c r="H13"/>
  <c r="H11"/>
  <c r="H8"/>
  <c r="H29" i="65069"/>
  <c r="H28"/>
  <c r="H26"/>
  <c r="H16"/>
  <c r="H13"/>
  <c r="H11"/>
  <c r="H8"/>
  <c r="H30" i="65070"/>
  <c r="H29"/>
  <c r="H28"/>
  <c r="H26"/>
  <c r="H24"/>
  <c r="H22"/>
  <c r="H21"/>
  <c r="H18"/>
  <c r="H16"/>
  <c r="H13"/>
  <c r="H11"/>
  <c r="H8"/>
  <c r="H30" i="65071"/>
  <c r="H29"/>
  <c r="H26"/>
  <c r="H22"/>
  <c r="H16"/>
  <c r="H13"/>
  <c r="H11"/>
  <c r="H8"/>
  <c r="H29" i="65074"/>
  <c r="H28"/>
  <c r="H26"/>
  <c r="H24"/>
  <c r="H23"/>
  <c r="H22"/>
  <c r="H21"/>
  <c r="H18"/>
  <c r="H16"/>
  <c r="H13"/>
  <c r="H11"/>
  <c r="H8"/>
  <c r="H29" i="65100"/>
  <c r="H28" s="1"/>
  <c r="H26"/>
  <c r="H24"/>
  <c r="H22"/>
  <c r="H21"/>
  <c r="H18"/>
  <c r="H16"/>
  <c r="H13"/>
  <c r="H11"/>
  <c r="H8"/>
  <c r="H29" i="65115"/>
  <c r="H28"/>
  <c r="H26"/>
  <c r="H24"/>
  <c r="H22"/>
  <c r="H21"/>
  <c r="H18"/>
  <c r="H16"/>
  <c r="H13"/>
  <c r="H11"/>
  <c r="H8"/>
  <c r="H32" i="65075"/>
  <c r="H29"/>
  <c r="H26"/>
  <c r="H24"/>
  <c r="H22"/>
  <c r="H21"/>
  <c r="H18"/>
  <c r="H16"/>
  <c r="H13"/>
  <c r="H11"/>
  <c r="H8"/>
  <c r="H32" i="65076"/>
  <c r="H30"/>
  <c r="H25"/>
  <c r="H24"/>
  <c r="H21"/>
  <c r="H19"/>
  <c r="H16"/>
  <c r="H14"/>
  <c r="H11"/>
  <c r="H8"/>
  <c r="H30" i="65077"/>
  <c r="H28"/>
  <c r="H26"/>
  <c r="H24"/>
  <c r="H22"/>
  <c r="H21"/>
  <c r="H18"/>
  <c r="H16"/>
  <c r="H13"/>
  <c r="H11"/>
  <c r="H8"/>
  <c r="H29" i="65078"/>
  <c r="H27"/>
  <c r="H25"/>
  <c r="H22"/>
  <c r="H21"/>
  <c r="H20"/>
  <c r="H18"/>
  <c r="H16"/>
  <c r="H13"/>
  <c r="H11"/>
  <c r="H8"/>
  <c r="H28" i="65079"/>
  <c r="H26"/>
  <c r="H18"/>
  <c r="H16"/>
  <c r="H13"/>
  <c r="H11"/>
  <c r="H8"/>
  <c r="H32" i="65080"/>
  <c r="H30"/>
  <c r="H28"/>
  <c r="H25"/>
  <c r="H24"/>
  <c r="H22"/>
  <c r="H21"/>
  <c r="H18"/>
  <c r="H16"/>
  <c r="H13"/>
  <c r="H11"/>
  <c r="H8"/>
  <c r="H28" i="65082"/>
  <c r="H26"/>
  <c r="H24"/>
  <c r="H22"/>
  <c r="H16"/>
  <c r="H13"/>
  <c r="H11"/>
  <c r="H8"/>
  <c r="H28" i="65081"/>
  <c r="H26"/>
  <c r="H24"/>
  <c r="H22"/>
  <c r="H16"/>
  <c r="H13"/>
  <c r="H11"/>
  <c r="H8"/>
  <c r="H30" i="65122"/>
  <c r="H29" s="1"/>
  <c r="H27"/>
  <c r="H26"/>
  <c r="H24"/>
  <c r="H22"/>
  <c r="H16"/>
  <c r="H13"/>
  <c r="H11"/>
  <c r="H8"/>
  <c r="H28" i="65083"/>
  <c r="H26"/>
  <c r="H24"/>
  <c r="H22"/>
  <c r="H16"/>
  <c r="H13"/>
  <c r="H11"/>
  <c r="H8"/>
  <c r="H29" i="65084"/>
  <c r="H28" s="1"/>
  <c r="H26"/>
  <c r="H24"/>
  <c r="H22"/>
  <c r="H16"/>
  <c r="H13"/>
  <c r="H11"/>
  <c r="H8"/>
  <c r="H28" i="65085"/>
  <c r="H26"/>
  <c r="H24"/>
  <c r="H22"/>
  <c r="H16"/>
  <c r="H13"/>
  <c r="H11"/>
  <c r="H8"/>
  <c r="H28" i="65086"/>
  <c r="H26"/>
  <c r="H24"/>
  <c r="H22"/>
  <c r="H21"/>
  <c r="H16"/>
  <c r="H13"/>
  <c r="H11"/>
  <c r="H8"/>
  <c r="H28" i="65087"/>
  <c r="H26"/>
  <c r="H22"/>
  <c r="H16"/>
  <c r="H13"/>
  <c r="H11"/>
  <c r="H8"/>
  <c r="H29" i="65088"/>
  <c r="H28"/>
  <c r="H26"/>
  <c r="H24"/>
  <c r="H22"/>
  <c r="H16"/>
  <c r="H13"/>
  <c r="H11"/>
  <c r="H8"/>
  <c r="H29" i="65089"/>
  <c r="H28"/>
  <c r="H26"/>
  <c r="H24"/>
  <c r="H22"/>
  <c r="H16"/>
  <c r="H13"/>
  <c r="H11"/>
  <c r="H8"/>
  <c r="H32" i="65093"/>
  <c r="H31"/>
  <c r="H28"/>
  <c r="H26"/>
  <c r="H24"/>
  <c r="H22"/>
  <c r="H21"/>
  <c r="H18"/>
  <c r="H16"/>
  <c r="H13"/>
  <c r="H11"/>
  <c r="H8"/>
  <c r="H30" i="65094"/>
  <c r="H29"/>
  <c r="H28" s="1"/>
  <c r="H26"/>
  <c r="H24"/>
  <c r="H22"/>
  <c r="H21"/>
  <c r="H16"/>
  <c r="H13"/>
  <c r="H11"/>
  <c r="H8"/>
  <c r="H32" i="65095"/>
  <c r="H30"/>
  <c r="H28"/>
  <c r="H26"/>
  <c r="H22"/>
  <c r="H16"/>
  <c r="H13"/>
  <c r="H11"/>
  <c r="H8"/>
  <c r="H28" i="65096"/>
  <c r="H26"/>
  <c r="H22"/>
  <c r="H16"/>
  <c r="H13"/>
  <c r="H11"/>
  <c r="H8"/>
  <c r="H29" i="65097"/>
  <c r="H28"/>
  <c r="H26"/>
  <c r="H24"/>
  <c r="H22"/>
  <c r="H21"/>
  <c r="H18"/>
  <c r="H16"/>
  <c r="H13"/>
  <c r="H11"/>
  <c r="H8"/>
  <c r="H29" i="65098"/>
  <c r="H28"/>
  <c r="H26"/>
  <c r="H22"/>
  <c r="H16"/>
  <c r="H13"/>
  <c r="H11"/>
  <c r="H8"/>
  <c r="H29" i="65105"/>
  <c r="H28"/>
  <c r="H26"/>
  <c r="H22"/>
  <c r="H16"/>
  <c r="H13"/>
  <c r="H11"/>
  <c r="H8"/>
  <c r="H28" i="16"/>
  <c r="H26"/>
  <c r="H16"/>
  <c r="H13"/>
  <c r="H11"/>
  <c r="H8"/>
  <c r="F20" i="304" l="1"/>
  <c r="F41" s="1"/>
  <c r="F14"/>
  <c r="E15"/>
  <c r="E29"/>
  <c r="H7" i="300"/>
  <c r="K8" i="65068"/>
  <c r="L8"/>
  <c r="G132" i="65139"/>
  <c r="F119"/>
  <c r="G119" s="1"/>
  <c r="F28" i="304" l="1"/>
  <c r="F33" s="1"/>
  <c r="F38" s="1"/>
  <c r="F40"/>
  <c r="F42" s="1"/>
  <c r="F67" i="65139"/>
  <c r="G67" s="1"/>
  <c r="K28" i="65083"/>
  <c r="K16"/>
  <c r="K13"/>
  <c r="K8"/>
  <c r="L8" i="65099"/>
  <c r="E17" i="304" l="1"/>
  <c r="D19"/>
  <c r="L8" i="300"/>
  <c r="E68" i="65137"/>
  <c r="E61"/>
  <c r="E54"/>
  <c r="E47"/>
  <c r="E40"/>
  <c r="E30"/>
  <c r="E23"/>
  <c r="E17"/>
  <c r="E8"/>
  <c r="J108" i="300"/>
  <c r="I108"/>
  <c r="J107"/>
  <c r="I107"/>
  <c r="J106"/>
  <c r="J105" s="1"/>
  <c r="I106"/>
  <c r="I105" s="1"/>
  <c r="J103"/>
  <c r="I103"/>
  <c r="J102"/>
  <c r="I102"/>
  <c r="J101"/>
  <c r="I101"/>
  <c r="J100"/>
  <c r="I100"/>
  <c r="I99" s="1"/>
  <c r="J99"/>
  <c r="J97"/>
  <c r="I97"/>
  <c r="J96"/>
  <c r="I96"/>
  <c r="J95"/>
  <c r="I95"/>
  <c r="I94" s="1"/>
  <c r="J94"/>
  <c r="J92"/>
  <c r="I92"/>
  <c r="I91" s="1"/>
  <c r="J91"/>
  <c r="J89"/>
  <c r="I89"/>
  <c r="J88"/>
  <c r="J87" s="1"/>
  <c r="I88"/>
  <c r="I87" s="1"/>
  <c r="J86"/>
  <c r="I86"/>
  <c r="J85"/>
  <c r="I85"/>
  <c r="J84"/>
  <c r="I84"/>
  <c r="J83"/>
  <c r="I83"/>
  <c r="I82" s="1"/>
  <c r="J82"/>
  <c r="J81"/>
  <c r="I81"/>
  <c r="J80"/>
  <c r="I80"/>
  <c r="J79"/>
  <c r="I79"/>
  <c r="J78"/>
  <c r="I78"/>
  <c r="J77"/>
  <c r="I77"/>
  <c r="J76"/>
  <c r="I76"/>
  <c r="J75"/>
  <c r="I75"/>
  <c r="J74"/>
  <c r="I74"/>
  <c r="J73"/>
  <c r="I73"/>
  <c r="J72"/>
  <c r="I72"/>
  <c r="J71"/>
  <c r="I71"/>
  <c r="I70" s="1"/>
  <c r="J70"/>
  <c r="J69"/>
  <c r="I69"/>
  <c r="J68"/>
  <c r="I68"/>
  <c r="J67"/>
  <c r="I67"/>
  <c r="J66"/>
  <c r="I66"/>
  <c r="J65"/>
  <c r="I65"/>
  <c r="J64"/>
  <c r="I64"/>
  <c r="J63"/>
  <c r="I63"/>
  <c r="J62"/>
  <c r="I62"/>
  <c r="J61"/>
  <c r="I61"/>
  <c r="I60" s="1"/>
  <c r="J60"/>
  <c r="J59"/>
  <c r="I59"/>
  <c r="J58"/>
  <c r="I58"/>
  <c r="J57"/>
  <c r="I57"/>
  <c r="J56"/>
  <c r="I56"/>
  <c r="J55"/>
  <c r="I55"/>
  <c r="J54"/>
  <c r="I54"/>
  <c r="J53"/>
  <c r="I53"/>
  <c r="J52"/>
  <c r="I52"/>
  <c r="J51"/>
  <c r="I51"/>
  <c r="J50"/>
  <c r="I50"/>
  <c r="J49"/>
  <c r="I49"/>
  <c r="J48"/>
  <c r="J47" s="1"/>
  <c r="I48"/>
  <c r="I47" s="1"/>
  <c r="J44"/>
  <c r="I44"/>
  <c r="J43"/>
  <c r="I43"/>
  <c r="J42"/>
  <c r="I42"/>
  <c r="J41"/>
  <c r="I41"/>
  <c r="J40"/>
  <c r="I40"/>
  <c r="J39"/>
  <c r="I39"/>
  <c r="J38"/>
  <c r="I38"/>
  <c r="J37"/>
  <c r="J36"/>
  <c r="I36"/>
  <c r="J35"/>
  <c r="J34" s="1"/>
  <c r="I35"/>
  <c r="I34" s="1"/>
  <c r="J33"/>
  <c r="I33"/>
  <c r="J32"/>
  <c r="J31" s="1"/>
  <c r="I32"/>
  <c r="I31" s="1"/>
  <c r="J30"/>
  <c r="I30"/>
  <c r="J29"/>
  <c r="I29"/>
  <c r="J28"/>
  <c r="I28"/>
  <c r="J27"/>
  <c r="I27"/>
  <c r="J26"/>
  <c r="I26"/>
  <c r="J25"/>
  <c r="I25"/>
  <c r="J22"/>
  <c r="J21" s="1"/>
  <c r="I22"/>
  <c r="I21" s="1"/>
  <c r="J19"/>
  <c r="I19"/>
  <c r="J18"/>
  <c r="J17" s="1"/>
  <c r="I18"/>
  <c r="I17" s="1"/>
  <c r="J16"/>
  <c r="I16"/>
  <c r="J13"/>
  <c r="I13"/>
  <c r="J12"/>
  <c r="I12"/>
  <c r="J11"/>
  <c r="I11"/>
  <c r="J10"/>
  <c r="J9" s="1"/>
  <c r="I10"/>
  <c r="I9" s="1"/>
  <c r="M34" i="65075"/>
  <c r="N34" s="1"/>
  <c r="M33"/>
  <c r="L32"/>
  <c r="K32"/>
  <c r="D20" i="65125" s="1"/>
  <c r="M30" i="65075"/>
  <c r="L29"/>
  <c r="K29"/>
  <c r="M27"/>
  <c r="N27" s="1"/>
  <c r="M26"/>
  <c r="M25"/>
  <c r="N25" s="1"/>
  <c r="M24"/>
  <c r="M23"/>
  <c r="N23" s="1"/>
  <c r="M22"/>
  <c r="M21"/>
  <c r="M20"/>
  <c r="N20" s="1"/>
  <c r="M19"/>
  <c r="N19" s="1"/>
  <c r="M18"/>
  <c r="M17"/>
  <c r="N17" s="1"/>
  <c r="L16"/>
  <c r="K16"/>
  <c r="M14"/>
  <c r="N14" s="1"/>
  <c r="L13"/>
  <c r="K13"/>
  <c r="M11"/>
  <c r="M10"/>
  <c r="N10" s="1"/>
  <c r="M9"/>
  <c r="L8"/>
  <c r="K8"/>
  <c r="M47" i="65076"/>
  <c r="N47" s="1"/>
  <c r="M46"/>
  <c r="N46" s="1"/>
  <c r="L45"/>
  <c r="K45"/>
  <c r="M43"/>
  <c r="N43" s="1"/>
  <c r="M42"/>
  <c r="L41"/>
  <c r="K41"/>
  <c r="D21" i="65125" s="1"/>
  <c r="M39" i="65076"/>
  <c r="M38"/>
  <c r="N38" s="1"/>
  <c r="L37"/>
  <c r="K37"/>
  <c r="M35"/>
  <c r="M34"/>
  <c r="N34" s="1"/>
  <c r="M33"/>
  <c r="N33" s="1"/>
  <c r="L32"/>
  <c r="K32"/>
  <c r="M30"/>
  <c r="M29"/>
  <c r="M28"/>
  <c r="N28" s="1"/>
  <c r="M27"/>
  <c r="N27" s="1"/>
  <c r="M26"/>
  <c r="N26" s="1"/>
  <c r="M25"/>
  <c r="M24"/>
  <c r="M23"/>
  <c r="N23" s="1"/>
  <c r="M22"/>
  <c r="N22" s="1"/>
  <c r="M21"/>
  <c r="M20"/>
  <c r="N20" s="1"/>
  <c r="L19"/>
  <c r="M17"/>
  <c r="L16"/>
  <c r="K16"/>
  <c r="M14"/>
  <c r="M13"/>
  <c r="N13" s="1"/>
  <c r="M12"/>
  <c r="N12" s="1"/>
  <c r="L11"/>
  <c r="K11"/>
  <c r="M9"/>
  <c r="N9" s="1"/>
  <c r="L8"/>
  <c r="K8"/>
  <c r="M36" i="65077"/>
  <c r="N36" s="1"/>
  <c r="M35"/>
  <c r="L34"/>
  <c r="K34"/>
  <c r="D22" i="65125" s="1"/>
  <c r="M32" i="65077"/>
  <c r="N32" s="1"/>
  <c r="M31"/>
  <c r="M30"/>
  <c r="K63" i="300" s="1"/>
  <c r="M29" i="65077"/>
  <c r="N29" s="1"/>
  <c r="L28"/>
  <c r="K28"/>
  <c r="M26"/>
  <c r="M25"/>
  <c r="N25" s="1"/>
  <c r="M24"/>
  <c r="M23"/>
  <c r="N23" s="1"/>
  <c r="M22"/>
  <c r="M21"/>
  <c r="M20"/>
  <c r="N20" s="1"/>
  <c r="M19"/>
  <c r="N19" s="1"/>
  <c r="M18"/>
  <c r="M17"/>
  <c r="N17" s="1"/>
  <c r="L16"/>
  <c r="K16"/>
  <c r="M14"/>
  <c r="N14" s="1"/>
  <c r="L13"/>
  <c r="K13"/>
  <c r="M11"/>
  <c r="M10"/>
  <c r="N10" s="1"/>
  <c r="M9"/>
  <c r="N9" s="1"/>
  <c r="L8"/>
  <c r="K8"/>
  <c r="M36" i="65078"/>
  <c r="N36" s="1"/>
  <c r="M35"/>
  <c r="N35" s="1"/>
  <c r="M34"/>
  <c r="L33"/>
  <c r="K33"/>
  <c r="D23" i="65125" s="1"/>
  <c r="M31" i="65078"/>
  <c r="M30"/>
  <c r="N30" s="1"/>
  <c r="L29"/>
  <c r="K29"/>
  <c r="M27"/>
  <c r="M26"/>
  <c r="N26" s="1"/>
  <c r="M25"/>
  <c r="M24"/>
  <c r="N24" s="1"/>
  <c r="M23"/>
  <c r="N23" s="1"/>
  <c r="M22"/>
  <c r="M21"/>
  <c r="M20"/>
  <c r="M19"/>
  <c r="N19" s="1"/>
  <c r="M18"/>
  <c r="M17"/>
  <c r="N17" s="1"/>
  <c r="L16"/>
  <c r="K16"/>
  <c r="M14"/>
  <c r="L13"/>
  <c r="M11"/>
  <c r="M10"/>
  <c r="N10" s="1"/>
  <c r="M9"/>
  <c r="N9" s="1"/>
  <c r="L8"/>
  <c r="M36" i="65079"/>
  <c r="N36" s="1"/>
  <c r="M35"/>
  <c r="L34"/>
  <c r="E24" i="65125" s="1"/>
  <c r="K34" i="65079"/>
  <c r="D24" i="65125" s="1"/>
  <c r="M32" i="65079"/>
  <c r="N32" s="1"/>
  <c r="M31"/>
  <c r="N31" s="1"/>
  <c r="M30"/>
  <c r="N30" s="1"/>
  <c r="M29"/>
  <c r="N29" s="1"/>
  <c r="L28"/>
  <c r="K28"/>
  <c r="M26"/>
  <c r="M25"/>
  <c r="N25" s="1"/>
  <c r="M24"/>
  <c r="N24" s="1"/>
  <c r="M23"/>
  <c r="N23" s="1"/>
  <c r="M22"/>
  <c r="N22" s="1"/>
  <c r="M21"/>
  <c r="N21" s="1"/>
  <c r="M20"/>
  <c r="N20" s="1"/>
  <c r="M19"/>
  <c r="N19" s="1"/>
  <c r="M18"/>
  <c r="M17"/>
  <c r="N17" s="1"/>
  <c r="L16"/>
  <c r="K16"/>
  <c r="M14"/>
  <c r="L13"/>
  <c r="K13"/>
  <c r="M11"/>
  <c r="M10"/>
  <c r="N10" s="1"/>
  <c r="M9"/>
  <c r="L8"/>
  <c r="K8"/>
  <c r="M49" i="65080"/>
  <c r="L48"/>
  <c r="K48"/>
  <c r="M46"/>
  <c r="N46" s="1"/>
  <c r="M45"/>
  <c r="L44"/>
  <c r="F25" i="65125" s="1"/>
  <c r="K44" i="65080"/>
  <c r="D25" i="65125" s="1"/>
  <c r="M42" i="65080"/>
  <c r="N42" s="1"/>
  <c r="L41"/>
  <c r="K41"/>
  <c r="M39"/>
  <c r="M38"/>
  <c r="N38" s="1"/>
  <c r="M37"/>
  <c r="N37" s="1"/>
  <c r="M36"/>
  <c r="M35"/>
  <c r="N35" s="1"/>
  <c r="M34"/>
  <c r="N34" s="1"/>
  <c r="M33"/>
  <c r="M32"/>
  <c r="K56" i="300" s="1"/>
  <c r="M31" i="65080"/>
  <c r="N31" s="1"/>
  <c r="L30"/>
  <c r="K30"/>
  <c r="M28"/>
  <c r="M27"/>
  <c r="N27" s="1"/>
  <c r="M26"/>
  <c r="N26" s="1"/>
  <c r="M25"/>
  <c r="K36" i="300" s="1"/>
  <c r="M24" i="65080"/>
  <c r="M23"/>
  <c r="N23" s="1"/>
  <c r="M22"/>
  <c r="M21"/>
  <c r="M20"/>
  <c r="N20" s="1"/>
  <c r="M19"/>
  <c r="N19" s="1"/>
  <c r="M18"/>
  <c r="M17"/>
  <c r="N17" s="1"/>
  <c r="L16"/>
  <c r="K16"/>
  <c r="M14"/>
  <c r="L13"/>
  <c r="K13"/>
  <c r="M11"/>
  <c r="M10"/>
  <c r="N10" s="1"/>
  <c r="M9"/>
  <c r="N9" s="1"/>
  <c r="L8"/>
  <c r="K8"/>
  <c r="M30" i="65082"/>
  <c r="N30" s="1"/>
  <c r="M29"/>
  <c r="N29" s="1"/>
  <c r="L28"/>
  <c r="F26" i="65125" s="1"/>
  <c r="K28" i="65082"/>
  <c r="D26" i="65125" s="1"/>
  <c r="M26" i="65082"/>
  <c r="M25"/>
  <c r="N25" s="1"/>
  <c r="M24"/>
  <c r="M23"/>
  <c r="N23" s="1"/>
  <c r="M22"/>
  <c r="M21"/>
  <c r="N21" s="1"/>
  <c r="M20"/>
  <c r="N20" s="1"/>
  <c r="M19"/>
  <c r="N19" s="1"/>
  <c r="M18"/>
  <c r="N18" s="1"/>
  <c r="M17"/>
  <c r="N17" s="1"/>
  <c r="L16"/>
  <c r="K16"/>
  <c r="M14"/>
  <c r="N14" s="1"/>
  <c r="L13"/>
  <c r="K13"/>
  <c r="M11"/>
  <c r="M10"/>
  <c r="N10" s="1"/>
  <c r="M9"/>
  <c r="L8"/>
  <c r="K8"/>
  <c r="M30" i="65081"/>
  <c r="N30" s="1"/>
  <c r="M29"/>
  <c r="N29" s="1"/>
  <c r="L28"/>
  <c r="K28"/>
  <c r="D27" i="65125" s="1"/>
  <c r="M26" i="65081"/>
  <c r="M25"/>
  <c r="N25" s="1"/>
  <c r="M24"/>
  <c r="M23"/>
  <c r="N23" s="1"/>
  <c r="M22"/>
  <c r="M21"/>
  <c r="N21" s="1"/>
  <c r="M20"/>
  <c r="N20" s="1"/>
  <c r="M19"/>
  <c r="N19" s="1"/>
  <c r="M18"/>
  <c r="N18" s="1"/>
  <c r="M17"/>
  <c r="N17" s="1"/>
  <c r="L16"/>
  <c r="K16"/>
  <c r="M14"/>
  <c r="N14" s="1"/>
  <c r="L13"/>
  <c r="K13"/>
  <c r="M11"/>
  <c r="M10"/>
  <c r="M9"/>
  <c r="N9" s="1"/>
  <c r="L8"/>
  <c r="K8"/>
  <c r="M30" i="65122"/>
  <c r="N30" s="1"/>
  <c r="K29"/>
  <c r="D28" i="65125" s="1"/>
  <c r="M27" i="65122"/>
  <c r="K44" i="300" s="1"/>
  <c r="M26" i="65122"/>
  <c r="M25"/>
  <c r="N25" s="1"/>
  <c r="M24"/>
  <c r="M23"/>
  <c r="N23" s="1"/>
  <c r="M22"/>
  <c r="M21"/>
  <c r="N21" s="1"/>
  <c r="M20"/>
  <c r="N20" s="1"/>
  <c r="M19"/>
  <c r="N19" s="1"/>
  <c r="M18"/>
  <c r="N18" s="1"/>
  <c r="M17"/>
  <c r="N17" s="1"/>
  <c r="L16"/>
  <c r="K16"/>
  <c r="L13"/>
  <c r="M11"/>
  <c r="M10"/>
  <c r="N10" s="1"/>
  <c r="L8"/>
  <c r="M30" i="65083"/>
  <c r="N30" s="1"/>
  <c r="M29"/>
  <c r="N29" s="1"/>
  <c r="L28"/>
  <c r="F29" i="65125" s="1"/>
  <c r="D29"/>
  <c r="M26" i="65083"/>
  <c r="M25"/>
  <c r="N25" s="1"/>
  <c r="M24"/>
  <c r="M23"/>
  <c r="N23" s="1"/>
  <c r="M22"/>
  <c r="M21"/>
  <c r="N21" s="1"/>
  <c r="M20"/>
  <c r="N20" s="1"/>
  <c r="M19"/>
  <c r="N19" s="1"/>
  <c r="M18"/>
  <c r="N18" s="1"/>
  <c r="M17"/>
  <c r="N17" s="1"/>
  <c r="L16"/>
  <c r="L13"/>
  <c r="M11"/>
  <c r="M10"/>
  <c r="N10" s="1"/>
  <c r="L8"/>
  <c r="M30" i="65084"/>
  <c r="N30" s="1"/>
  <c r="M29"/>
  <c r="L28"/>
  <c r="K28"/>
  <c r="D30" i="65125" s="1"/>
  <c r="M26" i="65084"/>
  <c r="M25"/>
  <c r="N25" s="1"/>
  <c r="M24"/>
  <c r="M23"/>
  <c r="N23" s="1"/>
  <c r="M22"/>
  <c r="M21"/>
  <c r="N21" s="1"/>
  <c r="M20"/>
  <c r="N20" s="1"/>
  <c r="M19"/>
  <c r="N19" s="1"/>
  <c r="M18"/>
  <c r="N18" s="1"/>
  <c r="M17"/>
  <c r="N17" s="1"/>
  <c r="L16"/>
  <c r="K16"/>
  <c r="L13"/>
  <c r="M11"/>
  <c r="M10"/>
  <c r="N10" s="1"/>
  <c r="L8"/>
  <c r="M30" i="65085"/>
  <c r="N30" s="1"/>
  <c r="M29"/>
  <c r="L28"/>
  <c r="K28"/>
  <c r="D31" i="65125" s="1"/>
  <c r="M26" i="65085"/>
  <c r="M25"/>
  <c r="N25" s="1"/>
  <c r="M24"/>
  <c r="M23"/>
  <c r="N23" s="1"/>
  <c r="M22"/>
  <c r="M21"/>
  <c r="N21" s="1"/>
  <c r="M20"/>
  <c r="N20" s="1"/>
  <c r="M19"/>
  <c r="N19" s="1"/>
  <c r="M18"/>
  <c r="N18" s="1"/>
  <c r="M17"/>
  <c r="N17" s="1"/>
  <c r="L16"/>
  <c r="K16"/>
  <c r="L13"/>
  <c r="M11"/>
  <c r="M10"/>
  <c r="N10" s="1"/>
  <c r="L8"/>
  <c r="M30" i="65086"/>
  <c r="N30" s="1"/>
  <c r="M29"/>
  <c r="N29" s="1"/>
  <c r="L28"/>
  <c r="K28"/>
  <c r="D32" i="65125" s="1"/>
  <c r="M26" i="65086"/>
  <c r="M25"/>
  <c r="N25" s="1"/>
  <c r="M24"/>
  <c r="M23"/>
  <c r="N23" s="1"/>
  <c r="M22"/>
  <c r="M21"/>
  <c r="M20"/>
  <c r="N20" s="1"/>
  <c r="M19"/>
  <c r="N19" s="1"/>
  <c r="M18"/>
  <c r="N18" s="1"/>
  <c r="M17"/>
  <c r="N17" s="1"/>
  <c r="L16"/>
  <c r="K16"/>
  <c r="L13"/>
  <c r="M11"/>
  <c r="M10"/>
  <c r="L8"/>
  <c r="M30" i="65087"/>
  <c r="N30" s="1"/>
  <c r="M29"/>
  <c r="N29" s="1"/>
  <c r="L28"/>
  <c r="K28"/>
  <c r="D33" i="65125" s="1"/>
  <c r="M26" i="65087"/>
  <c r="M25"/>
  <c r="N25" s="1"/>
  <c r="M24"/>
  <c r="N24" s="1"/>
  <c r="M23"/>
  <c r="N23" s="1"/>
  <c r="M22"/>
  <c r="M21"/>
  <c r="N21" s="1"/>
  <c r="M20"/>
  <c r="N20" s="1"/>
  <c r="M19"/>
  <c r="N19" s="1"/>
  <c r="M18"/>
  <c r="N18" s="1"/>
  <c r="M17"/>
  <c r="N17" s="1"/>
  <c r="L16"/>
  <c r="K16"/>
  <c r="L13"/>
  <c r="M11"/>
  <c r="M10"/>
  <c r="L8"/>
  <c r="M30" i="65088"/>
  <c r="N30" s="1"/>
  <c r="M29"/>
  <c r="L28"/>
  <c r="K28"/>
  <c r="D34" i="65125" s="1"/>
  <c r="M26" i="65088"/>
  <c r="M25"/>
  <c r="N25" s="1"/>
  <c r="M24"/>
  <c r="M23"/>
  <c r="N23" s="1"/>
  <c r="M22"/>
  <c r="M21"/>
  <c r="N21" s="1"/>
  <c r="M20"/>
  <c r="N20" s="1"/>
  <c r="M19"/>
  <c r="N19" s="1"/>
  <c r="M18"/>
  <c r="N18" s="1"/>
  <c r="M17"/>
  <c r="N17" s="1"/>
  <c r="L16"/>
  <c r="K16"/>
  <c r="L13"/>
  <c r="M11"/>
  <c r="M10"/>
  <c r="L8"/>
  <c r="M30" i="65089"/>
  <c r="N30" s="1"/>
  <c r="M29"/>
  <c r="L28"/>
  <c r="K28"/>
  <c r="D35" i="65125" s="1"/>
  <c r="M26" i="65089"/>
  <c r="M25"/>
  <c r="N25" s="1"/>
  <c r="M24"/>
  <c r="M23"/>
  <c r="N23" s="1"/>
  <c r="M22"/>
  <c r="M21"/>
  <c r="N21" s="1"/>
  <c r="M20"/>
  <c r="N20" s="1"/>
  <c r="M19"/>
  <c r="N19" s="1"/>
  <c r="M18"/>
  <c r="N18" s="1"/>
  <c r="M17"/>
  <c r="N17" s="1"/>
  <c r="L16"/>
  <c r="K16"/>
  <c r="L13"/>
  <c r="M11"/>
  <c r="M10"/>
  <c r="L8"/>
  <c r="M33" i="65093"/>
  <c r="N33" s="1"/>
  <c r="M32"/>
  <c r="L31"/>
  <c r="K31"/>
  <c r="D36" i="65125" s="1"/>
  <c r="M29" i="65093"/>
  <c r="L28"/>
  <c r="K28"/>
  <c r="M26"/>
  <c r="M25"/>
  <c r="N25" s="1"/>
  <c r="M24"/>
  <c r="M23"/>
  <c r="N23" s="1"/>
  <c r="M22"/>
  <c r="M21"/>
  <c r="M20"/>
  <c r="N20" s="1"/>
  <c r="M19"/>
  <c r="N19" s="1"/>
  <c r="M18"/>
  <c r="M17"/>
  <c r="N17" s="1"/>
  <c r="L16"/>
  <c r="K16"/>
  <c r="L13"/>
  <c r="M11"/>
  <c r="M10"/>
  <c r="N10" s="1"/>
  <c r="L8"/>
  <c r="M30" i="65094"/>
  <c r="M29"/>
  <c r="L28"/>
  <c r="K28"/>
  <c r="D37" i="65125" s="1"/>
  <c r="M26" i="65094"/>
  <c r="M25"/>
  <c r="N25" s="1"/>
  <c r="M24"/>
  <c r="M23"/>
  <c r="N23" s="1"/>
  <c r="M22"/>
  <c r="M21"/>
  <c r="M20"/>
  <c r="N20" s="1"/>
  <c r="M19"/>
  <c r="N19" s="1"/>
  <c r="M18"/>
  <c r="N18" s="1"/>
  <c r="M17"/>
  <c r="N17" s="1"/>
  <c r="L16"/>
  <c r="K16"/>
  <c r="L13"/>
  <c r="M11"/>
  <c r="M10"/>
  <c r="N10" s="1"/>
  <c r="L8"/>
  <c r="M34" i="65095"/>
  <c r="N34" s="1"/>
  <c r="M33"/>
  <c r="L32"/>
  <c r="K32"/>
  <c r="D38" i="65125" s="1"/>
  <c r="M30" i="65095"/>
  <c r="K81" i="300" s="1"/>
  <c r="M29" i="65095"/>
  <c r="N29" s="1"/>
  <c r="L28"/>
  <c r="K28"/>
  <c r="M26"/>
  <c r="M25"/>
  <c r="N25" s="1"/>
  <c r="M24"/>
  <c r="N24" s="1"/>
  <c r="M23"/>
  <c r="N23" s="1"/>
  <c r="M22"/>
  <c r="M21"/>
  <c r="N21" s="1"/>
  <c r="M20"/>
  <c r="N20" s="1"/>
  <c r="M19"/>
  <c r="N19" s="1"/>
  <c r="M18"/>
  <c r="N18" s="1"/>
  <c r="M17"/>
  <c r="N17" s="1"/>
  <c r="L16"/>
  <c r="K16"/>
  <c r="L13"/>
  <c r="M11"/>
  <c r="M10"/>
  <c r="N10" s="1"/>
  <c r="L8"/>
  <c r="M30" i="65096"/>
  <c r="N30" s="1"/>
  <c r="M29"/>
  <c r="N29" s="1"/>
  <c r="L28"/>
  <c r="K28"/>
  <c r="D39" i="65125" s="1"/>
  <c r="M26" i="65096"/>
  <c r="M25"/>
  <c r="N25" s="1"/>
  <c r="M24"/>
  <c r="N24" s="1"/>
  <c r="M23"/>
  <c r="N23" s="1"/>
  <c r="M22"/>
  <c r="M21"/>
  <c r="N21" s="1"/>
  <c r="M20"/>
  <c r="N20" s="1"/>
  <c r="M19"/>
  <c r="N19" s="1"/>
  <c r="M18"/>
  <c r="N18" s="1"/>
  <c r="M17"/>
  <c r="N17" s="1"/>
  <c r="L16"/>
  <c r="K16"/>
  <c r="L13"/>
  <c r="M11"/>
  <c r="M10"/>
  <c r="N10" s="1"/>
  <c r="L8"/>
  <c r="M30" i="65097"/>
  <c r="N30" s="1"/>
  <c r="M29"/>
  <c r="L28"/>
  <c r="K28"/>
  <c r="D40" i="65125" s="1"/>
  <c r="M26" i="65097"/>
  <c r="M25"/>
  <c r="N25" s="1"/>
  <c r="M24"/>
  <c r="M23"/>
  <c r="N23" s="1"/>
  <c r="M22"/>
  <c r="M21"/>
  <c r="M20"/>
  <c r="N20" s="1"/>
  <c r="M19"/>
  <c r="N19" s="1"/>
  <c r="M18"/>
  <c r="M17"/>
  <c r="N17" s="1"/>
  <c r="L16"/>
  <c r="K16"/>
  <c r="L13"/>
  <c r="M11"/>
  <c r="M10"/>
  <c r="N10" s="1"/>
  <c r="L8"/>
  <c r="M30" i="65098"/>
  <c r="N30" s="1"/>
  <c r="M29"/>
  <c r="L28"/>
  <c r="K28"/>
  <c r="D41" i="65125" s="1"/>
  <c r="M26" i="65098"/>
  <c r="M25"/>
  <c r="N25" s="1"/>
  <c r="M24"/>
  <c r="N24" s="1"/>
  <c r="M23"/>
  <c r="N23" s="1"/>
  <c r="M22"/>
  <c r="M21"/>
  <c r="N21" s="1"/>
  <c r="M20"/>
  <c r="N20" s="1"/>
  <c r="M19"/>
  <c r="N19" s="1"/>
  <c r="M18"/>
  <c r="N18" s="1"/>
  <c r="M17"/>
  <c r="N17" s="1"/>
  <c r="L16"/>
  <c r="K16"/>
  <c r="L13"/>
  <c r="M11"/>
  <c r="M10"/>
  <c r="N10" s="1"/>
  <c r="L8"/>
  <c r="M30" i="65105"/>
  <c r="N30" s="1"/>
  <c r="M29"/>
  <c r="L28"/>
  <c r="K28"/>
  <c r="D42" i="65125" s="1"/>
  <c r="M26" i="65105"/>
  <c r="M25"/>
  <c r="N25" s="1"/>
  <c r="M24"/>
  <c r="N24" s="1"/>
  <c r="M23"/>
  <c r="N23" s="1"/>
  <c r="M22"/>
  <c r="M21"/>
  <c r="N21" s="1"/>
  <c r="M20"/>
  <c r="N20" s="1"/>
  <c r="M19"/>
  <c r="N19" s="1"/>
  <c r="M18"/>
  <c r="N18" s="1"/>
  <c r="M17"/>
  <c r="N17" s="1"/>
  <c r="L16"/>
  <c r="K16"/>
  <c r="L13"/>
  <c r="M11"/>
  <c r="M10"/>
  <c r="N10" s="1"/>
  <c r="L8"/>
  <c r="M30" i="65115"/>
  <c r="N30" s="1"/>
  <c r="M29"/>
  <c r="L28"/>
  <c r="K28"/>
  <c r="D19" i="65125" s="1"/>
  <c r="M26" i="65115"/>
  <c r="M25"/>
  <c r="N25" s="1"/>
  <c r="M24"/>
  <c r="M23"/>
  <c r="N23" s="1"/>
  <c r="M22"/>
  <c r="M21"/>
  <c r="M20"/>
  <c r="N20" s="1"/>
  <c r="M19"/>
  <c r="N19" s="1"/>
  <c r="M18"/>
  <c r="M17"/>
  <c r="N17" s="1"/>
  <c r="L16"/>
  <c r="K16"/>
  <c r="L13"/>
  <c r="M11"/>
  <c r="M10"/>
  <c r="L8"/>
  <c r="M30" i="65100"/>
  <c r="N30" s="1"/>
  <c r="M29"/>
  <c r="L28"/>
  <c r="K28"/>
  <c r="D18" i="65125" s="1"/>
  <c r="M26" i="65100"/>
  <c r="M25"/>
  <c r="N25" s="1"/>
  <c r="M24"/>
  <c r="M23"/>
  <c r="N23" s="1"/>
  <c r="M22"/>
  <c r="M21"/>
  <c r="M20"/>
  <c r="N20" s="1"/>
  <c r="M19"/>
  <c r="N19" s="1"/>
  <c r="M18"/>
  <c r="M17"/>
  <c r="N17" s="1"/>
  <c r="L16"/>
  <c r="K16"/>
  <c r="M14"/>
  <c r="L13"/>
  <c r="K13"/>
  <c r="M11"/>
  <c r="M10"/>
  <c r="N10" s="1"/>
  <c r="M9"/>
  <c r="N9" s="1"/>
  <c r="L8"/>
  <c r="K8"/>
  <c r="M30" i="65074"/>
  <c r="N30" s="1"/>
  <c r="M29"/>
  <c r="L28"/>
  <c r="K28"/>
  <c r="D17" i="65125" s="1"/>
  <c r="M26" i="65074"/>
  <c r="M25"/>
  <c r="N25" s="1"/>
  <c r="M24"/>
  <c r="M23"/>
  <c r="M22"/>
  <c r="M21"/>
  <c r="M20"/>
  <c r="N20" s="1"/>
  <c r="M19"/>
  <c r="N19" s="1"/>
  <c r="M18"/>
  <c r="M17"/>
  <c r="N17" s="1"/>
  <c r="L16"/>
  <c r="K16"/>
  <c r="M14"/>
  <c r="N14" s="1"/>
  <c r="L13"/>
  <c r="K13"/>
  <c r="M11"/>
  <c r="M10"/>
  <c r="N10" s="1"/>
  <c r="M9"/>
  <c r="N9" s="1"/>
  <c r="L8"/>
  <c r="K8"/>
  <c r="M31" i="65071"/>
  <c r="N31" s="1"/>
  <c r="M30"/>
  <c r="L29"/>
  <c r="K29"/>
  <c r="D16" i="65125" s="1"/>
  <c r="M26" i="65071"/>
  <c r="M25"/>
  <c r="N25" s="1"/>
  <c r="M24"/>
  <c r="N24" s="1"/>
  <c r="M23"/>
  <c r="N23" s="1"/>
  <c r="M22"/>
  <c r="M21"/>
  <c r="N21" s="1"/>
  <c r="M20"/>
  <c r="N20" s="1"/>
  <c r="M19"/>
  <c r="N19" s="1"/>
  <c r="M18"/>
  <c r="N18" s="1"/>
  <c r="M17"/>
  <c r="N17" s="1"/>
  <c r="L16"/>
  <c r="K16"/>
  <c r="M14"/>
  <c r="L13"/>
  <c r="M11"/>
  <c r="M10"/>
  <c r="N10" s="1"/>
  <c r="M9"/>
  <c r="N9" s="1"/>
  <c r="L8"/>
  <c r="M30" i="65070"/>
  <c r="M29"/>
  <c r="L28"/>
  <c r="K28"/>
  <c r="D15" i="65125" s="1"/>
  <c r="M26" i="65070"/>
  <c r="M25"/>
  <c r="N25" s="1"/>
  <c r="M24"/>
  <c r="M23"/>
  <c r="N23" s="1"/>
  <c r="M22"/>
  <c r="M21"/>
  <c r="M20"/>
  <c r="N20" s="1"/>
  <c r="M19"/>
  <c r="N19" s="1"/>
  <c r="M18"/>
  <c r="M17"/>
  <c r="N17" s="1"/>
  <c r="L16"/>
  <c r="K16"/>
  <c r="M14"/>
  <c r="L13"/>
  <c r="K13"/>
  <c r="M11"/>
  <c r="M10"/>
  <c r="N10" s="1"/>
  <c r="M9"/>
  <c r="L8"/>
  <c r="K8"/>
  <c r="M30" i="65069"/>
  <c r="N30" s="1"/>
  <c r="M29"/>
  <c r="L28"/>
  <c r="K28"/>
  <c r="D14" i="65125" s="1"/>
  <c r="M26" i="65069"/>
  <c r="M25"/>
  <c r="N25" s="1"/>
  <c r="M24"/>
  <c r="N24" s="1"/>
  <c r="M23"/>
  <c r="N23" s="1"/>
  <c r="M22"/>
  <c r="N22" s="1"/>
  <c r="M21"/>
  <c r="N21" s="1"/>
  <c r="M20"/>
  <c r="N20" s="1"/>
  <c r="M19"/>
  <c r="N19" s="1"/>
  <c r="M18"/>
  <c r="N18" s="1"/>
  <c r="M17"/>
  <c r="N17" s="1"/>
  <c r="L16"/>
  <c r="K16"/>
  <c r="M14"/>
  <c r="N14" s="1"/>
  <c r="L13"/>
  <c r="K13"/>
  <c r="M11"/>
  <c r="M10"/>
  <c r="N10" s="1"/>
  <c r="M9"/>
  <c r="L8"/>
  <c r="K8"/>
  <c r="M30" i="65068"/>
  <c r="N30" s="1"/>
  <c r="M29"/>
  <c r="L28"/>
  <c r="K28"/>
  <c r="D13" i="65125" s="1"/>
  <c r="M26" i="65068"/>
  <c r="M25"/>
  <c r="N25" s="1"/>
  <c r="M24"/>
  <c r="N24" s="1"/>
  <c r="M23"/>
  <c r="N23" s="1"/>
  <c r="M22"/>
  <c r="M21"/>
  <c r="N21" s="1"/>
  <c r="M20"/>
  <c r="N20" s="1"/>
  <c r="M19"/>
  <c r="N19" s="1"/>
  <c r="M18"/>
  <c r="N18" s="1"/>
  <c r="M17"/>
  <c r="N17" s="1"/>
  <c r="L16"/>
  <c r="K16"/>
  <c r="M14"/>
  <c r="L13"/>
  <c r="L33" s="1"/>
  <c r="L34" s="1"/>
  <c r="L35" s="1"/>
  <c r="K13"/>
  <c r="M11"/>
  <c r="M10"/>
  <c r="N10" s="1"/>
  <c r="M9"/>
  <c r="N9" s="1"/>
  <c r="M30" i="65123"/>
  <c r="N30" s="1"/>
  <c r="M29"/>
  <c r="L28"/>
  <c r="K28"/>
  <c r="D12" i="65125" s="1"/>
  <c r="M26" i="65123"/>
  <c r="M25"/>
  <c r="N25" s="1"/>
  <c r="M24"/>
  <c r="M23"/>
  <c r="N23" s="1"/>
  <c r="M22"/>
  <c r="M21"/>
  <c r="M20"/>
  <c r="N20" s="1"/>
  <c r="M19"/>
  <c r="N19" s="1"/>
  <c r="M18"/>
  <c r="M17"/>
  <c r="N17" s="1"/>
  <c r="L16"/>
  <c r="K16"/>
  <c r="M14"/>
  <c r="L13"/>
  <c r="K13"/>
  <c r="M11"/>
  <c r="M10"/>
  <c r="N10" s="1"/>
  <c r="M9"/>
  <c r="N9" s="1"/>
  <c r="L8"/>
  <c r="K8"/>
  <c r="M30" i="65099"/>
  <c r="N30" s="1"/>
  <c r="M29"/>
  <c r="L28"/>
  <c r="D11" i="65125"/>
  <c r="M26" i="65099"/>
  <c r="M25"/>
  <c r="N25" s="1"/>
  <c r="M24"/>
  <c r="M23"/>
  <c r="M22"/>
  <c r="M21"/>
  <c r="M20"/>
  <c r="N20" s="1"/>
  <c r="M19"/>
  <c r="N19" s="1"/>
  <c r="M18"/>
  <c r="M17"/>
  <c r="N17" s="1"/>
  <c r="L16"/>
  <c r="M14"/>
  <c r="L13"/>
  <c r="K13"/>
  <c r="M11"/>
  <c r="M10"/>
  <c r="N10" s="1"/>
  <c r="M9"/>
  <c r="N9" s="1"/>
  <c r="K8"/>
  <c r="M30" i="65067"/>
  <c r="N30" s="1"/>
  <c r="M29"/>
  <c r="L28"/>
  <c r="K28"/>
  <c r="D10" i="65125" s="1"/>
  <c r="M26" i="65067"/>
  <c r="M25"/>
  <c r="N25" s="1"/>
  <c r="M24"/>
  <c r="M23"/>
  <c r="M22"/>
  <c r="M21"/>
  <c r="M20"/>
  <c r="M19"/>
  <c r="M18"/>
  <c r="M17"/>
  <c r="N17" s="1"/>
  <c r="L16"/>
  <c r="K16"/>
  <c r="M14"/>
  <c r="L13"/>
  <c r="M11"/>
  <c r="M10"/>
  <c r="N10" s="1"/>
  <c r="M9"/>
  <c r="L8"/>
  <c r="M33" i="65066"/>
  <c r="N33" s="1"/>
  <c r="M32"/>
  <c r="L31"/>
  <c r="K31"/>
  <c r="D9" i="65125" s="1"/>
  <c r="M29" i="65066"/>
  <c r="L28"/>
  <c r="K28"/>
  <c r="M26"/>
  <c r="M25"/>
  <c r="N25" s="1"/>
  <c r="M24"/>
  <c r="M23"/>
  <c r="N23" s="1"/>
  <c r="M22"/>
  <c r="M21"/>
  <c r="M20"/>
  <c r="M19"/>
  <c r="N19" s="1"/>
  <c r="M18"/>
  <c r="M17"/>
  <c r="N17" s="1"/>
  <c r="L16"/>
  <c r="K16"/>
  <c r="M14"/>
  <c r="L13"/>
  <c r="K13"/>
  <c r="M11"/>
  <c r="M10"/>
  <c r="N10" s="1"/>
  <c r="M9"/>
  <c r="L8"/>
  <c r="K8"/>
  <c r="M53" i="65065"/>
  <c r="M52"/>
  <c r="N52" s="1"/>
  <c r="M51"/>
  <c r="L50"/>
  <c r="K50"/>
  <c r="D8" i="65125" s="1"/>
  <c r="M48" i="65065"/>
  <c r="L47"/>
  <c r="K47"/>
  <c r="M45"/>
  <c r="M44"/>
  <c r="M43"/>
  <c r="M42"/>
  <c r="M41"/>
  <c r="M40"/>
  <c r="M39"/>
  <c r="M38"/>
  <c r="M37"/>
  <c r="M36"/>
  <c r="M35"/>
  <c r="L34"/>
  <c r="K34"/>
  <c r="M32"/>
  <c r="N32" s="1"/>
  <c r="M31"/>
  <c r="M30"/>
  <c r="N30" s="1"/>
  <c r="M29"/>
  <c r="N29" s="1"/>
  <c r="M28"/>
  <c r="N28" s="1"/>
  <c r="M27"/>
  <c r="M26"/>
  <c r="N26" s="1"/>
  <c r="M25"/>
  <c r="N25" s="1"/>
  <c r="M24"/>
  <c r="N24" s="1"/>
  <c r="M23"/>
  <c r="M22"/>
  <c r="N22" s="1"/>
  <c r="L21"/>
  <c r="K21"/>
  <c r="M19"/>
  <c r="N19" s="1"/>
  <c r="L18"/>
  <c r="K18"/>
  <c r="M16"/>
  <c r="N16" s="1"/>
  <c r="M15"/>
  <c r="N15" s="1"/>
  <c r="M14"/>
  <c r="L13"/>
  <c r="K13"/>
  <c r="M11"/>
  <c r="M10"/>
  <c r="M9"/>
  <c r="L8"/>
  <c r="K8"/>
  <c r="M30" i="16"/>
  <c r="N30" s="1"/>
  <c r="M29"/>
  <c r="N29" s="1"/>
  <c r="L28"/>
  <c r="K28"/>
  <c r="D7" i="65125" s="1"/>
  <c r="M26" i="16"/>
  <c r="M25"/>
  <c r="N25" s="1"/>
  <c r="M24"/>
  <c r="N24" s="1"/>
  <c r="M23"/>
  <c r="N23" s="1"/>
  <c r="M22"/>
  <c r="M21"/>
  <c r="N21" s="1"/>
  <c r="M20"/>
  <c r="N20" s="1"/>
  <c r="M19"/>
  <c r="N19" s="1"/>
  <c r="M18"/>
  <c r="N18" s="1"/>
  <c r="M17"/>
  <c r="N17" s="1"/>
  <c r="L16"/>
  <c r="K16"/>
  <c r="M14"/>
  <c r="L13"/>
  <c r="M11"/>
  <c r="M10"/>
  <c r="N10" s="1"/>
  <c r="M9"/>
  <c r="N9" s="1"/>
  <c r="L8"/>
  <c r="N39" i="65080" l="1"/>
  <c r="F65" i="65137"/>
  <c r="I37" i="300"/>
  <c r="N33" i="65080"/>
  <c r="F62" i="65137"/>
  <c r="D32" i="65124"/>
  <c r="N10" i="65088"/>
  <c r="D31" i="65124"/>
  <c r="N10" i="65087"/>
  <c r="D30" i="65124"/>
  <c r="N10" i="65086"/>
  <c r="D25" i="65124"/>
  <c r="N10" i="65081"/>
  <c r="C24" i="65124"/>
  <c r="N9" i="65082"/>
  <c r="D37" i="65124"/>
  <c r="M13" i="65080"/>
  <c r="N13" s="1"/>
  <c r="N14"/>
  <c r="M13" i="65079"/>
  <c r="N13" s="1"/>
  <c r="N14"/>
  <c r="C22" i="65124"/>
  <c r="N9" i="65079"/>
  <c r="M13" i="65078"/>
  <c r="N14"/>
  <c r="K89" i="300"/>
  <c r="N35" i="65076"/>
  <c r="K102" i="300"/>
  <c r="N53" i="65065"/>
  <c r="M47"/>
  <c r="N48"/>
  <c r="K71" i="300"/>
  <c r="N45" i="65065"/>
  <c r="K78" i="300"/>
  <c r="N44" i="65065"/>
  <c r="K77" i="300"/>
  <c r="N43" i="65065"/>
  <c r="K76" i="300"/>
  <c r="N42" i="65065"/>
  <c r="K75" i="300"/>
  <c r="N41" i="65065"/>
  <c r="K74" i="300"/>
  <c r="N40" i="65065"/>
  <c r="K73" i="300"/>
  <c r="N39" i="65065"/>
  <c r="K72" i="300"/>
  <c r="N38" i="65065"/>
  <c r="K61" i="300"/>
  <c r="N37" i="65065"/>
  <c r="K49" i="300"/>
  <c r="N36" i="65065"/>
  <c r="K39" i="300"/>
  <c r="N31" i="65065"/>
  <c r="C6" i="65124"/>
  <c r="N14" i="65065"/>
  <c r="K12" i="300"/>
  <c r="N11" i="65065"/>
  <c r="K11" i="300"/>
  <c r="N10" i="65065"/>
  <c r="K10" i="300"/>
  <c r="N9" i="65065"/>
  <c r="D17" i="65124"/>
  <c r="N10" i="65115"/>
  <c r="M13" i="65100"/>
  <c r="N13" s="1"/>
  <c r="N14"/>
  <c r="M13" i="65071"/>
  <c r="N14"/>
  <c r="M13" i="65070"/>
  <c r="N13" s="1"/>
  <c r="N14"/>
  <c r="C13" i="65124"/>
  <c r="N9" i="65070"/>
  <c r="C12" i="65124"/>
  <c r="N9" i="65069"/>
  <c r="M13" i="65068"/>
  <c r="N13" s="1"/>
  <c r="N14"/>
  <c r="D33" i="65124"/>
  <c r="N10" i="65089"/>
  <c r="M16" i="65076"/>
  <c r="N16" s="1"/>
  <c r="N17"/>
  <c r="C18" i="65124"/>
  <c r="N9" i="65075"/>
  <c r="M13" i="65123"/>
  <c r="N13" s="1"/>
  <c r="N14"/>
  <c r="L33" i="65099"/>
  <c r="M13"/>
  <c r="N14"/>
  <c r="M13" i="65067"/>
  <c r="N14"/>
  <c r="C8" i="65124"/>
  <c r="N9" i="65067"/>
  <c r="M13" i="65066"/>
  <c r="N14"/>
  <c r="C7" i="65124"/>
  <c r="N9" i="65066"/>
  <c r="M13" i="16"/>
  <c r="N14"/>
  <c r="L33" i="65123"/>
  <c r="K64" i="300"/>
  <c r="N31" i="65077"/>
  <c r="L33" i="65074"/>
  <c r="K62" i="300"/>
  <c r="N29" i="65066"/>
  <c r="K53" i="300"/>
  <c r="N31" i="65078"/>
  <c r="M29" i="65075"/>
  <c r="N29" s="1"/>
  <c r="N30"/>
  <c r="M28" i="65093"/>
  <c r="N28" s="1"/>
  <c r="N29"/>
  <c r="K66" i="300"/>
  <c r="N36" i="65080"/>
  <c r="L33" i="16"/>
  <c r="L34" s="1"/>
  <c r="L35" s="1"/>
  <c r="M48" i="65080"/>
  <c r="N49"/>
  <c r="K40" i="300"/>
  <c r="N29" i="65076"/>
  <c r="K97" i="300"/>
  <c r="N39" i="65076"/>
  <c r="D18" i="304"/>
  <c r="D17"/>
  <c r="D29"/>
  <c r="D16"/>
  <c r="D34" i="65124"/>
  <c r="K39" i="65079"/>
  <c r="K40" s="1"/>
  <c r="K41" s="1"/>
  <c r="M34" i="65077"/>
  <c r="N34" s="1"/>
  <c r="K39"/>
  <c r="K40" s="1"/>
  <c r="K41" s="1"/>
  <c r="K65" i="300"/>
  <c r="K33" i="65070"/>
  <c r="M28" i="65105"/>
  <c r="M16"/>
  <c r="N16" s="1"/>
  <c r="M28" i="65098"/>
  <c r="M16"/>
  <c r="N16" s="1"/>
  <c r="D39" i="65124"/>
  <c r="M16" i="65097"/>
  <c r="N16" s="1"/>
  <c r="D38" i="65124"/>
  <c r="M28" i="65096"/>
  <c r="J37" i="65124" s="1"/>
  <c r="M16" i="65096"/>
  <c r="N16" s="1"/>
  <c r="M32" i="65095"/>
  <c r="M28"/>
  <c r="M16"/>
  <c r="M28" i="65094"/>
  <c r="M16"/>
  <c r="N16" s="1"/>
  <c r="M31" i="65093"/>
  <c r="M16"/>
  <c r="N16" s="1"/>
  <c r="M16" i="65089"/>
  <c r="N16" s="1"/>
  <c r="M28" i="65088"/>
  <c r="M16"/>
  <c r="N16" s="1"/>
  <c r="M28" i="65087"/>
  <c r="M16"/>
  <c r="N16" s="1"/>
  <c r="M28" i="65086"/>
  <c r="M16"/>
  <c r="N16" s="1"/>
  <c r="M28" i="65085"/>
  <c r="M16"/>
  <c r="N16" s="1"/>
  <c r="M28" i="65084"/>
  <c r="M16"/>
  <c r="N16" s="1"/>
  <c r="M16" i="65122"/>
  <c r="N16" s="1"/>
  <c r="D27" i="65124"/>
  <c r="M16" i="65083"/>
  <c r="N16" s="1"/>
  <c r="M28"/>
  <c r="M28" i="65081"/>
  <c r="N28" s="1"/>
  <c r="M16"/>
  <c r="N16" s="1"/>
  <c r="M8"/>
  <c r="N8" s="1"/>
  <c r="M28" i="65082"/>
  <c r="M16"/>
  <c r="N16" s="1"/>
  <c r="K33"/>
  <c r="M44" i="65080"/>
  <c r="N44" s="1"/>
  <c r="K52"/>
  <c r="M8"/>
  <c r="N8" s="1"/>
  <c r="L39" i="65079"/>
  <c r="L40" s="1"/>
  <c r="L41" s="1"/>
  <c r="M8"/>
  <c r="N8" s="1"/>
  <c r="M28"/>
  <c r="N28" s="1"/>
  <c r="M29" i="65078"/>
  <c r="L39"/>
  <c r="L40" s="1"/>
  <c r="L41" s="1"/>
  <c r="M8" i="65077"/>
  <c r="N8" s="1"/>
  <c r="D20" i="65124"/>
  <c r="M45" i="65076"/>
  <c r="M37"/>
  <c r="N37" s="1"/>
  <c r="M32"/>
  <c r="N32" s="1"/>
  <c r="M19"/>
  <c r="N19" s="1"/>
  <c r="D19" i="65124"/>
  <c r="M32" i="65075"/>
  <c r="N32" s="1"/>
  <c r="M16"/>
  <c r="N16" s="1"/>
  <c r="K37"/>
  <c r="K38" s="1"/>
  <c r="K39" s="1"/>
  <c r="M28" i="65115"/>
  <c r="M16"/>
  <c r="N16" s="1"/>
  <c r="L33" i="65100"/>
  <c r="M28"/>
  <c r="N28" s="1"/>
  <c r="M16"/>
  <c r="M8"/>
  <c r="N8" s="1"/>
  <c r="M28" i="65074"/>
  <c r="N28" s="1"/>
  <c r="K33"/>
  <c r="L34" i="65071"/>
  <c r="L35" s="1"/>
  <c r="M8"/>
  <c r="N8" s="1"/>
  <c r="M29"/>
  <c r="N29" s="1"/>
  <c r="M16"/>
  <c r="N16" s="1"/>
  <c r="M28" i="65070"/>
  <c r="J13" i="65124" s="1"/>
  <c r="M16" i="65070"/>
  <c r="M28" i="65069"/>
  <c r="M16"/>
  <c r="N16" s="1"/>
  <c r="K33"/>
  <c r="K34" s="1"/>
  <c r="K35" s="1"/>
  <c r="M28" i="65068"/>
  <c r="N28" s="1"/>
  <c r="M16"/>
  <c r="N16" s="1"/>
  <c r="K33"/>
  <c r="K34" s="1"/>
  <c r="K35" s="1"/>
  <c r="D11" i="65124"/>
  <c r="M8" i="65068"/>
  <c r="N8" s="1"/>
  <c r="M28" i="65123"/>
  <c r="N28" s="1"/>
  <c r="M16"/>
  <c r="N16" s="1"/>
  <c r="K33"/>
  <c r="D10" i="65124"/>
  <c r="M8" i="65123"/>
  <c r="N8" s="1"/>
  <c r="M28" i="65099"/>
  <c r="N28" s="1"/>
  <c r="K33"/>
  <c r="M8"/>
  <c r="N8" s="1"/>
  <c r="L33" i="65067"/>
  <c r="M28"/>
  <c r="M16"/>
  <c r="N16" s="1"/>
  <c r="D8" i="65124"/>
  <c r="L56" i="65065"/>
  <c r="J15" i="300"/>
  <c r="J46"/>
  <c r="M31" i="65066"/>
  <c r="M16"/>
  <c r="N16" s="1"/>
  <c r="M50" i="65065"/>
  <c r="M34"/>
  <c r="M21"/>
  <c r="K56"/>
  <c r="M28" i="16"/>
  <c r="K42" i="300"/>
  <c r="K38"/>
  <c r="K35"/>
  <c r="K32"/>
  <c r="K30"/>
  <c r="K29"/>
  <c r="K28"/>
  <c r="K27"/>
  <c r="M16" i="16"/>
  <c r="K26" i="300"/>
  <c r="D5" i="65124"/>
  <c r="K19" i="300"/>
  <c r="K18"/>
  <c r="I15"/>
  <c r="C5" i="65124"/>
  <c r="D15" i="304"/>
  <c r="J40" i="65124"/>
  <c r="F40"/>
  <c r="L33" i="65105"/>
  <c r="L34" s="1"/>
  <c r="L35" s="1"/>
  <c r="D40" i="65124"/>
  <c r="J39"/>
  <c r="F39"/>
  <c r="L33" i="65098"/>
  <c r="L34" s="1"/>
  <c r="L35" s="1"/>
  <c r="M28" i="65097"/>
  <c r="F38" i="65124"/>
  <c r="L33" i="65097"/>
  <c r="L34" s="1"/>
  <c r="L35" s="1"/>
  <c r="F37" i="65124"/>
  <c r="L33" i="65096"/>
  <c r="L34" s="1"/>
  <c r="L35" s="1"/>
  <c r="J36" i="65124"/>
  <c r="K69" i="300"/>
  <c r="L37" i="65095"/>
  <c r="L38" s="1"/>
  <c r="L39" s="1"/>
  <c r="D36" i="65124"/>
  <c r="F35"/>
  <c r="L33" i="65094"/>
  <c r="L34" s="1"/>
  <c r="L35" s="1"/>
  <c r="D35" i="65124"/>
  <c r="K68" i="300"/>
  <c r="G34" i="65124"/>
  <c r="F34"/>
  <c r="L36" i="65093"/>
  <c r="L37" s="1"/>
  <c r="L38" s="1"/>
  <c r="M28" i="65089"/>
  <c r="F33" i="65124"/>
  <c r="L33" i="65089"/>
  <c r="L34" s="1"/>
  <c r="L35" s="1"/>
  <c r="J32" i="65124"/>
  <c r="F32"/>
  <c r="L33" i="65088"/>
  <c r="J31" i="65124"/>
  <c r="F31"/>
  <c r="L33" i="65087"/>
  <c r="J30" i="65124"/>
  <c r="F30"/>
  <c r="L33" i="65086"/>
  <c r="F29" i="65124"/>
  <c r="L33" i="65085"/>
  <c r="D29" i="65124"/>
  <c r="F28"/>
  <c r="L33" i="65084"/>
  <c r="D28" i="65124"/>
  <c r="J27"/>
  <c r="F27"/>
  <c r="L33" i="65083"/>
  <c r="F26" i="65124"/>
  <c r="D26"/>
  <c r="J25"/>
  <c r="K33" i="65081"/>
  <c r="F25" i="65124"/>
  <c r="M13" i="65081"/>
  <c r="N13" s="1"/>
  <c r="L33"/>
  <c r="C25" i="65124"/>
  <c r="M13" i="65082"/>
  <c r="N13" s="1"/>
  <c r="M8"/>
  <c r="N8" s="1"/>
  <c r="L33"/>
  <c r="D24" i="65124"/>
  <c r="K106" i="300"/>
  <c r="J23" i="65124"/>
  <c r="M41" i="65080"/>
  <c r="N41" s="1"/>
  <c r="K95" i="300"/>
  <c r="M30" i="65080"/>
  <c r="N30" s="1"/>
  <c r="K58" i="300"/>
  <c r="K67"/>
  <c r="K79"/>
  <c r="K55"/>
  <c r="K57"/>
  <c r="K59"/>
  <c r="K80"/>
  <c r="M16" i="65080"/>
  <c r="N16" s="1"/>
  <c r="K41" i="300"/>
  <c r="E23" i="65124"/>
  <c r="C23"/>
  <c r="L52" i="65080"/>
  <c r="D23" i="65124"/>
  <c r="M34" i="65079"/>
  <c r="N34" s="1"/>
  <c r="K54" i="300"/>
  <c r="K84"/>
  <c r="K86"/>
  <c r="G22" i="65124"/>
  <c r="K85" i="300"/>
  <c r="M16" i="65079"/>
  <c r="E22" i="65124"/>
  <c r="D22"/>
  <c r="K103" i="300"/>
  <c r="M33" i="65078"/>
  <c r="N33" s="1"/>
  <c r="K52" i="300"/>
  <c r="M16" i="65078"/>
  <c r="N16" s="1"/>
  <c r="K33" i="300"/>
  <c r="D21" i="65124"/>
  <c r="C21"/>
  <c r="J20"/>
  <c r="K51" i="300"/>
  <c r="F54" i="65137"/>
  <c r="M28" i="65077"/>
  <c r="N28" s="1"/>
  <c r="M16"/>
  <c r="N16" s="1"/>
  <c r="M13"/>
  <c r="N13" s="1"/>
  <c r="L39"/>
  <c r="L40" s="1"/>
  <c r="L41" s="1"/>
  <c r="C20" i="65124"/>
  <c r="K108" i="300"/>
  <c r="K107"/>
  <c r="M41" i="65076"/>
  <c r="N41" s="1"/>
  <c r="K96" i="300"/>
  <c r="I19" i="65124"/>
  <c r="G19"/>
  <c r="K50" i="300"/>
  <c r="K88"/>
  <c r="F19" i="65124"/>
  <c r="E19"/>
  <c r="C19"/>
  <c r="M11" i="65076"/>
  <c r="N11" s="1"/>
  <c r="L50"/>
  <c r="L51" s="1"/>
  <c r="L52" s="1"/>
  <c r="K13" i="300"/>
  <c r="M8" i="65076"/>
  <c r="N8" s="1"/>
  <c r="K83" i="300"/>
  <c r="G18" i="65124"/>
  <c r="K43" i="300"/>
  <c r="F18" i="65124"/>
  <c r="L37" i="65075"/>
  <c r="L38" s="1"/>
  <c r="L39" s="1"/>
  <c r="M13"/>
  <c r="N13" s="1"/>
  <c r="M8"/>
  <c r="N8" s="1"/>
  <c r="D18" i="65124"/>
  <c r="F17"/>
  <c r="L33" i="65115"/>
  <c r="L34" s="1"/>
  <c r="J16" i="65124"/>
  <c r="E16"/>
  <c r="K33" i="65100"/>
  <c r="K34" s="1"/>
  <c r="C16" i="65124"/>
  <c r="D16"/>
  <c r="J15"/>
  <c r="M16" i="65074"/>
  <c r="N16" s="1"/>
  <c r="M13"/>
  <c r="N13" s="1"/>
  <c r="M8"/>
  <c r="N8" s="1"/>
  <c r="C15" i="65124"/>
  <c r="L34" i="65100"/>
  <c r="D15" i="65124"/>
  <c r="J14"/>
  <c r="F14"/>
  <c r="C14"/>
  <c r="D14"/>
  <c r="E13"/>
  <c r="L33" i="65070"/>
  <c r="M8"/>
  <c r="N8" s="1"/>
  <c r="D13" i="65124"/>
  <c r="F12"/>
  <c r="M13" i="65069"/>
  <c r="N13" s="1"/>
  <c r="M8"/>
  <c r="N8" s="1"/>
  <c r="L33"/>
  <c r="L34" s="1"/>
  <c r="L35" s="1"/>
  <c r="D12" i="65124"/>
  <c r="J11"/>
  <c r="F11"/>
  <c r="M33" i="65068"/>
  <c r="E11" i="65124"/>
  <c r="C11"/>
  <c r="J10"/>
  <c r="F10"/>
  <c r="M33" i="65123"/>
  <c r="E10" i="65124"/>
  <c r="C10"/>
  <c r="J9"/>
  <c r="M16" i="65099"/>
  <c r="D9" i="65124"/>
  <c r="C9"/>
  <c r="M28" i="65066"/>
  <c r="N28" s="1"/>
  <c r="M8"/>
  <c r="N8" s="1"/>
  <c r="K36"/>
  <c r="L36"/>
  <c r="D7" i="65124"/>
  <c r="K100" i="300"/>
  <c r="K92"/>
  <c r="K70"/>
  <c r="K48"/>
  <c r="K25"/>
  <c r="M18" i="65065"/>
  <c r="N18" s="1"/>
  <c r="M13"/>
  <c r="N13" s="1"/>
  <c r="D6" i="65124"/>
  <c r="K9" i="300"/>
  <c r="L42" i="65124" s="1"/>
  <c r="M8" i="65065"/>
  <c r="N8" s="1"/>
  <c r="J24" i="300"/>
  <c r="I24"/>
  <c r="I46"/>
  <c r="M9" i="65115"/>
  <c r="N9" s="1"/>
  <c r="K8"/>
  <c r="M14"/>
  <c r="N14" s="1"/>
  <c r="K13"/>
  <c r="M9" i="65105"/>
  <c r="N9" s="1"/>
  <c r="K8"/>
  <c r="M14"/>
  <c r="N14" s="1"/>
  <c r="K13"/>
  <c r="M9" i="65098"/>
  <c r="N9" s="1"/>
  <c r="K8"/>
  <c r="M14"/>
  <c r="N14" s="1"/>
  <c r="K13"/>
  <c r="M9" i="65097"/>
  <c r="N9" s="1"/>
  <c r="K8"/>
  <c r="M14"/>
  <c r="N14" s="1"/>
  <c r="K13"/>
  <c r="M9" i="65096"/>
  <c r="N9" s="1"/>
  <c r="K8"/>
  <c r="M14"/>
  <c r="N14" s="1"/>
  <c r="K13"/>
  <c r="M9" i="65095"/>
  <c r="N9" s="1"/>
  <c r="K8"/>
  <c r="M14"/>
  <c r="N14" s="1"/>
  <c r="K13"/>
  <c r="M9" i="65089"/>
  <c r="N9" s="1"/>
  <c r="K8"/>
  <c r="M14"/>
  <c r="N14" s="1"/>
  <c r="K13"/>
  <c r="M9" i="65088"/>
  <c r="N9" s="1"/>
  <c r="K8"/>
  <c r="M14"/>
  <c r="N14" s="1"/>
  <c r="K13"/>
  <c r="M9" i="65086"/>
  <c r="N9" s="1"/>
  <c r="K8"/>
  <c r="M14"/>
  <c r="N14" s="1"/>
  <c r="K13"/>
  <c r="M9" i="65084"/>
  <c r="N9" s="1"/>
  <c r="K8"/>
  <c r="M14"/>
  <c r="N14" s="1"/>
  <c r="K13"/>
  <c r="M9" i="65122"/>
  <c r="N9" s="1"/>
  <c r="K8"/>
  <c r="M14"/>
  <c r="N14" s="1"/>
  <c r="K13"/>
  <c r="M31"/>
  <c r="L29"/>
  <c r="M9" i="65094"/>
  <c r="N9" s="1"/>
  <c r="K8"/>
  <c r="M14"/>
  <c r="N14" s="1"/>
  <c r="K13"/>
  <c r="M9" i="65093"/>
  <c r="N9" s="1"/>
  <c r="K8"/>
  <c r="M14"/>
  <c r="N14" s="1"/>
  <c r="K13"/>
  <c r="M9" i="65087"/>
  <c r="N9" s="1"/>
  <c r="K8"/>
  <c r="M14"/>
  <c r="N14" s="1"/>
  <c r="K13"/>
  <c r="M9" i="65085"/>
  <c r="N9" s="1"/>
  <c r="K8"/>
  <c r="M14"/>
  <c r="N14" s="1"/>
  <c r="K13"/>
  <c r="M9" i="65083"/>
  <c r="N9" s="1"/>
  <c r="M14"/>
  <c r="N14" s="1"/>
  <c r="M33" i="65081"/>
  <c r="M8" i="65078"/>
  <c r="N8" s="1"/>
  <c r="K8"/>
  <c r="K13"/>
  <c r="K19" i="65076"/>
  <c r="K50" s="1"/>
  <c r="K51" s="1"/>
  <c r="K52" s="1"/>
  <c r="K8" i="65071"/>
  <c r="K13"/>
  <c r="M33" i="65070"/>
  <c r="F29" i="65137" s="1"/>
  <c r="M8" i="65067"/>
  <c r="N8" s="1"/>
  <c r="K8"/>
  <c r="K13"/>
  <c r="M36" i="65066"/>
  <c r="M8" i="16"/>
  <c r="N8" s="1"/>
  <c r="K8"/>
  <c r="K13"/>
  <c r="K94" i="300" l="1"/>
  <c r="K60"/>
  <c r="M33" i="65082"/>
  <c r="E21" i="65124"/>
  <c r="N13" i="65078"/>
  <c r="M34" i="65068"/>
  <c r="M35" s="1"/>
  <c r="F11" i="65137"/>
  <c r="J6" i="65124"/>
  <c r="N50" i="65065"/>
  <c r="H6" i="65124"/>
  <c r="N47" i="65065"/>
  <c r="G6" i="65124"/>
  <c r="N34" i="65065"/>
  <c r="J7" i="300"/>
  <c r="E14" i="65124"/>
  <c r="N13" i="65071"/>
  <c r="E9" i="65124"/>
  <c r="N13" i="65099"/>
  <c r="J8" i="65124"/>
  <c r="N28" i="65067"/>
  <c r="E8" i="65124"/>
  <c r="N13" i="65067"/>
  <c r="E7" i="65124"/>
  <c r="N13" i="65066"/>
  <c r="E5" i="65124"/>
  <c r="N13" i="16"/>
  <c r="K17" i="300"/>
  <c r="N28" i="65098"/>
  <c r="N32" i="65095"/>
  <c r="G36" i="65124"/>
  <c r="N28" i="65095"/>
  <c r="F36" i="65124"/>
  <c r="N16" i="65095"/>
  <c r="M33" i="65074"/>
  <c r="J7" i="65124"/>
  <c r="N31" i="65066"/>
  <c r="N28" i="65105"/>
  <c r="M33" i="65099"/>
  <c r="N16"/>
  <c r="J35" i="65124"/>
  <c r="J12"/>
  <c r="N28" i="65069"/>
  <c r="G21" i="65124"/>
  <c r="N29" i="65078"/>
  <c r="F24" i="65124"/>
  <c r="J24"/>
  <c r="N28" i="65082"/>
  <c r="F13" i="65124"/>
  <c r="N16" i="65070"/>
  <c r="N28" i="65089"/>
  <c r="K101" i="300"/>
  <c r="K99" s="1"/>
  <c r="N31" i="65122"/>
  <c r="L34"/>
  <c r="L35" s="1"/>
  <c r="N28" i="65083"/>
  <c r="N28" i="65087"/>
  <c r="N28" i="65088"/>
  <c r="N28" i="65086"/>
  <c r="J29" i="65124"/>
  <c r="N28" i="65085"/>
  <c r="J28" i="65124"/>
  <c r="N28" i="65084"/>
  <c r="J34" i="65124"/>
  <c r="N31" i="65093"/>
  <c r="M39" i="65079"/>
  <c r="N16"/>
  <c r="N28" i="65097"/>
  <c r="J17" i="65124"/>
  <c r="N28" i="65115"/>
  <c r="F16" i="65124"/>
  <c r="N16" i="65100"/>
  <c r="N28" i="65096"/>
  <c r="J5" i="65124"/>
  <c r="N28" i="16"/>
  <c r="F5" i="65124"/>
  <c r="N16" i="16"/>
  <c r="F6" i="65124"/>
  <c r="N21" i="65065"/>
  <c r="K23" i="65124"/>
  <c r="N48" i="65080"/>
  <c r="K19" i="65124"/>
  <c r="N45" i="65076"/>
  <c r="E16" i="304"/>
  <c r="E14" s="1"/>
  <c r="K47" i="300"/>
  <c r="L35" i="65115"/>
  <c r="M52" i="65080"/>
  <c r="F76" i="65137" s="1"/>
  <c r="J18" i="65124"/>
  <c r="M33" i="65100"/>
  <c r="K31" i="300"/>
  <c r="K105"/>
  <c r="G27" i="304"/>
  <c r="K87" i="300"/>
  <c r="K37"/>
  <c r="M34" i="65071"/>
  <c r="F8" i="65124"/>
  <c r="M33" i="65067"/>
  <c r="G7" i="65124"/>
  <c r="K34" i="300"/>
  <c r="F7" i="65124"/>
  <c r="K91" i="300"/>
  <c r="E6" i="65124"/>
  <c r="M56" i="65065"/>
  <c r="G21" i="304"/>
  <c r="M33" i="16"/>
  <c r="M13" i="65105"/>
  <c r="N13" s="1"/>
  <c r="M8"/>
  <c r="N8" s="1"/>
  <c r="C40" i="65124"/>
  <c r="M13" i="65098"/>
  <c r="N13" s="1"/>
  <c r="M8"/>
  <c r="N8" s="1"/>
  <c r="C39" i="65124"/>
  <c r="J38"/>
  <c r="M13" i="65097"/>
  <c r="N13" s="1"/>
  <c r="M8"/>
  <c r="N8" s="1"/>
  <c r="C38" i="65124"/>
  <c r="M13" i="65096"/>
  <c r="N13" s="1"/>
  <c r="M8"/>
  <c r="N8" s="1"/>
  <c r="C37" i="65124"/>
  <c r="M13" i="65095"/>
  <c r="N13" s="1"/>
  <c r="M8"/>
  <c r="N8" s="1"/>
  <c r="C36" i="65124"/>
  <c r="M13" i="65094"/>
  <c r="N13" s="1"/>
  <c r="M8"/>
  <c r="N8" s="1"/>
  <c r="C35" i="65124"/>
  <c r="M13" i="65093"/>
  <c r="N13" s="1"/>
  <c r="M8"/>
  <c r="N8" s="1"/>
  <c r="C34" i="65124"/>
  <c r="J33"/>
  <c r="M13" i="65089"/>
  <c r="N13" s="1"/>
  <c r="M8"/>
  <c r="N8" s="1"/>
  <c r="C33" i="65124"/>
  <c r="M13" i="65088"/>
  <c r="N13" s="1"/>
  <c r="M8"/>
  <c r="N8" s="1"/>
  <c r="C32" i="65124"/>
  <c r="M13" i="65087"/>
  <c r="N13" s="1"/>
  <c r="M8"/>
  <c r="N8" s="1"/>
  <c r="C31" i="65124"/>
  <c r="M13" i="65086"/>
  <c r="N13" s="1"/>
  <c r="M8"/>
  <c r="N8" s="1"/>
  <c r="C30" i="65124"/>
  <c r="M13" i="65085"/>
  <c r="N13" s="1"/>
  <c r="M8"/>
  <c r="N8" s="1"/>
  <c r="C29" i="65124"/>
  <c r="M13" i="65084"/>
  <c r="N13" s="1"/>
  <c r="M8"/>
  <c r="N8" s="1"/>
  <c r="C28" i="65124"/>
  <c r="M13" i="65083"/>
  <c r="N13" s="1"/>
  <c r="M8"/>
  <c r="N8" s="1"/>
  <c r="C27" i="65124"/>
  <c r="M29" i="65122"/>
  <c r="J111" i="300"/>
  <c r="M13" i="65122"/>
  <c r="N13" s="1"/>
  <c r="K22" i="300"/>
  <c r="M8" i="65122"/>
  <c r="N8" s="1"/>
  <c r="C26" i="65124"/>
  <c r="E25"/>
  <c r="E24"/>
  <c r="I23"/>
  <c r="G23"/>
  <c r="F23"/>
  <c r="J22"/>
  <c r="K82" i="300"/>
  <c r="F22" i="65124"/>
  <c r="J21"/>
  <c r="F21"/>
  <c r="M39" i="65078"/>
  <c r="M39" i="65077"/>
  <c r="G20" i="65124"/>
  <c r="F20"/>
  <c r="E20"/>
  <c r="J19"/>
  <c r="M50" i="65076"/>
  <c r="E18" i="65124"/>
  <c r="M37" i="65075"/>
  <c r="M13" i="65115"/>
  <c r="N13" s="1"/>
  <c r="M8"/>
  <c r="N8" s="1"/>
  <c r="C17" i="65124"/>
  <c r="K16" i="300"/>
  <c r="F15" i="65124"/>
  <c r="E15"/>
  <c r="E12"/>
  <c r="M33" i="65069"/>
  <c r="F24" i="65137" s="1"/>
  <c r="F9" i="65124"/>
  <c r="L34" i="65123"/>
  <c r="L35" s="1"/>
  <c r="I7" i="300"/>
  <c r="K39" i="65078"/>
  <c r="K40" s="1"/>
  <c r="K41" s="1"/>
  <c r="M33" i="65094"/>
  <c r="M33" i="65084"/>
  <c r="M33" i="65088"/>
  <c r="M33" i="65096"/>
  <c r="M33" i="65105"/>
  <c r="K33" i="65083"/>
  <c r="K33" i="65085"/>
  <c r="K33" i="65087"/>
  <c r="K36" i="65093"/>
  <c r="K37" s="1"/>
  <c r="K38" s="1"/>
  <c r="K33" i="65094"/>
  <c r="K34" s="1"/>
  <c r="K35" s="1"/>
  <c r="K34" i="65122"/>
  <c r="K33" i="65084"/>
  <c r="K33" i="65086"/>
  <c r="K33" i="65088"/>
  <c r="K33" i="65089"/>
  <c r="K37" i="65095"/>
  <c r="K38" s="1"/>
  <c r="K39" s="1"/>
  <c r="K33" i="65096"/>
  <c r="K34" s="1"/>
  <c r="K35" s="1"/>
  <c r="K33" i="65097"/>
  <c r="K34" s="1"/>
  <c r="K35" s="1"/>
  <c r="K33" i="65098"/>
  <c r="K34" s="1"/>
  <c r="K35" s="1"/>
  <c r="K33" i="65105"/>
  <c r="K34" s="1"/>
  <c r="K35" s="1"/>
  <c r="K33" i="65115"/>
  <c r="K34" s="1"/>
  <c r="K34" i="65071"/>
  <c r="K35" s="1"/>
  <c r="K33" i="65067"/>
  <c r="K34" i="65123" s="1"/>
  <c r="K35" s="1"/>
  <c r="K33" i="16"/>
  <c r="K34" s="1"/>
  <c r="K35" s="1"/>
  <c r="M37" i="65095" l="1"/>
  <c r="F25" i="65137" s="1"/>
  <c r="M36" i="65093"/>
  <c r="M37" s="1"/>
  <c r="F39" i="65137"/>
  <c r="M33" i="65089"/>
  <c r="M34" s="1"/>
  <c r="M33" i="65098"/>
  <c r="M33" i="65097"/>
  <c r="M34" s="1"/>
  <c r="M40" i="65079"/>
  <c r="M41" s="1"/>
  <c r="F32" i="65137"/>
  <c r="M40" i="65077"/>
  <c r="M41" s="1"/>
  <c r="F86" i="65137"/>
  <c r="F9"/>
  <c r="M33" i="65115"/>
  <c r="F26" i="65137" s="1"/>
  <c r="N29" i="65122"/>
  <c r="E40" i="304"/>
  <c r="K24" i="300"/>
  <c r="G24" i="304" s="1"/>
  <c r="M33" i="65086"/>
  <c r="M34" i="65100"/>
  <c r="M34" i="65123"/>
  <c r="M35" s="1"/>
  <c r="M33" i="65087"/>
  <c r="M33" i="65085"/>
  <c r="M34" i="65122"/>
  <c r="M35" s="1"/>
  <c r="M33" i="65083"/>
  <c r="G36" i="304"/>
  <c r="K46" i="300"/>
  <c r="G25" i="304" s="1"/>
  <c r="M35" i="65071"/>
  <c r="G26" i="304"/>
  <c r="G31"/>
  <c r="K21" i="300"/>
  <c r="K15"/>
  <c r="M34" i="16"/>
  <c r="E40" i="65124"/>
  <c r="M34" i="65105"/>
  <c r="E39" i="65124"/>
  <c r="M34" i="65098"/>
  <c r="E38" i="65124"/>
  <c r="E37"/>
  <c r="M34" i="65096"/>
  <c r="E36" i="65124"/>
  <c r="M38" i="65095"/>
  <c r="E35" i="65124"/>
  <c r="M34" i="65094"/>
  <c r="E34" i="65124"/>
  <c r="E33"/>
  <c r="E32"/>
  <c r="E31"/>
  <c r="E30"/>
  <c r="E29"/>
  <c r="E28"/>
  <c r="E27"/>
  <c r="J26"/>
  <c r="E26"/>
  <c r="M40" i="65078"/>
  <c r="M51" i="65076"/>
  <c r="M38" i="65075"/>
  <c r="E17" i="65124"/>
  <c r="K35" i="65115"/>
  <c r="M34" i="65069"/>
  <c r="I111" i="300"/>
  <c r="M34" i="65115" l="1"/>
  <c r="F69" i="65137"/>
  <c r="F70"/>
  <c r="K7" i="300"/>
  <c r="K111"/>
  <c r="C121" s="1"/>
  <c r="M35" i="65115"/>
  <c r="G23" i="304"/>
  <c r="M35" i="16"/>
  <c r="G22" i="304"/>
  <c r="M35" i="65105"/>
  <c r="M35" i="65098"/>
  <c r="M35" i="65097"/>
  <c r="M35" i="65096"/>
  <c r="M39" i="65095"/>
  <c r="M35" i="65094"/>
  <c r="M38" i="65093"/>
  <c r="M35" i="65089"/>
  <c r="M41" i="65078"/>
  <c r="M52" i="65076"/>
  <c r="M39" i="65075"/>
  <c r="M35" i="65069"/>
  <c r="F198" i="65139" l="1"/>
  <c r="G198" l="1"/>
  <c r="F196"/>
  <c r="G196" s="1"/>
  <c r="F92" i="300"/>
  <c r="F91" s="1"/>
  <c r="D26" i="304" s="1"/>
  <c r="G92" i="300"/>
  <c r="L92" s="1"/>
  <c r="F108"/>
  <c r="F107"/>
  <c r="F106"/>
  <c r="F103"/>
  <c r="F102"/>
  <c r="F101"/>
  <c r="F100"/>
  <c r="F97"/>
  <c r="F96"/>
  <c r="F95"/>
  <c r="F89"/>
  <c r="F88"/>
  <c r="F86"/>
  <c r="F85"/>
  <c r="F84"/>
  <c r="F83"/>
  <c r="F81"/>
  <c r="F80"/>
  <c r="F79"/>
  <c r="F78"/>
  <c r="F77"/>
  <c r="F76"/>
  <c r="F75"/>
  <c r="F74"/>
  <c r="F73"/>
  <c r="F72"/>
  <c r="F71"/>
  <c r="F69"/>
  <c r="F68"/>
  <c r="F67"/>
  <c r="F66"/>
  <c r="F65"/>
  <c r="F64"/>
  <c r="F63"/>
  <c r="F62"/>
  <c r="F61"/>
  <c r="F59"/>
  <c r="F58"/>
  <c r="F57"/>
  <c r="F56"/>
  <c r="F55"/>
  <c r="F54"/>
  <c r="F53"/>
  <c r="F52"/>
  <c r="F51"/>
  <c r="F50"/>
  <c r="F49"/>
  <c r="F48"/>
  <c r="F44"/>
  <c r="F43"/>
  <c r="F42"/>
  <c r="F41"/>
  <c r="F39"/>
  <c r="F36"/>
  <c r="F33"/>
  <c r="F32"/>
  <c r="F30"/>
  <c r="F29"/>
  <c r="F26"/>
  <c r="F25"/>
  <c r="F19"/>
  <c r="F13"/>
  <c r="F12"/>
  <c r="F11"/>
  <c r="F10"/>
  <c r="G108"/>
  <c r="L108" s="1"/>
  <c r="G107"/>
  <c r="L107" s="1"/>
  <c r="G106"/>
  <c r="L106" s="1"/>
  <c r="G103"/>
  <c r="L103" s="1"/>
  <c r="G102"/>
  <c r="L102" s="1"/>
  <c r="G101"/>
  <c r="L101" s="1"/>
  <c r="G100"/>
  <c r="L100" s="1"/>
  <c r="G97"/>
  <c r="L97" s="1"/>
  <c r="G96"/>
  <c r="L96" s="1"/>
  <c r="G95"/>
  <c r="L95" s="1"/>
  <c r="G91"/>
  <c r="G89"/>
  <c r="L89" s="1"/>
  <c r="G88"/>
  <c r="L88" s="1"/>
  <c r="G86"/>
  <c r="L86" s="1"/>
  <c r="G85"/>
  <c r="L85" s="1"/>
  <c r="G84"/>
  <c r="L84" s="1"/>
  <c r="G83"/>
  <c r="L83" s="1"/>
  <c r="G81"/>
  <c r="L81" s="1"/>
  <c r="G80"/>
  <c r="L80" s="1"/>
  <c r="G79"/>
  <c r="L79" s="1"/>
  <c r="G78"/>
  <c r="L78" s="1"/>
  <c r="G77"/>
  <c r="L77" s="1"/>
  <c r="G76"/>
  <c r="L76" s="1"/>
  <c r="G75"/>
  <c r="L75" s="1"/>
  <c r="G74"/>
  <c r="L74" s="1"/>
  <c r="G73"/>
  <c r="L73" s="1"/>
  <c r="G72"/>
  <c r="L72" s="1"/>
  <c r="G71"/>
  <c r="L71" s="1"/>
  <c r="G69"/>
  <c r="L69" s="1"/>
  <c r="G68"/>
  <c r="L68" s="1"/>
  <c r="G67"/>
  <c r="L67" s="1"/>
  <c r="G66"/>
  <c r="L66" s="1"/>
  <c r="G65"/>
  <c r="L65" s="1"/>
  <c r="G64"/>
  <c r="L64" s="1"/>
  <c r="G63"/>
  <c r="L63" s="1"/>
  <c r="G62"/>
  <c r="L62" s="1"/>
  <c r="G61"/>
  <c r="L61" s="1"/>
  <c r="G59"/>
  <c r="L59" s="1"/>
  <c r="G58"/>
  <c r="L58" s="1"/>
  <c r="G57"/>
  <c r="L57" s="1"/>
  <c r="G56"/>
  <c r="L56" s="1"/>
  <c r="G55"/>
  <c r="L55" s="1"/>
  <c r="G54"/>
  <c r="L54" s="1"/>
  <c r="G53"/>
  <c r="L53" s="1"/>
  <c r="G52"/>
  <c r="L52" s="1"/>
  <c r="G51"/>
  <c r="L51" s="1"/>
  <c r="G50"/>
  <c r="L50" s="1"/>
  <c r="G49"/>
  <c r="L49" s="1"/>
  <c r="G48"/>
  <c r="L48" s="1"/>
  <c r="G44"/>
  <c r="L44" s="1"/>
  <c r="G43"/>
  <c r="L43" s="1"/>
  <c r="G42"/>
  <c r="L42" s="1"/>
  <c r="G41"/>
  <c r="L41" s="1"/>
  <c r="G40"/>
  <c r="L40" s="1"/>
  <c r="G39"/>
  <c r="L39" s="1"/>
  <c r="G38"/>
  <c r="L38" s="1"/>
  <c r="G36"/>
  <c r="L36" s="1"/>
  <c r="G35"/>
  <c r="L35" s="1"/>
  <c r="G33"/>
  <c r="L33" s="1"/>
  <c r="G32"/>
  <c r="L32" s="1"/>
  <c r="G30"/>
  <c r="L30" s="1"/>
  <c r="G29"/>
  <c r="L29" s="1"/>
  <c r="G28"/>
  <c r="L28" s="1"/>
  <c r="G27"/>
  <c r="L27" s="1"/>
  <c r="G26"/>
  <c r="L26" s="1"/>
  <c r="G25"/>
  <c r="L25" s="1"/>
  <c r="G19"/>
  <c r="L19" s="1"/>
  <c r="G13"/>
  <c r="L13" s="1"/>
  <c r="G12"/>
  <c r="L12" s="1"/>
  <c r="G11"/>
  <c r="L11" s="1"/>
  <c r="G10"/>
  <c r="L10" s="1"/>
  <c r="H50" i="65065"/>
  <c r="H47"/>
  <c r="H34"/>
  <c r="H45" i="65076"/>
  <c r="H41"/>
  <c r="H37"/>
  <c r="F28" i="300"/>
  <c r="H34" i="65077"/>
  <c r="H33" i="65078"/>
  <c r="H34" i="65079"/>
  <c r="H48" i="65080"/>
  <c r="H44"/>
  <c r="H41"/>
  <c r="G18" i="300"/>
  <c r="L18" s="1"/>
  <c r="G16"/>
  <c r="L16" s="1"/>
  <c r="L91" l="1"/>
  <c r="E26" i="304"/>
  <c r="H26" s="1"/>
  <c r="H33" i="65094"/>
  <c r="H34" s="1"/>
  <c r="H35" s="1"/>
  <c r="H36" i="65093"/>
  <c r="H37" s="1"/>
  <c r="H38" s="1"/>
  <c r="G105" i="300"/>
  <c r="I52" i="65080"/>
  <c r="N52" s="1"/>
  <c r="G47" i="300"/>
  <c r="L47" s="1"/>
  <c r="H33" i="65067"/>
  <c r="H33" i="65068"/>
  <c r="H34" s="1"/>
  <c r="H35" s="1"/>
  <c r="H33" i="65123"/>
  <c r="H33" i="65099"/>
  <c r="H37" i="65075"/>
  <c r="H38" s="1"/>
  <c r="H39" s="1"/>
  <c r="H33" i="65070"/>
  <c r="H34" i="65071"/>
  <c r="H35" s="1"/>
  <c r="H39" i="65079"/>
  <c r="H40" s="1"/>
  <c r="H41" s="1"/>
  <c r="H33" i="65069"/>
  <c r="H34" s="1"/>
  <c r="H35" s="1"/>
  <c r="H39" i="65077"/>
  <c r="H40" s="1"/>
  <c r="H41" s="1"/>
  <c r="H33" i="65105"/>
  <c r="H34" s="1"/>
  <c r="H35" s="1"/>
  <c r="H33" i="65097"/>
  <c r="H34" s="1"/>
  <c r="H35" s="1"/>
  <c r="H37" i="65095"/>
  <c r="H38" s="1"/>
  <c r="H39" s="1"/>
  <c r="H33" i="65088"/>
  <c r="H33" i="65087"/>
  <c r="H33" i="65086"/>
  <c r="H34" i="65122"/>
  <c r="H52" i="65080"/>
  <c r="H39" i="65078"/>
  <c r="H40" s="1"/>
  <c r="H41" s="1"/>
  <c r="H33" i="65115"/>
  <c r="H34" s="1"/>
  <c r="H33" i="65100"/>
  <c r="H33" i="65074"/>
  <c r="F27" i="300"/>
  <c r="F35"/>
  <c r="F34" s="1"/>
  <c r="F38"/>
  <c r="F40"/>
  <c r="F47"/>
  <c r="F87"/>
  <c r="F99"/>
  <c r="D31" i="304" s="1"/>
  <c r="F105" i="300"/>
  <c r="D36" i="304" s="1"/>
  <c r="F18" i="300"/>
  <c r="F17" s="1"/>
  <c r="F22"/>
  <c r="F21" s="1"/>
  <c r="D23" i="304" s="1"/>
  <c r="I33" i="65105"/>
  <c r="I33" i="65098"/>
  <c r="I33" i="65097"/>
  <c r="I33" i="65096"/>
  <c r="I37" i="65095"/>
  <c r="I33" i="65094"/>
  <c r="I36" i="65093"/>
  <c r="I33" i="65089"/>
  <c r="N33" s="1"/>
  <c r="I33" i="65088"/>
  <c r="N33" s="1"/>
  <c r="I33" i="65087"/>
  <c r="N33" s="1"/>
  <c r="I33" i="65086"/>
  <c r="N33" s="1"/>
  <c r="I33" i="65085"/>
  <c r="N33" s="1"/>
  <c r="I33" i="65084"/>
  <c r="N33" s="1"/>
  <c r="I33" i="65083"/>
  <c r="N33" s="1"/>
  <c r="I34" i="65122"/>
  <c r="N34" s="1"/>
  <c r="I33" i="65081"/>
  <c r="N33" s="1"/>
  <c r="I33" i="65082"/>
  <c r="N33" s="1"/>
  <c r="I39" i="65079"/>
  <c r="I39" i="65078"/>
  <c r="I39" i="65077"/>
  <c r="E86" i="65137" s="1"/>
  <c r="E77" s="1"/>
  <c r="E7" s="1"/>
  <c r="I37" i="65075"/>
  <c r="I33" i="65115"/>
  <c r="I33" i="65100"/>
  <c r="N33" s="1"/>
  <c r="I33" i="65074"/>
  <c r="N33" s="1"/>
  <c r="I34" i="65071"/>
  <c r="I33" i="65070"/>
  <c r="N33" s="1"/>
  <c r="I33" i="65069"/>
  <c r="I33" i="65068"/>
  <c r="I33" i="65123"/>
  <c r="N33" s="1"/>
  <c r="I33" i="65099"/>
  <c r="N33" s="1"/>
  <c r="I33" i="65067"/>
  <c r="N33" s="1"/>
  <c r="I36" i="65066"/>
  <c r="N36" s="1"/>
  <c r="G31" i="300"/>
  <c r="L31" s="1"/>
  <c r="I56" i="65065"/>
  <c r="N56" s="1"/>
  <c r="G9" i="300"/>
  <c r="G34"/>
  <c r="L34" s="1"/>
  <c r="F9"/>
  <c r="D21" i="304" s="1"/>
  <c r="F16" i="300"/>
  <c r="G22"/>
  <c r="G70"/>
  <c r="L70" s="1"/>
  <c r="F70"/>
  <c r="I33" i="16"/>
  <c r="G87" i="300"/>
  <c r="L87" s="1"/>
  <c r="G99"/>
  <c r="F31"/>
  <c r="F60"/>
  <c r="F82"/>
  <c r="F94"/>
  <c r="D27" i="304" s="1"/>
  <c r="G17" i="300"/>
  <c r="G37"/>
  <c r="L37" s="1"/>
  <c r="G60"/>
  <c r="L60" s="1"/>
  <c r="G82"/>
  <c r="L82" s="1"/>
  <c r="G94"/>
  <c r="H50" i="65076"/>
  <c r="H51" s="1"/>
  <c r="H52" s="1"/>
  <c r="H36" i="65066"/>
  <c r="I50" i="65076"/>
  <c r="L99" i="300" l="1"/>
  <c r="E31" i="304"/>
  <c r="L105" i="300"/>
  <c r="E36" i="304"/>
  <c r="L94" i="300"/>
  <c r="E27" i="304"/>
  <c r="H27" s="1"/>
  <c r="L9" i="300"/>
  <c r="E21" i="304"/>
  <c r="I34" i="65105"/>
  <c r="N33"/>
  <c r="I34" i="65098"/>
  <c r="N33"/>
  <c r="I34" i="65097"/>
  <c r="N33"/>
  <c r="I34" i="65096"/>
  <c r="N33"/>
  <c r="I38" i="65095"/>
  <c r="N37"/>
  <c r="I34" i="65094"/>
  <c r="N33"/>
  <c r="I37" i="65093"/>
  <c r="N36"/>
  <c r="I40" i="65079"/>
  <c r="N39"/>
  <c r="I40" i="65078"/>
  <c r="N39"/>
  <c r="I40" i="65077"/>
  <c r="N39"/>
  <c r="I51" i="65076"/>
  <c r="N50"/>
  <c r="I38" i="65075"/>
  <c r="N37"/>
  <c r="I34" i="65115"/>
  <c r="N34" s="1"/>
  <c r="N33"/>
  <c r="I35" i="65071"/>
  <c r="N35" s="1"/>
  <c r="N34"/>
  <c r="I34" i="65069"/>
  <c r="N33"/>
  <c r="I34" i="65068"/>
  <c r="N33"/>
  <c r="G21" i="300"/>
  <c r="L22"/>
  <c r="G15"/>
  <c r="L17"/>
  <c r="I34" i="16"/>
  <c r="N33"/>
  <c r="I34" i="65100"/>
  <c r="N34" s="1"/>
  <c r="I34" i="65123"/>
  <c r="N34" s="1"/>
  <c r="H34" i="65100"/>
  <c r="H35" i="65115" s="1"/>
  <c r="I35" i="65122"/>
  <c r="N35" s="1"/>
  <c r="I35" i="65115"/>
  <c r="N35" s="1"/>
  <c r="F37" i="300"/>
  <c r="I34" i="65089"/>
  <c r="N34" s="1"/>
  <c r="H33" i="16"/>
  <c r="H34" s="1"/>
  <c r="H35" s="1"/>
  <c r="H33" i="65098"/>
  <c r="H34" s="1"/>
  <c r="H35" s="1"/>
  <c r="F15" i="300"/>
  <c r="D22" i="304" s="1"/>
  <c r="H33" i="65096"/>
  <c r="H34" s="1"/>
  <c r="H35" s="1"/>
  <c r="H33" i="65089"/>
  <c r="H33" i="65085"/>
  <c r="H33" i="65084"/>
  <c r="H33" i="65083"/>
  <c r="H33" i="65081"/>
  <c r="H33" i="65082"/>
  <c r="F24" i="300"/>
  <c r="D24" i="304" s="1"/>
  <c r="H56" i="65065"/>
  <c r="G46" i="300"/>
  <c r="G24"/>
  <c r="F46"/>
  <c r="D25" i="304" s="1"/>
  <c r="G111" i="300"/>
  <c r="L111" s="1"/>
  <c r="F160" i="65139"/>
  <c r="G160" s="1"/>
  <c r="L46" i="300" l="1"/>
  <c r="E25" i="304"/>
  <c r="H25" s="1"/>
  <c r="L24" i="300"/>
  <c r="E24" i="304"/>
  <c r="H24" s="1"/>
  <c r="L15" i="300"/>
  <c r="E22" i="304"/>
  <c r="H22" s="1"/>
  <c r="L21" i="300"/>
  <c r="E23" i="304"/>
  <c r="H23" s="1"/>
  <c r="H21"/>
  <c r="E35"/>
  <c r="E37" s="1"/>
  <c r="H36"/>
  <c r="E30"/>
  <c r="E32" s="1"/>
  <c r="H31"/>
  <c r="I35" i="65105"/>
  <c r="N35" s="1"/>
  <c r="N34"/>
  <c r="I35" i="65098"/>
  <c r="N35" s="1"/>
  <c r="N34"/>
  <c r="I35" i="65097"/>
  <c r="N35" s="1"/>
  <c r="N34"/>
  <c r="I35" i="65096"/>
  <c r="N35" s="1"/>
  <c r="N34"/>
  <c r="I39" i="65095"/>
  <c r="N39" s="1"/>
  <c r="N38"/>
  <c r="I35" i="65094"/>
  <c r="N35" s="1"/>
  <c r="N34"/>
  <c r="I38" i="65093"/>
  <c r="N38" s="1"/>
  <c r="N37"/>
  <c r="I41" i="65079"/>
  <c r="N41" s="1"/>
  <c r="N40"/>
  <c r="I41" i="65078"/>
  <c r="N41" s="1"/>
  <c r="N40"/>
  <c r="I41" i="65077"/>
  <c r="N41" s="1"/>
  <c r="N40"/>
  <c r="I52" i="65076"/>
  <c r="N52" s="1"/>
  <c r="N51"/>
  <c r="I39" i="65075"/>
  <c r="N39" s="1"/>
  <c r="N38"/>
  <c r="I35" i="65069"/>
  <c r="N35" s="1"/>
  <c r="N34"/>
  <c r="I35" i="65068"/>
  <c r="N35" s="1"/>
  <c r="N34"/>
  <c r="I35" i="16"/>
  <c r="N35" s="1"/>
  <c r="N34"/>
  <c r="H35" i="65122"/>
  <c r="I35" i="65089"/>
  <c r="N35" s="1"/>
  <c r="F7" i="300"/>
  <c r="H34" i="65089"/>
  <c r="G7" i="300"/>
  <c r="L7" s="1"/>
  <c r="F111"/>
  <c r="H34" i="65123"/>
  <c r="F12" i="65139"/>
  <c r="G12" s="1"/>
  <c r="F7"/>
  <c r="G7" s="1"/>
  <c r="F214"/>
  <c r="F213" s="1"/>
  <c r="G213" s="1"/>
  <c r="F188"/>
  <c r="G188" s="1"/>
  <c r="F141"/>
  <c r="G141" s="1"/>
  <c r="F93"/>
  <c r="G93" s="1"/>
  <c r="F47"/>
  <c r="G47" s="1"/>
  <c r="F177"/>
  <c r="G177" s="1"/>
  <c r="E20" i="304" l="1"/>
  <c r="E41" s="1"/>
  <c r="E42" s="1"/>
  <c r="H35" i="65089"/>
  <c r="H35" i="65123"/>
  <c r="E28" i="304" l="1"/>
  <c r="E33" s="1"/>
  <c r="E38" s="1"/>
  <c r="I35" i="65123"/>
  <c r="N35" s="1"/>
  <c r="D34" i="304" l="1"/>
  <c r="F229" i="65139"/>
  <c r="G229" s="1"/>
  <c r="F126"/>
  <c r="G126" s="1"/>
  <c r="F221"/>
  <c r="G221" s="1"/>
  <c r="F175"/>
  <c r="F167"/>
  <c r="G167" s="1"/>
  <c r="F148"/>
  <c r="G148" s="1"/>
  <c r="F123"/>
  <c r="G123" s="1"/>
  <c r="F121"/>
  <c r="G121" s="1"/>
  <c r="F117"/>
  <c r="G117" s="1"/>
  <c r="F114"/>
  <c r="G114" s="1"/>
  <c r="F109"/>
  <c r="F99"/>
  <c r="G99" s="1"/>
  <c r="F88"/>
  <c r="G88" s="1"/>
  <c r="F84"/>
  <c r="G84" s="1"/>
  <c r="F80"/>
  <c r="G80" s="1"/>
  <c r="F75"/>
  <c r="G75" s="1"/>
  <c r="F73"/>
  <c r="G73" s="1"/>
  <c r="F70"/>
  <c r="G70" s="1"/>
  <c r="F63"/>
  <c r="G63" s="1"/>
  <c r="G59"/>
  <c r="F52"/>
  <c r="G52" s="1"/>
  <c r="F46"/>
  <c r="G46" s="1"/>
  <c r="F38"/>
  <c r="G38" s="1"/>
  <c r="F35"/>
  <c r="G35" s="1"/>
  <c r="F33"/>
  <c r="G33" s="1"/>
  <c r="F28"/>
  <c r="G28" s="1"/>
  <c r="F20"/>
  <c r="G20" s="1"/>
  <c r="F16"/>
  <c r="G16" s="1"/>
  <c r="G72" i="65137"/>
  <c r="G64"/>
  <c r="E43" i="65125"/>
  <c r="F43"/>
  <c r="G10" i="65137"/>
  <c r="G12"/>
  <c r="G13"/>
  <c r="G14"/>
  <c r="G15"/>
  <c r="G16"/>
  <c r="F17"/>
  <c r="G17"/>
  <c r="G18"/>
  <c r="G19"/>
  <c r="G20"/>
  <c r="G21"/>
  <c r="G22"/>
  <c r="G27"/>
  <c r="G28"/>
  <c r="G31"/>
  <c r="G33"/>
  <c r="G34"/>
  <c r="G35"/>
  <c r="G36"/>
  <c r="G37"/>
  <c r="G38"/>
  <c r="F40"/>
  <c r="G40"/>
  <c r="G41"/>
  <c r="G42"/>
  <c r="G43"/>
  <c r="G44"/>
  <c r="G45"/>
  <c r="G46"/>
  <c r="F47"/>
  <c r="G47"/>
  <c r="G48"/>
  <c r="G49"/>
  <c r="G50"/>
  <c r="G51"/>
  <c r="G52"/>
  <c r="G53"/>
  <c r="G54"/>
  <c r="G55"/>
  <c r="G56"/>
  <c r="G57"/>
  <c r="G58"/>
  <c r="G59"/>
  <c r="G60"/>
  <c r="G62"/>
  <c r="G63"/>
  <c r="G66"/>
  <c r="G67"/>
  <c r="G71"/>
  <c r="G73"/>
  <c r="G74"/>
  <c r="G75"/>
  <c r="G78"/>
  <c r="G79"/>
  <c r="G80"/>
  <c r="G81"/>
  <c r="G82"/>
  <c r="G83"/>
  <c r="G84"/>
  <c r="G85"/>
  <c r="G34" i="304"/>
  <c r="C41" i="65125"/>
  <c r="C38"/>
  <c r="C36"/>
  <c r="C35"/>
  <c r="C31"/>
  <c r="C29"/>
  <c r="C27"/>
  <c r="C26"/>
  <c r="C23"/>
  <c r="C20"/>
  <c r="C18"/>
  <c r="C16"/>
  <c r="C14"/>
  <c r="C13"/>
  <c r="C12"/>
  <c r="G65" i="65137"/>
  <c r="J33" i="65084"/>
  <c r="L21" i="65124"/>
  <c r="J33" i="65074"/>
  <c r="F6" i="65139"/>
  <c r="G6" s="1"/>
  <c r="J39" i="65078"/>
  <c r="J33" i="65100"/>
  <c r="J33" i="65089"/>
  <c r="J33" i="65085"/>
  <c r="J33" i="65082"/>
  <c r="C15" i="65125"/>
  <c r="J33" i="65069"/>
  <c r="J33" i="65115"/>
  <c r="J39" i="65077"/>
  <c r="J33" i="65083"/>
  <c r="C8" i="65125"/>
  <c r="C17"/>
  <c r="C21"/>
  <c r="J50" i="65076"/>
  <c r="C32" i="65125"/>
  <c r="C39"/>
  <c r="C10"/>
  <c r="C22"/>
  <c r="I41" i="65124"/>
  <c r="C28" i="65125"/>
  <c r="C42"/>
  <c r="J34" i="65122"/>
  <c r="C25" i="65125"/>
  <c r="C24"/>
  <c r="C40"/>
  <c r="J34" i="65071"/>
  <c r="C37" i="65125"/>
  <c r="F187" i="65139"/>
  <c r="G187" s="1"/>
  <c r="F158"/>
  <c r="G158" s="1"/>
  <c r="J37" i="65075"/>
  <c r="F195" i="65139"/>
  <c r="G195" s="1"/>
  <c r="K35" i="65122"/>
  <c r="G109" i="65139" l="1"/>
  <c r="J33" i="65098"/>
  <c r="J36" i="65093"/>
  <c r="J33" i="65088"/>
  <c r="J33" i="65087"/>
  <c r="J34" i="65089" s="1"/>
  <c r="J39" i="65079"/>
  <c r="J33" i="65070"/>
  <c r="J56" i="65065"/>
  <c r="J33" i="65068"/>
  <c r="J33" i="65123"/>
  <c r="J33" i="65086"/>
  <c r="K34" i="65089" s="1"/>
  <c r="F116" i="65139"/>
  <c r="G116" s="1"/>
  <c r="G19" i="304"/>
  <c r="H19" s="1"/>
  <c r="F186" i="65139"/>
  <c r="G186" s="1"/>
  <c r="F157"/>
  <c r="G157" s="1"/>
  <c r="F147"/>
  <c r="G147" s="1"/>
  <c r="F125"/>
  <c r="F98"/>
  <c r="G98" s="1"/>
  <c r="F87"/>
  <c r="G87" s="1"/>
  <c r="F78"/>
  <c r="G78" s="1"/>
  <c r="F51"/>
  <c r="G51" s="1"/>
  <c r="F19"/>
  <c r="G19" s="1"/>
  <c r="F15"/>
  <c r="G15" s="1"/>
  <c r="J34" i="65100"/>
  <c r="J52" i="65080"/>
  <c r="H41" i="65124"/>
  <c r="F58" i="65139"/>
  <c r="F27"/>
  <c r="G27" s="1"/>
  <c r="F61" i="65137"/>
  <c r="G61" s="1"/>
  <c r="F37" i="65139"/>
  <c r="L26" i="65124"/>
  <c r="J34" i="65098"/>
  <c r="C34" i="65125"/>
  <c r="C33"/>
  <c r="C30"/>
  <c r="L25" i="65124"/>
  <c r="L23"/>
  <c r="C19" i="65125"/>
  <c r="J35" i="65071"/>
  <c r="J34" i="65069"/>
  <c r="J34" i="65068"/>
  <c r="C11" i="65125"/>
  <c r="J33" i="65099"/>
  <c r="L8" i="65124"/>
  <c r="G29" i="65137"/>
  <c r="J34" i="65115"/>
  <c r="J38" i="65075"/>
  <c r="G32" i="65137"/>
  <c r="J38" i="65095"/>
  <c r="J40" i="65078"/>
  <c r="J40" i="65077"/>
  <c r="J51" i="65076"/>
  <c r="F181" i="65139"/>
  <c r="G24" i="65137"/>
  <c r="L36" i="65124"/>
  <c r="L37"/>
  <c r="L11"/>
  <c r="L6"/>
  <c r="J33" i="65094"/>
  <c r="L35" i="65124"/>
  <c r="L33"/>
  <c r="G70" i="65137"/>
  <c r="J40" i="65079"/>
  <c r="L17" i="65124"/>
  <c r="L5"/>
  <c r="F228" i="65139"/>
  <c r="G228" s="1"/>
  <c r="D14" i="304"/>
  <c r="D40" s="1"/>
  <c r="J33" i="65096"/>
  <c r="L34" i="65124"/>
  <c r="L32"/>
  <c r="D41"/>
  <c r="J36" i="65066"/>
  <c r="C9" i="65125"/>
  <c r="J33" i="16"/>
  <c r="J33" i="65097"/>
  <c r="L20" i="65124"/>
  <c r="L38"/>
  <c r="L39"/>
  <c r="G25" i="65137"/>
  <c r="J37" i="65093"/>
  <c r="L31" i="65124"/>
  <c r="L30"/>
  <c r="L29"/>
  <c r="L28"/>
  <c r="L27"/>
  <c r="L24"/>
  <c r="J35" i="65122"/>
  <c r="K41" i="65124"/>
  <c r="L22"/>
  <c r="L19"/>
  <c r="L18"/>
  <c r="L16"/>
  <c r="L15"/>
  <c r="L14"/>
  <c r="L13"/>
  <c r="L12"/>
  <c r="E41"/>
  <c r="L10"/>
  <c r="G41"/>
  <c r="L7"/>
  <c r="C7" i="65125"/>
  <c r="F185" i="65139"/>
  <c r="G185" s="1"/>
  <c r="G58" l="1"/>
  <c r="F77"/>
  <c r="G77" s="1"/>
  <c r="G125"/>
  <c r="G37"/>
  <c r="F5"/>
  <c r="G5" s="1"/>
  <c r="F92"/>
  <c r="G92" s="1"/>
  <c r="J35" i="65069"/>
  <c r="J35" i="65098"/>
  <c r="D35" i="304"/>
  <c r="D37" s="1"/>
  <c r="D30"/>
  <c r="D32" s="1"/>
  <c r="K35" i="65089"/>
  <c r="L9" i="65124"/>
  <c r="J41"/>
  <c r="J34" i="16"/>
  <c r="J39" i="65075"/>
  <c r="F227" i="65139"/>
  <c r="J41" i="65078"/>
  <c r="J35" i="65068"/>
  <c r="D43" i="65125"/>
  <c r="F41" i="65124"/>
  <c r="F180" i="65139"/>
  <c r="J34" i="65097"/>
  <c r="G26" i="65137"/>
  <c r="J34" i="65096"/>
  <c r="J34" i="65094"/>
  <c r="J38" i="65093"/>
  <c r="J35" i="65115"/>
  <c r="J41" i="65079"/>
  <c r="J39" i="65095"/>
  <c r="J41" i="65077"/>
  <c r="J52" i="65076"/>
  <c r="G30" i="304"/>
  <c r="H30" s="1"/>
  <c r="C43" i="65125"/>
  <c r="G11" i="65137"/>
  <c r="G69"/>
  <c r="J34" i="65123"/>
  <c r="F68" i="65137"/>
  <c r="J35" i="65089"/>
  <c r="G76" i="65137"/>
  <c r="G18" i="304"/>
  <c r="H18" s="1"/>
  <c r="F72" i="65139" l="1"/>
  <c r="G15" i="304"/>
  <c r="H15" s="1"/>
  <c r="G29"/>
  <c r="H29" s="1"/>
  <c r="G227" i="65139"/>
  <c r="G9" i="65137"/>
  <c r="F8"/>
  <c r="G8" s="1"/>
  <c r="J35" i="16"/>
  <c r="G68" i="65137"/>
  <c r="J35" i="65097"/>
  <c r="F23" i="65137"/>
  <c r="G23" s="1"/>
  <c r="J35" i="65096"/>
  <c r="J35" i="65094"/>
  <c r="G35" i="304"/>
  <c r="H35" s="1"/>
  <c r="J35" i="65123"/>
  <c r="G72" i="65139" l="1"/>
  <c r="F57"/>
  <c r="G57" s="1"/>
  <c r="G32" i="304"/>
  <c r="H32" s="1"/>
  <c r="F77" i="65137"/>
  <c r="G86"/>
  <c r="F166" i="65139"/>
  <c r="G166" s="1"/>
  <c r="G37" i="304"/>
  <c r="H37" s="1"/>
  <c r="G16" l="1"/>
  <c r="H16" s="1"/>
  <c r="F154" i="65139"/>
  <c r="G154" s="1"/>
  <c r="G77" i="65137"/>
  <c r="F165" i="65139"/>
  <c r="G165" s="1"/>
  <c r="F164" l="1"/>
  <c r="G164" s="1"/>
  <c r="F156" l="1"/>
  <c r="G156" s="1"/>
  <c r="F225" l="1"/>
  <c r="G225" s="1"/>
  <c r="G17" i="304"/>
  <c r="H17" s="1"/>
  <c r="F235" i="65139" l="1"/>
  <c r="G14" i="304"/>
  <c r="H14" s="1"/>
  <c r="G235" i="65139" l="1"/>
  <c r="C2" i="65061"/>
  <c r="A4" s="1"/>
  <c r="G40" i="304"/>
  <c r="H40" s="1"/>
  <c r="C41" i="65124" l="1"/>
  <c r="L40" l="1"/>
  <c r="L41" s="1"/>
  <c r="J33" i="65105"/>
  <c r="H111" i="300" s="1"/>
  <c r="D20" i="304" l="1"/>
  <c r="J34" i="65105"/>
  <c r="G39" i="65137"/>
  <c r="F30"/>
  <c r="F7" s="1"/>
  <c r="J35" i="65105" l="1"/>
  <c r="D28" i="304"/>
  <c r="D33" s="1"/>
  <c r="D38" s="1"/>
  <c r="D41"/>
  <c r="D42" s="1"/>
  <c r="G20"/>
  <c r="H20" s="1"/>
  <c r="G30" i="65137"/>
  <c r="G7"/>
  <c r="G41" i="304" l="1"/>
  <c r="H41" s="1"/>
  <c r="G28"/>
  <c r="G33" l="1"/>
  <c r="H33" s="1"/>
  <c r="H28"/>
  <c r="G42"/>
  <c r="H42" s="1"/>
  <c r="G38" l="1"/>
  <c r="H38" s="1"/>
  <c r="L43" i="65124"/>
  <c r="L44" l="1"/>
</calcChain>
</file>

<file path=xl/sharedStrings.xml><?xml version="1.0" encoding="utf-8"?>
<sst xmlns="http://schemas.openxmlformats.org/spreadsheetml/2006/main" count="2590" uniqueCount="906">
  <si>
    <t>073</t>
  </si>
  <si>
    <t>Bolničke usluge</t>
  </si>
  <si>
    <t>074</t>
  </si>
  <si>
    <t>Usluge zdravstvene zaštite</t>
  </si>
  <si>
    <t>075</t>
  </si>
  <si>
    <t>IiR Zdravstvo</t>
  </si>
  <si>
    <t>076</t>
  </si>
  <si>
    <t>Zdravstvo n. k.</t>
  </si>
  <si>
    <t>08</t>
  </si>
  <si>
    <t>Rekreacija, kultura i religija     (56+….+61)</t>
  </si>
  <si>
    <t>081</t>
  </si>
  <si>
    <t>082</t>
  </si>
  <si>
    <t xml:space="preserve">Usluge kulture </t>
  </si>
  <si>
    <t>083</t>
  </si>
  <si>
    <t>084</t>
  </si>
  <si>
    <t>085</t>
  </si>
  <si>
    <t>IiR Rekreacija, kultura i religija</t>
  </si>
  <si>
    <t>086</t>
  </si>
  <si>
    <t>Rekreacija, kultura i religija n. k.</t>
  </si>
  <si>
    <t>09</t>
  </si>
  <si>
    <t>Obrazovanje         (63+…..+70)</t>
  </si>
  <si>
    <t>091</t>
  </si>
  <si>
    <t>Predškolsko i osnovno obrazovanje</t>
  </si>
  <si>
    <t>092</t>
  </si>
  <si>
    <t>Srednje obrazovanje</t>
  </si>
  <si>
    <t>093</t>
  </si>
  <si>
    <t>Obrazovanje poslije srednje škole koje nije visoko obrazovanje</t>
  </si>
  <si>
    <t>094</t>
  </si>
  <si>
    <t>Visoko obrazovanje</t>
  </si>
  <si>
    <t>095</t>
  </si>
  <si>
    <t>096</t>
  </si>
  <si>
    <t>Pomoćne usluge obrazovanju</t>
  </si>
  <si>
    <t>097</t>
  </si>
  <si>
    <t>IiR Obrazovanje</t>
  </si>
  <si>
    <t>098</t>
  </si>
  <si>
    <t>Obrazovanje n. k.</t>
  </si>
  <si>
    <t>10</t>
  </si>
  <si>
    <t>Socijalna zaštita      (72+…..+80)</t>
  </si>
  <si>
    <t>101</t>
  </si>
  <si>
    <t>Bolest i hendikepiranost</t>
  </si>
  <si>
    <t>102</t>
  </si>
  <si>
    <t>Starost</t>
  </si>
  <si>
    <t>103</t>
  </si>
  <si>
    <t>Nasljednici</t>
  </si>
  <si>
    <t>104</t>
  </si>
  <si>
    <t>105</t>
  </si>
  <si>
    <t>106</t>
  </si>
  <si>
    <t>Stanovanje</t>
  </si>
  <si>
    <t>107</t>
  </si>
  <si>
    <t>Socijalno isključenje n. k.</t>
  </si>
  <si>
    <t>108</t>
  </si>
  <si>
    <t>IiR Socijalna zaštita</t>
  </si>
  <si>
    <t>109</t>
  </si>
  <si>
    <t>Socijalna zaštita n. k.</t>
  </si>
  <si>
    <t>Ukupni rashodi (zbroj funkcija) (2+11+17+24+34+41+48+55+62+71)</t>
  </si>
  <si>
    <t>INDEX
4/3</t>
  </si>
  <si>
    <t xml:space="preserve">IiR Zaštita životne sredine </t>
  </si>
  <si>
    <t xml:space="preserve">Religijske i druge zajedničke usluge </t>
  </si>
  <si>
    <t>Opće javne usluge       (3+…..+10)</t>
  </si>
  <si>
    <t>Izvršni i zakonodavni organi, financijski i fiskalni poslovi, vanjski poslovi</t>
  </si>
  <si>
    <t>Transferi općeg karaktera između različitih razina vlasti</t>
  </si>
  <si>
    <t>Obrana      (12+….+16)</t>
  </si>
  <si>
    <t>Vojna obrana</t>
  </si>
  <si>
    <t>Civilna obrana</t>
  </si>
  <si>
    <t>Inozemna vojna pomoć</t>
  </si>
  <si>
    <t>IiR Obrana</t>
  </si>
  <si>
    <t>Obrana n. k.</t>
  </si>
  <si>
    <t>Promet</t>
  </si>
  <si>
    <t>Zaštita raznovrsnosti flore i faune i zaštita okoliša</t>
  </si>
  <si>
    <t>Vodoopskrba</t>
  </si>
  <si>
    <t>Izvanbolničke usluge</t>
  </si>
  <si>
    <t>Usluge športa i rekreacije</t>
  </si>
  <si>
    <t xml:space="preserve">Usluge emitiranja i izdavaštva </t>
  </si>
  <si>
    <t>Obrazovanje koje nije definirano razinom</t>
  </si>
  <si>
    <t>Obitelj i djeca</t>
  </si>
  <si>
    <t>Neuposlenost</t>
  </si>
  <si>
    <t>I - PRIHODI, PRIMICI I FINANCIRANJE</t>
  </si>
  <si>
    <t xml:space="preserve">II - RASHODI I IZDACI  </t>
  </si>
  <si>
    <t>Ministarstvo
(razdjel)</t>
  </si>
  <si>
    <t>Proračunska
institucija</t>
  </si>
  <si>
    <t>OPIS</t>
  </si>
  <si>
    <t>01</t>
  </si>
  <si>
    <t>0001</t>
  </si>
  <si>
    <t xml:space="preserve"> Doprinosi poslodavca</t>
  </si>
  <si>
    <t xml:space="preserve"> Putni troškovi</t>
  </si>
  <si>
    <t xml:space="preserve"> Izdaci za energiju</t>
  </si>
  <si>
    <t xml:space="preserve"> Izdaci za usluge prijevoza i goriva</t>
  </si>
  <si>
    <t xml:space="preserve"> Izdaci za tekuće održavanje</t>
  </si>
  <si>
    <t xml:space="preserve"> Tekuće održavanje cesta</t>
  </si>
  <si>
    <t xml:space="preserve"> Kapitalni grantovi</t>
  </si>
  <si>
    <t xml:space="preserve"> Izdaci za nabavku stalnih sredstava</t>
  </si>
  <si>
    <t xml:space="preserve"> Nabavka građevina</t>
  </si>
  <si>
    <t xml:space="preserve"> Nabavka opreme</t>
  </si>
  <si>
    <t xml:space="preserve"> Ukupan broj zaposlenih:</t>
  </si>
  <si>
    <t xml:space="preserve"> Ukupno za proračunsku instituciju:</t>
  </si>
  <si>
    <t xml:space="preserve"> Ukupno za ministarstvo (razdjel):</t>
  </si>
  <si>
    <t xml:space="preserve"> Grantovi političkim strankama</t>
  </si>
  <si>
    <t xml:space="preserve"> Tekuća pričuva Vlade</t>
  </si>
  <si>
    <t xml:space="preserve"> Tekuća pričuva predsjednika Vlade</t>
  </si>
  <si>
    <t xml:space="preserve"> Grantovi za povratak raseljenih osoba</t>
  </si>
  <si>
    <t xml:space="preserve"> Grantovi za šport i kulturu</t>
  </si>
  <si>
    <t xml:space="preserve"> Grantovi za informiranje</t>
  </si>
  <si>
    <t xml:space="preserve"> Grantovi za financiranje vjerskih zajednica</t>
  </si>
  <si>
    <t>616000</t>
  </si>
  <si>
    <t xml:space="preserve"> Rekonstrukcija i investicijsko održavanje</t>
  </si>
  <si>
    <t xml:space="preserve"> Grantovi za zdravstvene i socijalne potrebe</t>
  </si>
  <si>
    <t>614200</t>
  </si>
  <si>
    <t>614300</t>
  </si>
  <si>
    <t>614100</t>
  </si>
  <si>
    <t xml:space="preserve"> Tekuća pričuva ministra financija</t>
  </si>
  <si>
    <t>Potrošačka
jedinica</t>
  </si>
  <si>
    <t xml:space="preserve"> Ostali grantovi-povrat i drugo</t>
  </si>
  <si>
    <t xml:space="preserve"> Isplate stipendija</t>
  </si>
  <si>
    <t xml:space="preserve"> Ukupno za potrošačku jedinicu:</t>
  </si>
  <si>
    <t xml:space="preserve"> Grantovi za branitelje i stradalnike dom. rata</t>
  </si>
  <si>
    <t xml:space="preserve"> Grant za zaštitu od prirodnih i drugih nesreća</t>
  </si>
  <si>
    <t>SKUPŠTINA ŽUPANIJE POSAVSKE</t>
  </si>
  <si>
    <t>0002</t>
  </si>
  <si>
    <t>VLADA ŽUPANIJE POSAVSKE</t>
  </si>
  <si>
    <t>11</t>
  </si>
  <si>
    <t xml:space="preserve"> Rashodi - Tekuća pričuva</t>
  </si>
  <si>
    <t xml:space="preserve"> Tekuća pričuva zamjenika pred. Vlade</t>
  </si>
  <si>
    <t>URED ZA RASELJENE</t>
  </si>
  <si>
    <t>URED ZA ZAKONODAVSTVO</t>
  </si>
  <si>
    <t>0003</t>
  </si>
  <si>
    <t>0004</t>
  </si>
  <si>
    <t>ZAJEDNIČKA SLUŽBA VLADE</t>
  </si>
  <si>
    <t>12</t>
  </si>
  <si>
    <t>MINISTARSTVO UNUTARNJIH POSLOVA ŽUPANIJE POSAVSKE</t>
  </si>
  <si>
    <t>13</t>
  </si>
  <si>
    <t>MINISTARSTVO PRAVOSUĐA I UPRAVE</t>
  </si>
  <si>
    <t>14</t>
  </si>
  <si>
    <t>02</t>
  </si>
  <si>
    <t>05</t>
  </si>
  <si>
    <t>15</t>
  </si>
  <si>
    <t>16</t>
  </si>
  <si>
    <t>MINISTARSTVO FINANCIJA</t>
  </si>
  <si>
    <t>MINISTARSTVO ZDRAVSTVA, RADA I SOCIJALNE POLITIKE</t>
  </si>
  <si>
    <t>17</t>
  </si>
  <si>
    <t>18</t>
  </si>
  <si>
    <t>MINISTARSTVO POLJOPRIVREDE, VODOPRIVREDE I ŠUMARSTVA</t>
  </si>
  <si>
    <t>19</t>
  </si>
  <si>
    <t>MINISTARSTVO PROSVJETE, ZNANOSTI, KULTURE I ŠPORTA</t>
  </si>
  <si>
    <t>20</t>
  </si>
  <si>
    <t>MINISTARSTVO PROSVJETE - OSNOVNA ŠKOLA ORAŠJE</t>
  </si>
  <si>
    <t>03</t>
  </si>
  <si>
    <t>0005</t>
  </si>
  <si>
    <t>0006</t>
  </si>
  <si>
    <t>0007</t>
  </si>
  <si>
    <t>21</t>
  </si>
  <si>
    <t>22</t>
  </si>
  <si>
    <t>AGENCIJA ZA PRIVATIZACIJU</t>
  </si>
  <si>
    <t>UPRAVA ZA CIVILNU ZAŠTITU ŽUPANIJE POSAVSKE</t>
  </si>
  <si>
    <t>23</t>
  </si>
  <si>
    <t>KANTONALNI SUD ODŽAK</t>
  </si>
  <si>
    <t>24</t>
  </si>
  <si>
    <t>26</t>
  </si>
  <si>
    <t>27</t>
  </si>
  <si>
    <t>KANTONALNO TUŽITELJSTVO</t>
  </si>
  <si>
    <t xml:space="preserve"> UKUPNI IZDACI </t>
  </si>
  <si>
    <t>SLUŽBA ZA ODNOSE S JAVNOŠĆU</t>
  </si>
  <si>
    <t xml:space="preserve"> Grantovi za šumarstvo</t>
  </si>
  <si>
    <t xml:space="preserve"> Doprinosi poslodavca i ostali doprinosi</t>
  </si>
  <si>
    <t xml:space="preserve"> Plaće i naknade troškova zaposlenih</t>
  </si>
  <si>
    <t xml:space="preserve"> Izdaci za materijal, sitan inv. i usluge</t>
  </si>
  <si>
    <t xml:space="preserve"> Nabavka materijala i sitnog inventara</t>
  </si>
  <si>
    <t xml:space="preserve"> Izdaci osiguranja, bank. usluga i usluga p.p.</t>
  </si>
  <si>
    <t xml:space="preserve"> Ugovorene i druge posebne usluge</t>
  </si>
  <si>
    <t>MINISTARSTVO PROSVJETE - SREDNJA ŠKOLA PERE ZEČEVIĆA ODŽAK</t>
  </si>
  <si>
    <t>MINISTARSTVO PROSVJETE - OSNOVNA ŠKOLA VLADIMIRA NAZORA ODŽAK</t>
  </si>
  <si>
    <t>MINISTARSTVO PROSVJETE - OSNOVNA ŠKOLA RUĐERA BOŠKOVIĆA DONJA MAHALA</t>
  </si>
  <si>
    <t>MINISTARSTVO PROSVJETE - OSNOVNA ŠKOLA FRA ILIJE STARČEVIĆA TOLISA</t>
  </si>
  <si>
    <t>MINISTARSTVO PROSVJETE - OSNOVNA ŠKOLA STJEPANA RADIĆA OŠTRA LUKA-BOK</t>
  </si>
  <si>
    <t>MINISTARSTVO PROSVJETE - OSNOVNA ŠKOLA A.G. MATOŠA VIDOVICE</t>
  </si>
  <si>
    <t>MINISTARSTVO PROSVJETE - OSNOVNA ŠKOLA BRAĆE RADIĆA DOMALJEVAC</t>
  </si>
  <si>
    <t xml:space="preserve"> </t>
  </si>
  <si>
    <t xml:space="preserve"> Grant za zaštitu okoliša</t>
  </si>
  <si>
    <t>MINISTARSTVO GOSPODARSTVA I PROSTORNOG UREĐENJA</t>
  </si>
  <si>
    <t>MINISTARSTVO PROMETA, VEZA, TURIZMA I ZAŠTITE OKOLIŠA</t>
  </si>
  <si>
    <t>MINISTARSTVO BRANITELJA</t>
  </si>
  <si>
    <t xml:space="preserve"> Vozački ispiti-vlastiti prihodi</t>
  </si>
  <si>
    <t>28</t>
  </si>
  <si>
    <t>ŽUPANIJSKA UPRAVA ZA INSPEKCIJSKE POSLOVE</t>
  </si>
  <si>
    <t>I PRIHODI OD POREZA</t>
  </si>
  <si>
    <t>Ekonomski kod</t>
  </si>
  <si>
    <t xml:space="preserve"> Otplate domaćeg pozajmljivanja</t>
  </si>
  <si>
    <t xml:space="preserve"> Izdaci za negativne tečajne razlike</t>
  </si>
  <si>
    <t>II NEPOREZNI PRIHODI</t>
  </si>
  <si>
    <t>1.Porez na dobit pojedinaca i poduzeća</t>
  </si>
  <si>
    <t>3.Porez na imovinu</t>
  </si>
  <si>
    <t>5.Porez na dohodak</t>
  </si>
  <si>
    <t>6.Prihodi od neizravnih poreza</t>
  </si>
  <si>
    <t>7.Ostali porezi</t>
  </si>
  <si>
    <t>3.Novčane kazne</t>
  </si>
  <si>
    <t xml:space="preserve"> Kamate na domaće pozajmljivanje-OPEC fond</t>
  </si>
  <si>
    <t xml:space="preserve"> MINISTARSTVO PRAVOSUĐA I UPRAVE - OPĆINSKI SUD ORAŠJE</t>
  </si>
  <si>
    <t>MINISTARSTVO PRAVOSUĐA I UPRAVE - ZAVOD ZA PRUŽANJE PRAVNE POMOĆI</t>
  </si>
  <si>
    <t>06</t>
  </si>
  <si>
    <t xml:space="preserve"> Bruto plaće i naknade plaća</t>
  </si>
  <si>
    <t xml:space="preserve"> Naknade troškova zaposlenih</t>
  </si>
  <si>
    <t xml:space="preserve"> Izdaci za komunikaciju i komunalne usluge</t>
  </si>
  <si>
    <t xml:space="preserve"> Unajmljivanje imovine, opreme i nemat.imovine</t>
  </si>
  <si>
    <t xml:space="preserve"> Tekući grantovi i drugi tekući rashodi</t>
  </si>
  <si>
    <t xml:space="preserve"> Izdaci za kamate </t>
  </si>
  <si>
    <t xml:space="preserve"> Izdaci za otplate dugova</t>
  </si>
  <si>
    <t xml:space="preserve"> Izdaci za kamate</t>
  </si>
  <si>
    <t>614500</t>
  </si>
  <si>
    <t xml:space="preserve"> Agencija za državnu službu ŽP</t>
  </si>
  <si>
    <t>615100</t>
  </si>
  <si>
    <t>1.Prihodi od poduzetničkih aktivnosti i imovine i prihodi od pozitivnih tečajnih razlika</t>
  </si>
  <si>
    <t xml:space="preserve"> Kamate na domaće pozajmljivanje-Koreja</t>
  </si>
  <si>
    <t>Izdaci za otplate dugova</t>
  </si>
  <si>
    <t xml:space="preserve"> Kamate na domaće pozajmljivanje-OPEC</t>
  </si>
  <si>
    <t xml:space="preserve"> Otplate domaćeg pozajmljivanja - OPEC</t>
  </si>
  <si>
    <t xml:space="preserve"> Kamate na domaće pozajmljivanje-Austrija</t>
  </si>
  <si>
    <t xml:space="preserve"> Grant za razvoj turizma</t>
  </si>
  <si>
    <t>MINISTARSTVO PRAVOSUĐA I UPRAVE - OPĆINSKO PRAVOBRANITELJSTVO ODŽAK</t>
  </si>
  <si>
    <t>MINISTARSTVO PRAVOSUĐA I UPRAVE - OPĆINSKO PRAVOBRANITELJSTVO ORAŠJE</t>
  </si>
  <si>
    <t xml:space="preserve"> Grantovi za financiranje višeg i visokog obrazovanja    
 i Zavoda za školstvo</t>
  </si>
  <si>
    <t xml:space="preserve"> Grant za Crveni križ Županije Posavske</t>
  </si>
  <si>
    <t>ŽUPANIJSKO PRAVOBRANITELJSTVO</t>
  </si>
  <si>
    <t xml:space="preserve"> Grant za Gospodarsku komoru ŽP</t>
  </si>
  <si>
    <t>SADRŽAJ</t>
  </si>
  <si>
    <t>1.</t>
  </si>
  <si>
    <t xml:space="preserve">Opći dio </t>
  </si>
  <si>
    <t>2.</t>
  </si>
  <si>
    <t>Prihodi, primici i financiranje</t>
  </si>
  <si>
    <t>3.</t>
  </si>
  <si>
    <t>4.</t>
  </si>
  <si>
    <t>Posebni dio</t>
  </si>
  <si>
    <t>Skupština Županije Posavske</t>
  </si>
  <si>
    <t>Vlada Županije Posavske</t>
  </si>
  <si>
    <t>Ured za raseljene</t>
  </si>
  <si>
    <t>Ured za zakonodavstvo</t>
  </si>
  <si>
    <t>Služba za odnose s javnošću</t>
  </si>
  <si>
    <t>Zajednička služba Vlade</t>
  </si>
  <si>
    <t>Ministarstvo unutarnjih poslova Županije Posavske</t>
  </si>
  <si>
    <t>Ministarstvo pravosuđa i uprave</t>
  </si>
  <si>
    <t>Ministarstvo pravosuđa i uprave - Općinski sud Orašje</t>
  </si>
  <si>
    <t>Ministarstvo pravosuđa i uprave - Općinsko pravobraniteljstvo Orašje</t>
  </si>
  <si>
    <t>Ministarstvo pravosuđa i uprave - Općinsko pravobraniteljstvo Odžak</t>
  </si>
  <si>
    <t>Ministarstvo pravosuđa i uprave - Zavod za pružanje pravne pomoći</t>
  </si>
  <si>
    <t>Ministarstvo gospodarstva i prostornog uređenja</t>
  </si>
  <si>
    <t>Ministarstvo financija</t>
  </si>
  <si>
    <t>Ministarstvo zdravstva, rada i socijalne politike</t>
  </si>
  <si>
    <t>Ministarstvo prometa, veza, turizma i zaštite okoliša</t>
  </si>
  <si>
    <t>Ministarstvo poljoprivrede, vodoprivrede i šumarstva</t>
  </si>
  <si>
    <t>Ministarstvo prosvjete, znanosti, kulture i športa</t>
  </si>
  <si>
    <t>Stranica</t>
  </si>
  <si>
    <t>Ministarstvo prosvjete - Srednja škola Pere Zečevića Odžak</t>
  </si>
  <si>
    <t>Ministarstvo prosvjete - Osnovna škola Orašje</t>
  </si>
  <si>
    <t>Ministarstvo prosvjete - Osnovna škola Vladimira Nazora Odžak</t>
  </si>
  <si>
    <t>Ministarstvo prosvjete - Osnovna škola Ruđera Boškovića Donja Mahala</t>
  </si>
  <si>
    <t>Ministarstvo prosvjete - Osnovna škola Fra Ilije Starčevića Tolisa</t>
  </si>
  <si>
    <t>Ministarstvo prosvjete - Osnovna škola Stjepana Radića Oštra Luka-Bok</t>
  </si>
  <si>
    <t>Ministarstvo prosvjete - Osnovna škola A.G.Matoša Vidovice</t>
  </si>
  <si>
    <t>Ministarstvo prosvjete - Osnovna škola Braće Radića Domaljevac</t>
  </si>
  <si>
    <t>Ministarstvo branitelja</t>
  </si>
  <si>
    <t>Agencija za privatizaciju</t>
  </si>
  <si>
    <t>Uprava za civilnu zaštitu Županije Posavske</t>
  </si>
  <si>
    <t>Kantonalni sud Odžak</t>
  </si>
  <si>
    <t>Županijsko pravobraniteljstvo</t>
  </si>
  <si>
    <t>Kantonalno tužiteljstvo</t>
  </si>
  <si>
    <t>Županijska uprava za inspekcijske poslove</t>
  </si>
  <si>
    <t>RB</t>
  </si>
  <si>
    <t>5.</t>
  </si>
  <si>
    <t>O P I S</t>
  </si>
  <si>
    <t xml:space="preserve"> Grant za Kuću nade Odžak</t>
  </si>
  <si>
    <t>MINISTARSTVO PROSVJETE - ŠKOLSKI CENTAR FRA MARTINA NEDIĆA ORAŠJE</t>
  </si>
  <si>
    <t>MINISTARSTVO PROSVJETE - SREDNJA STRUKOVNA ŠKOLA ORAŠJE</t>
  </si>
  <si>
    <t>Ministarstvo prosvjete - Školski centar Fra Martina Nedića Orašje</t>
  </si>
  <si>
    <t>Ministarstvo prosvjete - Srednja strukovna škola Orašje</t>
  </si>
  <si>
    <t xml:space="preserve"> Grant za sanaciju šteta uzrokovanih poplavom</t>
  </si>
  <si>
    <t xml:space="preserve"> Grant za Sveučilište u Mostaru</t>
  </si>
  <si>
    <t xml:space="preserve"> Grantovi nižim razinama vlasti</t>
  </si>
  <si>
    <t xml:space="preserve">   Porezi na dobit pojedinaca (zaostale uplate poreza)</t>
  </si>
  <si>
    <t xml:space="preserve">   Porez na dobit od gospodarskih i profesionalnih djelatnosti</t>
  </si>
  <si>
    <t xml:space="preserve">   Porez na prihod od imovine i imovinskih prava</t>
  </si>
  <si>
    <t xml:space="preserve">   Porez na dobit</t>
  </si>
  <si>
    <t xml:space="preserve">   Porez po odbitku</t>
  </si>
  <si>
    <t xml:space="preserve">   Porez na dobit poduzeća</t>
  </si>
  <si>
    <t>2.Porezi na plaću i radnu snagu (zaostale uplate poreza)</t>
  </si>
  <si>
    <t xml:space="preserve">   Porezi na plaću i druga osobna primanja</t>
  </si>
  <si>
    <t xml:space="preserve">   Porezi na dodatna primanja</t>
  </si>
  <si>
    <t xml:space="preserve">   Porez na imovinu od fizičkih osoba</t>
  </si>
  <si>
    <t xml:space="preserve">   Porez na imovinu od pravnih osoba</t>
  </si>
  <si>
    <t xml:space="preserve">   Porez na imovinu za motorna vozila</t>
  </si>
  <si>
    <t xml:space="preserve">   Porez na naslijeđe i darove</t>
  </si>
  <si>
    <t xml:space="preserve">   Porez na promet nepokretnosti - fizičkih osoba</t>
  </si>
  <si>
    <t xml:space="preserve">   Porez na promet nepokretnosti - pravnih osoba</t>
  </si>
  <si>
    <t>4.Domaći porezi na dobra i usluge (zaostale obveze na 
   temelju poreza na promet dobara i usluga)</t>
  </si>
  <si>
    <t xml:space="preserve">   Porez na promet proizvoda (opća stopa od 20%)</t>
  </si>
  <si>
    <t xml:space="preserve">   Kaznena kamata</t>
  </si>
  <si>
    <t xml:space="preserve">   Porez na promet usluga, osim usluga u građevinarstvu</t>
  </si>
  <si>
    <t xml:space="preserve">   Porezi na prodaju dobara i usluga, ukupni promet ili 
   dodanu vrijednost</t>
  </si>
  <si>
    <t xml:space="preserve">   Porez na promet posebnih usluga</t>
  </si>
  <si>
    <t xml:space="preserve">   Porez na dobitke od igara na sreću</t>
  </si>
  <si>
    <t xml:space="preserve">   Ostali porezi na promet proizvoda i usluga</t>
  </si>
  <si>
    <t xml:space="preserve">   Porez na promet osnovnih proizvoda poljoprivrede, ribarstva i 
   proizvoda koji služe za ljudsku prehranu</t>
  </si>
  <si>
    <t xml:space="preserve">   Porez na dohodak</t>
  </si>
  <si>
    <t xml:space="preserve">   Prihodi od poreza na dohodak po konačnom obračunu</t>
  </si>
  <si>
    <t xml:space="preserve">   Prihodi od poreza na dohodak fiz.osoba od nesam.djelatnosti</t>
  </si>
  <si>
    <t xml:space="preserve">   Prihodi od poreza na dohodak fizi.osoba od samost.djelatnosti</t>
  </si>
  <si>
    <t xml:space="preserve">   Prihodi od poreza na dohodak fiz.os.od imovine i imov.prava</t>
  </si>
  <si>
    <t xml:space="preserve">   Prihodi od poreza na dohodak fiz.osoba od ulaganja kapitala</t>
  </si>
  <si>
    <t xml:space="preserve">   Prihodi od poreza na dohodak fizičkih osoba na dobitke od 
   nagradnih igara i igara na sreću</t>
  </si>
  <si>
    <t xml:space="preserve">   Prihodi od poreza na dohodak od dr.samostalnih djelatnosti</t>
  </si>
  <si>
    <t xml:space="preserve">   Prihodi od neizravnih poreza</t>
  </si>
  <si>
    <t xml:space="preserve">   Prihodi od neizravnih poreza koji pripadaju županijama</t>
  </si>
  <si>
    <t xml:space="preserve">   Prihodi od neizravnih poreza koji pripadaju Direkciji cesta</t>
  </si>
  <si>
    <t xml:space="preserve">   Ostali porezi</t>
  </si>
  <si>
    <t xml:space="preserve">   Pos.porez na plaću za zašt.od prir.i dr.nesr.(zaost.obveze)</t>
  </si>
  <si>
    <t xml:space="preserve">   Poseban porez za zaštitu od prirodnih i drugih nesreća po 
   osnovi ugovora o djelu i povr.i privr.poslova (zaostale obveze)</t>
  </si>
  <si>
    <t xml:space="preserve">   Prihodi od nefinanc.jav.poduzeća i financ.jav.institucija</t>
  </si>
  <si>
    <t xml:space="preserve">   Prihodi od davanja prava na eksploataciju prirodnih resursa</t>
  </si>
  <si>
    <t xml:space="preserve">   Ostali prihodi od imovine</t>
  </si>
  <si>
    <t xml:space="preserve">   Prihodi od kamate za depozite u banci</t>
  </si>
  <si>
    <t xml:space="preserve">   Kamata i divid.primljene od pozajmica i udj.u kapitalu</t>
  </si>
  <si>
    <t xml:space="preserve">   Kamate primljene od pozajmica Federaciji</t>
  </si>
  <si>
    <t xml:space="preserve">   Prihodi od pozitivnih tečajnih razlika</t>
  </si>
  <si>
    <t xml:space="preserve">   Administrativne pristojbe</t>
  </si>
  <si>
    <t xml:space="preserve">   Županijske administrativne pristojbe</t>
  </si>
  <si>
    <t xml:space="preserve">   Sudske pristojbe</t>
  </si>
  <si>
    <t xml:space="preserve">   Županijske sudske pristojbe</t>
  </si>
  <si>
    <t xml:space="preserve">   Ostale proračunske naknade</t>
  </si>
  <si>
    <t xml:space="preserve">   Županijske naknade</t>
  </si>
  <si>
    <t xml:space="preserve">   Ostale županijske naknade</t>
  </si>
  <si>
    <t xml:space="preserve">   Naknade za korištenje šuma</t>
  </si>
  <si>
    <t xml:space="preserve">   Naknada za obavljeni tehn.pregl.vozila koja pripada županijama</t>
  </si>
  <si>
    <t xml:space="preserve">   Naknada za opće korisne funkcije šuma</t>
  </si>
  <si>
    <t xml:space="preserve">   Naknada za korištenje državnih šuma</t>
  </si>
  <si>
    <t xml:space="preserve">   Naknada za opće korisne funkc.šuma utvrđene žup.propisima</t>
  </si>
  <si>
    <t xml:space="preserve">   Naknada za obavljanje stručnih poslova u privatnim šumama 
   utvrđena županijskim propisima</t>
  </si>
  <si>
    <t xml:space="preserve">   Naknada za korištenje podataka premjera i katastra</t>
  </si>
  <si>
    <t xml:space="preserve">   Naknada za vršenje usluga iz oblasti premjera i katastra</t>
  </si>
  <si>
    <t xml:space="preserve">   Vodne naknade</t>
  </si>
  <si>
    <t xml:space="preserve">   Posebna vodna naknada za zaštitu od poplava</t>
  </si>
  <si>
    <t xml:space="preserve">   Opća vodna naknada</t>
  </si>
  <si>
    <t xml:space="preserve">   Cestovne naknade</t>
  </si>
  <si>
    <t xml:space="preserve">   Naknada za uporabu cesta za vozila pravnih osoba</t>
  </si>
  <si>
    <t xml:space="preserve">   Naknada za uporabu cesta za vozila građana</t>
  </si>
  <si>
    <t xml:space="preserve">   Naknada za korištenje cestovnog zemljišta</t>
  </si>
  <si>
    <t xml:space="preserve">   Zaostale obveze po osnovi naknada za korištenje šuma</t>
  </si>
  <si>
    <t xml:space="preserve">   Naknada za korištenje općekorisnih funkcija šuma</t>
  </si>
  <si>
    <t xml:space="preserve">   Naknada za zaštitu okoliša</t>
  </si>
  <si>
    <t xml:space="preserve">   Naknada zagađivača okoliša pravnih osoba</t>
  </si>
  <si>
    <t xml:space="preserve">   Prihodi od pružanja javnih usluga</t>
  </si>
  <si>
    <t xml:space="preserve">   Federalna naknada za izvršene veterinarsko-zdravstvene 
   preglede i kontrolu u zemlji</t>
  </si>
  <si>
    <t xml:space="preserve">   Posebna vodna naknada za zaštitu voda za transportna 
   sredstva koja za pogon koriste naftu ili naftne derivate</t>
  </si>
  <si>
    <t xml:space="preserve">   Posebna vodna naknada za zaštitu voda (ispuštanje otpadnih 
   voda, uzgoj ribe, upotrebu umj.đubriva i kemik.za zašt.bilja)</t>
  </si>
  <si>
    <t xml:space="preserve">   Posebna vodna naknada za korištenje površinskih i 
   podzemnih voda za javnu vodoopskrbu</t>
  </si>
  <si>
    <t xml:space="preserve">   Posebne naknade za okoliš koje plaćaju pravne osobe pri 
   svakoj registraciji motornih vozila</t>
  </si>
  <si>
    <t xml:space="preserve">   Posebne naknade za okoliš koje plaćaju fizičke osobe pri 
   svakoj registraciji motornih vozila</t>
  </si>
  <si>
    <t xml:space="preserve">   Posebne naknade za zaštitu od prirodnih i dr.nesreća</t>
  </si>
  <si>
    <t xml:space="preserve">   Naknada za vatrogasne jedinice iz premije osiguranja imovine 
   od požara i prirodnih sila</t>
  </si>
  <si>
    <t xml:space="preserve">   Naknada iz funkcionalne premije osiguranja od 
   autoodgovornosti za vatrogasne jedinice</t>
  </si>
  <si>
    <t xml:space="preserve">   Naknada za zajedničke profesionalne vatrogasne jedinice iz 
   premije osiguranja imovine od požara i prirodnih sila</t>
  </si>
  <si>
    <t xml:space="preserve">   Prihodi od pružanja usluga građanima</t>
  </si>
  <si>
    <t xml:space="preserve">   Prihodi od pružanja usluga pravnim osobama</t>
  </si>
  <si>
    <t xml:space="preserve">   Prihodi od pružanja usluga drugima</t>
  </si>
  <si>
    <t xml:space="preserve">   Prihodi od pružanja usluga drugim razinama vlasti</t>
  </si>
  <si>
    <t xml:space="preserve">   Vlastiti prihodi proračunskih korisnika</t>
  </si>
  <si>
    <t xml:space="preserve">   Neplanirane uplate - prihodi</t>
  </si>
  <si>
    <t xml:space="preserve">   Prihodi od trošk.naplate po osn.pokret.postupka prin.naplate</t>
  </si>
  <si>
    <t xml:space="preserve">   Ostale neplanirane uplate</t>
  </si>
  <si>
    <t xml:space="preserve">   Novčane kazne</t>
  </si>
  <si>
    <t xml:space="preserve">   Novčane kazne po županijskim propisima</t>
  </si>
  <si>
    <t xml:space="preserve">   Ostale kazne</t>
  </si>
  <si>
    <t xml:space="preserve">   Ostali prihodi</t>
  </si>
  <si>
    <t xml:space="preserve">   Novčane kazne za prekršaje koje su registrirane u registru 
   novčanih kazni i troškovi prekršajnog postupka</t>
  </si>
  <si>
    <t>3. Donacije</t>
  </si>
  <si>
    <t xml:space="preserve">   Donacije</t>
  </si>
  <si>
    <t xml:space="preserve">   Domaće donacije</t>
  </si>
  <si>
    <t xml:space="preserve">   Donacije iz inozemstva</t>
  </si>
  <si>
    <t>V  PRIHODI PO OSNOVI ZAOSTALIH OBVEZA</t>
  </si>
  <si>
    <t xml:space="preserve">   Uplate zaostalih obveza od por.na promet visokotar.proizvoda</t>
  </si>
  <si>
    <t xml:space="preserve">   Uplate zaost.obveza od nakn.Za puteve iz cijene naft.derivata</t>
  </si>
  <si>
    <t>VI KAPITALNI PRIMICI</t>
  </si>
  <si>
    <t xml:space="preserve">   Kapitalni primici od prodaje stalnih sredstava</t>
  </si>
  <si>
    <t>1.Kapitalni primici od prodaje stalnih sredstava</t>
  </si>
  <si>
    <t xml:space="preserve">   Porez na imovinu</t>
  </si>
  <si>
    <t xml:space="preserve">   Porezi na plaće (zaostale uplate poreza)</t>
  </si>
  <si>
    <t xml:space="preserve">2.Naknade i pristojbe i prihodi od pružanja javnih usluga </t>
  </si>
  <si>
    <t xml:space="preserve">   Naknade za korištenje, zaštitu i unapređenje šuma 
   utvrđene županijskim propisima</t>
  </si>
  <si>
    <t xml:space="preserve">   Naknade i pristojbe za veterinarske i sanitarne preglede 
   životinja i biljaka</t>
  </si>
  <si>
    <t xml:space="preserve">       9.1.  Izdaci za otplate dugova</t>
  </si>
  <si>
    <t xml:space="preserve">      17010001 Ministarstvo zdravstva, rada i socijalne politike - 
      Civilne žrtve rata</t>
  </si>
  <si>
    <t xml:space="preserve">      99999999 Riznica ŽP - Proračunska potpora</t>
  </si>
  <si>
    <t>UKUPNO POREZNI I NEPOREZNI PRIHODI (I+II)</t>
  </si>
  <si>
    <t>UKUPNO PRIHODI (I+II+III+IV+V)</t>
  </si>
  <si>
    <t xml:space="preserve">   Naknade za korištenje poljopr.zemljišta u nepoljopr.svrhe</t>
  </si>
  <si>
    <t xml:space="preserve"> Grantovi za poljoprivredu</t>
  </si>
  <si>
    <t xml:space="preserve"> Grantovi za vodoprivredu</t>
  </si>
  <si>
    <t xml:space="preserve"> Grant za uređenje poljoprivrednog zemljišta</t>
  </si>
  <si>
    <t xml:space="preserve"> Transfer za sufinanciranje prijevoza učenika</t>
  </si>
  <si>
    <t>Ministarstvo unutarnjih poslova</t>
  </si>
  <si>
    <t>Proračunski
korisnik</t>
  </si>
  <si>
    <t>Ministarstvo prosvjete, znanosti, kulture i športa - Srednja škola Pere Zečevića Odžak</t>
  </si>
  <si>
    <t>Ministarstvo prosvjete, znanosti, kulture i športa - Školski centar fra Martina Nedića Orašje</t>
  </si>
  <si>
    <t>Ministarstvo prosvjete, znanosti, kulture i športa - Srednja strukovna škola Orašje</t>
  </si>
  <si>
    <t>Ministarstvo prosvjete, znanosti, kulture i športa - Osnovna škola Orašje</t>
  </si>
  <si>
    <t>Ministarstvo prosvjete, znanosti, kulture i športa - Osnovna škola Vladimira Nazora Odžak</t>
  </si>
  <si>
    <t>Ministarstvo prosvjete, znanosti, kulture i športa - Osnovna škola Ruđera Boškovića Donja Mahala</t>
  </si>
  <si>
    <t>Ministarstvo prosvjete, znanosti, kulture i športa - Osnovna škola fra Ilije Starčevića Tolisa</t>
  </si>
  <si>
    <t>Ministarstvo prosvjete, znanosti, kulture i športa - Osnovna škola Stjepana Radića Oštra Luka-Bok</t>
  </si>
  <si>
    <t>Ministarstvo prosvjete, znanosti, kulture i športa - Osnovna škola A.G.Matoša Vidovice</t>
  </si>
  <si>
    <t>Ministarstvo prosvjete, znanosti, kulture i športa - Osnovna škola Braće Radića Domaljevac</t>
  </si>
  <si>
    <t>Bruto plaće
611100</t>
  </si>
  <si>
    <t>Nakn.trošk.zaposlenih
611200</t>
  </si>
  <si>
    <t xml:space="preserve">Tekući grantovi
614000 </t>
  </si>
  <si>
    <t>Kapitalni grantovi
615000</t>
  </si>
  <si>
    <t>Izdaci za kamate
616000</t>
  </si>
  <si>
    <t>Otplate dugova
823000</t>
  </si>
  <si>
    <t>UKUPNO</t>
  </si>
  <si>
    <t>NAZIV</t>
  </si>
  <si>
    <t>Dopr.posl.
612000</t>
  </si>
  <si>
    <t>Mat.trošk.
613000</t>
  </si>
  <si>
    <t>Nab.staln.
sredstava
821000</t>
  </si>
  <si>
    <t>UKUPNO:</t>
  </si>
  <si>
    <t>Tekuća pričuva</t>
  </si>
  <si>
    <t>Proračun</t>
  </si>
  <si>
    <t>Izvor financiranja</t>
  </si>
  <si>
    <t>3=4+5+6</t>
  </si>
  <si>
    <t>1. Primljeni tekući grantovi od inozemnih vlada i 
   međunarodnih organizacija</t>
  </si>
  <si>
    <t xml:space="preserve">   Primljeni tekući grantovi od inoz.vlada i međ.organizacija</t>
  </si>
  <si>
    <t xml:space="preserve">   Primljeni tekući grantovi od međunarodnih organizacija</t>
  </si>
  <si>
    <t>2. Primljeni tekući grantovi od ostalih razina vlasti</t>
  </si>
  <si>
    <t xml:space="preserve">   Primljeni tekući grantovi od ostalih razina vlasti i fondova</t>
  </si>
  <si>
    <t xml:space="preserve">   Primljeni tekući grantovi od ostalih razina vlasti</t>
  </si>
  <si>
    <t xml:space="preserve">   Primljeni tekući grantovi od FBiH</t>
  </si>
  <si>
    <t xml:space="preserve">   Primljeni namjenski grantovi od drugih razina vlasti</t>
  </si>
  <si>
    <t>IV KAPITALNI GRANTOVI</t>
  </si>
  <si>
    <t>1. Primljeni kapitalni grantovi od inozemnih vlada i 
   međunarodnih organizacija</t>
  </si>
  <si>
    <t xml:space="preserve">   Primljeni kapitalni grantovi od inozemnih vlada i 
   međunarodnih organizacija</t>
  </si>
  <si>
    <t xml:space="preserve">   Primljeni kapitalni grantovi od inozemnih vlada</t>
  </si>
  <si>
    <t>2. Kapitalni grantovi od ostalih razina vlasti</t>
  </si>
  <si>
    <t xml:space="preserve">   Kapitalni grantovi od ostalih razina vlasti i fondova</t>
  </si>
  <si>
    <t xml:space="preserve">   Primljeni kapitalni grantovi od Federacije</t>
  </si>
  <si>
    <t>UKUPNO PRIHODI, TEKUĆI I KAPITALNI GRANTOVI I PRIMICI:</t>
  </si>
  <si>
    <t>Rashodi i izdaci</t>
  </si>
  <si>
    <t>Pokriće deficita</t>
  </si>
  <si>
    <t>III TEKUĆI GRANTOVI (GRANTOVI I DONACIJE)</t>
  </si>
  <si>
    <t>Funk. kod</t>
  </si>
  <si>
    <t>Opis</t>
  </si>
  <si>
    <t>011</t>
  </si>
  <si>
    <t>012</t>
  </si>
  <si>
    <t>Strana ekonomska pomoć</t>
  </si>
  <si>
    <t>013</t>
  </si>
  <si>
    <t>Opće usluge</t>
  </si>
  <si>
    <t>014</t>
  </si>
  <si>
    <t>Osnovno istraživanje</t>
  </si>
  <si>
    <t>015</t>
  </si>
  <si>
    <t>IiR Opće javne usluge</t>
  </si>
  <si>
    <t>016</t>
  </si>
  <si>
    <t>Opće javne usluge n. k.</t>
  </si>
  <si>
    <t>017</t>
  </si>
  <si>
    <t xml:space="preserve">Transakcije vezane za javni dug </t>
  </si>
  <si>
    <t>018</t>
  </si>
  <si>
    <t>021</t>
  </si>
  <si>
    <t>022</t>
  </si>
  <si>
    <t>023</t>
  </si>
  <si>
    <t>024</t>
  </si>
  <si>
    <t>025</t>
  </si>
  <si>
    <t>031</t>
  </si>
  <si>
    <t>Policijske usluge</t>
  </si>
  <si>
    <t>032</t>
  </si>
  <si>
    <t>033</t>
  </si>
  <si>
    <t>Sudovi</t>
  </si>
  <si>
    <t>034</t>
  </si>
  <si>
    <t>Zatvori</t>
  </si>
  <si>
    <t>035</t>
  </si>
  <si>
    <t>IiR  Javni red i sigurnost</t>
  </si>
  <si>
    <t>036</t>
  </si>
  <si>
    <t>Javni red i sigurnost n. k.</t>
  </si>
  <si>
    <t>04</t>
  </si>
  <si>
    <t>Ekonomski poslovi    (25+….+33)</t>
  </si>
  <si>
    <t>041</t>
  </si>
  <si>
    <t>Opći ekonomski, komercijalni i poslovi po pitanju rada</t>
  </si>
  <si>
    <t>042</t>
  </si>
  <si>
    <t>Poljoprivreda, šumarstvo, lov i ribolov</t>
  </si>
  <si>
    <t>043</t>
  </si>
  <si>
    <t>Gorivo i energija</t>
  </si>
  <si>
    <t>044</t>
  </si>
  <si>
    <t xml:space="preserve">Rudarstvo, proizvodnja i izgradnja </t>
  </si>
  <si>
    <t>045</t>
  </si>
  <si>
    <t>046</t>
  </si>
  <si>
    <t>Komunikacije</t>
  </si>
  <si>
    <t>047</t>
  </si>
  <si>
    <t>Ostale industrije</t>
  </si>
  <si>
    <t>048</t>
  </si>
  <si>
    <t>IiR Ekonomski poslovi</t>
  </si>
  <si>
    <t>049</t>
  </si>
  <si>
    <t>Ekonomski poslovi n. k.</t>
  </si>
  <si>
    <t>Zaštita životne sredine      (35+…..+40)</t>
  </si>
  <si>
    <t>051</t>
  </si>
  <si>
    <t xml:space="preserve">Upravljanje otpadom </t>
  </si>
  <si>
    <t>052</t>
  </si>
  <si>
    <t>Upravljanje otpadnim vodama</t>
  </si>
  <si>
    <t>053</t>
  </si>
  <si>
    <t>Smanjenje zagađenosti</t>
  </si>
  <si>
    <t>054</t>
  </si>
  <si>
    <t>055</t>
  </si>
  <si>
    <t>056</t>
  </si>
  <si>
    <t>Zaštita životne sredine n. k.</t>
  </si>
  <si>
    <t>Stambeni i zajednički poslovi    (42+….+47)</t>
  </si>
  <si>
    <t>061</t>
  </si>
  <si>
    <t>Stambeni razvoj</t>
  </si>
  <si>
    <t>062</t>
  </si>
  <si>
    <t>Razvoj zajednice</t>
  </si>
  <si>
    <t>063</t>
  </si>
  <si>
    <t>064</t>
  </si>
  <si>
    <t>Ulična rasvjeta</t>
  </si>
  <si>
    <t>065</t>
  </si>
  <si>
    <t>IiR Stambeni i zajednički poslovi</t>
  </si>
  <si>
    <t>066</t>
  </si>
  <si>
    <t>Stambeni i zajednički poslovi n. k.</t>
  </si>
  <si>
    <t>07</t>
  </si>
  <si>
    <t>Zdravstvo    (49+….+54)</t>
  </si>
  <si>
    <t>071</t>
  </si>
  <si>
    <t>Medicinski proizvodi, uređaji i oprema</t>
  </si>
  <si>
    <t>072</t>
  </si>
  <si>
    <t xml:space="preserve"> Nabavka stalnih sredstava u obliku prava</t>
  </si>
  <si>
    <t xml:space="preserve">   Porez na ukupan prihod fizičkih osoba</t>
  </si>
  <si>
    <t xml:space="preserve">   Porez na promet proizvoda (niža stopa)</t>
  </si>
  <si>
    <r>
      <t xml:space="preserve">      99999999 Riznica </t>
    </r>
    <r>
      <rPr>
        <b/>
        <sz val="10"/>
        <color indexed="8"/>
        <rFont val="Calibri"/>
        <family val="2"/>
        <charset val="238"/>
      </rPr>
      <t>(razgraničenja)</t>
    </r>
  </si>
  <si>
    <t xml:space="preserve">   Posebna vodna naknada za vađenje materijala iz vodotoka</t>
  </si>
  <si>
    <t xml:space="preserve">   Ostali povrati</t>
  </si>
  <si>
    <r>
      <t xml:space="preserve">      18010001 Ministarstvo prometa, veza, turizma i zašt.okoliša
      </t>
    </r>
    <r>
      <rPr>
        <sz val="10"/>
        <color indexed="8"/>
        <rFont val="Calibri"/>
        <family val="2"/>
        <charset val="238"/>
      </rPr>
      <t>- GSM licence</t>
    </r>
  </si>
  <si>
    <t xml:space="preserve">       5.1.  Izdaci za nabavku stalnih sredstava</t>
  </si>
  <si>
    <t xml:space="preserve">   Naknada za postavljanje reklamnih panoa</t>
  </si>
  <si>
    <t xml:space="preserve">   Prihodi od mjenice</t>
  </si>
  <si>
    <t xml:space="preserve">      16010001 Ministarstvo financija - Refundacija kamata</t>
  </si>
  <si>
    <t xml:space="preserve">      11010001 Vlada ŽP - Ured za Hrvate izvan RH</t>
  </si>
  <si>
    <t>Minist.prosv., znanosti, kulture i športa - Osnovna škola fra Ilije Starčevića Tolisa</t>
  </si>
  <si>
    <t xml:space="preserve"> Naknade troškova zaposlenih - volonteri ()</t>
  </si>
  <si>
    <t xml:space="preserve"> Ugovorene i druge posebne usluge-volonteri ()</t>
  </si>
  <si>
    <t xml:space="preserve">   Primici od prodaje zemljišta</t>
  </si>
  <si>
    <t xml:space="preserve">   Primici od prodaje prometnih vozila</t>
  </si>
  <si>
    <t xml:space="preserve"> Potpora riznici</t>
  </si>
  <si>
    <t>Namjenski prihodi</t>
  </si>
  <si>
    <t>Grantovi i donacije</t>
  </si>
  <si>
    <t>Minist.prosv., znan., kult.i šp.- Osnovna škola Stjepana Radića Oštra Luka-Bok</t>
  </si>
  <si>
    <t>Minist.prosvj., znanosti, kulture i športa - Osnovna škola A.G.Matoša Vidovice</t>
  </si>
  <si>
    <t>Minist.prosv., znan., kulture i športa - Osnovna škola Braće Radića Domaljevac</t>
  </si>
  <si>
    <t xml:space="preserve">   Primljeni tekući grantovi od inozemnih vlada</t>
  </si>
  <si>
    <t xml:space="preserve">   Primljeni kapitalni grantovi od Države</t>
  </si>
  <si>
    <t>URED ZA RAZVOJ I EUROPSKE INTEGRACIJE ŽUPANIJE POSAVSKE</t>
  </si>
  <si>
    <t xml:space="preserve"> Ugovorene i druge posebne usluge-prostorni plan</t>
  </si>
  <si>
    <t xml:space="preserve"> Ugovorene i druge posebne usluge-Nerda</t>
  </si>
  <si>
    <t xml:space="preserve"> o/č Izdaci za tekuće održavanje</t>
  </si>
  <si>
    <t xml:space="preserve"> o/č Tekuće održavanje cesta</t>
  </si>
  <si>
    <t xml:space="preserve"> o/č Izdaci osiguranja, bank. usluga i usluga p.p.</t>
  </si>
  <si>
    <t xml:space="preserve"> o/č Izdaci za negativne tečajne razlike</t>
  </si>
  <si>
    <t xml:space="preserve"> o/č Ugovorene i druge posebne usluge</t>
  </si>
  <si>
    <t xml:space="preserve"> o/č Agencija za državnu službu</t>
  </si>
  <si>
    <t xml:space="preserve"> o/č Potpora riznici</t>
  </si>
  <si>
    <t xml:space="preserve"> o/č Vozački ispiti-vlastiti prihodi</t>
  </si>
  <si>
    <t xml:space="preserve"> o/č Ugovorene i druge posebne usluge-prostorni plan</t>
  </si>
  <si>
    <t xml:space="preserve"> o/č Ugovorene i druge posebne usluge-Nerda</t>
  </si>
  <si>
    <t xml:space="preserve"> o/č Grant za sanaciju šteta uzrokovanih poplavom</t>
  </si>
  <si>
    <t xml:space="preserve"> o/č Grant za Sveučilište u Mostaru</t>
  </si>
  <si>
    <t xml:space="preserve"> o/č Grantovi nižim razinama vlasti</t>
  </si>
  <si>
    <t xml:space="preserve"> o/č Transfer za zdravstvene institucije i centre za soc.rad</t>
  </si>
  <si>
    <t xml:space="preserve"> o/č Grant za zaštitu okoliša</t>
  </si>
  <si>
    <t xml:space="preserve"> o/č Grant za razvoj turizma</t>
  </si>
  <si>
    <t xml:space="preserve"> o/č Grantovi za šumarstvo</t>
  </si>
  <si>
    <t xml:space="preserve"> o/č Grantovi za financiranje višeg i visokog obrazovanja i 
       Zavoda za školstvo</t>
  </si>
  <si>
    <t xml:space="preserve"> o/č Grantovi za šport i kulturu</t>
  </si>
  <si>
    <t xml:space="preserve"> o/č Transfer za sufinanciranje prijevoza učenika</t>
  </si>
  <si>
    <t xml:space="preserve"> o/č Grant za sufinanciranje nabavke udžbenika učenicima </t>
  </si>
  <si>
    <t xml:space="preserve"> o/č Grantovi za povratak raseljenih osoba</t>
  </si>
  <si>
    <t xml:space="preserve"> o/č Grantovi za zdravstvene i socijalne potrebe</t>
  </si>
  <si>
    <t xml:space="preserve"> o/č Isplate stipendija</t>
  </si>
  <si>
    <t xml:space="preserve"> o/č Grant za sufinanciranje osn.i srednjeg obrazovanja djece s 
       posebnim potrebama</t>
  </si>
  <si>
    <t xml:space="preserve"> o/č Grantovi za branitelje i stradalnike dom. rata</t>
  </si>
  <si>
    <t xml:space="preserve"> o/č Grant za zaštitu od prirodnih i drugih nesreća</t>
  </si>
  <si>
    <t xml:space="preserve"> o/č Grantovi političkim strankama</t>
  </si>
  <si>
    <t xml:space="preserve"> o/č Grantovi neprofitnim organizacijama i udrugama građana</t>
  </si>
  <si>
    <t xml:space="preserve"> o/č Grant za Crveni križ Županije Posavske</t>
  </si>
  <si>
    <t xml:space="preserve"> o/č Grant za Kuću nade Odžak</t>
  </si>
  <si>
    <t xml:space="preserve"> o/č Grant za Udrugu roditelja djece s posebnim potrebama 
      Angelus Domaljevac</t>
  </si>
  <si>
    <t xml:space="preserve"> o/č Grant za Gospodarsku komoru ŽP</t>
  </si>
  <si>
    <t xml:space="preserve"> o/č Grantovi za informiranje</t>
  </si>
  <si>
    <t xml:space="preserve"> o/č Grantovi za financiranje vjerskih zajednica</t>
  </si>
  <si>
    <t xml:space="preserve"> o/č Grantovi za poljoprivredu</t>
  </si>
  <si>
    <t xml:space="preserve"> o/č Grantovi za vodoprivredu</t>
  </si>
  <si>
    <t xml:space="preserve"> o/č Grant za uređenje poljoprivrednog zemljišta</t>
  </si>
  <si>
    <t xml:space="preserve"> o/č Ostali grantovi-povrat i drugo</t>
  </si>
  <si>
    <t xml:space="preserve"> o/č Ostali grantovi-izvršenje sudskih presuda i rješenja o 
      izvršenju</t>
  </si>
  <si>
    <t xml:space="preserve"> Tekući grantovi drugim razinama vlasti i fondovima</t>
  </si>
  <si>
    <t xml:space="preserve"> Tekući grantovi pojedincima</t>
  </si>
  <si>
    <t xml:space="preserve"> Tekući grantovi neprofitnim organizacijama</t>
  </si>
  <si>
    <t xml:space="preserve"> Subvencije privatnim poduzećima i poduzetnicima</t>
  </si>
  <si>
    <t xml:space="preserve"> Drugi tekući rashodi</t>
  </si>
  <si>
    <t>Ekon. 
kod</t>
  </si>
  <si>
    <t xml:space="preserve"> Ostali grantovi-izvršenje sudskih presuda i rješenja
 o izvršenju</t>
  </si>
  <si>
    <t>43 (43)</t>
  </si>
  <si>
    <t>28 (28)</t>
  </si>
  <si>
    <t>Otplate domaćeg pozajmljivanja-Austrija</t>
  </si>
  <si>
    <t>Otplate domaćeg pozajmljivanja-Koreja</t>
  </si>
  <si>
    <t xml:space="preserve"> Otplate domaćeg pozajmljivanja - Austrija</t>
  </si>
  <si>
    <t xml:space="preserve"> Otplate domaćeg pozajmljivanja - Koreja</t>
  </si>
  <si>
    <t xml:space="preserve">      11010001 Vlada ŽP - Fond za zaštitu okoliša Federacije BiH</t>
  </si>
  <si>
    <t xml:space="preserve">   Grantovi od izvanproračunskih fondova</t>
  </si>
  <si>
    <t xml:space="preserve"> o/č Grant za sufinanciranje profesionalne vatrogasne postrojbe</t>
  </si>
  <si>
    <t>Ured za razvoj i europske integracije Županije Posavske</t>
  </si>
  <si>
    <t>54 (61)</t>
  </si>
  <si>
    <t xml:space="preserve"> Ugovorene i druge posebne usluge-volonteri (1) (0)</t>
  </si>
  <si>
    <t>Javni red i sihurnost       (18+….+23)</t>
  </si>
  <si>
    <t xml:space="preserve">Usluge protupožarne zaštite </t>
  </si>
  <si>
    <t xml:space="preserve">   Prihodi od zakupa javnog vodnog dobra na površ.vodama I kateg.</t>
  </si>
  <si>
    <t xml:space="preserve">   Ostali prih.za korišt., zaštitu i unapređ.šuma po žup.propisima</t>
  </si>
  <si>
    <t xml:space="preserve">     19010001 Min.poljopr., vodoprivrede i šumarstva - DR.SHARE</t>
  </si>
  <si>
    <t xml:space="preserve">   Primljeni namj.grantovi za obrazov.- SSŠ Orašje - Udruga Nerda</t>
  </si>
  <si>
    <t xml:space="preserve">      20020002 Sred.škola P.Zečevića Odžak-Ured za Hrvate izvan RH</t>
  </si>
  <si>
    <t xml:space="preserve">   Posebna naknada za zaštitu od prir.i drugih nesreća gdje 
   je osnovica sumarni iznos neto prim.po osnovi dr.samostalne 
   djelatnosti i povremenog samostalnog rada</t>
  </si>
  <si>
    <t xml:space="preserve">   Posebna vodna naknada za korištenje površ..i podzemnih 
   voda za industrijske procese, uključujući i termoelektrane</t>
  </si>
  <si>
    <t xml:space="preserve">   Poseb.vodna naknada za korištenje površ.i podzem.voda za
   flaš.vode i min.vode za uzgoj ribe u ribnj.za navod.i dr.namj.</t>
  </si>
  <si>
    <t xml:space="preserve">   Posebna naknada za zaštitu od prirodnih i drugih nesreća 
   gdje je osnovica sumarni iznos neto plaće za isplatu</t>
  </si>
  <si>
    <t xml:space="preserve">   Posebna vodna naknada za korištenje vode za proizvodnju 
   električne energije</t>
  </si>
  <si>
    <t xml:space="preserve">   Naknade i pristojbe po Fed.zakonima i dr.propisima</t>
  </si>
  <si>
    <r>
      <t xml:space="preserve">      19010001 Minist.poljopr., vodoprivrede i šumarstva </t>
    </r>
    <r>
      <rPr>
        <b/>
        <sz val="10"/>
        <color indexed="8"/>
        <rFont val="Calibri"/>
        <family val="2"/>
        <charset val="238"/>
      </rPr>
      <t>(razgr.)</t>
    </r>
  </si>
  <si>
    <t xml:space="preserve"> Grant za Obrtničku komoru ŽP</t>
  </si>
  <si>
    <t xml:space="preserve"> o/č Grant za Obrtničku komoru ŽP</t>
  </si>
  <si>
    <t xml:space="preserve"> Grant za sufinanc.nabavke udžbenika učenicima</t>
  </si>
  <si>
    <t xml:space="preserve"> o/č Grant za Udrugu osoba s posebnim potrebama Put u  
      život Orašje</t>
  </si>
  <si>
    <t xml:space="preserve">   Grant od Federalnog zavoda za zapošljavanje - osnovne škole</t>
  </si>
  <si>
    <t xml:space="preserve">   Grant od Federalnog zavoda za zapošljavanje-Min.pravosuđa</t>
  </si>
  <si>
    <t xml:space="preserve"> Grant za razvoj poduzetništva, obrta i zadruga</t>
  </si>
  <si>
    <t xml:space="preserve"> o/č Grant za razvoj poduzetništva, obrta i zadruga</t>
  </si>
  <si>
    <t xml:space="preserve">   Porez na temelju autorskih prava, patenata i tehn.unapređenja</t>
  </si>
  <si>
    <t xml:space="preserve">   Prihodi od neizravnih poreza na ime financ.autocesta u FBiH</t>
  </si>
  <si>
    <t xml:space="preserve">   Prihodi od zakupa korištenja sportsko-gospodarskih lovišta</t>
  </si>
  <si>
    <t xml:space="preserve">   Federalna naknada za uvjerenje o veterin.-zdravstvenom 
   stanju životinja iz uvoza</t>
  </si>
  <si>
    <t xml:space="preserve">   Povrati naknada troškova zaposlenih</t>
  </si>
  <si>
    <t xml:space="preserve">      20030001 Osn.škola Orašje - Ured za Hrvate izvan RH</t>
  </si>
  <si>
    <t xml:space="preserve">      20030007 Osn.šk.B.Radića Domaljevac- Ured za Hrv. izvan RH</t>
  </si>
  <si>
    <t xml:space="preserve">      20020002 Srednja škola Pere Zečevića Odžak - Federalno 
      ministarstvo obrazovanja i nauke</t>
  </si>
  <si>
    <t xml:space="preserve">   Kapitalni grantovi od nevladinih izvora</t>
  </si>
  <si>
    <t xml:space="preserve">   Kapitalni grantovi od poduzeća</t>
  </si>
  <si>
    <t xml:space="preserve">      20030002 Osnovna škola V.Nazora Odžak - BH Telecom d.d.</t>
  </si>
  <si>
    <t xml:space="preserve">      20030003 Osn.škola R.Boškovića D.Mahala - BH Telecom d.d.</t>
  </si>
  <si>
    <t xml:space="preserve">   Primljeni tekući grantovi od gradova</t>
  </si>
  <si>
    <t xml:space="preserve">      14020003 Općinski sud Orašje</t>
  </si>
  <si>
    <t>PRORAČUN za 2019.</t>
  </si>
  <si>
    <t>107 (110)</t>
  </si>
  <si>
    <t>31 (31)</t>
  </si>
  <si>
    <t>48 (49)</t>
  </si>
  <si>
    <t>20 (20)</t>
  </si>
  <si>
    <t>PRORAČUN za 
2019.godinu</t>
  </si>
  <si>
    <t>Subanalitika</t>
  </si>
  <si>
    <t>BA6017</t>
  </si>
  <si>
    <t>BA6006</t>
  </si>
  <si>
    <t>BA6012</t>
  </si>
  <si>
    <t>BA6014</t>
  </si>
  <si>
    <t>BA6016</t>
  </si>
  <si>
    <t>BA6001</t>
  </si>
  <si>
    <t>BA6008</t>
  </si>
  <si>
    <t>BA6009</t>
  </si>
  <si>
    <t>BA6013</t>
  </si>
  <si>
    <t>BA6015</t>
  </si>
  <si>
    <t>BA6007</t>
  </si>
  <si>
    <t>BA6018</t>
  </si>
  <si>
    <t>BA6010</t>
  </si>
  <si>
    <t>FA6002</t>
  </si>
  <si>
    <t>FA6001</t>
  </si>
  <si>
    <t>GA6003</t>
  </si>
  <si>
    <t>GA6002</t>
  </si>
  <si>
    <t>GA6005</t>
  </si>
  <si>
    <t>GA6006</t>
  </si>
  <si>
    <t>GA6008</t>
  </si>
  <si>
    <t>GA6009</t>
  </si>
  <si>
    <t>HA6001</t>
  </si>
  <si>
    <t>IA6004</t>
  </si>
  <si>
    <t>IA6002</t>
  </si>
  <si>
    <t>IA6003</t>
  </si>
  <si>
    <t>JA6004</t>
  </si>
  <si>
    <t>JA6008</t>
  </si>
  <si>
    <t>JA6005</t>
  </si>
  <si>
    <t>JA6007</t>
  </si>
  <si>
    <t>KA6007</t>
  </si>
  <si>
    <t>KA6004</t>
  </si>
  <si>
    <t xml:space="preserve"> Grantovi za šport</t>
  </si>
  <si>
    <t xml:space="preserve"> Grantovi za kulturu</t>
  </si>
  <si>
    <t>KA6009</t>
  </si>
  <si>
    <t>KA6003</t>
  </si>
  <si>
    <t>KA6008</t>
  </si>
  <si>
    <t>KA6001</t>
  </si>
  <si>
    <t>KA6006</t>
  </si>
  <si>
    <t>KB6001</t>
  </si>
  <si>
    <t>LA6001</t>
  </si>
  <si>
    <t>NA6002</t>
  </si>
  <si>
    <t>NA6003</t>
  </si>
  <si>
    <t xml:space="preserve"> Grantovi za zdravstvene potrebe</t>
  </si>
  <si>
    <t xml:space="preserve"> Grantovi za socijalne potrebe</t>
  </si>
  <si>
    <t xml:space="preserve"> o/č Grantovi za zdravstvene potrebe</t>
  </si>
  <si>
    <t xml:space="preserve"> o/č Grantovi za socijalne potrebe</t>
  </si>
  <si>
    <t xml:space="preserve"> o/č Grantovi za šport</t>
  </si>
  <si>
    <t xml:space="preserve"> o/č Grantovi za kulturu</t>
  </si>
  <si>
    <t xml:space="preserve">     15010001 Min.gospod.i prost.uređenja-Prostorni plan</t>
  </si>
  <si>
    <t xml:space="preserve">      18010001 Minist.prometa, veza, turizma i zaštite okoliša - 
      Fed.ministarstvo raseljenih osoba i izbjeglica</t>
  </si>
  <si>
    <t>iz prorač.
sredstava</t>
  </si>
  <si>
    <t>iz ostalih izvora</t>
  </si>
  <si>
    <t>12=10+11</t>
  </si>
  <si>
    <t>8=6+7</t>
  </si>
  <si>
    <t xml:space="preserve"> Grantovi neprofitnim organizacijama i udrugama građana</t>
  </si>
  <si>
    <t>822, 823</t>
  </si>
  <si>
    <t>813, 814, 815</t>
  </si>
  <si>
    <t>Ekonomski 
kod</t>
  </si>
  <si>
    <t xml:space="preserve">     1.1.  Prihodi od poreza</t>
  </si>
  <si>
    <t xml:space="preserve">     1.2.  Neporezni prihodi</t>
  </si>
  <si>
    <t xml:space="preserve">     1.3.  Tekući grantovi (grantovi i donacije)</t>
  </si>
  <si>
    <t xml:space="preserve">     1.4.  Kapitalni grantovi</t>
  </si>
  <si>
    <t xml:space="preserve">     1.5.  Prihodi po osnovi zaostalih obveza</t>
  </si>
  <si>
    <t xml:space="preserve">     2.1.  Rashodi - Tekuća pričuva</t>
  </si>
  <si>
    <t xml:space="preserve">     2.2.  Plaće i naknade troškova zaposlenih</t>
  </si>
  <si>
    <t xml:space="preserve">     2.3.  Doprinosi poslodavca i ostali doprinosi</t>
  </si>
  <si>
    <t xml:space="preserve">     2.4.  Izdaci za materijal, sitan inventar i usluge</t>
  </si>
  <si>
    <t xml:space="preserve">     2.5.  Tekući grantovi i drugi tekući rashodi</t>
  </si>
  <si>
    <t xml:space="preserve">     2.6.  Kapitalni grantovi</t>
  </si>
  <si>
    <t xml:space="preserve">     2.7.  Izdaci za kamate</t>
  </si>
  <si>
    <t xml:space="preserve">   1. PRORAČUNSKI PRIHODI (1.1.+1.2.+1.3.+1.4.+1.5.)</t>
  </si>
  <si>
    <t xml:space="preserve">   2. PRORAČUNSKI RASHODI (2.1.+2.2.)</t>
  </si>
  <si>
    <t xml:space="preserve">   3. TEKUĆA BILANCA (1-2)</t>
  </si>
  <si>
    <t xml:space="preserve">   4. PRIMICI OD PRODAJE NEFINANCIJSKE IMOVINE</t>
  </si>
  <si>
    <t xml:space="preserve">   5. IZDACI ZA NABAVKU NEFINANCIJSKE IMOVINE</t>
  </si>
  <si>
    <t xml:space="preserve">   6. NETO NABAVKA NEFINANCIJSKE IMOVINE (4-5)</t>
  </si>
  <si>
    <t xml:space="preserve">   7. UKUPAN SUFICIT/DEFICIT (3+6)</t>
  </si>
  <si>
    <t xml:space="preserve">   8. PRIMICI OD FINANCIJSKE IMOVINE I ZADUŽIVANJA</t>
  </si>
  <si>
    <t xml:space="preserve">   10. NETO FINANCIRANJE (8-9)</t>
  </si>
  <si>
    <t xml:space="preserve">   11. UKUPAN FINANCIJSKI REZULTAT (7+10)</t>
  </si>
  <si>
    <t xml:space="preserve">   UKUPNO PRIHODI, PRIMICI I FINANCIRANJE</t>
  </si>
  <si>
    <t xml:space="preserve">   UKUPNO RASHODI I IZDACI</t>
  </si>
  <si>
    <t xml:space="preserve">   UKUPNO POKRIĆE AKUMULIRANOG DEFICITA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</si>
  <si>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</si>
  <si>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</si>
  <si>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</si>
  <si>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</si>
  <si>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</si>
  <si>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</si>
  <si>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</si>
  <si>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</si>
  <si>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</si>
  <si>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</si>
  <si>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</si>
  <si>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</si>
  <si>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</si>
  <si>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</si>
  <si>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</si>
  <si>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</si>
  <si>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</si>
  <si>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</si>
  <si>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</si>
  <si>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</si>
  <si>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</si>
  <si>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</si>
  <si>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</si>
  <si>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</si>
  <si>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</si>
  <si>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</si>
  <si>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</si>
  <si>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</si>
  <si>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</si>
  <si>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</si>
  <si>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</si>
  <si>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</si>
  <si>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</si>
  <si>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</si>
  <si>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</si>
  <si>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</si>
  <si>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</si>
  <si>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</si>
  <si>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</si>
  <si>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 xml:space="preserve"> Grant za sufinanciranje osn.i srednjeg obrazovanja djece s 
 posebnim potrebama</t>
  </si>
  <si>
    <t xml:space="preserve">      20010001 Ministarstvo prosvjete, znanosti, kulture i športa - 
      Nabavka besplatnih udžbenika</t>
  </si>
  <si>
    <t xml:space="preserve"> Grant za sufinanc.profesionalne vatrogasne postrojbe</t>
  </si>
  <si>
    <t>44 (45)</t>
  </si>
  <si>
    <t xml:space="preserve">      20030002 Osnovna škola V.Nazora Odžak - Federalno ministarstvo 
      obrazovanja i nauke</t>
  </si>
  <si>
    <t xml:space="preserve">      20030004 Osnovna škola fra I.Starčevića Tolisa - Federalno ministarstvo 
      obrazovanja i nauke</t>
  </si>
  <si>
    <t xml:space="preserve">      23010001 Uprava za civilnu zaštitu</t>
  </si>
  <si>
    <r>
      <t xml:space="preserve">      19010001 Minist.poljopr., vodoprivrede i šumarstva </t>
    </r>
    <r>
      <rPr>
        <b/>
        <sz val="10"/>
        <color indexed="8"/>
        <rFont val="Calibri"/>
        <family val="2"/>
        <charset val="238"/>
      </rPr>
      <t>(razgraničenja)</t>
    </r>
  </si>
  <si>
    <t xml:space="preserve">      99999999 Riznica</t>
  </si>
  <si>
    <t>52 (52)</t>
  </si>
  <si>
    <t xml:space="preserve"> Transfer za zdravstvene institucije i centre za soc.rad</t>
  </si>
  <si>
    <t xml:space="preserve"> Grant za Udr.rod.djece s pos.potr.Angelus Domaljevac</t>
  </si>
  <si>
    <t xml:space="preserve"> Grant za Udr.osoba s pos.potrebama Put u život Orašje</t>
  </si>
  <si>
    <t xml:space="preserve">   Prihodi od iznajmljivanja zemljišta</t>
  </si>
  <si>
    <t>KA6010</t>
  </si>
  <si>
    <t>KA6011</t>
  </si>
  <si>
    <t>HA6003</t>
  </si>
  <si>
    <t>HA6004</t>
  </si>
  <si>
    <t>55 (55)</t>
  </si>
  <si>
    <t>968 (980)</t>
  </si>
  <si>
    <r>
      <t xml:space="preserve">      20020004 Sred.struk.škola Orašje-Ured za Hrvate izvan RH </t>
    </r>
    <r>
      <rPr>
        <b/>
        <sz val="10"/>
        <color indexed="8"/>
        <rFont val="Calibri"/>
        <family val="2"/>
        <charset val="238"/>
      </rPr>
      <t>(razgr.)</t>
    </r>
  </si>
  <si>
    <r>
      <t xml:space="preserve">      27010001 Kant.tužiteljstvo - IPA </t>
    </r>
    <r>
      <rPr>
        <b/>
        <sz val="10"/>
        <color indexed="8"/>
        <rFont val="Calibri"/>
        <family val="2"/>
        <charset val="238"/>
      </rPr>
      <t>(razgr.)</t>
    </r>
  </si>
  <si>
    <t>TABLIČNI PREGLED</t>
  </si>
  <si>
    <t xml:space="preserve">   Kamate primljene od pozajmica Državi</t>
  </si>
  <si>
    <t xml:space="preserve">   Naknada zagađivača okoliša fizičkih osoba</t>
  </si>
  <si>
    <t xml:space="preserve">   Prihodi od prodanih pristojbenih biljega</t>
  </si>
  <si>
    <t xml:space="preserve">      20030007 Osn.škola Braće Radića Domaljevac - BH Telekom Sarajevo</t>
  </si>
  <si>
    <t xml:space="preserve">      20030006 Osn.škola A.G.Matoša Vidovice - BH Telekom Sarajevo</t>
  </si>
  <si>
    <t xml:space="preserve">      20020002 Srednja škola P.Zečevića Odžak -Strolit, Peplast i ST Company</t>
  </si>
  <si>
    <t>Bosna i Hercegovina
Federacija Bosne i 
Hercegovine
Županija Posavska
S K U P Š T I N A</t>
  </si>
  <si>
    <t>Bosnia and Herzegovina
Federation of Bosnia and Herzegovina
Posavina County
THE ASSEMBLY</t>
  </si>
  <si>
    <t>Funkcijska klasifikacija rashoda i izdataka Proračuna ŽP za 2019. godinu</t>
  </si>
  <si>
    <t>Izdaci za nabavku stalnih sredstava za 2019.g.(po pror.korisn.i izv.financiranja)</t>
  </si>
  <si>
    <t>Završne odredbe</t>
  </si>
  <si>
    <t>IZMJENE I DOPUNE PRORAČUNA</t>
  </si>
  <si>
    <t xml:space="preserve"> Županije Posavske za 2019. godinu</t>
  </si>
  <si>
    <t>I  OPĆI DIO</t>
  </si>
  <si>
    <t>Članak 1.</t>
  </si>
  <si>
    <t xml:space="preserve">     U Proračunu Županije Posavske za 2019. godinu ("Narodne novine Županije Posavske", broj: 9/18) članak 1. mijenja se i glasi: </t>
  </si>
  <si>
    <t>Proračun Županije Posavske za 2019.godinu sastoji se od:</t>
  </si>
  <si>
    <t>Izmjene i dopune PRORAČUNA za 2019. godinu</t>
  </si>
  <si>
    <t>Članak 2.</t>
  </si>
  <si>
    <t xml:space="preserve">     Članak 2. Proračuna mijenja se i glasi:</t>
  </si>
  <si>
    <t>Prihodi, primici i financiranje" i "Rashodi i izdaci" po grupama utvrđuju se u Računu prihoda i rashoda za 2019.godinu kako slijedi:</t>
  </si>
  <si>
    <t>Izmjene i dopune PRORAČUNA za 2019.</t>
  </si>
  <si>
    <t>II POSEBAN DIO</t>
  </si>
  <si>
    <t>Članak 3.</t>
  </si>
  <si>
    <t xml:space="preserve">     Članak 3. Proračuna mijenja se i glasi:</t>
  </si>
  <si>
    <t>Povećanje/ smanjenje Proračuna</t>
  </si>
  <si>
    <t>Izvršenje Proračuna za razdoblje 01.01.-30.09.2019.</t>
  </si>
  <si>
    <t>INDEKS 12/8*
100</t>
  </si>
  <si>
    <t>INDEKS 
8/4*
100</t>
  </si>
  <si>
    <t>Povećanje/ smanjenje Proračuna za 2019.</t>
  </si>
  <si>
    <t>50 (56)</t>
  </si>
  <si>
    <t>54 (54)</t>
  </si>
  <si>
    <t>40 (46)</t>
  </si>
  <si>
    <t>50 (51)</t>
  </si>
  <si>
    <t>104 (111)</t>
  </si>
  <si>
    <t>30 (31)</t>
  </si>
  <si>
    <t>41 (41)</t>
  </si>
  <si>
    <t>49 (49)</t>
  </si>
  <si>
    <t>19 (19)</t>
  </si>
  <si>
    <t>26 (26)</t>
  </si>
  <si>
    <t>932 (953)</t>
  </si>
  <si>
    <t>IZMJENE I DOPUNE PRORAČUNA ŽUPANIJE POSAVSKE ZA 2019.g. (po korisnicima i ekonomskim klasifikacijama izdataka)</t>
  </si>
  <si>
    <t>FUNKCIJSKA KLASIFIKACIJA RASHODA I IZDATAKA PRORAČUNA ŽUPANIJE POSAVSKE ZA 2019.G.</t>
  </si>
  <si>
    <t xml:space="preserve">   11010001 Vlada ŽP - Brčko Distrikt</t>
  </si>
  <si>
    <t xml:space="preserve">      19010001 Ministarstvo poljoprivrede, vodoprivrede i šumarstva - Feder.
      ministarstvo prostornog uređenja - Ljetni nasip Kopanice</t>
  </si>
  <si>
    <t xml:space="preserve">   Kapitalni grantovi od županija</t>
  </si>
  <si>
    <t xml:space="preserve">      20020004 Srednja strukovna škola Orašje - Min.poljoprivrede,
      vodoprivrede i šumarstva ŽP</t>
  </si>
  <si>
    <t xml:space="preserve">      20030006 Osnovna škola A.G.Matoša Vidovice</t>
  </si>
  <si>
    <t>Povećanje/smanjenje Proračuna za 
2019.godinu</t>
  </si>
  <si>
    <t>Izvršenje Proračuna za razdoblje 01.01.-30.09.2019.godine</t>
  </si>
  <si>
    <t>INDEKS
(6/4)</t>
  </si>
  <si>
    <t xml:space="preserve">   9. IZDACI ZA NABAVKU FINANCIJSKE IMOVINE I OTPLATE DUGOVA</t>
  </si>
  <si>
    <t>IZDACI ZA NABAVKU STALNIH SREDSTAVA ŽUPANIJE POSAVSKE ZA 2019.g. (po proračunskim korisnicima i izvorima financiranja)</t>
  </si>
  <si>
    <t>Izmjene i dopune Proračuna za 2019.godinu</t>
  </si>
  <si>
    <t>Članak 4.</t>
  </si>
  <si>
    <t>Članak 4. Proračuna mijenja se i glasi:</t>
  </si>
  <si>
    <t>Članak 5.</t>
  </si>
  <si>
    <t xml:space="preserve">Bosna i Hercegovina </t>
  </si>
  <si>
    <t>ŽUPANIJA POSAVSKA</t>
  </si>
  <si>
    <t xml:space="preserve">Skupština </t>
  </si>
  <si>
    <t xml:space="preserve">     Izmjene i dopune Proračuna Županije Posavske za 2019. godinu stupaju na snagu narednog dana od dana objave u "Narodnim novinama Županije Posavske".</t>
  </si>
  <si>
    <t>Predsjednik Skupštine</t>
  </si>
  <si>
    <r>
      <t>IZMJENE I DOPUNE 
PRORAČUNA ŽUPANIJE POSAVSKE</t>
    </r>
    <r>
      <rPr>
        <b/>
        <sz val="10"/>
        <rFont val="Arial"/>
        <family val="2"/>
      </rPr>
      <t xml:space="preserve">
</t>
    </r>
    <r>
      <rPr>
        <b/>
        <sz val="14"/>
        <rFont val="Arial"/>
        <family val="2"/>
      </rPr>
      <t>za 2019. godinu</t>
    </r>
  </si>
  <si>
    <t>Izmjene i dopune Proračuna ŽP za 2019. godinu (po korisn. i ek.kl.izdataka)</t>
  </si>
  <si>
    <t>BA6019</t>
  </si>
  <si>
    <t xml:space="preserve"> Naknade troškova zaposlenih - volonteri (38) (2)</t>
  </si>
  <si>
    <t xml:space="preserve"> Ugovorene i dr. posebne usluge-volonteri (38) (2)</t>
  </si>
  <si>
    <t>Izmjene i dopune PRORAČUNA za 2019.godinu</t>
  </si>
  <si>
    <t xml:space="preserve">      20010001 Ministarstvo prosvjete, znanosti, kulture i športa - Ured za 
      Hrvate izvan RH</t>
  </si>
  <si>
    <t xml:space="preserve"> o/č Ugovorene i druge posebne usluge-volonterski rad (38) (2)</t>
  </si>
  <si>
    <t>29 (29)</t>
  </si>
  <si>
    <t>41 (47)</t>
  </si>
  <si>
    <t>107 (113)</t>
  </si>
  <si>
    <t>39 (39)</t>
  </si>
  <si>
    <t>53 (54)</t>
  </si>
  <si>
    <t xml:space="preserve">      20010001 Ministarstvo prosvjete, znanosti, kulture i športa - Federalno
      ministarstvo obrazovanja i nauke</t>
  </si>
  <si>
    <t>54 (55)</t>
  </si>
  <si>
    <t>957 (978)</t>
  </si>
  <si>
    <t>Na temelju članka 26. stavak (1.) točka f) Ustava Županije Posavske ("Narodne novine Županije Posavske", broj: 1/96, 3/96, 7/99, 3/00, 5/00 i 7/04) i članka 37.(3.) Zakona o proračunima u Federaciji Bosne i Hercegovine ("Službene novine Federacije BiH", broj: 102/13, 9/14, 13/14, 8/15, 91/15, 102/15, 104/16, 5/18 i 11/19), Skupština Županije Posavske na VIII. sjednici održanoj dana 3.12.2019. godine usvaja</t>
  </si>
  <si>
    <t>Broj: 01-14-106-3/19</t>
  </si>
  <si>
    <t>Domaljevac, 3.12.2019.</t>
  </si>
  <si>
    <t>Blaž Župarić, v.r.</t>
  </si>
  <si>
    <t>Federacija Bosne i Hercegovine</t>
  </si>
  <si>
    <t>Domaljevac, prosinac 2019. godine</t>
  </si>
  <si>
    <t>Proračun /Izmjene i dopune Proračuna 
za 2019.</t>
  </si>
  <si>
    <t>Izvršenje Proračuna za razdoblje 01.01.-31.12.2019.
-PRELIM-</t>
  </si>
  <si>
    <t xml:space="preserve">   Prihodi od prodaje mjeničnih blanketa</t>
  </si>
  <si>
    <t xml:space="preserve">   Prihodi od iznajmljivanja vozila</t>
  </si>
  <si>
    <t xml:space="preserve">   Naplate premija osiguranja</t>
  </si>
  <si>
    <t xml:space="preserve">      20020004 Srednja strukovna škola Orašje - Federalno 
      ministarstvo obrazovanja i nauke</t>
  </si>
  <si>
    <t xml:space="preserve">      20020004 Srednja škola Pere Zečevića Odžak - Min.poljoprivrede,
      vodoprivrede i šumarstva ŽP</t>
  </si>
  <si>
    <t>INDEKS
5/4*100</t>
  </si>
  <si>
    <t>grant šume</t>
  </si>
  <si>
    <t>grant zašt.okol.</t>
  </si>
  <si>
    <t>grant cz</t>
  </si>
  <si>
    <t>grant vode</t>
  </si>
  <si>
    <t>grant polj.zemlj.</t>
  </si>
  <si>
    <t>tek.održ.</t>
  </si>
  <si>
    <t>inv.održ.</t>
  </si>
  <si>
    <t>vozilo šume</t>
  </si>
  <si>
    <t>vozilo</t>
  </si>
  <si>
    <t>prihod</t>
  </si>
  <si>
    <t>ceste</t>
  </si>
  <si>
    <t>rashod</t>
  </si>
  <si>
    <t>razlika</t>
  </si>
  <si>
    <t>šume</t>
  </si>
  <si>
    <t>vode</t>
  </si>
  <si>
    <t>polj.zemlj.</t>
  </si>
  <si>
    <t>zašt.okoliša</t>
  </si>
  <si>
    <t>CZ</t>
  </si>
</sst>
</file>

<file path=xl/styles.xml><?xml version="1.0" encoding="utf-8"?>
<styleSheet xmlns="http://schemas.openxmlformats.org/spreadsheetml/2006/main">
  <numFmts count="6">
    <numFmt numFmtId="43" formatCode="_-* #,##0.00\ _k_n_-;\-* #,##0.00\ _k_n_-;_-* &quot;-&quot;??\ _k_n_-;_-@_-"/>
    <numFmt numFmtId="164" formatCode="#,##0\ &quot;KM&quot;;\-#,##0\ &quot;KM&quot;"/>
    <numFmt numFmtId="165" formatCode="_-* #,##0.00_-;\-* #,##0.00_-;_-* &quot;-&quot;??_-;_-@_-"/>
    <numFmt numFmtId="166" formatCode="_-* #,##0_-;\-* #,##0_-;_-* &quot;-&quot;??_-;_-@_-"/>
    <numFmt numFmtId="167" formatCode="000"/>
    <numFmt numFmtId="168" formatCode="_-* #,##0\ _k_n_-;\-* #,##0\ _k_n_-;_-* &quot;-&quot;??\ _k_n_-;_-@_-"/>
  </numFmts>
  <fonts count="46">
    <font>
      <sz val="10"/>
      <name val="Arial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b/>
      <sz val="10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i/>
      <sz val="10"/>
      <name val="Arial"/>
      <family val="2"/>
      <charset val="238"/>
    </font>
    <font>
      <b/>
      <i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Arial CE"/>
      <family val="2"/>
      <charset val="238"/>
    </font>
    <font>
      <b/>
      <sz val="11"/>
      <name val="Arial CE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sz val="10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i/>
      <sz val="10"/>
      <color indexed="8"/>
      <name val="Calibri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i/>
      <sz val="10"/>
      <name val="Arial"/>
      <family val="2"/>
      <charset val="238"/>
    </font>
    <font>
      <sz val="11"/>
      <color rgb="FF9C0006"/>
      <name val="Calibri"/>
      <family val="2"/>
      <charset val="238"/>
      <scheme val="minor"/>
    </font>
    <font>
      <sz val="10"/>
      <color theme="0"/>
      <name val="Arial"/>
      <family val="2"/>
    </font>
    <font>
      <b/>
      <sz val="9"/>
      <name val="Arial"/>
      <family val="2"/>
    </font>
    <font>
      <b/>
      <sz val="9"/>
      <name val="Arial"/>
      <family val="2"/>
      <charset val="238"/>
    </font>
    <font>
      <sz val="9"/>
      <name val="Arial"/>
      <family val="2"/>
    </font>
    <font>
      <i/>
      <sz val="8"/>
      <name val="Arial"/>
      <family val="2"/>
    </font>
    <font>
      <i/>
      <sz val="11"/>
      <name val="Arial"/>
      <family val="2"/>
    </font>
    <font>
      <sz val="11"/>
      <name val="Arial"/>
      <family val="2"/>
      <charset val="238"/>
    </font>
    <font>
      <b/>
      <i/>
      <sz val="11"/>
      <name val="Arial"/>
      <family val="2"/>
      <charset val="238"/>
    </font>
    <font>
      <i/>
      <sz val="9"/>
      <name val="Arial"/>
      <family val="2"/>
      <charset val="238"/>
    </font>
    <font>
      <b/>
      <i/>
      <sz val="9"/>
      <name val="Arial"/>
      <family val="2"/>
      <charset val="238"/>
    </font>
    <font>
      <sz val="7"/>
      <name val="Arial"/>
      <family val="2"/>
      <charset val="238"/>
    </font>
    <font>
      <b/>
      <sz val="7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charset val="238"/>
    </font>
    <font>
      <sz val="11"/>
      <name val="Calibri"/>
      <family val="2"/>
      <charset val="238"/>
      <scheme val="minor"/>
    </font>
    <font>
      <sz val="11"/>
      <color rgb="FFFF000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5">
    <xf numFmtId="0" fontId="0" fillId="0" borderId="0"/>
    <xf numFmtId="165" fontId="11" fillId="0" borderId="0" applyFont="0" applyFill="0" applyBorder="0" applyAlignment="0" applyProtection="0"/>
    <xf numFmtId="0" fontId="29" fillId="5" borderId="0" applyNumberFormat="0" applyBorder="0" applyAlignment="0" applyProtection="0"/>
    <xf numFmtId="0" fontId="2" fillId="0" borderId="0"/>
    <xf numFmtId="0" fontId="10" fillId="0" borderId="0"/>
    <xf numFmtId="9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</cellStyleXfs>
  <cellXfs count="785">
    <xf numFmtId="0" fontId="0" fillId="0" borderId="0" xfId="0"/>
    <xf numFmtId="0" fontId="3" fillId="0" borderId="0" xfId="3" applyFont="1"/>
    <xf numFmtId="0" fontId="3" fillId="0" borderId="0" xfId="3" applyFont="1" applyAlignment="1">
      <alignment horizontal="center"/>
    </xf>
    <xf numFmtId="0" fontId="3" fillId="0" borderId="1" xfId="3" applyFont="1" applyBorder="1" applyAlignment="1">
      <alignment horizontal="center" vertical="center" textRotation="90" wrapText="1"/>
    </xf>
    <xf numFmtId="0" fontId="3" fillId="0" borderId="3" xfId="3" applyFont="1" applyBorder="1" applyAlignment="1">
      <alignment horizontal="center"/>
    </xf>
    <xf numFmtId="0" fontId="3" fillId="0" borderId="4" xfId="3" applyFont="1" applyBorder="1" applyAlignment="1">
      <alignment horizontal="center"/>
    </xf>
    <xf numFmtId="49" fontId="3" fillId="0" borderId="3" xfId="3" applyNumberFormat="1" applyFont="1" applyBorder="1" applyAlignment="1">
      <alignment horizontal="center"/>
    </xf>
    <xf numFmtId="49" fontId="3" fillId="0" borderId="4" xfId="3" applyNumberFormat="1" applyFont="1" applyBorder="1" applyAlignment="1">
      <alignment horizontal="center"/>
    </xf>
    <xf numFmtId="0" fontId="3" fillId="0" borderId="4" xfId="3" applyFont="1" applyBorder="1"/>
    <xf numFmtId="0" fontId="2" fillId="0" borderId="0" xfId="3"/>
    <xf numFmtId="0" fontId="2" fillId="0" borderId="3" xfId="3" applyBorder="1"/>
    <xf numFmtId="0" fontId="2" fillId="0" borderId="4" xfId="3" applyBorder="1"/>
    <xf numFmtId="0" fontId="3" fillId="0" borderId="3" xfId="3" applyFont="1" applyBorder="1"/>
    <xf numFmtId="0" fontId="4" fillId="0" borderId="4" xfId="3" applyFont="1" applyBorder="1"/>
    <xf numFmtId="0" fontId="2" fillId="0" borderId="4" xfId="3" applyFill="1" applyBorder="1"/>
    <xf numFmtId="0" fontId="2" fillId="0" borderId="5" xfId="3" applyBorder="1"/>
    <xf numFmtId="0" fontId="2" fillId="0" borderId="6" xfId="3" applyBorder="1"/>
    <xf numFmtId="0" fontId="2" fillId="0" borderId="0" xfId="3" applyAlignment="1">
      <alignment horizontal="center"/>
    </xf>
    <xf numFmtId="0" fontId="2" fillId="0" borderId="4" xfId="3" applyFont="1" applyBorder="1"/>
    <xf numFmtId="0" fontId="3" fillId="0" borderId="4" xfId="3" applyFont="1" applyBorder="1" applyAlignment="1">
      <alignment horizontal="left"/>
    </xf>
    <xf numFmtId="0" fontId="3" fillId="0" borderId="7" xfId="3" applyFont="1" applyBorder="1"/>
    <xf numFmtId="0" fontId="0" fillId="0" borderId="4" xfId="0" applyBorder="1"/>
    <xf numFmtId="0" fontId="2" fillId="0" borderId="8" xfId="3" applyBorder="1"/>
    <xf numFmtId="0" fontId="3" fillId="0" borderId="8" xfId="3" applyFont="1" applyBorder="1"/>
    <xf numFmtId="0" fontId="3" fillId="0" borderId="4" xfId="0" applyFont="1" applyBorder="1"/>
    <xf numFmtId="0" fontId="2" fillId="0" borderId="3" xfId="3" applyBorder="1" applyAlignment="1">
      <alignment horizontal="center"/>
    </xf>
    <xf numFmtId="0" fontId="2" fillId="0" borderId="5" xfId="3" applyBorder="1" applyAlignment="1">
      <alignment horizontal="center"/>
    </xf>
    <xf numFmtId="3" fontId="2" fillId="0" borderId="6" xfId="3" applyNumberFormat="1" applyBorder="1"/>
    <xf numFmtId="0" fontId="2" fillId="0" borderId="0" xfId="3" applyFont="1" applyAlignment="1">
      <alignment horizontal="left"/>
    </xf>
    <xf numFmtId="0" fontId="3" fillId="0" borderId="3" xfId="0" applyFont="1" applyBorder="1" applyAlignment="1">
      <alignment horizontal="center"/>
    </xf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4" xfId="3" applyFont="1" applyBorder="1" applyAlignment="1">
      <alignment horizontal="left"/>
    </xf>
    <xf numFmtId="0" fontId="0" fillId="0" borderId="9" xfId="0" applyBorder="1"/>
    <xf numFmtId="0" fontId="2" fillId="0" borderId="9" xfId="3" applyFill="1" applyBorder="1"/>
    <xf numFmtId="3" fontId="4" fillId="0" borderId="4" xfId="3" applyNumberFormat="1" applyFont="1" applyBorder="1" applyAlignment="1">
      <alignment horizontal="right"/>
    </xf>
    <xf numFmtId="0" fontId="4" fillId="0" borderId="4" xfId="0" applyFont="1" applyBorder="1"/>
    <xf numFmtId="0" fontId="3" fillId="0" borderId="0" xfId="0" applyFont="1"/>
    <xf numFmtId="0" fontId="2" fillId="0" borderId="11" xfId="3" applyFont="1" applyBorder="1"/>
    <xf numFmtId="0" fontId="0" fillId="0" borderId="4" xfId="0" applyBorder="1" applyAlignment="1">
      <alignment wrapText="1"/>
    </xf>
    <xf numFmtId="0" fontId="3" fillId="0" borderId="4" xfId="0" applyFont="1" applyBorder="1" applyAlignment="1">
      <alignment horizontal="right" wrapText="1"/>
    </xf>
    <xf numFmtId="0" fontId="3" fillId="0" borderId="4" xfId="0" applyFont="1" applyFill="1" applyBorder="1" applyAlignment="1">
      <alignment wrapText="1"/>
    </xf>
    <xf numFmtId="0" fontId="3" fillId="0" borderId="3" xfId="0" applyFont="1" applyBorder="1" applyAlignment="1">
      <alignment horizontal="right" wrapText="1"/>
    </xf>
    <xf numFmtId="0" fontId="3" fillId="0" borderId="11" xfId="3" applyFont="1" applyBorder="1"/>
    <xf numFmtId="0" fontId="2" fillId="0" borderId="12" xfId="3" applyBorder="1" applyAlignment="1">
      <alignment horizontal="center"/>
    </xf>
    <xf numFmtId="0" fontId="2" fillId="0" borderId="13" xfId="3" applyBorder="1"/>
    <xf numFmtId="0" fontId="2" fillId="0" borderId="0" xfId="3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0" fillId="0" borderId="0" xfId="0" applyBorder="1" applyAlignment="1"/>
    <xf numFmtId="3" fontId="2" fillId="0" borderId="14" xfId="3" applyNumberFormat="1" applyBorder="1"/>
    <xf numFmtId="2" fontId="3" fillId="0" borderId="0" xfId="3" applyNumberFormat="1" applyFont="1"/>
    <xf numFmtId="3" fontId="2" fillId="0" borderId="0" xfId="3" applyNumberFormat="1"/>
    <xf numFmtId="3" fontId="3" fillId="0" borderId="0" xfId="3" applyNumberFormat="1" applyFont="1"/>
    <xf numFmtId="3" fontId="2" fillId="0" borderId="0" xfId="3" applyNumberFormat="1" applyFont="1"/>
    <xf numFmtId="0" fontId="4" fillId="0" borderId="0" xfId="3" applyFont="1"/>
    <xf numFmtId="0" fontId="4" fillId="0" borderId="3" xfId="3" applyFont="1" applyBorder="1"/>
    <xf numFmtId="0" fontId="4" fillId="0" borderId="0" xfId="0" applyFont="1"/>
    <xf numFmtId="0" fontId="4" fillId="0" borderId="3" xfId="0" applyFont="1" applyBorder="1" applyAlignment="1">
      <alignment horizontal="center"/>
    </xf>
    <xf numFmtId="0" fontId="4" fillId="0" borderId="4" xfId="0" applyFont="1" applyFill="1" applyBorder="1" applyAlignment="1">
      <alignment wrapText="1"/>
    </xf>
    <xf numFmtId="3" fontId="0" fillId="0" borderId="0" xfId="0" applyNumberFormat="1"/>
    <xf numFmtId="0" fontId="10" fillId="0" borderId="0" xfId="3" applyFont="1"/>
    <xf numFmtId="0" fontId="2" fillId="0" borderId="4" xfId="3" applyFont="1" applyFill="1" applyBorder="1"/>
    <xf numFmtId="0" fontId="2" fillId="0" borderId="0" xfId="3" applyFont="1" applyFill="1"/>
    <xf numFmtId="0" fontId="2" fillId="0" borderId="0" xfId="3" applyFill="1"/>
    <xf numFmtId="0" fontId="3" fillId="0" borderId="0" xfId="3" applyFont="1" applyFill="1"/>
    <xf numFmtId="0" fontId="0" fillId="0" borderId="4" xfId="0" applyFill="1" applyBorder="1" applyAlignment="1">
      <alignment wrapText="1"/>
    </xf>
    <xf numFmtId="0" fontId="0" fillId="0" borderId="4" xfId="0" applyFill="1" applyBorder="1"/>
    <xf numFmtId="0" fontId="4" fillId="0" borderId="4" xfId="3" applyFont="1" applyFill="1" applyBorder="1"/>
    <xf numFmtId="3" fontId="4" fillId="0" borderId="4" xfId="3" applyNumberFormat="1" applyFont="1" applyFill="1" applyBorder="1" applyProtection="1">
      <protection locked="0"/>
    </xf>
    <xf numFmtId="0" fontId="9" fillId="0" borderId="0" xfId="0" applyFont="1" applyAlignment="1">
      <alignment horizontal="center" vertical="top"/>
    </xf>
    <xf numFmtId="0" fontId="3" fillId="2" borderId="4" xfId="0" applyFont="1" applyFill="1" applyBorder="1" applyAlignment="1">
      <alignment horizontal="center"/>
    </xf>
    <xf numFmtId="49" fontId="3" fillId="0" borderId="3" xfId="3" applyNumberFormat="1" applyFont="1" applyFill="1" applyBorder="1" applyAlignment="1">
      <alignment horizontal="center"/>
    </xf>
    <xf numFmtId="49" fontId="3" fillId="0" borderId="4" xfId="3" applyNumberFormat="1" applyFont="1" applyFill="1" applyBorder="1" applyAlignment="1">
      <alignment horizontal="center"/>
    </xf>
    <xf numFmtId="3" fontId="3" fillId="0" borderId="0" xfId="3" applyNumberFormat="1" applyFont="1" applyAlignment="1">
      <alignment horizontal="center"/>
    </xf>
    <xf numFmtId="4" fontId="2" fillId="0" borderId="0" xfId="3" applyNumberFormat="1"/>
    <xf numFmtId="4" fontId="2" fillId="0" borderId="18" xfId="3" applyNumberFormat="1" applyBorder="1"/>
    <xf numFmtId="4" fontId="7" fillId="0" borderId="0" xfId="3" applyNumberFormat="1" applyFont="1" applyAlignment="1">
      <alignment horizontal="left"/>
    </xf>
    <xf numFmtId="4" fontId="2" fillId="0" borderId="20" xfId="3" applyNumberFormat="1" applyBorder="1"/>
    <xf numFmtId="3" fontId="3" fillId="0" borderId="4" xfId="3" applyNumberFormat="1" applyFont="1" applyBorder="1" applyAlignment="1">
      <alignment horizontal="center"/>
    </xf>
    <xf numFmtId="3" fontId="10" fillId="0" borderId="4" xfId="3" applyNumberFormat="1" applyFont="1" applyFill="1" applyBorder="1"/>
    <xf numFmtId="3" fontId="3" fillId="0" borderId="6" xfId="3" applyNumberFormat="1" applyFont="1" applyBorder="1"/>
    <xf numFmtId="4" fontId="4" fillId="0" borderId="19" xfId="3" applyNumberFormat="1" applyFont="1" applyBorder="1" applyAlignment="1">
      <alignment horizontal="right"/>
    </xf>
    <xf numFmtId="3" fontId="4" fillId="0" borderId="0" xfId="3" applyNumberFormat="1" applyFont="1"/>
    <xf numFmtId="3" fontId="4" fillId="0" borderId="0" xfId="0" applyNumberFormat="1" applyFont="1"/>
    <xf numFmtId="164" fontId="9" fillId="0" borderId="13" xfId="3" applyNumberFormat="1" applyFont="1" applyBorder="1" applyAlignment="1"/>
    <xf numFmtId="0" fontId="2" fillId="0" borderId="3" xfId="3" applyBorder="1" applyAlignment="1">
      <alignment vertical="center"/>
    </xf>
    <xf numFmtId="0" fontId="2" fillId="0" borderId="4" xfId="3" applyBorder="1" applyAlignment="1">
      <alignment vertical="center"/>
    </xf>
    <xf numFmtId="0" fontId="2" fillId="0" borderId="8" xfId="3" applyBorder="1" applyAlignment="1">
      <alignment vertical="center"/>
    </xf>
    <xf numFmtId="0" fontId="0" fillId="0" borderId="4" xfId="0" applyFill="1" applyBorder="1" applyAlignment="1">
      <alignment vertical="center" wrapText="1"/>
    </xf>
    <xf numFmtId="0" fontId="10" fillId="0" borderId="0" xfId="3" applyFont="1" applyAlignment="1">
      <alignment vertical="center"/>
    </xf>
    <xf numFmtId="0" fontId="2" fillId="0" borderId="0" xfId="3" applyAlignment="1">
      <alignment vertical="center"/>
    </xf>
    <xf numFmtId="0" fontId="0" fillId="0" borderId="4" xfId="0" applyBorder="1" applyAlignment="1">
      <alignment vertical="center" wrapText="1"/>
    </xf>
    <xf numFmtId="0" fontId="4" fillId="0" borderId="3" xfId="3" applyFont="1" applyBorder="1" applyAlignment="1">
      <alignment vertical="center"/>
    </xf>
    <xf numFmtId="0" fontId="4" fillId="0" borderId="4" xfId="3" applyFont="1" applyBorder="1" applyAlignment="1">
      <alignment vertical="center"/>
    </xf>
    <xf numFmtId="0" fontId="4" fillId="0" borderId="4" xfId="3" applyFont="1" applyFill="1" applyBorder="1" applyAlignment="1">
      <alignment vertical="center" wrapText="1"/>
    </xf>
    <xf numFmtId="0" fontId="4" fillId="0" borderId="0" xfId="3" applyFont="1" applyAlignment="1">
      <alignment vertical="center"/>
    </xf>
    <xf numFmtId="3" fontId="4" fillId="0" borderId="0" xfId="3" applyNumberFormat="1" applyFont="1" applyAlignment="1">
      <alignment vertical="center"/>
    </xf>
    <xf numFmtId="0" fontId="10" fillId="0" borderId="4" xfId="0" applyFont="1" applyBorder="1" applyAlignment="1">
      <alignment wrapText="1"/>
    </xf>
    <xf numFmtId="0" fontId="0" fillId="0" borderId="3" xfId="0" applyBorder="1" applyAlignment="1">
      <alignment horizontal="right"/>
    </xf>
    <xf numFmtId="4" fontId="8" fillId="0" borderId="17" xfId="0" applyNumberFormat="1" applyFont="1" applyBorder="1"/>
    <xf numFmtId="0" fontId="8" fillId="0" borderId="0" xfId="0" applyFont="1"/>
    <xf numFmtId="0" fontId="8" fillId="0" borderId="3" xfId="0" applyFont="1" applyBorder="1" applyAlignment="1">
      <alignment horizontal="right"/>
    </xf>
    <xf numFmtId="0" fontId="8" fillId="0" borderId="4" xfId="0" applyFont="1" applyBorder="1" applyAlignment="1">
      <alignment wrapText="1"/>
    </xf>
    <xf numFmtId="4" fontId="10" fillId="0" borderId="17" xfId="0" applyNumberFormat="1" applyFont="1" applyFill="1" applyBorder="1"/>
    <xf numFmtId="0" fontId="10" fillId="0" borderId="3" xfId="0" applyFont="1" applyBorder="1" applyAlignment="1">
      <alignment horizontal="right"/>
    </xf>
    <xf numFmtId="4" fontId="10" fillId="0" borderId="17" xfId="0" applyNumberFormat="1" applyFont="1" applyBorder="1"/>
    <xf numFmtId="0" fontId="3" fillId="0" borderId="3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3" fillId="0" borderId="4" xfId="0" applyFont="1" applyFill="1" applyBorder="1"/>
    <xf numFmtId="4" fontId="8" fillId="0" borderId="17" xfId="0" applyNumberFormat="1" applyFont="1" applyFill="1" applyBorder="1"/>
    <xf numFmtId="0" fontId="8" fillId="0" borderId="4" xfId="0" applyFont="1" applyFill="1" applyBorder="1"/>
    <xf numFmtId="0" fontId="16" fillId="0" borderId="3" xfId="0" applyFont="1" applyBorder="1" applyAlignment="1">
      <alignment horizontal="right"/>
    </xf>
    <xf numFmtId="0" fontId="8" fillId="0" borderId="4" xfId="0" applyFont="1" applyFill="1" applyBorder="1" applyAlignment="1">
      <alignment wrapText="1"/>
    </xf>
    <xf numFmtId="0" fontId="15" fillId="0" borderId="3" xfId="0" applyFont="1" applyBorder="1" applyAlignment="1">
      <alignment horizontal="right"/>
    </xf>
    <xf numFmtId="0" fontId="16" fillId="0" borderId="4" xfId="0" applyFont="1" applyFill="1" applyBorder="1" applyAlignment="1">
      <alignment wrapText="1"/>
    </xf>
    <xf numFmtId="0" fontId="16" fillId="0" borderId="4" xfId="0" applyFont="1" applyFill="1" applyBorder="1"/>
    <xf numFmtId="0" fontId="12" fillId="0" borderId="3" xfId="0" applyFont="1" applyBorder="1" applyAlignment="1">
      <alignment horizontal="right" wrapText="1"/>
    </xf>
    <xf numFmtId="0" fontId="12" fillId="0" borderId="4" xfId="0" applyFont="1" applyBorder="1" applyAlignment="1">
      <alignment horizontal="right" wrapText="1"/>
    </xf>
    <xf numFmtId="0" fontId="12" fillId="0" borderId="0" xfId="0" applyFont="1"/>
    <xf numFmtId="0" fontId="3" fillId="0" borderId="0" xfId="0" applyFont="1" applyFill="1" applyBorder="1" applyAlignment="1"/>
    <xf numFmtId="3" fontId="4" fillId="0" borderId="4" xfId="0" applyNumberFormat="1" applyFont="1" applyFill="1" applyBorder="1" applyAlignment="1">
      <alignment horizontal="right" vertical="center"/>
    </xf>
    <xf numFmtId="0" fontId="18" fillId="0" borderId="24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/>
    </xf>
    <xf numFmtId="3" fontId="0" fillId="0" borderId="4" xfId="0" applyNumberFormat="1" applyBorder="1"/>
    <xf numFmtId="3" fontId="3" fillId="0" borderId="4" xfId="0" applyNumberFormat="1" applyFont="1" applyBorder="1"/>
    <xf numFmtId="0" fontId="0" fillId="0" borderId="4" xfId="0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/>
    <xf numFmtId="0" fontId="3" fillId="2" borderId="0" xfId="0" applyFont="1" applyFill="1"/>
    <xf numFmtId="0" fontId="3" fillId="2" borderId="4" xfId="0" applyFont="1" applyFill="1" applyBorder="1"/>
    <xf numFmtId="3" fontId="3" fillId="2" borderId="4" xfId="0" applyNumberFormat="1" applyFont="1" applyFill="1" applyBorder="1"/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3" fontId="3" fillId="2" borderId="0" xfId="0" applyNumberFormat="1" applyFont="1" applyFill="1"/>
    <xf numFmtId="4" fontId="3" fillId="0" borderId="0" xfId="3" applyNumberFormat="1" applyFont="1" applyAlignment="1">
      <alignment horizontal="center"/>
    </xf>
    <xf numFmtId="0" fontId="0" fillId="0" borderId="13" xfId="0" applyBorder="1"/>
    <xf numFmtId="0" fontId="0" fillId="0" borderId="5" xfId="0" applyBorder="1" applyAlignment="1">
      <alignment horizontal="center"/>
    </xf>
    <xf numFmtId="0" fontId="0" fillId="0" borderId="6" xfId="0" applyBorder="1"/>
    <xf numFmtId="0" fontId="19" fillId="0" borderId="0" xfId="0" applyFont="1" applyFill="1" applyBorder="1" applyAlignment="1"/>
    <xf numFmtId="0" fontId="20" fillId="0" borderId="0" xfId="0" applyFont="1" applyFill="1" applyBorder="1" applyAlignment="1">
      <alignment horizontal="centerContinuous"/>
    </xf>
    <xf numFmtId="0" fontId="20" fillId="0" borderId="0" xfId="0" applyFont="1" applyAlignment="1">
      <alignment horizontal="centerContinuous"/>
    </xf>
    <xf numFmtId="0" fontId="21" fillId="0" borderId="0" xfId="0" applyFont="1" applyFill="1" applyBorder="1" applyAlignment="1"/>
    <xf numFmtId="0" fontId="21" fillId="0" borderId="0" xfId="0" applyFont="1" applyAlignment="1">
      <alignment horizontal="center"/>
    </xf>
    <xf numFmtId="0" fontId="21" fillId="0" borderId="0" xfId="0" applyFont="1" applyAlignment="1">
      <alignment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Continuous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Continuous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167" fontId="4" fillId="0" borderId="4" xfId="0" applyNumberFormat="1" applyFont="1" applyFill="1" applyBorder="1" applyAlignment="1">
      <alignment horizontal="left" vertical="center" wrapText="1"/>
    </xf>
    <xf numFmtId="4" fontId="4" fillId="0" borderId="4" xfId="0" applyNumberFormat="1" applyFont="1" applyFill="1" applyBorder="1"/>
    <xf numFmtId="4" fontId="4" fillId="0" borderId="4" xfId="0" applyNumberFormat="1" applyFont="1" applyBorder="1"/>
    <xf numFmtId="0" fontId="10" fillId="0" borderId="4" xfId="3" applyFont="1" applyFill="1" applyBorder="1"/>
    <xf numFmtId="0" fontId="18" fillId="0" borderId="17" xfId="4" applyFont="1" applyFill="1" applyBorder="1" applyAlignment="1">
      <alignment horizontal="center" vertical="center" wrapText="1"/>
    </xf>
    <xf numFmtId="0" fontId="0" fillId="0" borderId="0" xfId="0" applyFill="1"/>
    <xf numFmtId="0" fontId="8" fillId="0" borderId="0" xfId="0" applyFont="1" applyFill="1"/>
    <xf numFmtId="0" fontId="23" fillId="0" borderId="4" xfId="0" applyFont="1" applyBorder="1"/>
    <xf numFmtId="0" fontId="24" fillId="0" borderId="4" xfId="0" applyFont="1" applyFill="1" applyBorder="1" applyAlignment="1">
      <alignment wrapText="1"/>
    </xf>
    <xf numFmtId="0" fontId="24" fillId="0" borderId="4" xfId="0" applyFont="1" applyBorder="1"/>
    <xf numFmtId="0" fontId="23" fillId="0" borderId="4" xfId="0" applyFont="1" applyBorder="1" applyAlignment="1">
      <alignment wrapText="1"/>
    </xf>
    <xf numFmtId="0" fontId="23" fillId="0" borderId="4" xfId="0" applyFont="1" applyFill="1" applyBorder="1"/>
    <xf numFmtId="0" fontId="25" fillId="0" borderId="4" xfId="0" applyFont="1" applyFill="1" applyBorder="1"/>
    <xf numFmtId="0" fontId="23" fillId="0" borderId="4" xfId="0" applyFont="1" applyFill="1" applyBorder="1" applyAlignment="1">
      <alignment wrapText="1"/>
    </xf>
    <xf numFmtId="0" fontId="25" fillId="0" borderId="4" xfId="0" applyFont="1" applyFill="1" applyBorder="1" applyAlignment="1">
      <alignment wrapText="1"/>
    </xf>
    <xf numFmtId="0" fontId="0" fillId="0" borderId="24" xfId="0" applyBorder="1" applyAlignment="1">
      <alignment horizontal="right"/>
    </xf>
    <xf numFmtId="0" fontId="23" fillId="0" borderId="11" xfId="0" applyFont="1" applyBorder="1"/>
    <xf numFmtId="0" fontId="0" fillId="0" borderId="11" xfId="0" applyFill="1" applyBorder="1" applyAlignment="1">
      <alignment wrapText="1"/>
    </xf>
    <xf numFmtId="0" fontId="10" fillId="0" borderId="24" xfId="0" applyFont="1" applyBorder="1" applyAlignment="1">
      <alignment horizontal="right"/>
    </xf>
    <xf numFmtId="0" fontId="0" fillId="0" borderId="11" xfId="0" applyBorder="1"/>
    <xf numFmtId="4" fontId="22" fillId="6" borderId="17" xfId="0" applyNumberFormat="1" applyFont="1" applyFill="1" applyBorder="1"/>
    <xf numFmtId="4" fontId="8" fillId="6" borderId="17" xfId="0" applyNumberFormat="1" applyFont="1" applyFill="1" applyBorder="1"/>
    <xf numFmtId="4" fontId="10" fillId="0" borderId="27" xfId="0" applyNumberFormat="1" applyFont="1" applyBorder="1"/>
    <xf numFmtId="4" fontId="10" fillId="0" borderId="27" xfId="0" applyNumberFormat="1" applyFont="1" applyFill="1" applyBorder="1"/>
    <xf numFmtId="4" fontId="22" fillId="0" borderId="17" xfId="0" applyNumberFormat="1" applyFont="1" applyBorder="1"/>
    <xf numFmtId="4" fontId="22" fillId="6" borderId="28" xfId="0" applyNumberFormat="1" applyFont="1" applyFill="1" applyBorder="1"/>
    <xf numFmtId="0" fontId="10" fillId="0" borderId="4" xfId="3" applyFont="1" applyBorder="1"/>
    <xf numFmtId="3" fontId="3" fillId="0" borderId="0" xfId="0" applyNumberFormat="1" applyFont="1" applyFill="1" applyBorder="1" applyAlignment="1"/>
    <xf numFmtId="2" fontId="3" fillId="0" borderId="0" xfId="0" applyNumberFormat="1" applyFont="1" applyFill="1" applyBorder="1" applyAlignment="1">
      <alignment horizontal="right"/>
    </xf>
    <xf numFmtId="10" fontId="0" fillId="0" borderId="0" xfId="0" applyNumberFormat="1"/>
    <xf numFmtId="4" fontId="30" fillId="0" borderId="0" xfId="5" applyNumberFormat="1" applyFont="1"/>
    <xf numFmtId="4" fontId="26" fillId="6" borderId="17" xfId="0" applyNumberFormat="1" applyFont="1" applyFill="1" applyBorder="1"/>
    <xf numFmtId="4" fontId="27" fillId="0" borderId="17" xfId="0" applyNumberFormat="1" applyFont="1" applyBorder="1"/>
    <xf numFmtId="4" fontId="27" fillId="0" borderId="17" xfId="0" applyNumberFormat="1" applyFont="1" applyFill="1" applyBorder="1"/>
    <xf numFmtId="0" fontId="10" fillId="0" borderId="4" xfId="0" applyFont="1" applyBorder="1"/>
    <xf numFmtId="0" fontId="3" fillId="2" borderId="16" xfId="4" applyFont="1" applyFill="1" applyBorder="1" applyAlignment="1">
      <alignment horizontal="center" vertical="center" wrapText="1"/>
    </xf>
    <xf numFmtId="0" fontId="12" fillId="6" borderId="3" xfId="0" applyFont="1" applyFill="1" applyBorder="1" applyAlignment="1">
      <alignment horizontal="center"/>
    </xf>
    <xf numFmtId="0" fontId="12" fillId="6" borderId="4" xfId="0" applyFont="1" applyFill="1" applyBorder="1"/>
    <xf numFmtId="0" fontId="8" fillId="6" borderId="3" xfId="0" applyFont="1" applyFill="1" applyBorder="1" applyAlignment="1">
      <alignment horizontal="center"/>
    </xf>
    <xf numFmtId="0" fontId="8" fillId="6" borderId="4" xfId="0" applyFont="1" applyFill="1" applyBorder="1" applyAlignment="1">
      <alignment wrapText="1"/>
    </xf>
    <xf numFmtId="0" fontId="8" fillId="6" borderId="4" xfId="0" applyFont="1" applyFill="1" applyBorder="1"/>
    <xf numFmtId="0" fontId="8" fillId="6" borderId="4" xfId="1" applyNumberFormat="1" applyFont="1" applyFill="1" applyBorder="1" applyAlignment="1">
      <alignment wrapText="1"/>
    </xf>
    <xf numFmtId="0" fontId="12" fillId="6" borderId="4" xfId="0" applyFont="1" applyFill="1" applyBorder="1" applyAlignment="1">
      <alignment wrapText="1"/>
    </xf>
    <xf numFmtId="0" fontId="3" fillId="6" borderId="3" xfId="0" applyFont="1" applyFill="1" applyBorder="1" applyAlignment="1">
      <alignment horizontal="center"/>
    </xf>
    <xf numFmtId="0" fontId="3" fillId="6" borderId="4" xfId="0" applyFont="1" applyFill="1" applyBorder="1" applyAlignment="1">
      <alignment wrapText="1"/>
    </xf>
    <xf numFmtId="0" fontId="16" fillId="6" borderId="3" xfId="0" applyFont="1" applyFill="1" applyBorder="1" applyAlignment="1">
      <alignment horizontal="center"/>
    </xf>
    <xf numFmtId="3" fontId="10" fillId="0" borderId="4" xfId="4" applyNumberFormat="1" applyFill="1" applyBorder="1"/>
    <xf numFmtId="3" fontId="3" fillId="0" borderId="4" xfId="4" applyNumberFormat="1" applyFont="1" applyFill="1" applyBorder="1"/>
    <xf numFmtId="3" fontId="10" fillId="0" borderId="9" xfId="4" applyNumberFormat="1" applyFill="1" applyBorder="1"/>
    <xf numFmtId="3" fontId="4" fillId="0" borderId="4" xfId="4" applyNumberFormat="1" applyFont="1" applyFill="1" applyBorder="1"/>
    <xf numFmtId="3" fontId="10" fillId="0" borderId="4" xfId="4" applyNumberFormat="1" applyFont="1" applyFill="1" applyBorder="1"/>
    <xf numFmtId="3" fontId="3" fillId="0" borderId="9" xfId="4" applyNumberFormat="1" applyFont="1" applyFill="1" applyBorder="1"/>
    <xf numFmtId="3" fontId="0" fillId="0" borderId="0" xfId="0" applyNumberFormat="1" applyFill="1"/>
    <xf numFmtId="3" fontId="4" fillId="0" borderId="4" xfId="3" applyNumberFormat="1" applyFont="1" applyFill="1" applyBorder="1" applyAlignment="1">
      <alignment horizontal="right"/>
    </xf>
    <xf numFmtId="4" fontId="26" fillId="0" borderId="17" xfId="0" applyNumberFormat="1" applyFont="1" applyBorder="1"/>
    <xf numFmtId="0" fontId="2" fillId="0" borderId="3" xfId="0" applyFont="1" applyBorder="1" applyAlignment="1">
      <alignment horizontal="right"/>
    </xf>
    <xf numFmtId="4" fontId="2" fillId="0" borderId="17" xfId="0" applyNumberFormat="1" applyFont="1" applyBorder="1"/>
    <xf numFmtId="4" fontId="2" fillId="0" borderId="30" xfId="0" applyNumberFormat="1" applyFont="1" applyBorder="1"/>
    <xf numFmtId="3" fontId="3" fillId="7" borderId="4" xfId="4" applyNumberFormat="1" applyFont="1" applyFill="1" applyBorder="1"/>
    <xf numFmtId="3" fontId="10" fillId="7" borderId="4" xfId="4" applyNumberFormat="1" applyFill="1" applyBorder="1"/>
    <xf numFmtId="3" fontId="4" fillId="7" borderId="4" xfId="4" applyNumberFormat="1" applyFont="1" applyFill="1" applyBorder="1"/>
    <xf numFmtId="0" fontId="28" fillId="0" borderId="4" xfId="3" applyFont="1" applyBorder="1"/>
    <xf numFmtId="4" fontId="28" fillId="0" borderId="19" xfId="3" applyNumberFormat="1" applyFont="1" applyBorder="1" applyAlignment="1">
      <alignment horizontal="right"/>
    </xf>
    <xf numFmtId="0" fontId="28" fillId="0" borderId="4" xfId="3" applyFont="1" applyFill="1" applyBorder="1"/>
    <xf numFmtId="0" fontId="28" fillId="0" borderId="4" xfId="0" applyFont="1" applyBorder="1"/>
    <xf numFmtId="0" fontId="28" fillId="0" borderId="11" xfId="3" applyFont="1" applyBorder="1"/>
    <xf numFmtId="0" fontId="28" fillId="0" borderId="4" xfId="0" applyFont="1" applyFill="1" applyBorder="1" applyAlignment="1">
      <alignment wrapText="1"/>
    </xf>
    <xf numFmtId="0" fontId="28" fillId="0" borderId="4" xfId="0" applyFont="1" applyFill="1" applyBorder="1"/>
    <xf numFmtId="0" fontId="28" fillId="0" borderId="4" xfId="3" applyFont="1" applyFill="1" applyBorder="1" applyAlignment="1">
      <alignment wrapText="1"/>
    </xf>
    <xf numFmtId="0" fontId="28" fillId="0" borderId="4" xfId="0" applyFont="1" applyBorder="1" applyAlignment="1">
      <alignment wrapText="1"/>
    </xf>
    <xf numFmtId="0" fontId="2" fillId="0" borderId="4" xfId="0" applyFont="1" applyBorder="1"/>
    <xf numFmtId="0" fontId="2" fillId="0" borderId="4" xfId="0" applyFont="1" applyFill="1" applyBorder="1"/>
    <xf numFmtId="0" fontId="4" fillId="0" borderId="3" xfId="3" applyFont="1" applyBorder="1" applyAlignment="1">
      <alignment horizontal="center" vertical="top"/>
    </xf>
    <xf numFmtId="0" fontId="2" fillId="0" borderId="3" xfId="3" applyBorder="1" applyAlignment="1">
      <alignment horizontal="center" vertical="top"/>
    </xf>
    <xf numFmtId="0" fontId="28" fillId="0" borderId="3" xfId="3" applyFont="1" applyBorder="1" applyAlignment="1">
      <alignment horizontal="right" vertical="top"/>
    </xf>
    <xf numFmtId="0" fontId="2" fillId="0" borderId="3" xfId="3" applyFill="1" applyBorder="1" applyAlignment="1">
      <alignment horizontal="center" vertical="top"/>
    </xf>
    <xf numFmtId="0" fontId="28" fillId="0" borderId="3" xfId="3" applyFont="1" applyFill="1" applyBorder="1" applyAlignment="1">
      <alignment horizontal="right" vertical="top"/>
    </xf>
    <xf numFmtId="49" fontId="28" fillId="0" borderId="3" xfId="0" applyNumberFormat="1" applyFont="1" applyBorder="1" applyAlignment="1">
      <alignment horizontal="right" vertical="top"/>
    </xf>
    <xf numFmtId="49" fontId="28" fillId="0" borderId="3" xfId="0" applyNumberFormat="1" applyFont="1" applyFill="1" applyBorder="1" applyAlignment="1">
      <alignment horizontal="right" vertical="top"/>
    </xf>
    <xf numFmtId="0" fontId="3" fillId="0" borderId="3" xfId="3" applyFont="1" applyBorder="1" applyAlignment="1">
      <alignment vertical="top"/>
    </xf>
    <xf numFmtId="49" fontId="4" fillId="0" borderId="3" xfId="0" applyNumberFormat="1" applyFont="1" applyBorder="1" applyAlignment="1">
      <alignment horizontal="center" vertical="top"/>
    </xf>
    <xf numFmtId="49" fontId="2" fillId="0" borderId="3" xfId="3" applyNumberFormat="1" applyFont="1" applyBorder="1" applyAlignment="1">
      <alignment horizontal="center" vertical="top"/>
    </xf>
    <xf numFmtId="0" fontId="2" fillId="0" borderId="3" xfId="3" applyFont="1" applyBorder="1"/>
    <xf numFmtId="0" fontId="2" fillId="0" borderId="3" xfId="3" applyFont="1" applyBorder="1" applyAlignment="1">
      <alignment horizontal="center" vertical="top"/>
    </xf>
    <xf numFmtId="49" fontId="2" fillId="0" borderId="3" xfId="0" applyNumberFormat="1" applyFont="1" applyFill="1" applyBorder="1" applyAlignment="1">
      <alignment horizontal="center" vertical="top"/>
    </xf>
    <xf numFmtId="0" fontId="2" fillId="0" borderId="4" xfId="3" applyFont="1" applyFill="1" applyBorder="1" applyAlignment="1">
      <alignment wrapText="1"/>
    </xf>
    <xf numFmtId="49" fontId="2" fillId="0" borderId="3" xfId="0" applyNumberFormat="1" applyFont="1" applyBorder="1" applyAlignment="1">
      <alignment horizontal="center" vertical="top"/>
    </xf>
    <xf numFmtId="0" fontId="2" fillId="0" borderId="9" xfId="0" applyFont="1" applyBorder="1" applyAlignment="1">
      <alignment wrapText="1"/>
    </xf>
    <xf numFmtId="0" fontId="18" fillId="0" borderId="26" xfId="0" applyFont="1" applyFill="1" applyBorder="1" applyAlignment="1">
      <alignment horizontal="center" vertical="center"/>
    </xf>
    <xf numFmtId="0" fontId="0" fillId="0" borderId="0" xfId="0" applyFill="1" applyAlignment="1">
      <alignment wrapText="1"/>
    </xf>
    <xf numFmtId="3" fontId="12" fillId="0" borderId="0" xfId="0" applyNumberFormat="1" applyFont="1" applyFill="1"/>
    <xf numFmtId="3" fontId="8" fillId="0" borderId="0" xfId="0" applyNumberFormat="1" applyFont="1" applyFill="1"/>
    <xf numFmtId="4" fontId="8" fillId="0" borderId="0" xfId="0" applyNumberFormat="1" applyFont="1" applyFill="1"/>
    <xf numFmtId="0" fontId="3" fillId="0" borderId="0" xfId="0" applyFont="1" applyFill="1" applyBorder="1"/>
    <xf numFmtId="3" fontId="0" fillId="0" borderId="0" xfId="0" applyNumberFormat="1" applyFill="1" applyBorder="1"/>
    <xf numFmtId="0" fontId="10" fillId="0" borderId="0" xfId="0" applyFont="1" applyFill="1"/>
    <xf numFmtId="0" fontId="2" fillId="0" borderId="0" xfId="0" applyFont="1" applyFill="1"/>
    <xf numFmtId="0" fontId="8" fillId="0" borderId="4" xfId="0" applyFont="1" applyBorder="1" applyAlignment="1">
      <alignment horizontal="center"/>
    </xf>
    <xf numFmtId="4" fontId="8" fillId="0" borderId="19" xfId="3" applyNumberFormat="1" applyFont="1" applyBorder="1" applyAlignment="1">
      <alignment horizontal="right"/>
    </xf>
    <xf numFmtId="0" fontId="2" fillId="0" borderId="4" xfId="0" applyFont="1" applyFill="1" applyBorder="1" applyAlignment="1">
      <alignment wrapText="1"/>
    </xf>
    <xf numFmtId="3" fontId="4" fillId="0" borderId="33" xfId="0" applyNumberFormat="1" applyFont="1" applyFill="1" applyBorder="1"/>
    <xf numFmtId="3" fontId="2" fillId="0" borderId="9" xfId="3" applyNumberFormat="1" applyBorder="1"/>
    <xf numFmtId="3" fontId="3" fillId="3" borderId="9" xfId="3" applyNumberFormat="1" applyFont="1" applyFill="1" applyBorder="1"/>
    <xf numFmtId="3" fontId="4" fillId="0" borderId="9" xfId="3" applyNumberFormat="1" applyFont="1" applyBorder="1"/>
    <xf numFmtId="3" fontId="2" fillId="0" borderId="9" xfId="3" applyNumberFormat="1" applyFill="1" applyBorder="1"/>
    <xf numFmtId="3" fontId="3" fillId="0" borderId="9" xfId="3" applyNumberFormat="1" applyFont="1" applyFill="1" applyBorder="1" applyAlignment="1">
      <alignment horizontal="right"/>
    </xf>
    <xf numFmtId="3" fontId="3" fillId="0" borderId="9" xfId="3" applyNumberFormat="1" applyFont="1" applyBorder="1"/>
    <xf numFmtId="3" fontId="4" fillId="0" borderId="9" xfId="3" applyNumberFormat="1" applyFont="1" applyFill="1" applyBorder="1"/>
    <xf numFmtId="3" fontId="8" fillId="0" borderId="4" xfId="3" applyNumberFormat="1" applyFont="1" applyFill="1" applyBorder="1"/>
    <xf numFmtId="3" fontId="4" fillId="0" borderId="4" xfId="3" applyNumberFormat="1" applyFont="1" applyFill="1" applyBorder="1" applyAlignment="1">
      <alignment vertical="center"/>
    </xf>
    <xf numFmtId="3" fontId="2" fillId="0" borderId="4" xfId="3" applyNumberFormat="1" applyFont="1" applyBorder="1"/>
    <xf numFmtId="3" fontId="2" fillId="0" borderId="4" xfId="3" applyNumberFormat="1" applyFont="1" applyFill="1" applyBorder="1"/>
    <xf numFmtId="3" fontId="3" fillId="0" borderId="4" xfId="3" applyNumberFormat="1" applyFont="1" applyBorder="1" applyAlignment="1">
      <alignment horizontal="right"/>
    </xf>
    <xf numFmtId="3" fontId="2" fillId="0" borderId="4" xfId="3" applyNumberFormat="1" applyBorder="1"/>
    <xf numFmtId="3" fontId="2" fillId="0" borderId="4" xfId="3" applyNumberFormat="1" applyFill="1" applyBorder="1"/>
    <xf numFmtId="0" fontId="3" fillId="0" borderId="0" xfId="3" applyFont="1"/>
    <xf numFmtId="0" fontId="3" fillId="0" borderId="0" xfId="3" applyFont="1" applyAlignment="1">
      <alignment horizontal="center"/>
    </xf>
    <xf numFmtId="0" fontId="3" fillId="0" borderId="4" xfId="3" applyFont="1" applyBorder="1" applyAlignment="1">
      <alignment horizontal="center"/>
    </xf>
    <xf numFmtId="0" fontId="2" fillId="0" borderId="0" xfId="3"/>
    <xf numFmtId="0" fontId="2" fillId="0" borderId="3" xfId="3" applyBorder="1"/>
    <xf numFmtId="0" fontId="2" fillId="0" borderId="4" xfId="3" applyBorder="1"/>
    <xf numFmtId="0" fontId="3" fillId="0" borderId="3" xfId="3" applyFont="1" applyBorder="1"/>
    <xf numFmtId="3" fontId="3" fillId="0" borderId="4" xfId="3" applyNumberFormat="1" applyFont="1" applyBorder="1"/>
    <xf numFmtId="0" fontId="2" fillId="0" borderId="0" xfId="3" applyAlignment="1">
      <alignment horizontal="center"/>
    </xf>
    <xf numFmtId="0" fontId="2" fillId="0" borderId="4" xfId="3" applyFont="1" applyBorder="1"/>
    <xf numFmtId="3" fontId="4" fillId="0" borderId="4" xfId="3" applyNumberFormat="1" applyFont="1" applyBorder="1"/>
    <xf numFmtId="0" fontId="2" fillId="0" borderId="0" xfId="3" applyFont="1" applyAlignment="1">
      <alignment horizontal="left"/>
    </xf>
    <xf numFmtId="3" fontId="3" fillId="3" borderId="4" xfId="3" applyNumberFormat="1" applyFont="1" applyFill="1" applyBorder="1"/>
    <xf numFmtId="3" fontId="3" fillId="0" borderId="4" xfId="3" applyNumberFormat="1" applyFont="1" applyFill="1" applyBorder="1"/>
    <xf numFmtId="3" fontId="4" fillId="0" borderId="4" xfId="3" applyNumberFormat="1" applyFont="1" applyFill="1" applyBorder="1"/>
    <xf numFmtId="3" fontId="3" fillId="0" borderId="4" xfId="3" applyNumberFormat="1" applyFont="1" applyFill="1" applyBorder="1" applyAlignment="1">
      <alignment horizontal="right"/>
    </xf>
    <xf numFmtId="0" fontId="3" fillId="0" borderId="9" xfId="3" applyFont="1" applyBorder="1" applyAlignment="1">
      <alignment horizontal="center"/>
    </xf>
    <xf numFmtId="0" fontId="28" fillId="0" borderId="4" xfId="3" applyFont="1" applyBorder="1"/>
    <xf numFmtId="3" fontId="28" fillId="0" borderId="4" xfId="3" applyNumberFormat="1" applyFont="1" applyBorder="1"/>
    <xf numFmtId="4" fontId="28" fillId="0" borderId="19" xfId="3" applyNumberFormat="1" applyFont="1" applyBorder="1" applyAlignment="1">
      <alignment horizontal="right"/>
    </xf>
    <xf numFmtId="3" fontId="28" fillId="0" borderId="4" xfId="3" applyNumberFormat="1" applyFont="1" applyFill="1" applyBorder="1"/>
    <xf numFmtId="3" fontId="28" fillId="0" borderId="4" xfId="3" applyNumberFormat="1" applyFont="1" applyFill="1" applyBorder="1" applyProtection="1">
      <protection locked="0"/>
    </xf>
    <xf numFmtId="0" fontId="2" fillId="0" borderId="13" xfId="3" applyBorder="1" applyAlignment="1">
      <alignment horizontal="center"/>
    </xf>
    <xf numFmtId="0" fontId="31" fillId="0" borderId="4" xfId="3" applyFont="1" applyBorder="1" applyAlignment="1">
      <alignment horizontal="center"/>
    </xf>
    <xf numFmtId="0" fontId="33" fillId="0" borderId="4" xfId="3" applyFont="1" applyBorder="1" applyAlignment="1">
      <alignment horizontal="center"/>
    </xf>
    <xf numFmtId="0" fontId="33" fillId="0" borderId="6" xfId="3" applyFont="1" applyBorder="1" applyAlignment="1">
      <alignment horizontal="center"/>
    </xf>
    <xf numFmtId="0" fontId="33" fillId="0" borderId="0" xfId="3" applyFont="1" applyAlignment="1">
      <alignment horizontal="center"/>
    </xf>
    <xf numFmtId="0" fontId="33" fillId="0" borderId="4" xfId="3" applyFont="1" applyFill="1" applyBorder="1" applyAlignment="1">
      <alignment horizontal="center"/>
    </xf>
    <xf numFmtId="0" fontId="33" fillId="0" borderId="4" xfId="3" applyFont="1" applyBorder="1" applyAlignment="1">
      <alignment horizontal="center" vertical="center"/>
    </xf>
    <xf numFmtId="0" fontId="33" fillId="0" borderId="11" xfId="3" applyFont="1" applyFill="1" applyBorder="1" applyAlignment="1">
      <alignment horizontal="center"/>
    </xf>
    <xf numFmtId="0" fontId="33" fillId="0" borderId="10" xfId="3" applyFont="1" applyBorder="1" applyAlignment="1">
      <alignment horizontal="center"/>
    </xf>
    <xf numFmtId="0" fontId="33" fillId="0" borderId="9" xfId="3" applyFont="1" applyBorder="1" applyAlignment="1">
      <alignment horizontal="center"/>
    </xf>
    <xf numFmtId="0" fontId="33" fillId="0" borderId="11" xfId="3" applyFont="1" applyBorder="1" applyAlignment="1">
      <alignment horizontal="center"/>
    </xf>
    <xf numFmtId="0" fontId="31" fillId="0" borderId="15" xfId="3" applyFont="1" applyBorder="1" applyAlignment="1">
      <alignment horizontal="center"/>
    </xf>
    <xf numFmtId="0" fontId="31" fillId="0" borderId="10" xfId="3" applyFont="1" applyBorder="1" applyAlignment="1">
      <alignment horizontal="center"/>
    </xf>
    <xf numFmtId="0" fontId="18" fillId="0" borderId="9" xfId="3" applyFont="1" applyBorder="1" applyAlignment="1">
      <alignment horizontal="center"/>
    </xf>
    <xf numFmtId="0" fontId="18" fillId="0" borderId="9" xfId="3" applyFont="1" applyBorder="1" applyAlignment="1">
      <alignment horizontal="center" vertical="top"/>
    </xf>
    <xf numFmtId="0" fontId="17" fillId="0" borderId="9" xfId="3" applyFont="1" applyBorder="1" applyAlignment="1">
      <alignment horizontal="center" vertical="top"/>
    </xf>
    <xf numFmtId="0" fontId="34" fillId="0" borderId="9" xfId="3" applyFont="1" applyBorder="1" applyAlignment="1">
      <alignment horizontal="center" vertical="top"/>
    </xf>
    <xf numFmtId="0" fontId="17" fillId="0" borderId="9" xfId="3" applyFont="1" applyFill="1" applyBorder="1" applyAlignment="1">
      <alignment horizontal="center" vertical="top"/>
    </xf>
    <xf numFmtId="0" fontId="34" fillId="0" borderId="9" xfId="3" applyFont="1" applyFill="1" applyBorder="1" applyAlignment="1">
      <alignment horizontal="center" vertical="top"/>
    </xf>
    <xf numFmtId="49" fontId="34" fillId="0" borderId="9" xfId="0" applyNumberFormat="1" applyFont="1" applyBorder="1" applyAlignment="1">
      <alignment horizontal="center" vertical="top"/>
    </xf>
    <xf numFmtId="0" fontId="34" fillId="0" borderId="15" xfId="3" applyFont="1" applyBorder="1" applyAlignment="1">
      <alignment horizontal="center" vertical="top"/>
    </xf>
    <xf numFmtId="49" fontId="34" fillId="0" borderId="9" xfId="0" applyNumberFormat="1" applyFont="1" applyFill="1" applyBorder="1" applyAlignment="1">
      <alignment horizontal="center" vertical="top"/>
    </xf>
    <xf numFmtId="49" fontId="17" fillId="0" borderId="9" xfId="0" applyNumberFormat="1" applyFont="1" applyFill="1" applyBorder="1" applyAlignment="1">
      <alignment horizontal="center" vertical="top"/>
    </xf>
    <xf numFmtId="49" fontId="17" fillId="0" borderId="9" xfId="0" applyNumberFormat="1" applyFont="1" applyBorder="1" applyAlignment="1">
      <alignment horizontal="center" vertical="top"/>
    </xf>
    <xf numFmtId="49" fontId="17" fillId="0" borderId="9" xfId="3" applyNumberFormat="1" applyFont="1" applyBorder="1" applyAlignment="1">
      <alignment horizontal="center" vertical="top"/>
    </xf>
    <xf numFmtId="0" fontId="17" fillId="0" borderId="9" xfId="3" applyFont="1" applyBorder="1" applyAlignment="1">
      <alignment horizontal="center"/>
    </xf>
    <xf numFmtId="0" fontId="17" fillId="0" borderId="34" xfId="3" applyFont="1" applyBorder="1" applyAlignment="1">
      <alignment horizontal="center"/>
    </xf>
    <xf numFmtId="0" fontId="18" fillId="0" borderId="4" xfId="3" applyFont="1" applyBorder="1" applyAlignment="1">
      <alignment horizontal="center"/>
    </xf>
    <xf numFmtId="0" fontId="17" fillId="0" borderId="4" xfId="3" applyFont="1" applyBorder="1" applyAlignment="1">
      <alignment horizontal="center"/>
    </xf>
    <xf numFmtId="0" fontId="17" fillId="0" borderId="6" xfId="3" applyFont="1" applyBorder="1" applyAlignment="1">
      <alignment horizontal="center"/>
    </xf>
    <xf numFmtId="0" fontId="17" fillId="0" borderId="0" xfId="3" applyFont="1" applyAlignment="1">
      <alignment horizontal="center"/>
    </xf>
    <xf numFmtId="0" fontId="17" fillId="0" borderId="4" xfId="3" applyFont="1" applyFill="1" applyBorder="1" applyAlignment="1">
      <alignment horizontal="center"/>
    </xf>
    <xf numFmtId="0" fontId="17" fillId="0" borderId="4" xfId="3" applyFont="1" applyBorder="1" applyAlignment="1">
      <alignment horizontal="center" vertical="center"/>
    </xf>
    <xf numFmtId="0" fontId="17" fillId="0" borderId="11" xfId="3" applyFont="1" applyFill="1" applyBorder="1" applyAlignment="1">
      <alignment horizontal="center"/>
    </xf>
    <xf numFmtId="0" fontId="17" fillId="0" borderId="10" xfId="3" applyFont="1" applyBorder="1" applyAlignment="1">
      <alignment horizontal="center"/>
    </xf>
    <xf numFmtId="0" fontId="17" fillId="0" borderId="11" xfId="3" applyFont="1" applyBorder="1" applyAlignment="1">
      <alignment horizontal="center"/>
    </xf>
    <xf numFmtId="49" fontId="17" fillId="0" borderId="9" xfId="0" applyNumberFormat="1" applyFont="1" applyBorder="1" applyAlignment="1">
      <alignment horizontal="center"/>
    </xf>
    <xf numFmtId="49" fontId="17" fillId="0" borderId="15" xfId="0" applyNumberFormat="1" applyFont="1" applyBorder="1" applyAlignment="1">
      <alignment horizontal="center"/>
    </xf>
    <xf numFmtId="0" fontId="18" fillId="0" borderId="15" xfId="3" applyFont="1" applyBorder="1" applyAlignment="1">
      <alignment horizontal="center"/>
    </xf>
    <xf numFmtId="0" fontId="18" fillId="0" borderId="10" xfId="3" applyFont="1" applyBorder="1" applyAlignment="1">
      <alignment horizontal="center"/>
    </xf>
    <xf numFmtId="164" fontId="21" fillId="0" borderId="13" xfId="0" applyNumberFormat="1" applyFont="1" applyBorder="1" applyAlignment="1"/>
    <xf numFmtId="4" fontId="32" fillId="0" borderId="19" xfId="3" applyNumberFormat="1" applyFont="1" applyBorder="1" applyAlignment="1">
      <alignment horizontal="center"/>
    </xf>
    <xf numFmtId="4" fontId="32" fillId="0" borderId="19" xfId="3" applyNumberFormat="1" applyFont="1" applyFill="1" applyBorder="1"/>
    <xf numFmtId="4" fontId="21" fillId="0" borderId="19" xfId="3" applyNumberFormat="1" applyFont="1" applyFill="1" applyBorder="1"/>
    <xf numFmtId="4" fontId="21" fillId="0" borderId="19" xfId="3" applyNumberFormat="1" applyFont="1" applyBorder="1"/>
    <xf numFmtId="4" fontId="21" fillId="0" borderId="20" xfId="3" applyNumberFormat="1" applyFont="1" applyBorder="1"/>
    <xf numFmtId="4" fontId="21" fillId="0" borderId="0" xfId="3" applyNumberFormat="1" applyFont="1"/>
    <xf numFmtId="4" fontId="32" fillId="0" borderId="20" xfId="3" applyNumberFormat="1" applyFont="1" applyBorder="1"/>
    <xf numFmtId="4" fontId="21" fillId="0" borderId="14" xfId="3" applyNumberFormat="1" applyFont="1" applyBorder="1"/>
    <xf numFmtId="4" fontId="32" fillId="0" borderId="19" xfId="3" applyNumberFormat="1" applyFont="1" applyBorder="1"/>
    <xf numFmtId="49" fontId="33" fillId="0" borderId="4" xfId="0" applyNumberFormat="1" applyFont="1" applyBorder="1" applyAlignment="1">
      <alignment horizontal="center"/>
    </xf>
    <xf numFmtId="49" fontId="33" fillId="0" borderId="11" xfId="0" applyNumberFormat="1" applyFont="1" applyBorder="1" applyAlignment="1">
      <alignment horizontal="center"/>
    </xf>
    <xf numFmtId="0" fontId="1" fillId="0" borderId="4" xfId="3" applyFont="1" applyBorder="1"/>
    <xf numFmtId="3" fontId="4" fillId="0" borderId="9" xfId="12" applyNumberFormat="1" applyFont="1" applyBorder="1"/>
    <xf numFmtId="3" fontId="4" fillId="0" borderId="9" xfId="12" applyNumberFormat="1" applyFont="1" applyFill="1" applyBorder="1"/>
    <xf numFmtId="3" fontId="1" fillId="0" borderId="4" xfId="12" applyNumberFormat="1" applyFont="1" applyBorder="1"/>
    <xf numFmtId="3" fontId="4" fillId="7" borderId="4" xfId="12" applyNumberFormat="1" applyFont="1" applyFill="1" applyBorder="1"/>
    <xf numFmtId="3" fontId="1" fillId="0" borderId="4" xfId="12" applyNumberFormat="1" applyFont="1" applyFill="1" applyBorder="1"/>
    <xf numFmtId="3" fontId="1" fillId="0" borderId="4" xfId="12" applyNumberFormat="1" applyBorder="1"/>
    <xf numFmtId="3" fontId="4" fillId="0" borderId="4" xfId="12" applyNumberFormat="1" applyFont="1" applyBorder="1"/>
    <xf numFmtId="3" fontId="1" fillId="0" borderId="4" xfId="12" applyNumberFormat="1" applyFill="1" applyBorder="1"/>
    <xf numFmtId="3" fontId="4" fillId="0" borderId="4" xfId="12" applyNumberFormat="1" applyFont="1" applyFill="1" applyBorder="1"/>
    <xf numFmtId="0" fontId="23" fillId="0" borderId="4" xfId="11" applyFont="1" applyFill="1" applyBorder="1" applyAlignment="1">
      <alignment wrapText="1"/>
    </xf>
    <xf numFmtId="164" fontId="18" fillId="0" borderId="13" xfId="3" applyNumberFormat="1" applyFont="1" applyBorder="1" applyAlignment="1"/>
    <xf numFmtId="164" fontId="3" fillId="0" borderId="0" xfId="3" applyNumberFormat="1" applyFont="1"/>
    <xf numFmtId="0" fontId="5" fillId="0" borderId="0" xfId="3" applyFont="1" applyBorder="1" applyAlignment="1">
      <alignment horizontal="left"/>
    </xf>
    <xf numFmtId="0" fontId="7" fillId="0" borderId="0" xfId="3" applyFont="1" applyAlignment="1">
      <alignment horizontal="left"/>
    </xf>
    <xf numFmtId="0" fontId="3" fillId="0" borderId="11" xfId="3" applyFont="1" applyFill="1" applyBorder="1" applyAlignment="1">
      <alignment horizontal="center" vertical="center" wrapText="1"/>
    </xf>
    <xf numFmtId="0" fontId="8" fillId="0" borderId="11" xfId="3" applyFont="1" applyFill="1" applyBorder="1" applyAlignment="1">
      <alignment horizontal="center" vertical="center" wrapText="1"/>
    </xf>
    <xf numFmtId="0" fontId="3" fillId="0" borderId="24" xfId="3" applyFont="1" applyBorder="1" applyAlignment="1">
      <alignment horizontal="center" vertical="center" textRotation="90" wrapText="1"/>
    </xf>
    <xf numFmtId="0" fontId="1" fillId="0" borderId="4" xfId="3" applyFont="1" applyFill="1" applyBorder="1" applyAlignment="1">
      <alignment wrapText="1"/>
    </xf>
    <xf numFmtId="0" fontId="1" fillId="3" borderId="4" xfId="3" applyFont="1" applyFill="1" applyBorder="1" applyAlignment="1">
      <alignment wrapText="1"/>
    </xf>
    <xf numFmtId="0" fontId="2" fillId="0" borderId="0" xfId="3" applyFill="1" applyAlignment="1">
      <alignment vertical="center"/>
    </xf>
    <xf numFmtId="3" fontId="14" fillId="6" borderId="40" xfId="3" applyNumberFormat="1" applyFont="1" applyFill="1" applyBorder="1" applyAlignment="1">
      <alignment vertical="center"/>
    </xf>
    <xf numFmtId="0" fontId="14" fillId="6" borderId="40" xfId="3" applyFont="1" applyFill="1" applyBorder="1" applyAlignment="1">
      <alignment vertical="center"/>
    </xf>
    <xf numFmtId="4" fontId="9" fillId="6" borderId="41" xfId="3" applyNumberFormat="1" applyFont="1" applyFill="1" applyBorder="1" applyAlignment="1">
      <alignment horizontal="left" vertical="center"/>
    </xf>
    <xf numFmtId="4" fontId="14" fillId="6" borderId="41" xfId="3" applyNumberFormat="1" applyFont="1" applyFill="1" applyBorder="1" applyAlignment="1">
      <alignment vertical="center"/>
    </xf>
    <xf numFmtId="3" fontId="4" fillId="0" borderId="9" xfId="12" applyNumberFormat="1" applyFont="1" applyFill="1" applyBorder="1" applyAlignment="1">
      <alignment vertical="center"/>
    </xf>
    <xf numFmtId="0" fontId="6" fillId="0" borderId="0" xfId="3" applyFont="1"/>
    <xf numFmtId="3" fontId="6" fillId="0" borderId="0" xfId="3" applyNumberFormat="1" applyFont="1"/>
    <xf numFmtId="3" fontId="6" fillId="0" borderId="14" xfId="3" applyNumberFormat="1" applyFont="1" applyBorder="1"/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3" fillId="6" borderId="11" xfId="3" applyFont="1" applyFill="1" applyBorder="1" applyAlignment="1">
      <alignment horizontal="center" vertical="center" wrapText="1"/>
    </xf>
    <xf numFmtId="0" fontId="3" fillId="6" borderId="3" xfId="3" applyFont="1" applyFill="1" applyBorder="1" applyAlignment="1">
      <alignment horizontal="center"/>
    </xf>
    <xf numFmtId="0" fontId="3" fillId="6" borderId="9" xfId="3" applyFont="1" applyFill="1" applyBorder="1" applyAlignment="1">
      <alignment horizontal="center"/>
    </xf>
    <xf numFmtId="0" fontId="3" fillId="6" borderId="4" xfId="3" applyFont="1" applyFill="1" applyBorder="1" applyAlignment="1">
      <alignment horizontal="left"/>
    </xf>
    <xf numFmtId="3" fontId="3" fillId="6" borderId="4" xfId="3" applyNumberFormat="1" applyFont="1" applyFill="1" applyBorder="1" applyAlignment="1">
      <alignment horizontal="right"/>
    </xf>
    <xf numFmtId="4" fontId="3" fillId="6" borderId="19" xfId="3" applyNumberFormat="1" applyFont="1" applyFill="1" applyBorder="1" applyAlignment="1">
      <alignment horizontal="right"/>
    </xf>
    <xf numFmtId="0" fontId="3" fillId="6" borderId="3" xfId="3" applyFont="1" applyFill="1" applyBorder="1" applyAlignment="1">
      <alignment horizontal="center" vertical="top"/>
    </xf>
    <xf numFmtId="0" fontId="18" fillId="6" borderId="9" xfId="3" applyFont="1" applyFill="1" applyBorder="1" applyAlignment="1">
      <alignment horizontal="center" vertical="top"/>
    </xf>
    <xf numFmtId="0" fontId="3" fillId="6" borderId="4" xfId="3" applyFont="1" applyFill="1" applyBorder="1"/>
    <xf numFmtId="3" fontId="3" fillId="6" borderId="4" xfId="3" applyNumberFormat="1" applyFont="1" applyFill="1" applyBorder="1"/>
    <xf numFmtId="4" fontId="8" fillId="6" borderId="19" xfId="3" applyNumberFormat="1" applyFont="1" applyFill="1" applyBorder="1" applyAlignment="1">
      <alignment horizontal="right"/>
    </xf>
    <xf numFmtId="49" fontId="3" fillId="6" borderId="3" xfId="0" applyNumberFormat="1" applyFont="1" applyFill="1" applyBorder="1" applyAlignment="1">
      <alignment horizontal="center" vertical="top"/>
    </xf>
    <xf numFmtId="49" fontId="18" fillId="6" borderId="9" xfId="0" applyNumberFormat="1" applyFont="1" applyFill="1" applyBorder="1" applyAlignment="1">
      <alignment horizontal="center" vertical="top"/>
    </xf>
    <xf numFmtId="0" fontId="3" fillId="6" borderId="4" xfId="0" applyFont="1" applyFill="1" applyBorder="1"/>
    <xf numFmtId="49" fontId="3" fillId="6" borderId="3" xfId="3" applyNumberFormat="1" applyFont="1" applyFill="1" applyBorder="1" applyAlignment="1">
      <alignment horizontal="center" vertical="top"/>
    </xf>
    <xf numFmtId="49" fontId="18" fillId="6" borderId="9" xfId="3" applyNumberFormat="1" applyFont="1" applyFill="1" applyBorder="1" applyAlignment="1">
      <alignment horizontal="center" vertical="top"/>
    </xf>
    <xf numFmtId="0" fontId="22" fillId="2" borderId="2" xfId="0" applyFont="1" applyFill="1" applyBorder="1" applyAlignment="1">
      <alignment horizontal="center" vertical="center" wrapText="1"/>
    </xf>
    <xf numFmtId="3" fontId="22" fillId="6" borderId="4" xfId="0" applyNumberFormat="1" applyFont="1" applyFill="1" applyBorder="1"/>
    <xf numFmtId="3" fontId="22" fillId="6" borderId="8" xfId="0" applyNumberFormat="1" applyFont="1" applyFill="1" applyBorder="1"/>
    <xf numFmtId="3" fontId="22" fillId="0" borderId="8" xfId="0" applyNumberFormat="1" applyFont="1" applyBorder="1"/>
    <xf numFmtId="3" fontId="36" fillId="0" borderId="8" xfId="0" applyNumberFormat="1" applyFont="1" applyBorder="1"/>
    <xf numFmtId="3" fontId="36" fillId="0" borderId="8" xfId="0" applyNumberFormat="1" applyFont="1" applyFill="1" applyBorder="1"/>
    <xf numFmtId="3" fontId="22" fillId="0" borderId="8" xfId="0" applyNumberFormat="1" applyFont="1" applyFill="1" applyBorder="1"/>
    <xf numFmtId="3" fontId="36" fillId="0" borderId="26" xfId="0" applyNumberFormat="1" applyFont="1" applyFill="1" applyBorder="1"/>
    <xf numFmtId="3" fontId="37" fillId="0" borderId="8" xfId="0" applyNumberFormat="1" applyFont="1" applyFill="1" applyBorder="1"/>
    <xf numFmtId="3" fontId="36" fillId="0" borderId="26" xfId="0" applyNumberFormat="1" applyFont="1" applyBorder="1"/>
    <xf numFmtId="3" fontId="22" fillId="0" borderId="4" xfId="0" applyNumberFormat="1" applyFont="1" applyBorder="1"/>
    <xf numFmtId="0" fontId="36" fillId="0" borderId="6" xfId="0" applyFont="1" applyBorder="1"/>
    <xf numFmtId="3" fontId="22" fillId="6" borderId="29" xfId="0" applyNumberFormat="1" applyFont="1" applyFill="1" applyBorder="1"/>
    <xf numFmtId="0" fontId="36" fillId="0" borderId="0" xfId="0" applyFont="1"/>
    <xf numFmtId="0" fontId="26" fillId="0" borderId="26" xfId="4" applyFont="1" applyFill="1" applyBorder="1" applyAlignment="1">
      <alignment horizontal="center" vertical="center" wrapText="1"/>
    </xf>
    <xf numFmtId="0" fontId="0" fillId="0" borderId="0" xfId="0"/>
    <xf numFmtId="3" fontId="1" fillId="0" borderId="4" xfId="0" applyNumberFormat="1" applyFont="1" applyFill="1" applyBorder="1" applyAlignment="1"/>
    <xf numFmtId="3" fontId="1" fillId="0" borderId="4" xfId="0" applyNumberFormat="1" applyFont="1" applyFill="1" applyBorder="1" applyAlignment="1">
      <alignment horizontal="right" vertical="center"/>
    </xf>
    <xf numFmtId="3" fontId="1" fillId="0" borderId="21" xfId="0" applyNumberFormat="1" applyFont="1" applyFill="1" applyBorder="1" applyAlignment="1">
      <alignment horizontal="right" vertical="center"/>
    </xf>
    <xf numFmtId="0" fontId="21" fillId="0" borderId="0" xfId="0" applyFont="1"/>
    <xf numFmtId="0" fontId="32" fillId="6" borderId="4" xfId="0" applyFont="1" applyFill="1" applyBorder="1" applyAlignment="1">
      <alignment horizontal="center" vertical="center"/>
    </xf>
    <xf numFmtId="0" fontId="32" fillId="6" borderId="4" xfId="0" applyFont="1" applyFill="1" applyBorder="1" applyAlignment="1">
      <alignment horizontal="center" vertical="center" wrapText="1"/>
    </xf>
    <xf numFmtId="0" fontId="21" fillId="0" borderId="0" xfId="0" applyFont="1" applyBorder="1" applyAlignment="1"/>
    <xf numFmtId="0" fontId="32" fillId="6" borderId="4" xfId="0" applyFont="1" applyFill="1" applyBorder="1" applyAlignment="1"/>
    <xf numFmtId="3" fontId="32" fillId="6" borderId="4" xfId="0" applyNumberFormat="1" applyFont="1" applyFill="1" applyBorder="1" applyAlignment="1"/>
    <xf numFmtId="2" fontId="32" fillId="6" borderId="4" xfId="0" applyNumberFormat="1" applyFont="1" applyFill="1" applyBorder="1" applyAlignment="1"/>
    <xf numFmtId="0" fontId="21" fillId="0" borderId="4" xfId="0" applyFont="1" applyFill="1" applyBorder="1" applyAlignment="1"/>
    <xf numFmtId="0" fontId="38" fillId="0" borderId="4" xfId="0" applyFont="1" applyFill="1" applyBorder="1" applyAlignment="1">
      <alignment horizontal="center"/>
    </xf>
    <xf numFmtId="3" fontId="21" fillId="0" borderId="4" xfId="0" applyNumberFormat="1" applyFont="1" applyFill="1" applyBorder="1" applyAlignment="1"/>
    <xf numFmtId="2" fontId="21" fillId="0" borderId="4" xfId="0" applyNumberFormat="1" applyFont="1" applyFill="1" applyBorder="1" applyAlignment="1">
      <alignment horizontal="right"/>
    </xf>
    <xf numFmtId="0" fontId="21" fillId="0" borderId="4" xfId="0" applyFont="1" applyFill="1" applyBorder="1" applyAlignment="1">
      <alignment horizontal="left" vertical="center"/>
    </xf>
    <xf numFmtId="0" fontId="38" fillId="0" borderId="4" xfId="0" applyFont="1" applyFill="1" applyBorder="1" applyAlignment="1">
      <alignment horizontal="center" vertical="center"/>
    </xf>
    <xf numFmtId="3" fontId="21" fillId="0" borderId="4" xfId="0" applyNumberFormat="1" applyFont="1" applyFill="1" applyBorder="1" applyAlignment="1">
      <alignment horizontal="right" vertical="center"/>
    </xf>
    <xf numFmtId="2" fontId="21" fillId="0" borderId="4" xfId="0" applyNumberFormat="1" applyFont="1" applyFill="1" applyBorder="1" applyAlignment="1">
      <alignment horizontal="right" vertical="center"/>
    </xf>
    <xf numFmtId="0" fontId="32" fillId="4" borderId="4" xfId="0" applyFont="1" applyFill="1" applyBorder="1" applyAlignment="1"/>
    <xf numFmtId="0" fontId="39" fillId="4" borderId="4" xfId="0" applyFont="1" applyFill="1" applyBorder="1" applyAlignment="1">
      <alignment horizontal="center"/>
    </xf>
    <xf numFmtId="3" fontId="32" fillId="4" borderId="4" xfId="0" applyNumberFormat="1" applyFont="1" applyFill="1" applyBorder="1" applyAlignment="1"/>
    <xf numFmtId="2" fontId="32" fillId="4" borderId="4" xfId="0" applyNumberFormat="1" applyFont="1" applyFill="1" applyBorder="1" applyAlignment="1">
      <alignment horizontal="right" vertical="center"/>
    </xf>
    <xf numFmtId="0" fontId="32" fillId="0" borderId="0" xfId="0" applyFont="1"/>
    <xf numFmtId="0" fontId="32" fillId="0" borderId="0" xfId="0" applyFont="1" applyFill="1" applyBorder="1" applyAlignment="1"/>
    <xf numFmtId="0" fontId="32" fillId="0" borderId="0" xfId="0" applyFont="1" applyBorder="1" applyAlignment="1"/>
    <xf numFmtId="0" fontId="21" fillId="0" borderId="21" xfId="0" applyFont="1" applyFill="1" applyBorder="1" applyAlignment="1">
      <alignment horizontal="left" vertical="center"/>
    </xf>
    <xf numFmtId="0" fontId="38" fillId="0" borderId="21" xfId="0" applyFont="1" applyFill="1" applyBorder="1" applyAlignment="1">
      <alignment horizontal="center" vertical="center"/>
    </xf>
    <xf numFmtId="3" fontId="21" fillId="0" borderId="21" xfId="0" applyNumberFormat="1" applyFont="1" applyFill="1" applyBorder="1" applyAlignment="1">
      <alignment horizontal="right" vertical="center"/>
    </xf>
    <xf numFmtId="2" fontId="21" fillId="0" borderId="21" xfId="0" applyNumberFormat="1" applyFont="1" applyFill="1" applyBorder="1" applyAlignment="1">
      <alignment horizontal="right" vertical="center"/>
    </xf>
    <xf numFmtId="0" fontId="32" fillId="4" borderId="21" xfId="0" applyFont="1" applyFill="1" applyBorder="1" applyAlignment="1">
      <alignment horizontal="left" vertical="center"/>
    </xf>
    <xf numFmtId="0" fontId="39" fillId="4" borderId="21" xfId="0" applyFont="1" applyFill="1" applyBorder="1" applyAlignment="1">
      <alignment horizontal="center" vertical="center"/>
    </xf>
    <xf numFmtId="3" fontId="32" fillId="4" borderId="21" xfId="0" applyNumberFormat="1" applyFont="1" applyFill="1" applyBorder="1" applyAlignment="1"/>
    <xf numFmtId="2" fontId="32" fillId="4" borderId="21" xfId="0" applyNumberFormat="1" applyFont="1" applyFill="1" applyBorder="1" applyAlignment="1">
      <alignment horizontal="right" vertical="center"/>
    </xf>
    <xf numFmtId="0" fontId="32" fillId="4" borderId="22" xfId="0" applyFont="1" applyFill="1" applyBorder="1" applyAlignment="1"/>
    <xf numFmtId="0" fontId="39" fillId="4" borderId="22" xfId="0" applyFont="1" applyFill="1" applyBorder="1" applyAlignment="1">
      <alignment horizontal="center"/>
    </xf>
    <xf numFmtId="3" fontId="32" fillId="4" borderId="22" xfId="0" applyNumberFormat="1" applyFont="1" applyFill="1" applyBorder="1" applyAlignment="1"/>
    <xf numFmtId="2" fontId="32" fillId="4" borderId="22" xfId="0" applyNumberFormat="1" applyFont="1" applyFill="1" applyBorder="1" applyAlignment="1">
      <alignment horizontal="right" vertical="center"/>
    </xf>
    <xf numFmtId="3" fontId="32" fillId="4" borderId="21" xfId="0" applyNumberFormat="1" applyFont="1" applyFill="1" applyBorder="1" applyAlignment="1">
      <alignment vertical="center"/>
    </xf>
    <xf numFmtId="0" fontId="32" fillId="4" borderId="4" xfId="0" applyFont="1" applyFill="1" applyBorder="1" applyAlignment="1">
      <alignment wrapText="1"/>
    </xf>
    <xf numFmtId="0" fontId="39" fillId="4" borderId="4" xfId="0" applyFont="1" applyFill="1" applyBorder="1" applyAlignment="1">
      <alignment horizontal="center" wrapText="1"/>
    </xf>
    <xf numFmtId="3" fontId="32" fillId="4" borderId="4" xfId="0" applyNumberFormat="1" applyFont="1" applyFill="1" applyBorder="1" applyAlignment="1">
      <alignment vertical="center"/>
    </xf>
    <xf numFmtId="0" fontId="32" fillId="0" borderId="23" xfId="0" applyFont="1" applyFill="1" applyBorder="1" applyAlignment="1"/>
    <xf numFmtId="0" fontId="39" fillId="0" borderId="23" xfId="0" applyFont="1" applyFill="1" applyBorder="1" applyAlignment="1">
      <alignment horizontal="center"/>
    </xf>
    <xf numFmtId="4" fontId="21" fillId="0" borderId="23" xfId="0" applyNumberFormat="1" applyFont="1" applyFill="1" applyBorder="1" applyAlignment="1"/>
    <xf numFmtId="2" fontId="21" fillId="0" borderId="23" xfId="0" applyNumberFormat="1" applyFont="1" applyFill="1" applyBorder="1" applyAlignment="1">
      <alignment horizontal="right" vertical="center"/>
    </xf>
    <xf numFmtId="3" fontId="21" fillId="0" borderId="0" xfId="0" applyNumberFormat="1" applyFont="1" applyBorder="1" applyAlignment="1"/>
    <xf numFmtId="0" fontId="8" fillId="6" borderId="4" xfId="0" applyFont="1" applyFill="1" applyBorder="1" applyAlignment="1">
      <alignment horizontal="center" vertical="center" wrapText="1"/>
    </xf>
    <xf numFmtId="3" fontId="8" fillId="6" borderId="4" xfId="0" applyNumberFormat="1" applyFont="1" applyFill="1" applyBorder="1" applyAlignment="1"/>
    <xf numFmtId="3" fontId="8" fillId="4" borderId="4" xfId="0" applyNumberFormat="1" applyFont="1" applyFill="1" applyBorder="1" applyAlignment="1"/>
    <xf numFmtId="3" fontId="8" fillId="4" borderId="21" xfId="0" applyNumberFormat="1" applyFont="1" applyFill="1" applyBorder="1" applyAlignment="1"/>
    <xf numFmtId="3" fontId="8" fillId="4" borderId="22" xfId="0" applyNumberFormat="1" applyFont="1" applyFill="1" applyBorder="1" applyAlignment="1"/>
    <xf numFmtId="3" fontId="8" fillId="4" borderId="21" xfId="0" applyNumberFormat="1" applyFont="1" applyFill="1" applyBorder="1" applyAlignment="1">
      <alignment vertical="center"/>
    </xf>
    <xf numFmtId="3" fontId="8" fillId="4" borderId="4" xfId="0" applyNumberFormat="1" applyFont="1" applyFill="1" applyBorder="1" applyAlignment="1">
      <alignment vertical="center"/>
    </xf>
    <xf numFmtId="4" fontId="1" fillId="0" borderId="23" xfId="0" applyNumberFormat="1" applyFont="1" applyFill="1" applyBorder="1" applyAlignment="1"/>
    <xf numFmtId="0" fontId="40" fillId="0" borderId="0" xfId="0" applyFont="1"/>
    <xf numFmtId="0" fontId="41" fillId="0" borderId="4" xfId="0" applyFont="1" applyFill="1" applyBorder="1" applyAlignment="1">
      <alignment horizontal="center"/>
    </xf>
    <xf numFmtId="0" fontId="41" fillId="0" borderId="4" xfId="0" applyFont="1" applyFill="1" applyBorder="1" applyAlignment="1">
      <alignment horizontal="center" wrapText="1"/>
    </xf>
    <xf numFmtId="0" fontId="40" fillId="0" borderId="0" xfId="0" applyFont="1" applyBorder="1" applyAlignment="1"/>
    <xf numFmtId="0" fontId="18" fillId="0" borderId="3" xfId="3" applyFont="1" applyBorder="1" applyAlignment="1">
      <alignment horizontal="center"/>
    </xf>
    <xf numFmtId="0" fontId="18" fillId="0" borderId="19" xfId="3" applyFont="1" applyBorder="1" applyAlignment="1">
      <alignment horizontal="center"/>
    </xf>
    <xf numFmtId="0" fontId="0" fillId="0" borderId="42" xfId="0" applyBorder="1"/>
    <xf numFmtId="0" fontId="33" fillId="0" borderId="55" xfId="0" applyFont="1" applyBorder="1" applyAlignment="1">
      <alignment horizontal="center"/>
    </xf>
    <xf numFmtId="0" fontId="33" fillId="0" borderId="0" xfId="0" applyFont="1"/>
    <xf numFmtId="0" fontId="33" fillId="0" borderId="43" xfId="0" applyFont="1" applyBorder="1" applyAlignment="1">
      <alignment horizontal="center"/>
    </xf>
    <xf numFmtId="0" fontId="33" fillId="0" borderId="47" xfId="0" applyFont="1" applyBorder="1" applyAlignment="1">
      <alignment horizontal="center"/>
    </xf>
    <xf numFmtId="0" fontId="33" fillId="0" borderId="48" xfId="0" applyFont="1" applyBorder="1" applyAlignment="1">
      <alignment horizontal="left"/>
    </xf>
    <xf numFmtId="0" fontId="33" fillId="0" borderId="49" xfId="0" applyFont="1" applyBorder="1" applyAlignment="1">
      <alignment horizontal="left"/>
    </xf>
    <xf numFmtId="0" fontId="33" fillId="0" borderId="50" xfId="0" applyFont="1" applyBorder="1" applyAlignment="1">
      <alignment horizontal="left"/>
    </xf>
    <xf numFmtId="0" fontId="33" fillId="0" borderId="51" xfId="0" applyFont="1" applyBorder="1" applyAlignment="1">
      <alignment horizontal="center"/>
    </xf>
    <xf numFmtId="0" fontId="4" fillId="6" borderId="4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left" vertical="center" wrapText="1"/>
    </xf>
    <xf numFmtId="3" fontId="3" fillId="6" borderId="4" xfId="0" applyNumberFormat="1" applyFont="1" applyFill="1" applyBorder="1" applyAlignment="1">
      <alignment horizontal="right" vertical="center"/>
    </xf>
    <xf numFmtId="4" fontId="3" fillId="6" borderId="4" xfId="0" applyNumberFormat="1" applyFont="1" applyFill="1" applyBorder="1" applyAlignment="1">
      <alignment vertical="center"/>
    </xf>
    <xf numFmtId="49" fontId="3" fillId="6" borderId="4" xfId="0" applyNumberFormat="1" applyFont="1" applyFill="1" applyBorder="1" applyAlignment="1">
      <alignment horizontal="center" vertical="center" wrapText="1"/>
    </xf>
    <xf numFmtId="167" fontId="3" fillId="6" borderId="4" xfId="0" applyNumberFormat="1" applyFont="1" applyFill="1" applyBorder="1" applyAlignment="1">
      <alignment horizontal="left" vertical="center" wrapText="1"/>
    </xf>
    <xf numFmtId="4" fontId="3" fillId="6" borderId="4" xfId="0" applyNumberFormat="1" applyFont="1" applyFill="1" applyBorder="1"/>
    <xf numFmtId="0" fontId="18" fillId="0" borderId="0" xfId="3" applyFont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1" fillId="0" borderId="4" xfId="3" applyFont="1" applyBorder="1" applyAlignment="1">
      <alignment wrapText="1"/>
    </xf>
    <xf numFmtId="0" fontId="0" fillId="0" borderId="0" xfId="0"/>
    <xf numFmtId="0" fontId="7" fillId="0" borderId="0" xfId="3" applyFont="1" applyAlignment="1">
      <alignment horizontal="left"/>
    </xf>
    <xf numFmtId="0" fontId="9" fillId="6" borderId="40" xfId="3" applyFont="1" applyFill="1" applyBorder="1" applyAlignment="1">
      <alignment horizontal="left" vertical="center"/>
    </xf>
    <xf numFmtId="0" fontId="3" fillId="0" borderId="13" xfId="3" applyFont="1" applyBorder="1" applyAlignment="1">
      <alignment horizontal="right"/>
    </xf>
    <xf numFmtId="0" fontId="0" fillId="0" borderId="0" xfId="0"/>
    <xf numFmtId="0" fontId="0" fillId="0" borderId="0" xfId="0"/>
    <xf numFmtId="0" fontId="1" fillId="0" borderId="4" xfId="0" applyFont="1" applyFill="1" applyBorder="1"/>
    <xf numFmtId="0" fontId="1" fillId="0" borderId="0" xfId="0" applyFont="1" applyFill="1"/>
    <xf numFmtId="0" fontId="0" fillId="0" borderId="0" xfId="0"/>
    <xf numFmtId="0" fontId="33" fillId="0" borderId="49" xfId="0" applyFont="1" applyBorder="1" applyAlignment="1">
      <alignment horizontal="left"/>
    </xf>
    <xf numFmtId="0" fontId="33" fillId="0" borderId="50" xfId="0" applyFont="1" applyBorder="1" applyAlignment="1">
      <alignment horizontal="left"/>
    </xf>
    <xf numFmtId="0" fontId="33" fillId="0" borderId="48" xfId="0" applyFont="1" applyBorder="1" applyAlignment="1">
      <alignment horizontal="left"/>
    </xf>
    <xf numFmtId="0" fontId="0" fillId="0" borderId="0" xfId="0" applyAlignment="1">
      <alignment horizontal="justify" wrapText="1"/>
    </xf>
    <xf numFmtId="0" fontId="0" fillId="0" borderId="0" xfId="0"/>
    <xf numFmtId="0" fontId="0" fillId="0" borderId="0" xfId="0" applyAlignment="1">
      <alignment horizontal="justify" wrapText="1"/>
    </xf>
    <xf numFmtId="0" fontId="0" fillId="0" borderId="0" xfId="0" applyBorder="1" applyAlignment="1"/>
    <xf numFmtId="0" fontId="1" fillId="0" borderId="0" xfId="0" applyFont="1" applyAlignment="1">
      <alignment horizontal="justify" wrapText="1"/>
    </xf>
    <xf numFmtId="0" fontId="6" fillId="0" borderId="0" xfId="12" applyFont="1" applyAlignment="1">
      <alignment horizontal="left"/>
    </xf>
    <xf numFmtId="0" fontId="1" fillId="0" borderId="0" xfId="12"/>
    <xf numFmtId="4" fontId="1" fillId="0" borderId="0" xfId="12" applyNumberFormat="1"/>
    <xf numFmtId="0" fontId="1" fillId="0" borderId="0" xfId="12" applyFont="1" applyAlignment="1">
      <alignment horizontal="left"/>
    </xf>
    <xf numFmtId="0" fontId="7" fillId="0" borderId="0" xfId="12" applyFont="1" applyAlignment="1">
      <alignment horizontal="left"/>
    </xf>
    <xf numFmtId="4" fontId="7" fillId="0" borderId="0" xfId="12" applyNumberFormat="1" applyFont="1" applyAlignment="1">
      <alignment horizontal="left"/>
    </xf>
    <xf numFmtId="3" fontId="1" fillId="6" borderId="40" xfId="3" applyNumberFormat="1" applyFont="1" applyFill="1" applyBorder="1" applyAlignment="1">
      <alignment vertical="center"/>
    </xf>
    <xf numFmtId="0" fontId="1" fillId="6" borderId="40" xfId="3" applyFont="1" applyFill="1" applyBorder="1" applyAlignment="1">
      <alignment vertical="center"/>
    </xf>
    <xf numFmtId="0" fontId="1" fillId="0" borderId="0" xfId="3" applyFont="1" applyFill="1"/>
    <xf numFmtId="164" fontId="8" fillId="0" borderId="13" xfId="3" applyNumberFormat="1" applyFont="1" applyFill="1" applyBorder="1" applyAlignment="1"/>
    <xf numFmtId="0" fontId="26" fillId="0" borderId="4" xfId="3" applyFont="1" applyFill="1" applyBorder="1" applyAlignment="1">
      <alignment horizontal="center"/>
    </xf>
    <xf numFmtId="0" fontId="8" fillId="0" borderId="4" xfId="3" applyFont="1" applyFill="1" applyBorder="1" applyAlignment="1">
      <alignment horizontal="center"/>
    </xf>
    <xf numFmtId="3" fontId="8" fillId="0" borderId="4" xfId="4" applyNumberFormat="1" applyFont="1" applyFill="1" applyBorder="1"/>
    <xf numFmtId="3" fontId="1" fillId="0" borderId="4" xfId="4" applyNumberFormat="1" applyFont="1" applyFill="1" applyBorder="1"/>
    <xf numFmtId="3" fontId="1" fillId="0" borderId="4" xfId="3" applyNumberFormat="1" applyFont="1" applyFill="1" applyBorder="1"/>
    <xf numFmtId="3" fontId="8" fillId="0" borderId="4" xfId="3" applyNumberFormat="1" applyFont="1" applyFill="1" applyBorder="1" applyAlignment="1">
      <alignment horizontal="right"/>
    </xf>
    <xf numFmtId="3" fontId="1" fillId="0" borderId="6" xfId="3" applyNumberFormat="1" applyFont="1" applyFill="1" applyBorder="1"/>
    <xf numFmtId="3" fontId="1" fillId="0" borderId="0" xfId="3" applyNumberFormat="1" applyFont="1" applyFill="1"/>
    <xf numFmtId="3" fontId="8" fillId="0" borderId="4" xfId="3" applyNumberFormat="1" applyFont="1" applyFill="1" applyBorder="1" applyAlignment="1">
      <alignment horizontal="center"/>
    </xf>
    <xf numFmtId="0" fontId="1" fillId="0" borderId="6" xfId="3" applyFont="1" applyFill="1" applyBorder="1"/>
    <xf numFmtId="3" fontId="8" fillId="0" borderId="6" xfId="3" applyNumberFormat="1" applyFont="1" applyFill="1" applyBorder="1"/>
    <xf numFmtId="3" fontId="1" fillId="0" borderId="14" xfId="3" applyNumberFormat="1" applyFont="1" applyFill="1" applyBorder="1"/>
    <xf numFmtId="3" fontId="1" fillId="0" borderId="4" xfId="4" applyNumberFormat="1" applyFont="1" applyFill="1" applyBorder="1" applyAlignment="1">
      <alignment vertical="center"/>
    </xf>
    <xf numFmtId="0" fontId="1" fillId="0" borderId="4" xfId="3" applyFont="1" applyFill="1" applyBorder="1"/>
    <xf numFmtId="0" fontId="8" fillId="0" borderId="4" xfId="3" applyFont="1" applyFill="1" applyBorder="1"/>
    <xf numFmtId="3" fontId="8" fillId="0" borderId="4" xfId="12" applyNumberFormat="1" applyFont="1" applyFill="1" applyBorder="1"/>
    <xf numFmtId="0" fontId="8" fillId="0" borderId="9" xfId="3" applyFont="1" applyFill="1" applyBorder="1" applyAlignment="1">
      <alignment horizontal="center"/>
    </xf>
    <xf numFmtId="3" fontId="8" fillId="0" borderId="9" xfId="3" applyNumberFormat="1" applyFont="1" applyFill="1" applyBorder="1" applyAlignment="1">
      <alignment horizontal="right"/>
    </xf>
    <xf numFmtId="3" fontId="1" fillId="0" borderId="9" xfId="3" applyNumberFormat="1" applyFont="1" applyFill="1" applyBorder="1"/>
    <xf numFmtId="3" fontId="8" fillId="0" borderId="9" xfId="3" applyNumberFormat="1" applyFont="1" applyFill="1" applyBorder="1"/>
    <xf numFmtId="3" fontId="8" fillId="0" borderId="9" xfId="4" applyNumberFormat="1" applyFont="1" applyFill="1" applyBorder="1"/>
    <xf numFmtId="0" fontId="26" fillId="0" borderId="17" xfId="3" applyFont="1" applyFill="1" applyBorder="1" applyAlignment="1">
      <alignment horizontal="center"/>
    </xf>
    <xf numFmtId="3" fontId="8" fillId="0" borderId="17" xfId="3" applyNumberFormat="1" applyFont="1" applyFill="1" applyBorder="1" applyAlignment="1">
      <alignment horizontal="center"/>
    </xf>
    <xf numFmtId="3" fontId="8" fillId="0" borderId="17" xfId="4" applyNumberFormat="1" applyFont="1" applyFill="1" applyBorder="1"/>
    <xf numFmtId="3" fontId="1" fillId="0" borderId="17" xfId="4" applyNumberFormat="1" applyFont="1" applyFill="1" applyBorder="1"/>
    <xf numFmtId="3" fontId="1" fillId="0" borderId="17" xfId="3" applyNumberFormat="1" applyFont="1" applyFill="1" applyBorder="1"/>
    <xf numFmtId="3" fontId="8" fillId="0" borderId="17" xfId="3" applyNumberFormat="1" applyFont="1" applyFill="1" applyBorder="1"/>
    <xf numFmtId="3" fontId="1" fillId="0" borderId="30" xfId="3" applyNumberFormat="1" applyFont="1" applyFill="1" applyBorder="1"/>
    <xf numFmtId="0" fontId="8" fillId="0" borderId="24" xfId="3" applyFont="1" applyFill="1" applyBorder="1" applyAlignment="1">
      <alignment horizontal="center" vertical="center" wrapText="1"/>
    </xf>
    <xf numFmtId="0" fontId="12" fillId="6" borderId="27" xfId="3" applyFont="1" applyFill="1" applyBorder="1" applyAlignment="1">
      <alignment horizontal="center" vertical="center" wrapText="1"/>
    </xf>
    <xf numFmtId="0" fontId="18" fillId="6" borderId="17" xfId="3" applyFont="1" applyFill="1" applyBorder="1" applyAlignment="1">
      <alignment horizontal="center"/>
    </xf>
    <xf numFmtId="3" fontId="3" fillId="0" borderId="3" xfId="3" applyNumberFormat="1" applyFont="1" applyBorder="1" applyAlignment="1">
      <alignment horizontal="center"/>
    </xf>
    <xf numFmtId="3" fontId="12" fillId="6" borderId="17" xfId="3" applyNumberFormat="1" applyFont="1" applyFill="1" applyBorder="1" applyAlignment="1">
      <alignment horizontal="center"/>
    </xf>
    <xf numFmtId="3" fontId="3" fillId="0" borderId="3" xfId="4" applyNumberFormat="1" applyFont="1" applyFill="1" applyBorder="1"/>
    <xf numFmtId="3" fontId="12" fillId="6" borderId="17" xfId="4" applyNumberFormat="1" applyFont="1" applyFill="1" applyBorder="1"/>
    <xf numFmtId="3" fontId="4" fillId="0" borderId="3" xfId="4" applyNumberFormat="1" applyFont="1" applyFill="1" applyBorder="1"/>
    <xf numFmtId="3" fontId="6" fillId="6" borderId="17" xfId="4" applyNumberFormat="1" applyFont="1" applyFill="1" applyBorder="1"/>
    <xf numFmtId="3" fontId="10" fillId="0" borderId="3" xfId="4" applyNumberFormat="1" applyFill="1" applyBorder="1"/>
    <xf numFmtId="3" fontId="4" fillId="0" borderId="3" xfId="3" applyNumberFormat="1" applyFont="1" applyBorder="1"/>
    <xf numFmtId="3" fontId="6" fillId="6" borderId="17" xfId="3" applyNumberFormat="1" applyFont="1" applyFill="1" applyBorder="1"/>
    <xf numFmtId="3" fontId="3" fillId="3" borderId="3" xfId="3" applyNumberFormat="1" applyFont="1" applyFill="1" applyBorder="1"/>
    <xf numFmtId="3" fontId="12" fillId="6" borderId="17" xfId="3" applyNumberFormat="1" applyFont="1" applyFill="1" applyBorder="1"/>
    <xf numFmtId="3" fontId="4" fillId="0" borderId="3" xfId="12" applyNumberFormat="1" applyFont="1" applyBorder="1"/>
    <xf numFmtId="3" fontId="4" fillId="0" borderId="3" xfId="12" applyNumberFormat="1" applyFont="1" applyFill="1" applyBorder="1"/>
    <xf numFmtId="3" fontId="4" fillId="0" borderId="3" xfId="3" applyNumberFormat="1" applyFont="1" applyFill="1" applyBorder="1"/>
    <xf numFmtId="3" fontId="3" fillId="0" borderId="3" xfId="3" applyNumberFormat="1" applyFont="1" applyFill="1" applyBorder="1"/>
    <xf numFmtId="3" fontId="3" fillId="0" borderId="3" xfId="3" applyNumberFormat="1" applyFont="1" applyBorder="1"/>
    <xf numFmtId="3" fontId="2" fillId="0" borderId="5" xfId="3" applyNumberFormat="1" applyBorder="1"/>
    <xf numFmtId="3" fontId="6" fillId="6" borderId="30" xfId="3" applyNumberFormat="1" applyFont="1" applyFill="1" applyBorder="1"/>
    <xf numFmtId="0" fontId="26" fillId="0" borderId="8" xfId="3" applyFont="1" applyFill="1" applyBorder="1" applyAlignment="1">
      <alignment horizontal="center"/>
    </xf>
    <xf numFmtId="3" fontId="8" fillId="0" borderId="8" xfId="3" applyNumberFormat="1" applyFont="1" applyFill="1" applyBorder="1" applyAlignment="1">
      <alignment horizontal="center"/>
    </xf>
    <xf numFmtId="3" fontId="8" fillId="0" borderId="8" xfId="4" applyNumberFormat="1" applyFont="1" applyFill="1" applyBorder="1"/>
    <xf numFmtId="3" fontId="1" fillId="0" borderId="8" xfId="4" applyNumberFormat="1" applyFont="1" applyFill="1" applyBorder="1"/>
    <xf numFmtId="3" fontId="8" fillId="0" borderId="8" xfId="3" applyNumberFormat="1" applyFont="1" applyFill="1" applyBorder="1"/>
    <xf numFmtId="3" fontId="1" fillId="0" borderId="8" xfId="3" applyNumberFormat="1" applyFont="1" applyFill="1" applyBorder="1"/>
    <xf numFmtId="3" fontId="1" fillId="0" borderId="64" xfId="3" applyNumberFormat="1" applyFont="1" applyFill="1" applyBorder="1"/>
    <xf numFmtId="0" fontId="8" fillId="0" borderId="8" xfId="3" applyFont="1" applyFill="1" applyBorder="1" applyAlignment="1">
      <alignment horizontal="center"/>
    </xf>
    <xf numFmtId="0" fontId="1" fillId="0" borderId="64" xfId="3" applyFont="1" applyFill="1" applyBorder="1"/>
    <xf numFmtId="0" fontId="12" fillId="6" borderId="17" xfId="3" applyFont="1" applyFill="1" applyBorder="1" applyAlignment="1">
      <alignment horizontal="center"/>
    </xf>
    <xf numFmtId="3" fontId="1" fillId="0" borderId="3" xfId="12" applyNumberFormat="1" applyBorder="1"/>
    <xf numFmtId="3" fontId="1" fillId="0" borderId="3" xfId="12" applyNumberFormat="1" applyFill="1" applyBorder="1"/>
    <xf numFmtId="3" fontId="2" fillId="0" borderId="3" xfId="3" applyNumberFormat="1" applyFill="1" applyBorder="1"/>
    <xf numFmtId="0" fontId="6" fillId="6" borderId="30" xfId="3" applyFont="1" applyFill="1" applyBorder="1"/>
    <xf numFmtId="3" fontId="8" fillId="0" borderId="64" xfId="3" applyNumberFormat="1" applyFont="1" applyFill="1" applyBorder="1"/>
    <xf numFmtId="3" fontId="3" fillId="0" borderId="5" xfId="3" applyNumberFormat="1" applyFont="1" applyBorder="1"/>
    <xf numFmtId="3" fontId="12" fillId="6" borderId="30" xfId="3" applyNumberFormat="1" applyFont="1" applyFill="1" applyBorder="1"/>
    <xf numFmtId="3" fontId="2" fillId="0" borderId="3" xfId="3" applyNumberFormat="1" applyBorder="1"/>
    <xf numFmtId="3" fontId="8" fillId="0" borderId="8" xfId="3" applyNumberFormat="1" applyFont="1" applyFill="1" applyBorder="1" applyAlignment="1">
      <alignment horizontal="right"/>
    </xf>
    <xf numFmtId="3" fontId="3" fillId="0" borderId="3" xfId="3" applyNumberFormat="1" applyFont="1" applyBorder="1" applyAlignment="1">
      <alignment horizontal="right"/>
    </xf>
    <xf numFmtId="3" fontId="12" fillId="6" borderId="17" xfId="3" applyNumberFormat="1" applyFont="1" applyFill="1" applyBorder="1" applyAlignment="1">
      <alignment horizontal="right"/>
    </xf>
    <xf numFmtId="3" fontId="1" fillId="0" borderId="3" xfId="12" applyNumberFormat="1" applyFont="1" applyFill="1" applyBorder="1"/>
    <xf numFmtId="3" fontId="3" fillId="0" borderId="3" xfId="3" applyNumberFormat="1" applyFont="1" applyFill="1" applyBorder="1" applyAlignment="1">
      <alignment horizontal="right"/>
    </xf>
    <xf numFmtId="3" fontId="1" fillId="0" borderId="8" xfId="12" applyNumberFormat="1" applyFont="1" applyFill="1" applyBorder="1"/>
    <xf numFmtId="3" fontId="6" fillId="6" borderId="17" xfId="12" applyNumberFormat="1" applyFont="1" applyFill="1" applyBorder="1"/>
    <xf numFmtId="3" fontId="4" fillId="7" borderId="3" xfId="12" applyNumberFormat="1" applyFont="1" applyFill="1" applyBorder="1"/>
    <xf numFmtId="3" fontId="1" fillId="0" borderId="3" xfId="12" applyNumberFormat="1" applyFont="1" applyBorder="1"/>
    <xf numFmtId="3" fontId="1" fillId="0" borderId="8" xfId="4" applyNumberFormat="1" applyFont="1" applyFill="1" applyBorder="1" applyAlignment="1">
      <alignment vertical="center"/>
    </xf>
    <xf numFmtId="0" fontId="1" fillId="0" borderId="8" xfId="3" applyFont="1" applyFill="1" applyBorder="1"/>
    <xf numFmtId="3" fontId="3" fillId="7" borderId="3" xfId="4" applyNumberFormat="1" applyFont="1" applyFill="1" applyBorder="1"/>
    <xf numFmtId="3" fontId="4" fillId="7" borderId="3" xfId="4" applyNumberFormat="1" applyFont="1" applyFill="1" applyBorder="1"/>
    <xf numFmtId="3" fontId="10" fillId="7" borderId="3" xfId="4" applyNumberFormat="1" applyFill="1" applyBorder="1"/>
    <xf numFmtId="3" fontId="4" fillId="0" borderId="3" xfId="3" applyNumberFormat="1" applyFont="1" applyFill="1" applyBorder="1" applyAlignment="1">
      <alignment vertical="center"/>
    </xf>
    <xf numFmtId="3" fontId="6" fillId="6" borderId="17" xfId="4" applyNumberFormat="1" applyFont="1" applyFill="1" applyBorder="1" applyAlignment="1">
      <alignment vertical="center"/>
    </xf>
    <xf numFmtId="0" fontId="6" fillId="6" borderId="17" xfId="3" applyFont="1" applyFill="1" applyBorder="1"/>
    <xf numFmtId="3" fontId="10" fillId="0" borderId="3" xfId="4" applyNumberFormat="1" applyFont="1" applyFill="1" applyBorder="1"/>
    <xf numFmtId="0" fontId="8" fillId="0" borderId="8" xfId="3" applyFont="1" applyFill="1" applyBorder="1"/>
    <xf numFmtId="3" fontId="2" fillId="0" borderId="3" xfId="3" applyNumberFormat="1" applyFont="1" applyFill="1" applyBorder="1"/>
    <xf numFmtId="3" fontId="8" fillId="0" borderId="3" xfId="3" applyNumberFormat="1" applyFont="1" applyFill="1" applyBorder="1"/>
    <xf numFmtId="3" fontId="8" fillId="0" borderId="8" xfId="12" applyNumberFormat="1" applyFont="1" applyFill="1" applyBorder="1"/>
    <xf numFmtId="3" fontId="12" fillId="6" borderId="17" xfId="12" applyNumberFormat="1" applyFont="1" applyFill="1" applyBorder="1"/>
    <xf numFmtId="3" fontId="10" fillId="0" borderId="3" xfId="3" applyNumberFormat="1" applyFont="1" applyFill="1" applyBorder="1"/>
    <xf numFmtId="0" fontId="8" fillId="0" borderId="25" xfId="3" applyFont="1" applyFill="1" applyBorder="1" applyAlignment="1">
      <alignment horizontal="center"/>
    </xf>
    <xf numFmtId="3" fontId="8" fillId="0" borderId="25" xfId="3" applyNumberFormat="1" applyFont="1" applyFill="1" applyBorder="1" applyAlignment="1">
      <alignment horizontal="right"/>
    </xf>
    <xf numFmtId="3" fontId="1" fillId="0" borderId="25" xfId="3" applyNumberFormat="1" applyFont="1" applyFill="1" applyBorder="1"/>
    <xf numFmtId="0" fontId="12" fillId="6" borderId="19" xfId="3" applyFont="1" applyFill="1" applyBorder="1" applyAlignment="1">
      <alignment horizontal="center"/>
    </xf>
    <xf numFmtId="3" fontId="12" fillId="6" borderId="19" xfId="3" applyNumberFormat="1" applyFont="1" applyFill="1" applyBorder="1" applyAlignment="1">
      <alignment horizontal="right"/>
    </xf>
    <xf numFmtId="3" fontId="6" fillId="6" borderId="19" xfId="3" applyNumberFormat="1" applyFont="1" applyFill="1" applyBorder="1"/>
    <xf numFmtId="3" fontId="12" fillId="6" borderId="19" xfId="3" applyNumberFormat="1" applyFont="1" applyFill="1" applyBorder="1"/>
    <xf numFmtId="3" fontId="12" fillId="6" borderId="19" xfId="4" applyNumberFormat="1" applyFont="1" applyFill="1" applyBorder="1"/>
    <xf numFmtId="0" fontId="3" fillId="0" borderId="24" xfId="3" applyFont="1" applyFill="1" applyBorder="1" applyAlignment="1">
      <alignment horizontal="center" vertical="center" wrapText="1"/>
    </xf>
    <xf numFmtId="0" fontId="3" fillId="6" borderId="24" xfId="3" applyFont="1" applyFill="1" applyBorder="1" applyAlignment="1">
      <alignment horizontal="center" vertical="center" wrapText="1"/>
    </xf>
    <xf numFmtId="0" fontId="18" fillId="0" borderId="17" xfId="3" applyFont="1" applyFill="1" applyBorder="1" applyAlignment="1">
      <alignment horizontal="center"/>
    </xf>
    <xf numFmtId="3" fontId="3" fillId="6" borderId="3" xfId="3" applyNumberFormat="1" applyFont="1" applyFill="1" applyBorder="1" applyAlignment="1">
      <alignment horizontal="right"/>
    </xf>
    <xf numFmtId="3" fontId="4" fillId="0" borderId="3" xfId="3" applyNumberFormat="1" applyFont="1" applyFill="1" applyBorder="1" applyAlignment="1">
      <alignment horizontal="right"/>
    </xf>
    <xf numFmtId="3" fontId="6" fillId="6" borderId="17" xfId="3" applyNumberFormat="1" applyFont="1" applyFill="1" applyBorder="1" applyAlignment="1">
      <alignment horizontal="right"/>
    </xf>
    <xf numFmtId="3" fontId="4" fillId="0" borderId="3" xfId="3" applyNumberFormat="1" applyFont="1" applyBorder="1" applyAlignment="1">
      <alignment horizontal="right"/>
    </xf>
    <xf numFmtId="3" fontId="3" fillId="6" borderId="3" xfId="3" applyNumberFormat="1" applyFont="1" applyFill="1" applyBorder="1"/>
    <xf numFmtId="3" fontId="28" fillId="0" borderId="3" xfId="3" applyNumberFormat="1" applyFont="1" applyBorder="1"/>
    <xf numFmtId="3" fontId="35" fillId="6" borderId="17" xfId="3" applyNumberFormat="1" applyFont="1" applyFill="1" applyBorder="1"/>
    <xf numFmtId="3" fontId="28" fillId="0" borderId="3" xfId="3" applyNumberFormat="1" applyFont="1" applyFill="1" applyBorder="1"/>
    <xf numFmtId="3" fontId="4" fillId="0" borderId="3" xfId="3" applyNumberFormat="1" applyFont="1" applyFill="1" applyBorder="1" applyProtection="1">
      <protection locked="0"/>
    </xf>
    <xf numFmtId="3" fontId="6" fillId="6" borderId="17" xfId="3" applyNumberFormat="1" applyFont="1" applyFill="1" applyBorder="1" applyProtection="1">
      <protection locked="0"/>
    </xf>
    <xf numFmtId="3" fontId="28" fillId="0" borderId="3" xfId="3" applyNumberFormat="1" applyFont="1" applyFill="1" applyBorder="1" applyProtection="1">
      <protection locked="0"/>
    </xf>
    <xf numFmtId="3" fontId="35" fillId="6" borderId="17" xfId="3" applyNumberFormat="1" applyFont="1" applyFill="1" applyBorder="1" applyProtection="1">
      <protection locked="0"/>
    </xf>
    <xf numFmtId="3" fontId="2" fillId="0" borderId="3" xfId="3" applyNumberFormat="1" applyFont="1" applyBorder="1"/>
    <xf numFmtId="0" fontId="1" fillId="0" borderId="13" xfId="3" applyFont="1" applyFill="1" applyBorder="1"/>
    <xf numFmtId="0" fontId="28" fillId="0" borderId="0" xfId="3" applyFont="1" applyFill="1" applyAlignment="1">
      <alignment horizontal="left"/>
    </xf>
    <xf numFmtId="0" fontId="1" fillId="0" borderId="0" xfId="12" applyFont="1" applyFill="1"/>
    <xf numFmtId="0" fontId="28" fillId="0" borderId="0" xfId="12" applyFont="1" applyFill="1" applyAlignment="1">
      <alignment horizontal="left"/>
    </xf>
    <xf numFmtId="3" fontId="1" fillId="0" borderId="4" xfId="3" applyNumberFormat="1" applyFont="1" applyFill="1" applyBorder="1" applyAlignment="1">
      <alignment vertical="center"/>
    </xf>
    <xf numFmtId="3" fontId="1" fillId="0" borderId="9" xfId="12" applyNumberFormat="1" applyFont="1" applyFill="1" applyBorder="1"/>
    <xf numFmtId="3" fontId="1" fillId="0" borderId="9" xfId="12" applyNumberFormat="1" applyFont="1" applyFill="1" applyBorder="1" applyAlignment="1">
      <alignment vertic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0" fillId="0" borderId="0" xfId="0"/>
    <xf numFmtId="3" fontId="1" fillId="0" borderId="9" xfId="4" applyNumberFormat="1" applyFont="1" applyFill="1" applyBorder="1"/>
    <xf numFmtId="3" fontId="36" fillId="0" borderId="0" xfId="0" applyNumberFormat="1" applyFont="1" applyFill="1" applyBorder="1"/>
    <xf numFmtId="3" fontId="1" fillId="0" borderId="0" xfId="0" applyNumberFormat="1" applyFont="1" applyFill="1"/>
    <xf numFmtId="0" fontId="3" fillId="0" borderId="3" xfId="3" applyFont="1" applyFill="1" applyBorder="1" applyAlignment="1">
      <alignment horizontal="right"/>
    </xf>
    <xf numFmtId="0" fontId="3" fillId="0" borderId="4" xfId="3" applyFont="1" applyFill="1" applyBorder="1" applyAlignment="1">
      <alignment horizontal="right"/>
    </xf>
    <xf numFmtId="0" fontId="12" fillId="6" borderId="17" xfId="3" applyFont="1" applyFill="1" applyBorder="1" applyAlignment="1">
      <alignment horizontal="right"/>
    </xf>
    <xf numFmtId="0" fontId="0" fillId="0" borderId="0" xfId="0"/>
    <xf numFmtId="3" fontId="3" fillId="3" borderId="9" xfId="12" applyNumberFormat="1" applyFont="1" applyFill="1" applyBorder="1"/>
    <xf numFmtId="3" fontId="1" fillId="0" borderId="9" xfId="12" applyNumberFormat="1" applyFill="1" applyBorder="1"/>
    <xf numFmtId="3" fontId="1" fillId="0" borderId="9" xfId="12" applyNumberFormat="1" applyBorder="1"/>
    <xf numFmtId="3" fontId="3" fillId="0" borderId="9" xfId="12" applyNumberFormat="1" applyFont="1" applyFill="1" applyBorder="1"/>
    <xf numFmtId="3" fontId="3" fillId="0" borderId="9" xfId="3" applyNumberFormat="1" applyFont="1" applyFill="1" applyBorder="1"/>
    <xf numFmtId="0" fontId="0" fillId="0" borderId="0" xfId="0" applyFill="1" applyBorder="1"/>
    <xf numFmtId="3" fontId="36" fillId="0" borderId="33" xfId="0" applyNumberFormat="1" applyFont="1" applyFill="1" applyBorder="1"/>
    <xf numFmtId="0" fontId="22" fillId="0" borderId="0" xfId="0" applyFont="1" applyFill="1" applyBorder="1" applyAlignment="1">
      <alignment horizontal="center" vertical="center" wrapText="1"/>
    </xf>
    <xf numFmtId="168" fontId="1" fillId="0" borderId="0" xfId="14" applyNumberFormat="1" applyFont="1" applyFill="1" applyBorder="1"/>
    <xf numFmtId="0" fontId="0" fillId="0" borderId="0" xfId="0"/>
    <xf numFmtId="3" fontId="36" fillId="0" borderId="0" xfId="0" applyNumberFormat="1" applyFont="1"/>
    <xf numFmtId="168" fontId="0" fillId="0" borderId="0" xfId="0" applyNumberFormat="1" applyFill="1" applyBorder="1"/>
    <xf numFmtId="0" fontId="8" fillId="0" borderId="0" xfId="0" applyFont="1" applyFill="1" applyBorder="1"/>
    <xf numFmtId="0" fontId="1" fillId="0" borderId="0" xfId="0" applyFont="1" applyFill="1" applyBorder="1"/>
    <xf numFmtId="9" fontId="8" fillId="0" borderId="0" xfId="0" applyNumberFormat="1" applyFont="1" applyFill="1" applyBorder="1"/>
    <xf numFmtId="3" fontId="8" fillId="0" borderId="0" xfId="0" applyNumberFormat="1" applyFont="1" applyFill="1" applyBorder="1"/>
    <xf numFmtId="43" fontId="8" fillId="0" borderId="0" xfId="6" applyFont="1" applyFill="1" applyBorder="1"/>
    <xf numFmtId="43" fontId="8" fillId="0" borderId="0" xfId="0" applyNumberFormat="1" applyFont="1" applyFill="1" applyBorder="1"/>
    <xf numFmtId="3" fontId="29" fillId="0" borderId="0" xfId="2" applyNumberFormat="1" applyFill="1" applyBorder="1"/>
    <xf numFmtId="0" fontId="0" fillId="0" borderId="0" xfId="0"/>
    <xf numFmtId="0" fontId="0" fillId="0" borderId="0" xfId="0"/>
    <xf numFmtId="0" fontId="0" fillId="0" borderId="0" xfId="0" applyAlignment="1"/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13" fillId="7" borderId="0" xfId="0" applyFont="1" applyFill="1" applyAlignment="1">
      <alignment horizontal="center" wrapText="1"/>
    </xf>
    <xf numFmtId="0" fontId="0" fillId="0" borderId="0" xfId="0"/>
    <xf numFmtId="0" fontId="0" fillId="7" borderId="0" xfId="0" applyFill="1" applyAlignment="1"/>
    <xf numFmtId="0" fontId="9" fillId="0" borderId="0" xfId="0" applyFont="1" applyAlignment="1">
      <alignment horizontal="center" vertical="top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center"/>
    </xf>
    <xf numFmtId="0" fontId="33" fillId="0" borderId="52" xfId="0" applyFont="1" applyBorder="1" applyAlignment="1">
      <alignment horizontal="left"/>
    </xf>
    <xf numFmtId="0" fontId="33" fillId="0" borderId="53" xfId="0" applyFont="1" applyBorder="1" applyAlignment="1">
      <alignment horizontal="left"/>
    </xf>
    <xf numFmtId="0" fontId="33" fillId="0" borderId="54" xfId="0" applyFont="1" applyBorder="1" applyAlignment="1">
      <alignment horizontal="left"/>
    </xf>
    <xf numFmtId="0" fontId="33" fillId="0" borderId="44" xfId="0" applyFont="1" applyBorder="1" applyAlignment="1">
      <alignment horizontal="left"/>
    </xf>
    <xf numFmtId="0" fontId="33" fillId="0" borderId="45" xfId="0" applyFont="1" applyBorder="1" applyAlignment="1">
      <alignment horizontal="left"/>
    </xf>
    <xf numFmtId="0" fontId="33" fillId="0" borderId="46" xfId="0" applyFont="1" applyBorder="1" applyAlignment="1">
      <alignment horizontal="left"/>
    </xf>
    <xf numFmtId="0" fontId="33" fillId="0" borderId="48" xfId="0" applyFont="1" applyBorder="1" applyAlignment="1">
      <alignment horizontal="left"/>
    </xf>
    <xf numFmtId="0" fontId="33" fillId="0" borderId="49" xfId="0" applyFont="1" applyBorder="1" applyAlignment="1">
      <alignment horizontal="left"/>
    </xf>
    <xf numFmtId="0" fontId="33" fillId="0" borderId="50" xfId="0" applyFont="1" applyBorder="1" applyAlignment="1">
      <alignment horizontal="left"/>
    </xf>
    <xf numFmtId="0" fontId="33" fillId="0" borderId="56" xfId="0" applyFont="1" applyBorder="1" applyAlignment="1">
      <alignment horizontal="left"/>
    </xf>
    <xf numFmtId="0" fontId="33" fillId="0" borderId="57" xfId="0" applyFont="1" applyBorder="1" applyAlignment="1">
      <alignment horizontal="left"/>
    </xf>
    <xf numFmtId="0" fontId="33" fillId="0" borderId="58" xfId="0" applyFont="1" applyBorder="1" applyAlignment="1">
      <alignment horizontal="left"/>
    </xf>
    <xf numFmtId="0" fontId="3" fillId="6" borderId="8" xfId="0" applyFont="1" applyFill="1" applyBorder="1" applyAlignment="1">
      <alignment horizontal="left"/>
    </xf>
    <xf numFmtId="0" fontId="3" fillId="6" borderId="25" xfId="0" applyFont="1" applyFill="1" applyBorder="1" applyAlignment="1">
      <alignment horizontal="left"/>
    </xf>
    <xf numFmtId="0" fontId="3" fillId="6" borderId="9" xfId="0" applyFont="1" applyFill="1" applyBorder="1" applyAlignment="1">
      <alignment horizontal="left"/>
    </xf>
    <xf numFmtId="0" fontId="9" fillId="0" borderId="0" xfId="0" applyFont="1" applyFill="1" applyAlignment="1">
      <alignment horizontal="left"/>
    </xf>
    <xf numFmtId="0" fontId="33" fillId="0" borderId="48" xfId="0" applyFont="1" applyBorder="1" applyAlignment="1">
      <alignment horizontal="left" wrapText="1"/>
    </xf>
    <xf numFmtId="0" fontId="33" fillId="0" borderId="51" xfId="0" applyFont="1" applyBorder="1" applyAlignment="1">
      <alignment horizontal="left"/>
    </xf>
    <xf numFmtId="0" fontId="1" fillId="0" borderId="0" xfId="0" applyFont="1" applyAlignment="1">
      <alignment horizontal="justify" wrapText="1"/>
    </xf>
    <xf numFmtId="0" fontId="0" fillId="0" borderId="0" xfId="0" applyAlignment="1">
      <alignment horizontal="justify" wrapText="1"/>
    </xf>
    <xf numFmtId="0" fontId="1" fillId="0" borderId="0" xfId="0" applyFont="1" applyAlignment="1">
      <alignment horizontal="justify" vertical="top"/>
    </xf>
    <xf numFmtId="0" fontId="2" fillId="0" borderId="0" xfId="0" applyFont="1" applyAlignment="1">
      <alignment horizontal="justify" vertical="top"/>
    </xf>
    <xf numFmtId="0" fontId="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66" fontId="5" fillId="0" borderId="13" xfId="1" applyNumberFormat="1" applyFont="1" applyBorder="1" applyAlignment="1">
      <alignment horizontal="left" wrapText="1"/>
    </xf>
    <xf numFmtId="0" fontId="0" fillId="0" borderId="13" xfId="0" applyBorder="1" applyAlignment="1">
      <alignment wrapText="1"/>
    </xf>
    <xf numFmtId="0" fontId="12" fillId="0" borderId="31" xfId="0" applyFont="1" applyBorder="1" applyAlignment="1">
      <alignment horizontal="right" wrapText="1"/>
    </xf>
    <xf numFmtId="0" fontId="12" fillId="0" borderId="9" xfId="0" applyFont="1" applyBorder="1" applyAlignment="1">
      <alignment horizontal="right" wrapText="1"/>
    </xf>
    <xf numFmtId="0" fontId="12" fillId="6" borderId="12" xfId="0" applyFont="1" applyFill="1" applyBorder="1" applyAlignment="1">
      <alignment horizontal="right" wrapText="1"/>
    </xf>
    <xf numFmtId="0" fontId="12" fillId="6" borderId="32" xfId="0" applyFont="1" applyFill="1" applyBorder="1" applyAlignment="1">
      <alignment horizontal="right" wrapText="1"/>
    </xf>
    <xf numFmtId="0" fontId="7" fillId="0" borderId="0" xfId="12" applyFont="1" applyAlignment="1">
      <alignment horizontal="left"/>
    </xf>
    <xf numFmtId="0" fontId="0" fillId="0" borderId="0" xfId="0" applyFill="1" applyAlignment="1">
      <alignment horizontal="justify" vertical="top"/>
    </xf>
    <xf numFmtId="3" fontId="5" fillId="0" borderId="13" xfId="3" applyNumberFormat="1" applyFont="1" applyBorder="1" applyAlignment="1">
      <alignment horizontal="left"/>
    </xf>
    <xf numFmtId="3" fontId="0" fillId="0" borderId="13" xfId="0" applyNumberFormat="1" applyBorder="1" applyAlignment="1"/>
    <xf numFmtId="0" fontId="5" fillId="0" borderId="0" xfId="3" applyFont="1" applyBorder="1" applyAlignment="1">
      <alignment horizontal="left"/>
    </xf>
    <xf numFmtId="0" fontId="7" fillId="0" borderId="0" xfId="3" applyFont="1" applyAlignment="1">
      <alignment horizontal="left"/>
    </xf>
    <xf numFmtId="0" fontId="3" fillId="6" borderId="36" xfId="3" applyFont="1" applyFill="1" applyBorder="1" applyAlignment="1">
      <alignment horizontal="center" vertical="center" wrapText="1"/>
    </xf>
    <xf numFmtId="0" fontId="0" fillId="6" borderId="24" xfId="0" applyFill="1" applyBorder="1" applyAlignment="1">
      <alignment horizontal="center" vertical="center" wrapText="1"/>
    </xf>
    <xf numFmtId="0" fontId="3" fillId="6" borderId="37" xfId="3" applyFont="1" applyFill="1" applyBorder="1" applyAlignment="1">
      <alignment horizontal="center" vertical="center" textRotation="90" wrapText="1"/>
    </xf>
    <xf numFmtId="0" fontId="0" fillId="6" borderId="11" xfId="0" applyFill="1" applyBorder="1" applyAlignment="1">
      <alignment horizontal="center" vertical="center" textRotation="90" wrapText="1"/>
    </xf>
    <xf numFmtId="0" fontId="3" fillId="6" borderId="37" xfId="3" applyFont="1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4" fontId="3" fillId="6" borderId="60" xfId="3" applyNumberFormat="1" applyFont="1" applyFill="1" applyBorder="1" applyAlignment="1">
      <alignment horizontal="center" vertical="center" wrapText="1"/>
    </xf>
    <xf numFmtId="0" fontId="0" fillId="6" borderId="61" xfId="0" applyFill="1" applyBorder="1" applyAlignment="1">
      <alignment horizontal="center" vertical="center"/>
    </xf>
    <xf numFmtId="0" fontId="3" fillId="6" borderId="62" xfId="3" applyFont="1" applyFill="1" applyBorder="1" applyAlignment="1">
      <alignment horizontal="center" vertical="center" wrapText="1"/>
    </xf>
    <xf numFmtId="0" fontId="0" fillId="6" borderId="35" xfId="0" applyFill="1" applyBorder="1" applyAlignment="1">
      <alignment horizontal="center" vertical="center" wrapText="1"/>
    </xf>
    <xf numFmtId="0" fontId="0" fillId="6" borderId="63" xfId="0" applyFill="1" applyBorder="1" applyAlignment="1">
      <alignment horizontal="center" vertical="center" wrapText="1"/>
    </xf>
    <xf numFmtId="0" fontId="3" fillId="6" borderId="37" xfId="3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8" fillId="6" borderId="59" xfId="0" applyFont="1" applyFill="1" applyBorder="1" applyAlignment="1">
      <alignment horizontal="center" vertical="center" wrapText="1"/>
    </xf>
    <xf numFmtId="0" fontId="8" fillId="6" borderId="26" xfId="0" applyFont="1" applyFill="1" applyBorder="1" applyAlignment="1">
      <alignment horizontal="center" vertical="center" wrapText="1"/>
    </xf>
    <xf numFmtId="0" fontId="9" fillId="6" borderId="39" xfId="3" applyFont="1" applyFill="1" applyBorder="1" applyAlignment="1">
      <alignment horizontal="left" vertical="center"/>
    </xf>
    <xf numFmtId="0" fontId="9" fillId="6" borderId="40" xfId="3" applyFont="1" applyFill="1" applyBorder="1" applyAlignment="1">
      <alignment horizontal="left" vertical="center"/>
    </xf>
    <xf numFmtId="0" fontId="9" fillId="6" borderId="41" xfId="3" applyFont="1" applyFill="1" applyBorder="1" applyAlignment="1">
      <alignment horizontal="left" vertical="center"/>
    </xf>
    <xf numFmtId="0" fontId="31" fillId="0" borderId="36" xfId="3" applyFont="1" applyBorder="1" applyAlignment="1">
      <alignment horizontal="center" vertical="center" textRotation="90" wrapText="1"/>
    </xf>
    <xf numFmtId="0" fontId="0" fillId="0" borderId="24" xfId="0" applyBorder="1" applyAlignment="1">
      <alignment horizontal="center" vertical="center" textRotation="90" wrapText="1"/>
    </xf>
    <xf numFmtId="0" fontId="31" fillId="0" borderId="37" xfId="3" applyFont="1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  <xf numFmtId="0" fontId="31" fillId="0" borderId="37" xfId="3" applyFont="1" applyFill="1" applyBorder="1" applyAlignment="1">
      <alignment horizontal="center" vertical="center" textRotation="90" wrapText="1"/>
    </xf>
    <xf numFmtId="0" fontId="8" fillId="0" borderId="37" xfId="3" applyFont="1" applyBorder="1" applyAlignment="1">
      <alignment horizontal="center" vertical="center" textRotation="90" wrapText="1"/>
    </xf>
    <xf numFmtId="0" fontId="3" fillId="0" borderId="37" xfId="3" applyFont="1" applyBorder="1" applyAlignment="1">
      <alignment horizontal="center" vertical="center" wrapText="1"/>
    </xf>
    <xf numFmtId="4" fontId="32" fillId="0" borderId="60" xfId="3" applyNumberFormat="1" applyFont="1" applyFill="1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9" fillId="0" borderId="62" xfId="3" applyFont="1" applyFill="1" applyBorder="1" applyAlignment="1" applyProtection="1">
      <alignment horizontal="center" vertical="center" wrapText="1"/>
      <protection locked="0"/>
    </xf>
    <xf numFmtId="0" fontId="14" fillId="0" borderId="35" xfId="0" applyFont="1" applyBorder="1" applyAlignment="1">
      <alignment horizontal="center" vertical="center" wrapText="1"/>
    </xf>
    <xf numFmtId="0" fontId="14" fillId="0" borderId="63" xfId="0" applyFont="1" applyBorder="1" applyAlignment="1">
      <alignment horizontal="center" vertical="center" wrapText="1"/>
    </xf>
    <xf numFmtId="0" fontId="8" fillId="0" borderId="37" xfId="3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>
      <alignment horizontal="center" vertical="center" wrapText="1"/>
    </xf>
    <xf numFmtId="0" fontId="8" fillId="0" borderId="59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59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3" fillId="0" borderId="37" xfId="3" applyFont="1" applyBorder="1" applyAlignment="1">
      <alignment horizontal="center" vertical="center" textRotation="90" wrapText="1"/>
    </xf>
    <xf numFmtId="0" fontId="3" fillId="0" borderId="37" xfId="3" applyFont="1" applyFill="1" applyBorder="1" applyAlignment="1">
      <alignment horizontal="center" vertical="center" textRotation="90" wrapText="1"/>
    </xf>
    <xf numFmtId="0" fontId="8" fillId="0" borderId="37" xfId="3" applyFont="1" applyBorder="1" applyAlignment="1">
      <alignment horizontal="center" vertical="center" wrapText="1"/>
    </xf>
    <xf numFmtId="0" fontId="42" fillId="0" borderId="62" xfId="3" applyFont="1" applyFill="1" applyBorder="1" applyAlignment="1" applyProtection="1">
      <alignment horizontal="center" vertical="center" wrapText="1"/>
      <protection locked="0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8" fillId="0" borderId="38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0" fillId="0" borderId="0" xfId="0" applyBorder="1" applyAlignment="1"/>
    <xf numFmtId="0" fontId="1" fillId="0" borderId="0" xfId="0" applyFont="1" applyAlignment="1">
      <alignment horizontal="center"/>
    </xf>
    <xf numFmtId="0" fontId="0" fillId="0" borderId="0" xfId="0" applyAlignment="1">
      <alignment horizontal="justify" vertical="top"/>
    </xf>
    <xf numFmtId="0" fontId="0" fillId="0" borderId="0" xfId="0" applyFill="1" applyAlignment="1">
      <alignment horizontal="justify" wrapText="1"/>
    </xf>
    <xf numFmtId="0" fontId="0" fillId="0" borderId="0" xfId="0" applyFill="1" applyAlignment="1">
      <alignment horizontal="justify"/>
    </xf>
    <xf numFmtId="3" fontId="36" fillId="8" borderId="8" xfId="0" applyNumberFormat="1" applyFont="1" applyFill="1" applyBorder="1"/>
    <xf numFmtId="3" fontId="36" fillId="8" borderId="26" xfId="0" applyNumberFormat="1" applyFont="1" applyFill="1" applyBorder="1"/>
    <xf numFmtId="43" fontId="0" fillId="0" borderId="0" xfId="14" applyFont="1" applyFill="1" applyBorder="1"/>
    <xf numFmtId="43" fontId="1" fillId="0" borderId="0" xfId="14" applyFont="1" applyFill="1" applyBorder="1"/>
    <xf numFmtId="43" fontId="44" fillId="0" borderId="0" xfId="14" applyFont="1" applyFill="1" applyBorder="1"/>
    <xf numFmtId="43" fontId="0" fillId="0" borderId="0" xfId="0" applyNumberFormat="1" applyFill="1"/>
    <xf numFmtId="3" fontId="0" fillId="8" borderId="0" xfId="0" applyNumberFormat="1" applyFill="1" applyBorder="1"/>
    <xf numFmtId="0" fontId="36" fillId="0" borderId="0" xfId="0" applyFont="1" applyFill="1" applyBorder="1"/>
    <xf numFmtId="0" fontId="36" fillId="0" borderId="0" xfId="0" applyFont="1" applyFill="1"/>
    <xf numFmtId="43" fontId="36" fillId="0" borderId="0" xfId="14" applyFont="1" applyFill="1"/>
    <xf numFmtId="43" fontId="36" fillId="8" borderId="0" xfId="14" applyFont="1" applyFill="1"/>
    <xf numFmtId="43" fontId="36" fillId="0" borderId="0" xfId="14" applyFont="1"/>
    <xf numFmtId="0" fontId="22" fillId="0" borderId="0" xfId="0" applyFont="1" applyFill="1"/>
    <xf numFmtId="0" fontId="22" fillId="0" borderId="0" xfId="0" applyFont="1"/>
    <xf numFmtId="0" fontId="22" fillId="0" borderId="0" xfId="0" applyFont="1" applyFill="1" applyBorder="1"/>
    <xf numFmtId="43" fontId="45" fillId="0" borderId="0" xfId="14" applyFont="1"/>
    <xf numFmtId="49" fontId="36" fillId="0" borderId="0" xfId="0" applyNumberFormat="1" applyFont="1" applyFill="1" applyBorder="1" applyAlignment="1">
      <alignment horizontal="left"/>
    </xf>
  </cellXfs>
  <cellStyles count="15">
    <cellStyle name="Comma_izvrsenje300903-s planom 2" xfId="1"/>
    <cellStyle name="Loše" xfId="2" builtinId="27"/>
    <cellStyle name="Normal_sablon1-230704" xfId="3"/>
    <cellStyle name="Normal_sablon1-230704 2" xfId="4"/>
    <cellStyle name="Normal_sablon1-230704 2 2 2" xfId="12"/>
    <cellStyle name="Obično" xfId="0" builtinId="0"/>
    <cellStyle name="Obično 2" xfId="7"/>
    <cellStyle name="Obično 2 2" xfId="11"/>
    <cellStyle name="Obično 3" xfId="9"/>
    <cellStyle name="Postotak" xfId="5" builtinId="5"/>
    <cellStyle name="Zarez" xfId="14" builtinId="3"/>
    <cellStyle name="Zarez 2" xfId="6"/>
    <cellStyle name="Zarez 2 2" xfId="8"/>
    <cellStyle name="Zarez 2 2 2" xfId="13"/>
    <cellStyle name="Zarez 2 3" xfId="1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190500</xdr:colOff>
      <xdr:row>0</xdr:row>
      <xdr:rowOff>105704</xdr:rowOff>
    </xdr:from>
    <xdr:to>
      <xdr:col>7</xdr:col>
      <xdr:colOff>495694</xdr:colOff>
      <xdr:row>7</xdr:row>
      <xdr:rowOff>91836</xdr:rowOff>
    </xdr:to>
    <xdr:pic>
      <xdr:nvPicPr>
        <xdr:cNvPr id="5" name="Slika 4" descr="log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76700" y="105704"/>
          <a:ext cx="952894" cy="1119607"/>
        </a:xfrm>
        <a:prstGeom prst="rect">
          <a:avLst/>
        </a:prstGeom>
      </xdr:spPr>
    </xdr:pic>
    <xdr:clientData/>
  </xdr:twoCellAnchor>
  <xdr:twoCellAnchor editAs="oneCell">
    <xdr:from>
      <xdr:col>6</xdr:col>
      <xdr:colOff>190500</xdr:colOff>
      <xdr:row>0</xdr:row>
      <xdr:rowOff>105704</xdr:rowOff>
    </xdr:from>
    <xdr:to>
      <xdr:col>7</xdr:col>
      <xdr:colOff>495694</xdr:colOff>
      <xdr:row>7</xdr:row>
      <xdr:rowOff>91836</xdr:rowOff>
    </xdr:to>
    <xdr:pic>
      <xdr:nvPicPr>
        <xdr:cNvPr id="3" name="Slika 2" descr="log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76700" y="105704"/>
          <a:ext cx="952894" cy="11196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zoomScaleNormal="100" workbookViewId="0">
      <selection activeCell="N28" sqref="N28"/>
    </sheetView>
  </sheetViews>
  <sheetFormatPr defaultRowHeight="12.75"/>
  <cols>
    <col min="1" max="14" width="9.7109375" customWidth="1"/>
  </cols>
  <sheetData>
    <row r="1" spans="1:14">
      <c r="A1" s="665"/>
      <c r="B1" s="665"/>
      <c r="C1" s="665"/>
      <c r="D1" s="665"/>
      <c r="E1" s="665"/>
      <c r="F1" s="665"/>
      <c r="G1" s="665"/>
      <c r="H1" s="665"/>
      <c r="I1" s="665"/>
      <c r="J1" s="493"/>
      <c r="K1" s="493"/>
      <c r="L1" s="493"/>
      <c r="M1" s="493"/>
      <c r="N1" s="493"/>
    </row>
    <row r="2" spans="1:14" ht="12.75" customHeight="1">
      <c r="A2" s="493"/>
      <c r="B2" s="372"/>
      <c r="C2" s="373"/>
      <c r="D2" s="666" t="s">
        <v>802</v>
      </c>
      <c r="E2" s="667"/>
      <c r="F2" s="667"/>
      <c r="G2" s="493"/>
      <c r="H2" s="493"/>
      <c r="I2" s="666" t="s">
        <v>803</v>
      </c>
      <c r="J2" s="672"/>
      <c r="K2" s="672"/>
      <c r="L2" s="493"/>
      <c r="M2" s="493"/>
      <c r="N2" s="493"/>
    </row>
    <row r="3" spans="1:14">
      <c r="A3" s="493"/>
      <c r="B3" s="373"/>
      <c r="C3" s="373"/>
      <c r="D3" s="667"/>
      <c r="E3" s="667"/>
      <c r="F3" s="667"/>
      <c r="G3" s="493"/>
      <c r="H3" s="493"/>
      <c r="I3" s="672"/>
      <c r="J3" s="672"/>
      <c r="K3" s="672"/>
      <c r="L3" s="493"/>
      <c r="M3" s="493"/>
      <c r="N3" s="493"/>
    </row>
    <row r="4" spans="1:14">
      <c r="A4" s="493"/>
      <c r="B4" s="373"/>
      <c r="C4" s="373"/>
      <c r="D4" s="667"/>
      <c r="E4" s="667"/>
      <c r="F4" s="667"/>
      <c r="G4" s="493"/>
      <c r="H4" s="493"/>
      <c r="I4" s="672"/>
      <c r="J4" s="672"/>
      <c r="K4" s="672"/>
      <c r="L4" s="493"/>
      <c r="M4" s="493"/>
      <c r="N4" s="493"/>
    </row>
    <row r="5" spans="1:14">
      <c r="A5" s="493"/>
      <c r="B5" s="373"/>
      <c r="C5" s="373"/>
      <c r="D5" s="667"/>
      <c r="E5" s="667"/>
      <c r="F5" s="667"/>
      <c r="G5" s="493"/>
      <c r="H5" s="493"/>
      <c r="I5" s="672"/>
      <c r="J5" s="672"/>
      <c r="K5" s="672"/>
      <c r="L5" s="493"/>
      <c r="M5" s="493"/>
      <c r="N5" s="493"/>
    </row>
    <row r="6" spans="1:14">
      <c r="A6" s="493"/>
      <c r="B6" s="373"/>
      <c r="C6" s="373"/>
      <c r="D6" s="667"/>
      <c r="E6" s="667"/>
      <c r="F6" s="667"/>
      <c r="G6" s="493"/>
      <c r="H6" s="493"/>
      <c r="I6" s="672"/>
      <c r="J6" s="672"/>
      <c r="K6" s="672"/>
      <c r="L6" s="493"/>
      <c r="M6" s="493"/>
      <c r="N6" s="493"/>
    </row>
    <row r="7" spans="1:14">
      <c r="A7" s="493"/>
      <c r="B7" s="373"/>
      <c r="C7" s="373"/>
      <c r="D7" s="667"/>
      <c r="E7" s="667"/>
      <c r="F7" s="667"/>
      <c r="G7" s="493"/>
      <c r="H7" s="493"/>
      <c r="I7" s="672"/>
      <c r="J7" s="672"/>
      <c r="K7" s="672"/>
      <c r="L7" s="493"/>
      <c r="M7" s="493"/>
      <c r="N7" s="493"/>
    </row>
    <row r="8" spans="1:14" ht="13.5" thickBot="1">
      <c r="A8" s="466"/>
      <c r="B8" s="466"/>
      <c r="C8" s="466"/>
      <c r="D8" s="466"/>
      <c r="E8" s="466"/>
      <c r="F8" s="466"/>
      <c r="G8" s="466"/>
      <c r="H8" s="466"/>
      <c r="I8" s="466"/>
      <c r="J8" s="466"/>
      <c r="K8" s="466"/>
      <c r="L8" s="466"/>
      <c r="M8" s="466"/>
      <c r="N8" s="466"/>
    </row>
    <row r="9" spans="1:14" ht="13.5" thickTop="1"/>
    <row r="15" spans="1:14" ht="12.75" customHeight="1">
      <c r="A15" s="668" t="s">
        <v>858</v>
      </c>
      <c r="B15" s="669"/>
      <c r="C15" s="669"/>
      <c r="D15" s="669"/>
      <c r="E15" s="669"/>
      <c r="F15" s="669"/>
      <c r="G15" s="669"/>
      <c r="H15" s="669"/>
      <c r="I15" s="669"/>
      <c r="J15" s="669"/>
      <c r="K15" s="669"/>
      <c r="L15" s="670"/>
      <c r="M15" s="670"/>
      <c r="N15" s="670"/>
    </row>
    <row r="16" spans="1:14">
      <c r="A16" s="669"/>
      <c r="B16" s="669"/>
      <c r="C16" s="669"/>
      <c r="D16" s="669"/>
      <c r="E16" s="669"/>
      <c r="F16" s="669"/>
      <c r="G16" s="669"/>
      <c r="H16" s="669"/>
      <c r="I16" s="669"/>
      <c r="J16" s="669"/>
      <c r="K16" s="669"/>
      <c r="L16" s="670"/>
      <c r="M16" s="670"/>
      <c r="N16" s="670"/>
    </row>
    <row r="17" spans="1:14">
      <c r="A17" s="669"/>
      <c r="B17" s="669"/>
      <c r="C17" s="669"/>
      <c r="D17" s="669"/>
      <c r="E17" s="669"/>
      <c r="F17" s="669"/>
      <c r="G17" s="669"/>
      <c r="H17" s="669"/>
      <c r="I17" s="669"/>
      <c r="J17" s="669"/>
      <c r="K17" s="669"/>
      <c r="L17" s="670"/>
      <c r="M17" s="670"/>
      <c r="N17" s="670"/>
    </row>
    <row r="18" spans="1:14">
      <c r="A18" s="669"/>
      <c r="B18" s="669"/>
      <c r="C18" s="669"/>
      <c r="D18" s="669"/>
      <c r="E18" s="669"/>
      <c r="F18" s="669"/>
      <c r="G18" s="669"/>
      <c r="H18" s="669"/>
      <c r="I18" s="669"/>
      <c r="J18" s="669"/>
      <c r="K18" s="669"/>
      <c r="L18" s="670"/>
      <c r="M18" s="670"/>
      <c r="N18" s="670"/>
    </row>
    <row r="19" spans="1:14">
      <c r="A19" s="669"/>
      <c r="B19" s="669"/>
      <c r="C19" s="669"/>
      <c r="D19" s="669"/>
      <c r="E19" s="669"/>
      <c r="F19" s="669"/>
      <c r="G19" s="669"/>
      <c r="H19" s="669"/>
      <c r="I19" s="669"/>
      <c r="J19" s="669"/>
      <c r="K19" s="669"/>
      <c r="L19" s="670"/>
      <c r="M19" s="670"/>
      <c r="N19" s="670"/>
    </row>
    <row r="20" spans="1:14" ht="13.5" customHeight="1">
      <c r="A20" s="669"/>
      <c r="B20" s="669"/>
      <c r="C20" s="669"/>
      <c r="D20" s="669"/>
      <c r="E20" s="669"/>
      <c r="F20" s="669"/>
      <c r="G20" s="669"/>
      <c r="H20" s="669"/>
      <c r="I20" s="669"/>
      <c r="J20" s="669"/>
      <c r="K20" s="669"/>
      <c r="L20" s="670"/>
      <c r="M20" s="670"/>
      <c r="N20" s="670"/>
    </row>
    <row r="23" spans="1:14">
      <c r="A23" s="673" t="s">
        <v>795</v>
      </c>
      <c r="B23" s="673"/>
      <c r="C23" s="673"/>
      <c r="D23" s="673"/>
      <c r="E23" s="673"/>
      <c r="F23" s="673"/>
      <c r="G23" s="673"/>
      <c r="H23" s="673"/>
      <c r="I23" s="673"/>
      <c r="J23" s="673"/>
      <c r="K23" s="673"/>
      <c r="L23" s="673"/>
      <c r="M23" s="673"/>
      <c r="N23" s="673"/>
    </row>
    <row r="33" spans="1:14" s="405" customFormat="1"/>
    <row r="36" spans="1:14" s="405" customFormat="1"/>
    <row r="38" spans="1:14">
      <c r="A38" s="671" t="s">
        <v>879</v>
      </c>
      <c r="B38" s="665"/>
      <c r="C38" s="665"/>
      <c r="D38" s="665"/>
      <c r="E38" s="665"/>
      <c r="F38" s="665"/>
      <c r="G38" s="665"/>
      <c r="H38" s="665"/>
      <c r="I38" s="665"/>
      <c r="J38" s="665"/>
      <c r="K38" s="665"/>
      <c r="L38" s="665"/>
      <c r="M38" s="665"/>
      <c r="N38" s="665"/>
    </row>
    <row r="39" spans="1:14">
      <c r="A39" s="665"/>
      <c r="B39" s="665"/>
      <c r="C39" s="665"/>
      <c r="D39" s="665"/>
      <c r="E39" s="665"/>
      <c r="F39" s="665"/>
      <c r="G39" s="665"/>
      <c r="H39" s="665"/>
      <c r="I39" s="665"/>
      <c r="J39" s="665"/>
      <c r="K39" s="665"/>
      <c r="L39" s="665"/>
      <c r="M39" s="665"/>
      <c r="N39" s="665"/>
    </row>
    <row r="40" spans="1:14" ht="15.75">
      <c r="A40" s="72"/>
      <c r="B40" s="72"/>
      <c r="C40" s="72"/>
      <c r="D40" s="72"/>
      <c r="E40" s="72"/>
      <c r="F40" s="72"/>
      <c r="G40" s="72"/>
      <c r="H40" s="72"/>
      <c r="I40" s="72"/>
    </row>
  </sheetData>
  <mergeCells count="6">
    <mergeCell ref="A1:I1"/>
    <mergeCell ref="D2:F7"/>
    <mergeCell ref="A15:N20"/>
    <mergeCell ref="A38:N39"/>
    <mergeCell ref="I2:K7"/>
    <mergeCell ref="A23:N23"/>
  </mergeCells>
  <phoneticPr fontId="0" type="noConversion"/>
  <pageMargins left="0.6692913385826772" right="0.43307086614173229" top="0.5" bottom="0.76" header="0.51181102362204722" footer="0.51181102362204722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P96"/>
  <sheetViews>
    <sheetView zoomScaleNormal="100" workbookViewId="0">
      <selection activeCell="K10" sqref="K10"/>
    </sheetView>
  </sheetViews>
  <sheetFormatPr defaultRowHeight="12.75"/>
  <cols>
    <col min="1" max="1" width="9.140625" style="272"/>
    <col min="2" max="2" width="4.7109375" style="9" customWidth="1"/>
    <col min="3" max="3" width="5.42578125" style="9" customWidth="1"/>
    <col min="4" max="4" width="5" style="9" customWidth="1"/>
    <col min="5" max="5" width="8.7109375" style="17" customWidth="1"/>
    <col min="6" max="6" width="8.7109375" style="277" customWidth="1"/>
    <col min="7" max="7" width="50.7109375" style="9" customWidth="1"/>
    <col min="8" max="8" width="14.7109375" style="510" customWidth="1"/>
    <col min="9" max="9" width="14.7109375" style="272" customWidth="1"/>
    <col min="10" max="10" width="15.7109375" style="510" customWidth="1"/>
    <col min="11" max="12" width="14.7109375" style="272" customWidth="1"/>
    <col min="13" max="13" width="15.7109375" style="272" customWidth="1"/>
    <col min="14" max="14" width="7.7109375" style="337" customWidth="1"/>
    <col min="15" max="16384" width="9.140625" style="9"/>
  </cols>
  <sheetData>
    <row r="1" spans="1:16" ht="13.5" thickBot="1"/>
    <row r="2" spans="1:16" s="363" customFormat="1" ht="20.100000000000001" customHeight="1" thickTop="1" thickBot="1">
      <c r="B2" s="725" t="s">
        <v>123</v>
      </c>
      <c r="C2" s="726"/>
      <c r="D2" s="726"/>
      <c r="E2" s="726"/>
      <c r="F2" s="726"/>
      <c r="G2" s="726"/>
      <c r="H2" s="726"/>
      <c r="I2" s="726"/>
      <c r="J2" s="726"/>
      <c r="K2" s="487"/>
      <c r="L2" s="487"/>
      <c r="M2" s="487"/>
      <c r="N2" s="366"/>
    </row>
    <row r="3" spans="1:16" s="1" customFormat="1" ht="8.1" customHeight="1" thickTop="1" thickBot="1">
      <c r="A3" s="269"/>
      <c r="E3" s="2"/>
      <c r="F3" s="270"/>
      <c r="G3" s="488"/>
      <c r="H3" s="511"/>
      <c r="I3" s="87"/>
      <c r="J3" s="511"/>
      <c r="K3" s="87"/>
      <c r="L3" s="87"/>
      <c r="M3" s="87"/>
      <c r="N3" s="331"/>
    </row>
    <row r="4" spans="1:16" s="1" customFormat="1" ht="39" customHeight="1">
      <c r="A4" s="269"/>
      <c r="B4" s="728" t="s">
        <v>78</v>
      </c>
      <c r="C4" s="746" t="s">
        <v>79</v>
      </c>
      <c r="D4" s="747" t="s">
        <v>110</v>
      </c>
      <c r="E4" s="748" t="s">
        <v>594</v>
      </c>
      <c r="F4" s="733" t="s">
        <v>650</v>
      </c>
      <c r="G4" s="734" t="s">
        <v>80</v>
      </c>
      <c r="H4" s="740" t="s">
        <v>644</v>
      </c>
      <c r="I4" s="742" t="s">
        <v>821</v>
      </c>
      <c r="J4" s="744" t="s">
        <v>822</v>
      </c>
      <c r="K4" s="749" t="s">
        <v>863</v>
      </c>
      <c r="L4" s="738"/>
      <c r="M4" s="739"/>
      <c r="N4" s="735" t="s">
        <v>823</v>
      </c>
    </row>
    <row r="5" spans="1:16" s="269" customFormat="1" ht="27" customHeight="1">
      <c r="B5" s="729"/>
      <c r="C5" s="731"/>
      <c r="D5" s="731"/>
      <c r="E5" s="722"/>
      <c r="F5" s="731"/>
      <c r="G5" s="722"/>
      <c r="H5" s="741"/>
      <c r="I5" s="743"/>
      <c r="J5" s="745"/>
      <c r="K5" s="540" t="s">
        <v>701</v>
      </c>
      <c r="L5" s="359" t="s">
        <v>702</v>
      </c>
      <c r="M5" s="541" t="s">
        <v>413</v>
      </c>
      <c r="N5" s="736"/>
    </row>
    <row r="6" spans="1:16" s="2" customFormat="1" ht="12.95" customHeight="1">
      <c r="A6" s="270"/>
      <c r="B6" s="464">
        <v>1</v>
      </c>
      <c r="C6" s="318">
        <v>2</v>
      </c>
      <c r="D6" s="318">
        <v>3</v>
      </c>
      <c r="E6" s="318">
        <v>4</v>
      </c>
      <c r="F6" s="318">
        <v>5</v>
      </c>
      <c r="G6" s="318">
        <v>6</v>
      </c>
      <c r="H6" s="512">
        <v>7</v>
      </c>
      <c r="I6" s="318">
        <v>8</v>
      </c>
      <c r="J6" s="561">
        <v>9</v>
      </c>
      <c r="K6" s="464">
        <v>10</v>
      </c>
      <c r="L6" s="318">
        <v>11</v>
      </c>
      <c r="M6" s="542" t="s">
        <v>703</v>
      </c>
      <c r="N6" s="465">
        <v>13</v>
      </c>
    </row>
    <row r="7" spans="1:16" s="2" customFormat="1" ht="12.95" customHeight="1">
      <c r="A7" s="270"/>
      <c r="B7" s="6" t="s">
        <v>119</v>
      </c>
      <c r="C7" s="7" t="s">
        <v>81</v>
      </c>
      <c r="D7" s="7" t="s">
        <v>124</v>
      </c>
      <c r="E7" s="5"/>
      <c r="F7" s="271"/>
      <c r="G7" s="5"/>
      <c r="H7" s="513"/>
      <c r="I7" s="271"/>
      <c r="J7" s="568"/>
      <c r="K7" s="4"/>
      <c r="L7" s="271"/>
      <c r="M7" s="570"/>
      <c r="N7" s="332"/>
    </row>
    <row r="8" spans="1:16" s="1" customFormat="1" ht="12.95" customHeight="1">
      <c r="A8" s="269"/>
      <c r="B8" s="12"/>
      <c r="C8" s="8"/>
      <c r="D8" s="8"/>
      <c r="E8" s="292">
        <v>611000</v>
      </c>
      <c r="F8" s="318"/>
      <c r="G8" s="8" t="s">
        <v>163</v>
      </c>
      <c r="H8" s="514">
        <f t="shared" ref="H8:I8" si="0">SUM(H9:H12)</f>
        <v>50850</v>
      </c>
      <c r="I8" s="514">
        <f t="shared" si="0"/>
        <v>50850</v>
      </c>
      <c r="J8" s="563">
        <v>30548</v>
      </c>
      <c r="K8" s="545">
        <f t="shared" ref="K8:M8" si="1">SUM(K9:K12)</f>
        <v>45850</v>
      </c>
      <c r="L8" s="201">
        <f t="shared" si="1"/>
        <v>0</v>
      </c>
      <c r="M8" s="546">
        <f t="shared" si="1"/>
        <v>45850</v>
      </c>
      <c r="N8" s="333">
        <f>IF(I8=0,"",M8/I8*100)</f>
        <v>90.167158308751226</v>
      </c>
    </row>
    <row r="9" spans="1:16" ht="12.95" customHeight="1">
      <c r="B9" s="10"/>
      <c r="C9" s="11"/>
      <c r="D9" s="11"/>
      <c r="E9" s="293">
        <v>611100</v>
      </c>
      <c r="F9" s="319"/>
      <c r="G9" s="18" t="s">
        <v>198</v>
      </c>
      <c r="H9" s="515">
        <v>44500</v>
      </c>
      <c r="I9" s="515">
        <v>44500</v>
      </c>
      <c r="J9" s="564">
        <v>26822</v>
      </c>
      <c r="K9" s="549">
        <f>38700+300</f>
        <v>39000</v>
      </c>
      <c r="L9" s="200">
        <v>0</v>
      </c>
      <c r="M9" s="548">
        <f>SUM(K9:L9)</f>
        <v>39000</v>
      </c>
      <c r="N9" s="334">
        <f t="shared" ref="N9:N72" si="2">IF(I9=0,"",M9/I9*100)</f>
        <v>87.640449438202253</v>
      </c>
    </row>
    <row r="10" spans="1:16" ht="12.95" customHeight="1">
      <c r="B10" s="10"/>
      <c r="C10" s="11"/>
      <c r="D10" s="11"/>
      <c r="E10" s="293">
        <v>611200</v>
      </c>
      <c r="F10" s="319"/>
      <c r="G10" s="11" t="s">
        <v>199</v>
      </c>
      <c r="H10" s="515">
        <v>6350</v>
      </c>
      <c r="I10" s="515">
        <v>6350</v>
      </c>
      <c r="J10" s="564">
        <v>3726</v>
      </c>
      <c r="K10" s="549">
        <f>6350+2*250</f>
        <v>6850</v>
      </c>
      <c r="L10" s="200">
        <v>0</v>
      </c>
      <c r="M10" s="548">
        <f t="shared" ref="M10:M11" si="3">SUM(K10:L10)</f>
        <v>6850</v>
      </c>
      <c r="N10" s="334">
        <f t="shared" si="2"/>
        <v>107.87401574803151</v>
      </c>
    </row>
    <row r="11" spans="1:16" ht="12.95" customHeight="1">
      <c r="B11" s="10"/>
      <c r="C11" s="11"/>
      <c r="D11" s="11"/>
      <c r="E11" s="293">
        <v>611200</v>
      </c>
      <c r="F11" s="319"/>
      <c r="G11" s="180" t="s">
        <v>534</v>
      </c>
      <c r="H11" s="515">
        <f t="shared" ref="H11:I11" si="4">SUM(F11:G11)</f>
        <v>0</v>
      </c>
      <c r="I11" s="515">
        <f t="shared" si="4"/>
        <v>0</v>
      </c>
      <c r="J11" s="564">
        <v>0</v>
      </c>
      <c r="K11" s="549">
        <v>0</v>
      </c>
      <c r="L11" s="200">
        <v>0</v>
      </c>
      <c r="M11" s="548">
        <f t="shared" si="3"/>
        <v>0</v>
      </c>
      <c r="N11" s="334" t="str">
        <f t="shared" si="2"/>
        <v/>
      </c>
      <c r="P11" s="53"/>
    </row>
    <row r="12" spans="1:16" ht="8.1" customHeight="1">
      <c r="B12" s="10"/>
      <c r="C12" s="11"/>
      <c r="D12" s="11"/>
      <c r="E12" s="293"/>
      <c r="F12" s="319"/>
      <c r="G12" s="18"/>
      <c r="H12" s="515"/>
      <c r="I12" s="515"/>
      <c r="J12" s="564"/>
      <c r="K12" s="549"/>
      <c r="L12" s="200"/>
      <c r="M12" s="548"/>
      <c r="N12" s="334" t="str">
        <f t="shared" si="2"/>
        <v/>
      </c>
    </row>
    <row r="13" spans="1:16" s="1" customFormat="1" ht="12.95" customHeight="1">
      <c r="A13" s="269"/>
      <c r="B13" s="12"/>
      <c r="C13" s="8"/>
      <c r="D13" s="8"/>
      <c r="E13" s="292">
        <v>612000</v>
      </c>
      <c r="F13" s="318"/>
      <c r="G13" s="8" t="s">
        <v>162</v>
      </c>
      <c r="H13" s="514">
        <f t="shared" ref="H13:M13" si="5">H14</f>
        <v>4800</v>
      </c>
      <c r="I13" s="514">
        <f t="shared" si="5"/>
        <v>4800</v>
      </c>
      <c r="J13" s="563">
        <v>2832</v>
      </c>
      <c r="K13" s="545">
        <f t="shared" si="5"/>
        <v>4200</v>
      </c>
      <c r="L13" s="201">
        <f t="shared" si="5"/>
        <v>0</v>
      </c>
      <c r="M13" s="546">
        <f t="shared" si="5"/>
        <v>4200</v>
      </c>
      <c r="N13" s="333">
        <f t="shared" si="2"/>
        <v>87.5</v>
      </c>
    </row>
    <row r="14" spans="1:16" ht="12.95" customHeight="1">
      <c r="B14" s="10"/>
      <c r="C14" s="11"/>
      <c r="D14" s="11"/>
      <c r="E14" s="293">
        <v>612100</v>
      </c>
      <c r="F14" s="319"/>
      <c r="G14" s="13" t="s">
        <v>83</v>
      </c>
      <c r="H14" s="515">
        <v>4800</v>
      </c>
      <c r="I14" s="515">
        <v>4800</v>
      </c>
      <c r="J14" s="564">
        <v>2832</v>
      </c>
      <c r="K14" s="549">
        <v>4200</v>
      </c>
      <c r="L14" s="200">
        <v>0</v>
      </c>
      <c r="M14" s="548">
        <f>SUM(K14:L14)</f>
        <v>4200</v>
      </c>
      <c r="N14" s="334">
        <f t="shared" si="2"/>
        <v>87.5</v>
      </c>
    </row>
    <row r="15" spans="1:16" ht="8.1" customHeight="1">
      <c r="B15" s="10"/>
      <c r="C15" s="11"/>
      <c r="D15" s="11"/>
      <c r="E15" s="293"/>
      <c r="F15" s="319"/>
      <c r="G15" s="11"/>
      <c r="H15" s="516"/>
      <c r="I15" s="516"/>
      <c r="J15" s="566"/>
      <c r="K15" s="578"/>
      <c r="L15" s="267"/>
      <c r="M15" s="551"/>
      <c r="N15" s="334" t="str">
        <f t="shared" si="2"/>
        <v/>
      </c>
    </row>
    <row r="16" spans="1:16" s="1" customFormat="1" ht="12.95" customHeight="1">
      <c r="A16" s="269"/>
      <c r="B16" s="12"/>
      <c r="C16" s="8"/>
      <c r="D16" s="8"/>
      <c r="E16" s="292">
        <v>613000</v>
      </c>
      <c r="F16" s="318"/>
      <c r="G16" s="8" t="s">
        <v>164</v>
      </c>
      <c r="H16" s="262">
        <f t="shared" ref="H16:I16" si="6">SUM(H17:H26)</f>
        <v>3000</v>
      </c>
      <c r="I16" s="262">
        <f t="shared" si="6"/>
        <v>3000</v>
      </c>
      <c r="J16" s="565">
        <v>807</v>
      </c>
      <c r="K16" s="552">
        <f t="shared" ref="K16:M16" si="7">SUM(K17:K26)</f>
        <v>1200</v>
      </c>
      <c r="L16" s="281">
        <f t="shared" si="7"/>
        <v>0</v>
      </c>
      <c r="M16" s="553">
        <f t="shared" si="7"/>
        <v>1200</v>
      </c>
      <c r="N16" s="333">
        <f t="shared" si="2"/>
        <v>40</v>
      </c>
    </row>
    <row r="17" spans="1:16" ht="12.95" customHeight="1">
      <c r="B17" s="10"/>
      <c r="C17" s="11"/>
      <c r="D17" s="11"/>
      <c r="E17" s="293">
        <v>613100</v>
      </c>
      <c r="F17" s="319"/>
      <c r="G17" s="11" t="s">
        <v>84</v>
      </c>
      <c r="H17" s="515">
        <v>1000</v>
      </c>
      <c r="I17" s="515">
        <v>1000</v>
      </c>
      <c r="J17" s="564">
        <v>0</v>
      </c>
      <c r="K17" s="571">
        <v>200</v>
      </c>
      <c r="L17" s="349">
        <v>0</v>
      </c>
      <c r="M17" s="548">
        <f t="shared" ref="M17:M26" si="8">SUM(K17:L17)</f>
        <v>200</v>
      </c>
      <c r="N17" s="334">
        <f t="shared" si="2"/>
        <v>20</v>
      </c>
    </row>
    <row r="18" spans="1:16" ht="12.95" customHeight="1">
      <c r="B18" s="10"/>
      <c r="C18" s="11"/>
      <c r="D18" s="11"/>
      <c r="E18" s="293">
        <v>613200</v>
      </c>
      <c r="F18" s="319"/>
      <c r="G18" s="11" t="s">
        <v>85</v>
      </c>
      <c r="H18" s="515">
        <f t="shared" ref="H18:I26" si="9">SUM(F18:G18)</f>
        <v>0</v>
      </c>
      <c r="I18" s="515">
        <f t="shared" si="9"/>
        <v>0</v>
      </c>
      <c r="J18" s="564">
        <v>0</v>
      </c>
      <c r="K18" s="571">
        <v>0</v>
      </c>
      <c r="L18" s="349">
        <v>0</v>
      </c>
      <c r="M18" s="548">
        <f t="shared" si="8"/>
        <v>0</v>
      </c>
      <c r="N18" s="334" t="str">
        <f t="shared" si="2"/>
        <v/>
      </c>
    </row>
    <row r="19" spans="1:16" ht="12.95" customHeight="1">
      <c r="B19" s="10"/>
      <c r="C19" s="11"/>
      <c r="D19" s="11"/>
      <c r="E19" s="293">
        <v>613300</v>
      </c>
      <c r="F19" s="319"/>
      <c r="G19" s="18" t="s">
        <v>200</v>
      </c>
      <c r="H19" s="515">
        <f t="shared" si="9"/>
        <v>0</v>
      </c>
      <c r="I19" s="515">
        <f t="shared" si="9"/>
        <v>0</v>
      </c>
      <c r="J19" s="564">
        <v>0</v>
      </c>
      <c r="K19" s="571">
        <v>0</v>
      </c>
      <c r="L19" s="349">
        <v>0</v>
      </c>
      <c r="M19" s="548">
        <f t="shared" si="8"/>
        <v>0</v>
      </c>
      <c r="N19" s="334" t="str">
        <f t="shared" si="2"/>
        <v/>
      </c>
    </row>
    <row r="20" spans="1:16" ht="12.95" customHeight="1">
      <c r="B20" s="10"/>
      <c r="C20" s="11"/>
      <c r="D20" s="11"/>
      <c r="E20" s="293">
        <v>613400</v>
      </c>
      <c r="F20" s="319"/>
      <c r="G20" s="11" t="s">
        <v>165</v>
      </c>
      <c r="H20" s="515">
        <f t="shared" si="9"/>
        <v>0</v>
      </c>
      <c r="I20" s="515">
        <f t="shared" si="9"/>
        <v>0</v>
      </c>
      <c r="J20" s="564">
        <v>0</v>
      </c>
      <c r="K20" s="571">
        <v>0</v>
      </c>
      <c r="L20" s="349">
        <v>0</v>
      </c>
      <c r="M20" s="548">
        <f t="shared" si="8"/>
        <v>0</v>
      </c>
      <c r="N20" s="334" t="str">
        <f t="shared" si="2"/>
        <v/>
      </c>
    </row>
    <row r="21" spans="1:16" ht="12.95" customHeight="1">
      <c r="B21" s="10"/>
      <c r="C21" s="11"/>
      <c r="D21" s="11"/>
      <c r="E21" s="293">
        <v>613500</v>
      </c>
      <c r="F21" s="319"/>
      <c r="G21" s="11" t="s">
        <v>86</v>
      </c>
      <c r="H21" s="515">
        <f t="shared" si="9"/>
        <v>0</v>
      </c>
      <c r="I21" s="515">
        <f t="shared" si="9"/>
        <v>0</v>
      </c>
      <c r="J21" s="564">
        <v>0</v>
      </c>
      <c r="K21" s="571">
        <v>0</v>
      </c>
      <c r="L21" s="349">
        <v>0</v>
      </c>
      <c r="M21" s="548">
        <f t="shared" si="8"/>
        <v>0</v>
      </c>
      <c r="N21" s="334" t="str">
        <f t="shared" si="2"/>
        <v/>
      </c>
    </row>
    <row r="22" spans="1:16" ht="12.95" customHeight="1">
      <c r="B22" s="10"/>
      <c r="C22" s="11"/>
      <c r="D22" s="11"/>
      <c r="E22" s="293">
        <v>613600</v>
      </c>
      <c r="F22" s="319"/>
      <c r="G22" s="18" t="s">
        <v>201</v>
      </c>
      <c r="H22" s="515">
        <f t="shared" si="9"/>
        <v>0</v>
      </c>
      <c r="I22" s="515">
        <f t="shared" si="9"/>
        <v>0</v>
      </c>
      <c r="J22" s="564">
        <v>0</v>
      </c>
      <c r="K22" s="571">
        <v>0</v>
      </c>
      <c r="L22" s="349">
        <v>0</v>
      </c>
      <c r="M22" s="548">
        <f t="shared" si="8"/>
        <v>0</v>
      </c>
      <c r="N22" s="334" t="str">
        <f t="shared" si="2"/>
        <v/>
      </c>
    </row>
    <row r="23" spans="1:16" ht="12.95" customHeight="1">
      <c r="B23" s="10"/>
      <c r="C23" s="11"/>
      <c r="D23" s="11"/>
      <c r="E23" s="293">
        <v>613700</v>
      </c>
      <c r="F23" s="319"/>
      <c r="G23" s="11" t="s">
        <v>87</v>
      </c>
      <c r="H23" s="515">
        <f t="shared" si="9"/>
        <v>0</v>
      </c>
      <c r="I23" s="515">
        <f t="shared" si="9"/>
        <v>0</v>
      </c>
      <c r="J23" s="564">
        <v>0</v>
      </c>
      <c r="K23" s="571">
        <v>0</v>
      </c>
      <c r="L23" s="349">
        <v>0</v>
      </c>
      <c r="M23" s="548">
        <f t="shared" si="8"/>
        <v>0</v>
      </c>
      <c r="N23" s="334" t="str">
        <f t="shared" si="2"/>
        <v/>
      </c>
    </row>
    <row r="24" spans="1:16" ht="12.95" customHeight="1">
      <c r="B24" s="10"/>
      <c r="C24" s="11"/>
      <c r="D24" s="11"/>
      <c r="E24" s="293">
        <v>613800</v>
      </c>
      <c r="F24" s="319"/>
      <c r="G24" s="11" t="s">
        <v>166</v>
      </c>
      <c r="H24" s="515">
        <f t="shared" si="9"/>
        <v>0</v>
      </c>
      <c r="I24" s="515">
        <f t="shared" si="9"/>
        <v>0</v>
      </c>
      <c r="J24" s="564">
        <v>0</v>
      </c>
      <c r="K24" s="571">
        <v>0</v>
      </c>
      <c r="L24" s="349">
        <v>0</v>
      </c>
      <c r="M24" s="548">
        <f t="shared" si="8"/>
        <v>0</v>
      </c>
      <c r="N24" s="334" t="str">
        <f t="shared" si="2"/>
        <v/>
      </c>
      <c r="P24" s="48"/>
    </row>
    <row r="25" spans="1:16" ht="12.95" customHeight="1">
      <c r="B25" s="10"/>
      <c r="C25" s="11"/>
      <c r="D25" s="11"/>
      <c r="E25" s="293">
        <v>613900</v>
      </c>
      <c r="F25" s="319"/>
      <c r="G25" s="11" t="s">
        <v>167</v>
      </c>
      <c r="H25" s="515">
        <v>2000</v>
      </c>
      <c r="I25" s="515">
        <v>2000</v>
      </c>
      <c r="J25" s="564">
        <v>807</v>
      </c>
      <c r="K25" s="571">
        <v>1000</v>
      </c>
      <c r="L25" s="349">
        <v>0</v>
      </c>
      <c r="M25" s="548">
        <f t="shared" si="8"/>
        <v>1000</v>
      </c>
      <c r="N25" s="334">
        <f t="shared" si="2"/>
        <v>50</v>
      </c>
    </row>
    <row r="26" spans="1:16" ht="12.95" customHeight="1">
      <c r="B26" s="10"/>
      <c r="C26" s="11"/>
      <c r="D26" s="11"/>
      <c r="E26" s="293">
        <v>613900</v>
      </c>
      <c r="F26" s="319"/>
      <c r="G26" s="180" t="s">
        <v>535</v>
      </c>
      <c r="H26" s="515">
        <f t="shared" si="9"/>
        <v>0</v>
      </c>
      <c r="I26" s="515">
        <f t="shared" si="9"/>
        <v>0</v>
      </c>
      <c r="J26" s="564">
        <v>0</v>
      </c>
      <c r="K26" s="554">
        <v>0</v>
      </c>
      <c r="L26" s="350">
        <v>0</v>
      </c>
      <c r="M26" s="548">
        <f t="shared" si="8"/>
        <v>0</v>
      </c>
      <c r="N26" s="334" t="str">
        <f t="shared" si="2"/>
        <v/>
      </c>
    </row>
    <row r="27" spans="1:16" s="1" customFormat="1" ht="8.1" customHeight="1">
      <c r="A27" s="269"/>
      <c r="B27" s="12"/>
      <c r="C27" s="8"/>
      <c r="D27" s="8"/>
      <c r="E27" s="303"/>
      <c r="F27" s="330"/>
      <c r="G27" s="8"/>
      <c r="H27" s="516"/>
      <c r="I27" s="516"/>
      <c r="J27" s="566"/>
      <c r="K27" s="578"/>
      <c r="L27" s="267"/>
      <c r="M27" s="551"/>
      <c r="N27" s="334" t="str">
        <f t="shared" si="2"/>
        <v/>
      </c>
    </row>
    <row r="28" spans="1:16" s="1" customFormat="1" ht="12.95" customHeight="1">
      <c r="A28" s="269"/>
      <c r="B28" s="12"/>
      <c r="C28" s="8"/>
      <c r="D28" s="8"/>
      <c r="E28" s="292">
        <v>821000</v>
      </c>
      <c r="F28" s="318"/>
      <c r="G28" s="8" t="s">
        <v>90</v>
      </c>
      <c r="H28" s="262">
        <f t="shared" ref="H28:I28" si="10">SUM(H29:H30)</f>
        <v>1500</v>
      </c>
      <c r="I28" s="262">
        <f t="shared" si="10"/>
        <v>1500</v>
      </c>
      <c r="J28" s="565">
        <v>0</v>
      </c>
      <c r="K28" s="558">
        <f t="shared" ref="K28" si="11">SUM(K29:K30)</f>
        <v>0</v>
      </c>
      <c r="L28" s="276">
        <f t="shared" ref="L28:M28" si="12">SUM(L29:L30)</f>
        <v>0</v>
      </c>
      <c r="M28" s="553">
        <f t="shared" si="12"/>
        <v>0</v>
      </c>
      <c r="N28" s="333">
        <f t="shared" si="2"/>
        <v>0</v>
      </c>
    </row>
    <row r="29" spans="1:16" ht="12.95" customHeight="1">
      <c r="B29" s="10"/>
      <c r="C29" s="11"/>
      <c r="D29" s="11"/>
      <c r="E29" s="293">
        <v>821200</v>
      </c>
      <c r="F29" s="319"/>
      <c r="G29" s="11" t="s">
        <v>91</v>
      </c>
      <c r="H29" s="515">
        <f t="shared" ref="H29:I29" si="13">SUM(F29:G29)</f>
        <v>0</v>
      </c>
      <c r="I29" s="515">
        <f t="shared" si="13"/>
        <v>0</v>
      </c>
      <c r="J29" s="564">
        <v>0</v>
      </c>
      <c r="K29" s="573">
        <v>0</v>
      </c>
      <c r="L29" s="268">
        <v>0</v>
      </c>
      <c r="M29" s="548">
        <f t="shared" ref="M29:M30" si="14">SUM(K29:L29)</f>
        <v>0</v>
      </c>
      <c r="N29" s="334" t="str">
        <f t="shared" si="2"/>
        <v/>
      </c>
    </row>
    <row r="30" spans="1:16" ht="12.95" customHeight="1">
      <c r="B30" s="10"/>
      <c r="C30" s="11"/>
      <c r="D30" s="11"/>
      <c r="E30" s="293">
        <v>821300</v>
      </c>
      <c r="F30" s="319"/>
      <c r="G30" s="11" t="s">
        <v>92</v>
      </c>
      <c r="H30" s="515">
        <v>1500</v>
      </c>
      <c r="I30" s="515">
        <v>1500</v>
      </c>
      <c r="J30" s="564">
        <v>0</v>
      </c>
      <c r="K30" s="578">
        <v>0</v>
      </c>
      <c r="L30" s="267">
        <v>0</v>
      </c>
      <c r="M30" s="548">
        <f t="shared" si="14"/>
        <v>0</v>
      </c>
      <c r="N30" s="334">
        <f t="shared" si="2"/>
        <v>0</v>
      </c>
    </row>
    <row r="31" spans="1:16" ht="8.1" customHeight="1">
      <c r="B31" s="10"/>
      <c r="C31" s="11"/>
      <c r="D31" s="11"/>
      <c r="E31" s="293"/>
      <c r="F31" s="319"/>
      <c r="G31" s="11"/>
      <c r="H31" s="262"/>
      <c r="I31" s="262"/>
      <c r="J31" s="565"/>
      <c r="K31" s="558"/>
      <c r="L31" s="276"/>
      <c r="M31" s="553"/>
      <c r="N31" s="334" t="str">
        <f t="shared" si="2"/>
        <v/>
      </c>
    </row>
    <row r="32" spans="1:16" s="1" customFormat="1" ht="12.95" customHeight="1">
      <c r="A32" s="269"/>
      <c r="B32" s="12"/>
      <c r="C32" s="8"/>
      <c r="D32" s="8"/>
      <c r="E32" s="292"/>
      <c r="F32" s="318"/>
      <c r="G32" s="8" t="s">
        <v>93</v>
      </c>
      <c r="H32" s="262">
        <v>2</v>
      </c>
      <c r="I32" s="262">
        <v>2</v>
      </c>
      <c r="J32" s="565">
        <v>2</v>
      </c>
      <c r="K32" s="558">
        <v>2</v>
      </c>
      <c r="L32" s="276"/>
      <c r="M32" s="553">
        <v>2</v>
      </c>
      <c r="N32" s="334"/>
    </row>
    <row r="33" spans="1:14" s="1" customFormat="1" ht="12.95" customHeight="1">
      <c r="A33" s="269"/>
      <c r="B33" s="12"/>
      <c r="C33" s="8"/>
      <c r="D33" s="8"/>
      <c r="E33" s="292"/>
      <c r="F33" s="318"/>
      <c r="G33" s="8" t="s">
        <v>113</v>
      </c>
      <c r="H33" s="262">
        <f t="shared" ref="H33:M33" si="15">H8+H13+H16+H28</f>
        <v>60150</v>
      </c>
      <c r="I33" s="276">
        <f t="shared" si="15"/>
        <v>60150</v>
      </c>
      <c r="J33" s="565">
        <v>34187</v>
      </c>
      <c r="K33" s="558">
        <f t="shared" si="15"/>
        <v>51250</v>
      </c>
      <c r="L33" s="276">
        <f t="shared" si="15"/>
        <v>0</v>
      </c>
      <c r="M33" s="553">
        <f t="shared" si="15"/>
        <v>51250</v>
      </c>
      <c r="N33" s="333">
        <f t="shared" si="2"/>
        <v>85.203657522859515</v>
      </c>
    </row>
    <row r="34" spans="1:14" s="1" customFormat="1" ht="12.95" customHeight="1">
      <c r="A34" s="269"/>
      <c r="B34" s="12"/>
      <c r="C34" s="8"/>
      <c r="D34" s="8"/>
      <c r="E34" s="292"/>
      <c r="F34" s="318"/>
      <c r="G34" s="8" t="s">
        <v>94</v>
      </c>
      <c r="H34" s="262"/>
      <c r="I34" s="276"/>
      <c r="J34" s="565"/>
      <c r="K34" s="558"/>
      <c r="L34" s="276"/>
      <c r="M34" s="553"/>
      <c r="N34" s="334" t="str">
        <f t="shared" si="2"/>
        <v/>
      </c>
    </row>
    <row r="35" spans="1:14" s="1" customFormat="1" ht="12.95" customHeight="1">
      <c r="A35" s="269"/>
      <c r="B35" s="12"/>
      <c r="C35" s="8"/>
      <c r="D35" s="8"/>
      <c r="E35" s="292"/>
      <c r="F35" s="318"/>
      <c r="G35" s="8" t="s">
        <v>95</v>
      </c>
      <c r="H35" s="516"/>
      <c r="I35" s="267"/>
      <c r="J35" s="566"/>
      <c r="K35" s="578"/>
      <c r="L35" s="267"/>
      <c r="M35" s="551"/>
      <c r="N35" s="334" t="str">
        <f t="shared" si="2"/>
        <v/>
      </c>
    </row>
    <row r="36" spans="1:14" ht="8.1" customHeight="1" thickBot="1">
      <c r="B36" s="15"/>
      <c r="C36" s="16"/>
      <c r="D36" s="16"/>
      <c r="E36" s="294"/>
      <c r="F36" s="320"/>
      <c r="G36" s="16"/>
      <c r="H36" s="521"/>
      <c r="I36" s="16"/>
      <c r="J36" s="569"/>
      <c r="K36" s="15"/>
      <c r="L36" s="16"/>
      <c r="M36" s="574"/>
      <c r="N36" s="336" t="str">
        <f t="shared" si="2"/>
        <v/>
      </c>
    </row>
    <row r="37" spans="1:14" ht="12.95" customHeight="1">
      <c r="E37" s="295"/>
      <c r="F37" s="321"/>
      <c r="M37" s="369"/>
      <c r="N37" s="337" t="str">
        <f t="shared" si="2"/>
        <v/>
      </c>
    </row>
    <row r="38" spans="1:14" ht="12.95" customHeight="1">
      <c r="B38" s="48"/>
      <c r="E38" s="295"/>
      <c r="F38" s="321"/>
      <c r="M38" s="369"/>
      <c r="N38" s="337" t="str">
        <f t="shared" si="2"/>
        <v/>
      </c>
    </row>
    <row r="39" spans="1:14" ht="12.95" customHeight="1">
      <c r="E39" s="295"/>
      <c r="F39" s="321"/>
      <c r="M39" s="369"/>
      <c r="N39" s="337" t="str">
        <f t="shared" si="2"/>
        <v/>
      </c>
    </row>
    <row r="40" spans="1:14" ht="12.95" customHeight="1">
      <c r="E40" s="295"/>
      <c r="F40" s="321"/>
      <c r="M40" s="369"/>
      <c r="N40" s="337" t="str">
        <f t="shared" si="2"/>
        <v/>
      </c>
    </row>
    <row r="41" spans="1:14" ht="12.95" customHeight="1">
      <c r="E41" s="295"/>
      <c r="F41" s="321"/>
      <c r="M41" s="369"/>
      <c r="N41" s="337" t="str">
        <f t="shared" si="2"/>
        <v/>
      </c>
    </row>
    <row r="42" spans="1:14" ht="12.95" customHeight="1">
      <c r="E42" s="295"/>
      <c r="F42" s="321"/>
      <c r="M42" s="369"/>
      <c r="N42" s="337" t="str">
        <f t="shared" si="2"/>
        <v/>
      </c>
    </row>
    <row r="43" spans="1:14" ht="12.95" customHeight="1">
      <c r="E43" s="295"/>
      <c r="F43" s="321"/>
      <c r="M43" s="369"/>
      <c r="N43" s="337" t="str">
        <f t="shared" si="2"/>
        <v/>
      </c>
    </row>
    <row r="44" spans="1:14" ht="12.95" customHeight="1">
      <c r="E44" s="295"/>
      <c r="F44" s="321"/>
      <c r="M44" s="369"/>
      <c r="N44" s="337" t="str">
        <f t="shared" si="2"/>
        <v/>
      </c>
    </row>
    <row r="45" spans="1:14" ht="12.95" customHeight="1">
      <c r="E45" s="295"/>
      <c r="F45" s="321"/>
      <c r="M45" s="369"/>
      <c r="N45" s="337" t="str">
        <f t="shared" si="2"/>
        <v/>
      </c>
    </row>
    <row r="46" spans="1:14" ht="12.95" customHeight="1">
      <c r="E46" s="295"/>
      <c r="F46" s="321"/>
      <c r="M46" s="369"/>
      <c r="N46" s="337" t="str">
        <f t="shared" si="2"/>
        <v/>
      </c>
    </row>
    <row r="47" spans="1:14" ht="12.95" customHeight="1">
      <c r="E47" s="295"/>
      <c r="F47" s="321"/>
      <c r="M47" s="369"/>
      <c r="N47" s="337" t="str">
        <f t="shared" si="2"/>
        <v/>
      </c>
    </row>
    <row r="48" spans="1:14" ht="12.95" customHeight="1">
      <c r="E48" s="295"/>
      <c r="F48" s="321"/>
      <c r="M48" s="369"/>
      <c r="N48" s="337" t="str">
        <f t="shared" si="2"/>
        <v/>
      </c>
    </row>
    <row r="49" spans="5:14" ht="12.95" customHeight="1">
      <c r="E49" s="295"/>
      <c r="F49" s="321"/>
      <c r="M49" s="369"/>
      <c r="N49" s="337" t="str">
        <f t="shared" si="2"/>
        <v/>
      </c>
    </row>
    <row r="50" spans="5:14" ht="12.95" customHeight="1">
      <c r="E50" s="295"/>
      <c r="F50" s="321"/>
      <c r="M50" s="369"/>
      <c r="N50" s="337" t="str">
        <f t="shared" si="2"/>
        <v/>
      </c>
    </row>
    <row r="51" spans="5:14" ht="12.95" customHeight="1">
      <c r="E51" s="295"/>
      <c r="F51" s="321"/>
      <c r="M51" s="369"/>
      <c r="N51" s="337" t="str">
        <f t="shared" si="2"/>
        <v/>
      </c>
    </row>
    <row r="52" spans="5:14" ht="12.95" customHeight="1">
      <c r="E52" s="295"/>
      <c r="F52" s="321"/>
      <c r="M52" s="369"/>
      <c r="N52" s="337" t="str">
        <f t="shared" si="2"/>
        <v/>
      </c>
    </row>
    <row r="53" spans="5:14" ht="12.95" customHeight="1">
      <c r="E53" s="295"/>
      <c r="F53" s="321"/>
      <c r="M53" s="369"/>
      <c r="N53" s="337" t="str">
        <f t="shared" si="2"/>
        <v/>
      </c>
    </row>
    <row r="54" spans="5:14" ht="12.95" customHeight="1">
      <c r="E54" s="295"/>
      <c r="F54" s="321"/>
      <c r="M54" s="369"/>
      <c r="N54" s="337" t="str">
        <f t="shared" si="2"/>
        <v/>
      </c>
    </row>
    <row r="55" spans="5:14" ht="12.95" customHeight="1">
      <c r="E55" s="295"/>
      <c r="F55" s="321"/>
      <c r="M55" s="369"/>
      <c r="N55" s="337" t="str">
        <f t="shared" si="2"/>
        <v/>
      </c>
    </row>
    <row r="56" spans="5:14" ht="12.95" customHeight="1">
      <c r="E56" s="295"/>
      <c r="F56" s="321"/>
      <c r="M56" s="369"/>
      <c r="N56" s="337" t="str">
        <f t="shared" si="2"/>
        <v/>
      </c>
    </row>
    <row r="57" spans="5:14" ht="12.95" customHeight="1">
      <c r="E57" s="295"/>
      <c r="F57" s="321"/>
      <c r="M57" s="369"/>
      <c r="N57" s="337" t="str">
        <f t="shared" si="2"/>
        <v/>
      </c>
    </row>
    <row r="58" spans="5:14" ht="12.95" customHeight="1">
      <c r="E58" s="295"/>
      <c r="F58" s="321"/>
      <c r="M58" s="369"/>
      <c r="N58" s="337" t="str">
        <f t="shared" si="2"/>
        <v/>
      </c>
    </row>
    <row r="59" spans="5:14" ht="12.95" customHeight="1">
      <c r="E59" s="295"/>
      <c r="F59" s="321"/>
      <c r="M59" s="369"/>
      <c r="N59" s="337" t="str">
        <f t="shared" si="2"/>
        <v/>
      </c>
    </row>
    <row r="60" spans="5:14" ht="17.100000000000001" customHeight="1">
      <c r="E60" s="295"/>
      <c r="F60" s="321"/>
      <c r="M60" s="369"/>
      <c r="N60" s="337" t="str">
        <f t="shared" si="2"/>
        <v/>
      </c>
    </row>
    <row r="61" spans="5:14" ht="14.25">
      <c r="E61" s="295"/>
      <c r="F61" s="321"/>
      <c r="M61" s="369"/>
      <c r="N61" s="337" t="str">
        <f t="shared" si="2"/>
        <v/>
      </c>
    </row>
    <row r="62" spans="5:14" ht="14.25">
      <c r="E62" s="295"/>
      <c r="F62" s="321"/>
      <c r="M62" s="369"/>
      <c r="N62" s="337" t="str">
        <f t="shared" si="2"/>
        <v/>
      </c>
    </row>
    <row r="63" spans="5:14" ht="14.25">
      <c r="E63" s="295"/>
      <c r="F63" s="321"/>
      <c r="M63" s="369"/>
      <c r="N63" s="337" t="str">
        <f t="shared" si="2"/>
        <v/>
      </c>
    </row>
    <row r="64" spans="5:14" ht="14.25">
      <c r="E64" s="295"/>
      <c r="F64" s="321"/>
      <c r="M64" s="369"/>
      <c r="N64" s="337" t="str">
        <f t="shared" si="2"/>
        <v/>
      </c>
    </row>
    <row r="65" spans="5:14" ht="14.25">
      <c r="E65" s="295"/>
      <c r="F65" s="321"/>
      <c r="M65" s="369"/>
      <c r="N65" s="337" t="str">
        <f t="shared" si="2"/>
        <v/>
      </c>
    </row>
    <row r="66" spans="5:14" ht="14.25">
      <c r="E66" s="295"/>
      <c r="F66" s="321"/>
      <c r="M66" s="369"/>
      <c r="N66" s="337" t="str">
        <f t="shared" si="2"/>
        <v/>
      </c>
    </row>
    <row r="67" spans="5:14" ht="14.25">
      <c r="E67" s="295"/>
      <c r="F67" s="321"/>
      <c r="M67" s="369"/>
      <c r="N67" s="337" t="str">
        <f t="shared" si="2"/>
        <v/>
      </c>
    </row>
    <row r="68" spans="5:14" ht="14.25">
      <c r="E68" s="295"/>
      <c r="F68" s="321"/>
      <c r="M68" s="369"/>
      <c r="N68" s="337" t="str">
        <f t="shared" si="2"/>
        <v/>
      </c>
    </row>
    <row r="69" spans="5:14" ht="14.25">
      <c r="E69" s="295"/>
      <c r="F69" s="321"/>
      <c r="M69" s="369"/>
      <c r="N69" s="337" t="str">
        <f t="shared" si="2"/>
        <v/>
      </c>
    </row>
    <row r="70" spans="5:14" ht="14.25">
      <c r="E70" s="295"/>
      <c r="F70" s="321"/>
      <c r="M70" s="369"/>
      <c r="N70" s="337" t="str">
        <f t="shared" si="2"/>
        <v/>
      </c>
    </row>
    <row r="71" spans="5:14" ht="14.25">
      <c r="E71" s="295"/>
      <c r="F71" s="321"/>
      <c r="M71" s="369"/>
      <c r="N71" s="337" t="str">
        <f t="shared" si="2"/>
        <v/>
      </c>
    </row>
    <row r="72" spans="5:14" ht="14.25">
      <c r="E72" s="295"/>
      <c r="F72" s="321"/>
      <c r="M72" s="369"/>
      <c r="N72" s="337" t="str">
        <f t="shared" si="2"/>
        <v/>
      </c>
    </row>
    <row r="73" spans="5:14" ht="14.25">
      <c r="E73" s="295"/>
      <c r="F73" s="321"/>
      <c r="M73" s="369"/>
      <c r="N73" s="337" t="str">
        <f t="shared" ref="N73:N77" si="16">IF(I73=0,"",M73/I73*100)</f>
        <v/>
      </c>
    </row>
    <row r="74" spans="5:14" ht="14.25">
      <c r="E74" s="295"/>
      <c r="F74" s="295"/>
      <c r="M74" s="369"/>
      <c r="N74" s="337" t="str">
        <f t="shared" si="16"/>
        <v/>
      </c>
    </row>
    <row r="75" spans="5:14" ht="14.25">
      <c r="E75" s="295"/>
      <c r="F75" s="295"/>
      <c r="M75" s="369"/>
      <c r="N75" s="337" t="str">
        <f t="shared" si="16"/>
        <v/>
      </c>
    </row>
    <row r="76" spans="5:14" ht="14.25">
      <c r="E76" s="295"/>
      <c r="F76" s="295"/>
      <c r="M76" s="369"/>
      <c r="N76" s="337" t="str">
        <f t="shared" si="16"/>
        <v/>
      </c>
    </row>
    <row r="77" spans="5:14" ht="14.25">
      <c r="E77" s="295"/>
      <c r="F77" s="295"/>
      <c r="M77" s="369"/>
      <c r="N77" s="337" t="str">
        <f t="shared" si="16"/>
        <v/>
      </c>
    </row>
    <row r="78" spans="5:14" ht="14.25">
      <c r="E78" s="295"/>
      <c r="F78" s="295"/>
      <c r="M78" s="369"/>
    </row>
    <row r="79" spans="5:14" ht="14.25">
      <c r="E79" s="295"/>
      <c r="F79" s="295"/>
      <c r="M79" s="369"/>
    </row>
    <row r="80" spans="5:14" ht="14.25">
      <c r="E80" s="295"/>
      <c r="F80" s="295"/>
      <c r="M80" s="369"/>
    </row>
    <row r="81" spans="5:13" ht="14.25">
      <c r="E81" s="295"/>
      <c r="F81" s="295"/>
      <c r="M81" s="369"/>
    </row>
    <row r="82" spans="5:13" ht="14.25">
      <c r="E82" s="295"/>
      <c r="F82" s="295"/>
      <c r="M82" s="369"/>
    </row>
    <row r="83" spans="5:13" ht="14.25">
      <c r="E83" s="295"/>
      <c r="F83" s="295"/>
      <c r="M83" s="369"/>
    </row>
    <row r="84" spans="5:13" ht="14.25">
      <c r="E84" s="295"/>
      <c r="F84" s="295"/>
      <c r="M84" s="369"/>
    </row>
    <row r="85" spans="5:13" ht="14.25">
      <c r="E85" s="295"/>
      <c r="F85" s="295"/>
      <c r="M85" s="369"/>
    </row>
    <row r="86" spans="5:13" ht="14.25">
      <c r="E86" s="295"/>
      <c r="F86" s="295"/>
      <c r="M86" s="369"/>
    </row>
    <row r="87" spans="5:13" ht="14.25">
      <c r="E87" s="295"/>
      <c r="F87" s="295"/>
      <c r="M87" s="369"/>
    </row>
    <row r="88" spans="5:13" ht="14.25">
      <c r="E88" s="295"/>
      <c r="F88" s="295"/>
      <c r="M88" s="369"/>
    </row>
    <row r="89" spans="5:13" ht="14.25">
      <c r="E89" s="295"/>
      <c r="F89" s="295"/>
      <c r="M89" s="369"/>
    </row>
    <row r="90" spans="5:13" ht="14.25">
      <c r="E90" s="295"/>
      <c r="F90" s="295"/>
      <c r="M90" s="369"/>
    </row>
    <row r="91" spans="5:13">
      <c r="F91" s="295"/>
    </row>
    <row r="92" spans="5:13">
      <c r="F92" s="295"/>
    </row>
    <row r="93" spans="5:13">
      <c r="F93" s="295"/>
    </row>
    <row r="94" spans="5:13">
      <c r="F94" s="295"/>
    </row>
    <row r="95" spans="5:13">
      <c r="F95" s="295"/>
    </row>
    <row r="96" spans="5:13">
      <c r="F96" s="295"/>
    </row>
  </sheetData>
  <mergeCells count="12">
    <mergeCell ref="N4:N5"/>
    <mergeCell ref="G4:G5"/>
    <mergeCell ref="B2:J2"/>
    <mergeCell ref="B4:B5"/>
    <mergeCell ref="C4:C5"/>
    <mergeCell ref="D4:D5"/>
    <mergeCell ref="F4:F5"/>
    <mergeCell ref="E4:E5"/>
    <mergeCell ref="K4:M4"/>
    <mergeCell ref="H4:H5"/>
    <mergeCell ref="I4:I5"/>
    <mergeCell ref="J4:J5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42"/>
  <dimension ref="A1:P96"/>
  <sheetViews>
    <sheetView topLeftCell="A22" zoomScaleNormal="100" workbookViewId="0">
      <selection activeCell="K10" sqref="K10"/>
    </sheetView>
  </sheetViews>
  <sheetFormatPr defaultRowHeight="12.75"/>
  <cols>
    <col min="1" max="1" width="9.140625" style="272"/>
    <col min="2" max="2" width="4.7109375" style="9" customWidth="1"/>
    <col min="3" max="3" width="5.140625" style="9" customWidth="1"/>
    <col min="4" max="4" width="5" style="9" customWidth="1"/>
    <col min="5" max="5" width="8.7109375" style="17" customWidth="1"/>
    <col min="6" max="6" width="8.7109375" style="277" customWidth="1"/>
    <col min="7" max="7" width="50.7109375" style="9" customWidth="1"/>
    <col min="8" max="8" width="14.7109375" style="510" customWidth="1"/>
    <col min="9" max="9" width="14.7109375" style="272" customWidth="1"/>
    <col min="10" max="10" width="15.7109375" style="510" customWidth="1"/>
    <col min="11" max="12" width="14.7109375" style="272" customWidth="1"/>
    <col min="13" max="13" width="15.7109375" style="272" customWidth="1"/>
    <col min="14" max="14" width="7.7109375" style="337" customWidth="1"/>
    <col min="15" max="16384" width="9.140625" style="9"/>
  </cols>
  <sheetData>
    <row r="1" spans="1:16" ht="13.5" thickBot="1"/>
    <row r="2" spans="1:16" s="363" customFormat="1" ht="20.100000000000001" customHeight="1" thickTop="1" thickBot="1">
      <c r="B2" s="725" t="s">
        <v>160</v>
      </c>
      <c r="C2" s="726"/>
      <c r="D2" s="726"/>
      <c r="E2" s="726"/>
      <c r="F2" s="726"/>
      <c r="G2" s="726"/>
      <c r="H2" s="726"/>
      <c r="I2" s="726"/>
      <c r="J2" s="726"/>
      <c r="K2" s="487"/>
      <c r="L2" s="487"/>
      <c r="M2" s="487"/>
      <c r="N2" s="366"/>
    </row>
    <row r="3" spans="1:16" s="1" customFormat="1" ht="8.1" customHeight="1" thickTop="1" thickBot="1">
      <c r="A3" s="269"/>
      <c r="E3" s="2"/>
      <c r="F3" s="270"/>
      <c r="G3" s="488"/>
      <c r="H3" s="511"/>
      <c r="I3" s="87"/>
      <c r="J3" s="511"/>
      <c r="K3" s="87"/>
      <c r="L3" s="87"/>
      <c r="M3" s="87"/>
      <c r="N3" s="331"/>
    </row>
    <row r="4" spans="1:16" s="1" customFormat="1" ht="39" customHeight="1">
      <c r="A4" s="269"/>
      <c r="B4" s="728" t="s">
        <v>78</v>
      </c>
      <c r="C4" s="746" t="s">
        <v>79</v>
      </c>
      <c r="D4" s="747" t="s">
        <v>110</v>
      </c>
      <c r="E4" s="748" t="s">
        <v>594</v>
      </c>
      <c r="F4" s="733" t="s">
        <v>650</v>
      </c>
      <c r="G4" s="734" t="s">
        <v>80</v>
      </c>
      <c r="H4" s="740" t="s">
        <v>644</v>
      </c>
      <c r="I4" s="742" t="s">
        <v>821</v>
      </c>
      <c r="J4" s="744" t="s">
        <v>822</v>
      </c>
      <c r="K4" s="749" t="s">
        <v>863</v>
      </c>
      <c r="L4" s="738"/>
      <c r="M4" s="739"/>
      <c r="N4" s="735" t="s">
        <v>823</v>
      </c>
    </row>
    <row r="5" spans="1:16" s="269" customFormat="1" ht="27" customHeight="1">
      <c r="B5" s="729"/>
      <c r="C5" s="731"/>
      <c r="D5" s="731"/>
      <c r="E5" s="722"/>
      <c r="F5" s="731"/>
      <c r="G5" s="722"/>
      <c r="H5" s="741"/>
      <c r="I5" s="743"/>
      <c r="J5" s="745"/>
      <c r="K5" s="540" t="s">
        <v>701</v>
      </c>
      <c r="L5" s="359" t="s">
        <v>702</v>
      </c>
      <c r="M5" s="541" t="s">
        <v>413</v>
      </c>
      <c r="N5" s="736"/>
    </row>
    <row r="6" spans="1:16" s="2" customFormat="1" ht="12.95" customHeight="1">
      <c r="A6" s="270"/>
      <c r="B6" s="464">
        <v>1</v>
      </c>
      <c r="C6" s="318">
        <v>2</v>
      </c>
      <c r="D6" s="318">
        <v>3</v>
      </c>
      <c r="E6" s="318">
        <v>4</v>
      </c>
      <c r="F6" s="318">
        <v>5</v>
      </c>
      <c r="G6" s="318">
        <v>6</v>
      </c>
      <c r="H6" s="512">
        <v>7</v>
      </c>
      <c r="I6" s="318">
        <v>8</v>
      </c>
      <c r="J6" s="561">
        <v>9</v>
      </c>
      <c r="K6" s="464">
        <v>10</v>
      </c>
      <c r="L6" s="318">
        <v>11</v>
      </c>
      <c r="M6" s="542" t="s">
        <v>703</v>
      </c>
      <c r="N6" s="465">
        <v>13</v>
      </c>
    </row>
    <row r="7" spans="1:16" s="2" customFormat="1" ht="12.95" customHeight="1">
      <c r="A7" s="270"/>
      <c r="B7" s="6" t="s">
        <v>119</v>
      </c>
      <c r="C7" s="7" t="s">
        <v>81</v>
      </c>
      <c r="D7" s="7" t="s">
        <v>125</v>
      </c>
      <c r="E7" s="5"/>
      <c r="F7" s="271"/>
      <c r="G7" s="5"/>
      <c r="H7" s="513"/>
      <c r="I7" s="271"/>
      <c r="J7" s="568"/>
      <c r="K7" s="4"/>
      <c r="L7" s="271"/>
      <c r="M7" s="570"/>
      <c r="N7" s="332"/>
    </row>
    <row r="8" spans="1:16" s="1" customFormat="1" ht="12.95" customHeight="1">
      <c r="A8" s="269"/>
      <c r="B8" s="12"/>
      <c r="C8" s="8"/>
      <c r="D8" s="8"/>
      <c r="E8" s="292">
        <v>611000</v>
      </c>
      <c r="F8" s="318"/>
      <c r="G8" s="8" t="s">
        <v>163</v>
      </c>
      <c r="H8" s="514">
        <f t="shared" ref="H8:I8" si="0">SUM(H9:H12)</f>
        <v>75630</v>
      </c>
      <c r="I8" s="514">
        <f t="shared" si="0"/>
        <v>75630</v>
      </c>
      <c r="J8" s="563">
        <v>56529</v>
      </c>
      <c r="K8" s="545">
        <f t="shared" ref="K8:M8" si="1">SUM(K9:K12)</f>
        <v>76450</v>
      </c>
      <c r="L8" s="201">
        <f t="shared" si="1"/>
        <v>0</v>
      </c>
      <c r="M8" s="546">
        <f t="shared" si="1"/>
        <v>76450</v>
      </c>
      <c r="N8" s="333">
        <f>IF(I8=0,"",M8/I8*100)</f>
        <v>101.08422583630833</v>
      </c>
    </row>
    <row r="9" spans="1:16" ht="12.95" customHeight="1">
      <c r="B9" s="10"/>
      <c r="C9" s="11"/>
      <c r="D9" s="11"/>
      <c r="E9" s="293">
        <v>611100</v>
      </c>
      <c r="F9" s="319"/>
      <c r="G9" s="18" t="s">
        <v>198</v>
      </c>
      <c r="H9" s="515">
        <v>65050</v>
      </c>
      <c r="I9" s="515">
        <v>65050</v>
      </c>
      <c r="J9" s="564">
        <v>48542</v>
      </c>
      <c r="K9" s="549">
        <f>65050</f>
        <v>65050</v>
      </c>
      <c r="L9" s="200">
        <v>0</v>
      </c>
      <c r="M9" s="548">
        <f>SUM(K9:L9)</f>
        <v>65050</v>
      </c>
      <c r="N9" s="334">
        <f t="shared" ref="N9:N72" si="2">IF(I9=0,"",M9/I9*100)</f>
        <v>100</v>
      </c>
      <c r="O9" s="54"/>
    </row>
    <row r="10" spans="1:16" ht="12.95" customHeight="1">
      <c r="B10" s="10"/>
      <c r="C10" s="11"/>
      <c r="D10" s="11"/>
      <c r="E10" s="293">
        <v>611200</v>
      </c>
      <c r="F10" s="319"/>
      <c r="G10" s="11" t="s">
        <v>199</v>
      </c>
      <c r="H10" s="515">
        <v>10580</v>
      </c>
      <c r="I10" s="515">
        <v>10580</v>
      </c>
      <c r="J10" s="564">
        <v>7987</v>
      </c>
      <c r="K10" s="549">
        <f>10650+3*250</f>
        <v>11400</v>
      </c>
      <c r="L10" s="200">
        <v>0</v>
      </c>
      <c r="M10" s="548">
        <f t="shared" ref="M10:M11" si="3">SUM(K10:L10)</f>
        <v>11400</v>
      </c>
      <c r="N10" s="334">
        <f t="shared" si="2"/>
        <v>107.75047258979207</v>
      </c>
      <c r="O10" s="56"/>
    </row>
    <row r="11" spans="1:16" ht="12.95" customHeight="1">
      <c r="B11" s="10"/>
      <c r="C11" s="11"/>
      <c r="D11" s="11"/>
      <c r="E11" s="293">
        <v>611200</v>
      </c>
      <c r="F11" s="319"/>
      <c r="G11" s="180" t="s">
        <v>534</v>
      </c>
      <c r="H11" s="515">
        <f t="shared" ref="H11:I11" si="4">SUM(F11:G11)</f>
        <v>0</v>
      </c>
      <c r="I11" s="515">
        <f t="shared" si="4"/>
        <v>0</v>
      </c>
      <c r="J11" s="564">
        <v>0</v>
      </c>
      <c r="K11" s="549">
        <v>0</v>
      </c>
      <c r="L11" s="200">
        <v>0</v>
      </c>
      <c r="M11" s="548">
        <f t="shared" si="3"/>
        <v>0</v>
      </c>
      <c r="N11" s="334" t="str">
        <f t="shared" si="2"/>
        <v/>
      </c>
      <c r="P11" s="53"/>
    </row>
    <row r="12" spans="1:16" ht="8.1" customHeight="1">
      <c r="B12" s="10"/>
      <c r="C12" s="11"/>
      <c r="D12" s="11"/>
      <c r="E12" s="293"/>
      <c r="F12" s="319"/>
      <c r="G12" s="18"/>
      <c r="H12" s="515"/>
      <c r="I12" s="515"/>
      <c r="J12" s="564"/>
      <c r="K12" s="549"/>
      <c r="L12" s="200"/>
      <c r="M12" s="548"/>
      <c r="N12" s="334" t="str">
        <f t="shared" si="2"/>
        <v/>
      </c>
    </row>
    <row r="13" spans="1:16" s="1" customFormat="1" ht="12.95" customHeight="1">
      <c r="A13" s="269"/>
      <c r="B13" s="12"/>
      <c r="C13" s="8"/>
      <c r="D13" s="8"/>
      <c r="E13" s="292">
        <v>612000</v>
      </c>
      <c r="F13" s="318"/>
      <c r="G13" s="8" t="s">
        <v>162</v>
      </c>
      <c r="H13" s="514">
        <f t="shared" ref="H13:M13" si="5">H14</f>
        <v>6940</v>
      </c>
      <c r="I13" s="514">
        <f t="shared" si="5"/>
        <v>6940</v>
      </c>
      <c r="J13" s="535">
        <v>5139</v>
      </c>
      <c r="K13" s="205">
        <f t="shared" si="5"/>
        <v>6940</v>
      </c>
      <c r="L13" s="201">
        <f t="shared" si="5"/>
        <v>0</v>
      </c>
      <c r="M13" s="546">
        <f t="shared" si="5"/>
        <v>6940</v>
      </c>
      <c r="N13" s="333">
        <f t="shared" si="2"/>
        <v>100</v>
      </c>
    </row>
    <row r="14" spans="1:16" ht="12.95" customHeight="1">
      <c r="B14" s="10"/>
      <c r="C14" s="11"/>
      <c r="D14" s="11"/>
      <c r="E14" s="293">
        <v>612100</v>
      </c>
      <c r="F14" s="319"/>
      <c r="G14" s="13" t="s">
        <v>83</v>
      </c>
      <c r="H14" s="515">
        <v>6940</v>
      </c>
      <c r="I14" s="515">
        <v>6940</v>
      </c>
      <c r="J14" s="536">
        <v>5139</v>
      </c>
      <c r="K14" s="202">
        <v>6940</v>
      </c>
      <c r="L14" s="200">
        <v>0</v>
      </c>
      <c r="M14" s="548">
        <f>SUM(K14:L14)</f>
        <v>6940</v>
      </c>
      <c r="N14" s="334">
        <f t="shared" si="2"/>
        <v>100</v>
      </c>
    </row>
    <row r="15" spans="1:16" ht="8.1" customHeight="1">
      <c r="B15" s="10"/>
      <c r="C15" s="11"/>
      <c r="D15" s="11"/>
      <c r="E15" s="293"/>
      <c r="F15" s="319"/>
      <c r="G15" s="11"/>
      <c r="H15" s="516"/>
      <c r="I15" s="516"/>
      <c r="J15" s="537"/>
      <c r="K15" s="255"/>
      <c r="L15" s="267"/>
      <c r="M15" s="551"/>
      <c r="N15" s="334" t="str">
        <f t="shared" si="2"/>
        <v/>
      </c>
    </row>
    <row r="16" spans="1:16" s="1" customFormat="1" ht="12.95" customHeight="1">
      <c r="A16" s="269"/>
      <c r="B16" s="12"/>
      <c r="C16" s="8"/>
      <c r="D16" s="8"/>
      <c r="E16" s="292">
        <v>613000</v>
      </c>
      <c r="F16" s="318"/>
      <c r="G16" s="8" t="s">
        <v>164</v>
      </c>
      <c r="H16" s="262">
        <f t="shared" ref="H16:I16" si="6">SUM(H17:H26)</f>
        <v>6300</v>
      </c>
      <c r="I16" s="262">
        <f t="shared" si="6"/>
        <v>6300</v>
      </c>
      <c r="J16" s="538">
        <v>2102</v>
      </c>
      <c r="K16" s="644">
        <f t="shared" ref="K16" si="7">SUM(K17:K26)</f>
        <v>6300</v>
      </c>
      <c r="L16" s="281">
        <f t="shared" ref="L16:M16" si="8">SUM(L17:L26)</f>
        <v>0</v>
      </c>
      <c r="M16" s="553">
        <f t="shared" si="8"/>
        <v>6300</v>
      </c>
      <c r="N16" s="333">
        <f t="shared" si="2"/>
        <v>100</v>
      </c>
    </row>
    <row r="17" spans="1:14" ht="12.95" customHeight="1">
      <c r="B17" s="10"/>
      <c r="C17" s="11"/>
      <c r="D17" s="11"/>
      <c r="E17" s="293">
        <v>613100</v>
      </c>
      <c r="F17" s="319"/>
      <c r="G17" s="11" t="s">
        <v>84</v>
      </c>
      <c r="H17" s="515">
        <v>1500</v>
      </c>
      <c r="I17" s="515">
        <v>1500</v>
      </c>
      <c r="J17" s="536">
        <v>392</v>
      </c>
      <c r="K17" s="645">
        <v>1500</v>
      </c>
      <c r="L17" s="351">
        <v>0</v>
      </c>
      <c r="M17" s="548">
        <f t="shared" ref="M17:M26" si="9">SUM(K17:L17)</f>
        <v>1500</v>
      </c>
      <c r="N17" s="334">
        <f t="shared" si="2"/>
        <v>100</v>
      </c>
    </row>
    <row r="18" spans="1:14" ht="12.95" customHeight="1">
      <c r="B18" s="10"/>
      <c r="C18" s="11"/>
      <c r="D18" s="11"/>
      <c r="E18" s="293">
        <v>613200</v>
      </c>
      <c r="F18" s="319"/>
      <c r="G18" s="11" t="s">
        <v>85</v>
      </c>
      <c r="H18" s="515">
        <f t="shared" ref="H18:I26" si="10">SUM(F18:G18)</f>
        <v>0</v>
      </c>
      <c r="I18" s="515">
        <f t="shared" si="10"/>
        <v>0</v>
      </c>
      <c r="J18" s="536">
        <v>0</v>
      </c>
      <c r="K18" s="646">
        <v>0</v>
      </c>
      <c r="L18" s="349">
        <v>0</v>
      </c>
      <c r="M18" s="548">
        <f t="shared" si="9"/>
        <v>0</v>
      </c>
      <c r="N18" s="334" t="str">
        <f t="shared" si="2"/>
        <v/>
      </c>
    </row>
    <row r="19" spans="1:14" ht="12.95" customHeight="1">
      <c r="B19" s="10"/>
      <c r="C19" s="11"/>
      <c r="D19" s="11"/>
      <c r="E19" s="293">
        <v>613300</v>
      </c>
      <c r="F19" s="319"/>
      <c r="G19" s="18" t="s">
        <v>200</v>
      </c>
      <c r="H19" s="515">
        <v>2500</v>
      </c>
      <c r="I19" s="515">
        <v>2500</v>
      </c>
      <c r="J19" s="536">
        <v>1173</v>
      </c>
      <c r="K19" s="646">
        <v>2500</v>
      </c>
      <c r="L19" s="349">
        <v>0</v>
      </c>
      <c r="M19" s="548">
        <f t="shared" si="9"/>
        <v>2500</v>
      </c>
      <c r="N19" s="334">
        <f t="shared" si="2"/>
        <v>100</v>
      </c>
    </row>
    <row r="20" spans="1:14" ht="12.95" customHeight="1">
      <c r="B20" s="10"/>
      <c r="C20" s="11"/>
      <c r="D20" s="11"/>
      <c r="E20" s="293">
        <v>613400</v>
      </c>
      <c r="F20" s="319"/>
      <c r="G20" s="11" t="s">
        <v>165</v>
      </c>
      <c r="H20" s="515">
        <v>300</v>
      </c>
      <c r="I20" s="515">
        <v>300</v>
      </c>
      <c r="J20" s="536">
        <v>0</v>
      </c>
      <c r="K20" s="645">
        <v>300</v>
      </c>
      <c r="L20" s="351">
        <v>0</v>
      </c>
      <c r="M20" s="548">
        <f t="shared" si="9"/>
        <v>300</v>
      </c>
      <c r="N20" s="334">
        <f t="shared" si="2"/>
        <v>100</v>
      </c>
    </row>
    <row r="21" spans="1:14" ht="12.95" customHeight="1">
      <c r="B21" s="10"/>
      <c r="C21" s="11"/>
      <c r="D21" s="11"/>
      <c r="E21" s="293">
        <v>613500</v>
      </c>
      <c r="F21" s="319"/>
      <c r="G21" s="11" t="s">
        <v>86</v>
      </c>
      <c r="H21" s="515">
        <f t="shared" si="10"/>
        <v>0</v>
      </c>
      <c r="I21" s="515">
        <f t="shared" si="10"/>
        <v>0</v>
      </c>
      <c r="J21" s="536">
        <v>0</v>
      </c>
      <c r="K21" s="646">
        <v>0</v>
      </c>
      <c r="L21" s="349">
        <v>0</v>
      </c>
      <c r="M21" s="548">
        <f t="shared" si="9"/>
        <v>0</v>
      </c>
      <c r="N21" s="334" t="str">
        <f t="shared" si="2"/>
        <v/>
      </c>
    </row>
    <row r="22" spans="1:14" ht="12.95" customHeight="1">
      <c r="B22" s="10"/>
      <c r="C22" s="11"/>
      <c r="D22" s="11"/>
      <c r="E22" s="293">
        <v>613600</v>
      </c>
      <c r="F22" s="319"/>
      <c r="G22" s="18" t="s">
        <v>201</v>
      </c>
      <c r="H22" s="515">
        <f t="shared" si="10"/>
        <v>0</v>
      </c>
      <c r="I22" s="515">
        <f t="shared" si="10"/>
        <v>0</v>
      </c>
      <c r="J22" s="536">
        <v>0</v>
      </c>
      <c r="K22" s="646">
        <v>0</v>
      </c>
      <c r="L22" s="349">
        <v>0</v>
      </c>
      <c r="M22" s="548">
        <f t="shared" si="9"/>
        <v>0</v>
      </c>
      <c r="N22" s="334" t="str">
        <f t="shared" si="2"/>
        <v/>
      </c>
    </row>
    <row r="23" spans="1:14" ht="12.95" customHeight="1">
      <c r="B23" s="10"/>
      <c r="C23" s="11"/>
      <c r="D23" s="11"/>
      <c r="E23" s="293">
        <v>613700</v>
      </c>
      <c r="F23" s="319"/>
      <c r="G23" s="11" t="s">
        <v>87</v>
      </c>
      <c r="H23" s="515">
        <f t="shared" si="10"/>
        <v>0</v>
      </c>
      <c r="I23" s="515">
        <f t="shared" si="10"/>
        <v>0</v>
      </c>
      <c r="J23" s="536">
        <v>0</v>
      </c>
      <c r="K23" s="646">
        <v>0</v>
      </c>
      <c r="L23" s="349">
        <v>0</v>
      </c>
      <c r="M23" s="548">
        <f t="shared" si="9"/>
        <v>0</v>
      </c>
      <c r="N23" s="334" t="str">
        <f t="shared" si="2"/>
        <v/>
      </c>
    </row>
    <row r="24" spans="1:14" ht="12.95" customHeight="1">
      <c r="B24" s="10"/>
      <c r="C24" s="11"/>
      <c r="D24" s="11"/>
      <c r="E24" s="293">
        <v>613800</v>
      </c>
      <c r="F24" s="319"/>
      <c r="G24" s="11" t="s">
        <v>166</v>
      </c>
      <c r="H24" s="515">
        <f t="shared" si="10"/>
        <v>0</v>
      </c>
      <c r="I24" s="515">
        <f t="shared" si="10"/>
        <v>0</v>
      </c>
      <c r="J24" s="536">
        <v>0</v>
      </c>
      <c r="K24" s="646">
        <v>0</v>
      </c>
      <c r="L24" s="349">
        <v>0</v>
      </c>
      <c r="M24" s="548">
        <f t="shared" si="9"/>
        <v>0</v>
      </c>
      <c r="N24" s="334" t="str">
        <f t="shared" si="2"/>
        <v/>
      </c>
    </row>
    <row r="25" spans="1:14" ht="12.95" customHeight="1">
      <c r="B25" s="10"/>
      <c r="C25" s="11"/>
      <c r="D25" s="11"/>
      <c r="E25" s="293">
        <v>613900</v>
      </c>
      <c r="F25" s="319"/>
      <c r="G25" s="11" t="s">
        <v>167</v>
      </c>
      <c r="H25" s="515">
        <v>2000</v>
      </c>
      <c r="I25" s="515">
        <v>2000</v>
      </c>
      <c r="J25" s="536">
        <v>537</v>
      </c>
      <c r="K25" s="645">
        <v>2000</v>
      </c>
      <c r="L25" s="351">
        <v>0</v>
      </c>
      <c r="M25" s="548">
        <f t="shared" si="9"/>
        <v>2000</v>
      </c>
      <c r="N25" s="334">
        <f t="shared" si="2"/>
        <v>100</v>
      </c>
    </row>
    <row r="26" spans="1:14" ht="12.95" customHeight="1">
      <c r="B26" s="10"/>
      <c r="C26" s="11"/>
      <c r="D26" s="11"/>
      <c r="E26" s="293">
        <v>613900</v>
      </c>
      <c r="F26" s="319"/>
      <c r="G26" s="180" t="s">
        <v>535</v>
      </c>
      <c r="H26" s="515">
        <f t="shared" si="10"/>
        <v>0</v>
      </c>
      <c r="I26" s="515">
        <f t="shared" si="10"/>
        <v>0</v>
      </c>
      <c r="J26" s="536">
        <v>0</v>
      </c>
      <c r="K26" s="345">
        <v>0</v>
      </c>
      <c r="L26" s="352">
        <v>0</v>
      </c>
      <c r="M26" s="548">
        <f t="shared" si="9"/>
        <v>0</v>
      </c>
      <c r="N26" s="334" t="str">
        <f t="shared" si="2"/>
        <v/>
      </c>
    </row>
    <row r="27" spans="1:14" s="1" customFormat="1" ht="8.1" customHeight="1">
      <c r="A27" s="269"/>
      <c r="B27" s="12"/>
      <c r="C27" s="8"/>
      <c r="D27" s="8"/>
      <c r="E27" s="303"/>
      <c r="F27" s="330"/>
      <c r="G27" s="8"/>
      <c r="H27" s="516"/>
      <c r="I27" s="516"/>
      <c r="J27" s="537"/>
      <c r="K27" s="645"/>
      <c r="L27" s="268"/>
      <c r="M27" s="551"/>
      <c r="N27" s="334" t="str">
        <f t="shared" si="2"/>
        <v/>
      </c>
    </row>
    <row r="28" spans="1:14" s="1" customFormat="1" ht="12.95" customHeight="1">
      <c r="A28" s="269"/>
      <c r="B28" s="12"/>
      <c r="C28" s="8"/>
      <c r="D28" s="8"/>
      <c r="E28" s="292">
        <v>821000</v>
      </c>
      <c r="F28" s="318"/>
      <c r="G28" s="8" t="s">
        <v>90</v>
      </c>
      <c r="H28" s="262">
        <f t="shared" ref="H28:I28" si="11">SUM(H29:H30)</f>
        <v>1500</v>
      </c>
      <c r="I28" s="262">
        <f t="shared" si="11"/>
        <v>1500</v>
      </c>
      <c r="J28" s="538">
        <v>0</v>
      </c>
      <c r="K28" s="647">
        <f t="shared" ref="K28" si="12">SUM(K29:K30)</f>
        <v>1500</v>
      </c>
      <c r="L28" s="282">
        <f t="shared" ref="L28:M28" si="13">SUM(L29:L30)</f>
        <v>0</v>
      </c>
      <c r="M28" s="553">
        <f t="shared" si="13"/>
        <v>1500</v>
      </c>
      <c r="N28" s="333">
        <f t="shared" si="2"/>
        <v>100</v>
      </c>
    </row>
    <row r="29" spans="1:14" ht="12.95" customHeight="1">
      <c r="B29" s="10"/>
      <c r="C29" s="11"/>
      <c r="D29" s="11"/>
      <c r="E29" s="293">
        <v>821200</v>
      </c>
      <c r="F29" s="319"/>
      <c r="G29" s="11" t="s">
        <v>91</v>
      </c>
      <c r="H29" s="515">
        <f t="shared" ref="H29:I29" si="14">SUM(F29:G29)</f>
        <v>0</v>
      </c>
      <c r="I29" s="515">
        <f t="shared" si="14"/>
        <v>0</v>
      </c>
      <c r="J29" s="536">
        <v>0</v>
      </c>
      <c r="K29" s="645">
        <v>0</v>
      </c>
      <c r="L29" s="268">
        <v>0</v>
      </c>
      <c r="M29" s="548">
        <f t="shared" ref="M29:M30" si="15">SUM(K29:L29)</f>
        <v>0</v>
      </c>
      <c r="N29" s="334" t="str">
        <f t="shared" si="2"/>
        <v/>
      </c>
    </row>
    <row r="30" spans="1:14" ht="12.95" customHeight="1">
      <c r="B30" s="10"/>
      <c r="C30" s="11"/>
      <c r="D30" s="11"/>
      <c r="E30" s="293">
        <v>821300</v>
      </c>
      <c r="F30" s="319"/>
      <c r="G30" s="11" t="s">
        <v>92</v>
      </c>
      <c r="H30" s="515">
        <v>1500</v>
      </c>
      <c r="I30" s="515">
        <v>1500</v>
      </c>
      <c r="J30" s="536">
        <v>0</v>
      </c>
      <c r="K30" s="645">
        <v>1500</v>
      </c>
      <c r="L30" s="268">
        <v>0</v>
      </c>
      <c r="M30" s="548">
        <f t="shared" si="15"/>
        <v>1500</v>
      </c>
      <c r="N30" s="334">
        <f t="shared" si="2"/>
        <v>100</v>
      </c>
    </row>
    <row r="31" spans="1:14" ht="8.1" customHeight="1">
      <c r="B31" s="10"/>
      <c r="C31" s="11"/>
      <c r="D31" s="11"/>
      <c r="E31" s="293"/>
      <c r="F31" s="319"/>
      <c r="G31" s="11"/>
      <c r="H31" s="516"/>
      <c r="I31" s="516"/>
      <c r="J31" s="537"/>
      <c r="K31" s="255"/>
      <c r="L31" s="267"/>
      <c r="M31" s="551"/>
      <c r="N31" s="334" t="str">
        <f t="shared" si="2"/>
        <v/>
      </c>
    </row>
    <row r="32" spans="1:14" s="1" customFormat="1" ht="12.95" customHeight="1">
      <c r="A32" s="269"/>
      <c r="B32" s="12"/>
      <c r="C32" s="8"/>
      <c r="D32" s="8"/>
      <c r="E32" s="292"/>
      <c r="F32" s="318"/>
      <c r="G32" s="8" t="s">
        <v>93</v>
      </c>
      <c r="H32" s="262">
        <v>3</v>
      </c>
      <c r="I32" s="262">
        <v>3</v>
      </c>
      <c r="J32" s="538">
        <v>3</v>
      </c>
      <c r="K32" s="648">
        <v>3</v>
      </c>
      <c r="L32" s="282"/>
      <c r="M32" s="553">
        <v>3</v>
      </c>
      <c r="N32" s="334"/>
    </row>
    <row r="33" spans="1:14" s="1" customFormat="1" ht="12.95" customHeight="1">
      <c r="A33" s="269"/>
      <c r="B33" s="12"/>
      <c r="C33" s="8"/>
      <c r="D33" s="8"/>
      <c r="E33" s="292"/>
      <c r="F33" s="318"/>
      <c r="G33" s="8" t="s">
        <v>113</v>
      </c>
      <c r="H33" s="262">
        <f t="shared" ref="H33:M33" si="16">H8+H13+H16+H28</f>
        <v>90370</v>
      </c>
      <c r="I33" s="276">
        <f t="shared" si="16"/>
        <v>90370</v>
      </c>
      <c r="J33" s="538">
        <f t="shared" si="16"/>
        <v>63770</v>
      </c>
      <c r="K33" s="260">
        <f t="shared" si="16"/>
        <v>91190</v>
      </c>
      <c r="L33" s="276">
        <f t="shared" si="16"/>
        <v>0</v>
      </c>
      <c r="M33" s="553">
        <f t="shared" si="16"/>
        <v>91190</v>
      </c>
      <c r="N33" s="333">
        <f t="shared" si="2"/>
        <v>100.90738076795395</v>
      </c>
    </row>
    <row r="34" spans="1:14" s="1" customFormat="1" ht="12.95" customHeight="1">
      <c r="A34" s="269"/>
      <c r="B34" s="12"/>
      <c r="C34" s="8"/>
      <c r="D34" s="8"/>
      <c r="E34" s="292"/>
      <c r="F34" s="318"/>
      <c r="G34" s="8" t="s">
        <v>94</v>
      </c>
      <c r="H34" s="262"/>
      <c r="I34" s="276"/>
      <c r="J34" s="565"/>
      <c r="K34" s="558"/>
      <c r="L34" s="276"/>
      <c r="M34" s="553"/>
      <c r="N34" s="334" t="str">
        <f t="shared" si="2"/>
        <v/>
      </c>
    </row>
    <row r="35" spans="1:14" s="1" customFormat="1" ht="12.95" customHeight="1">
      <c r="A35" s="269"/>
      <c r="B35" s="12"/>
      <c r="C35" s="8"/>
      <c r="D35" s="8"/>
      <c r="E35" s="292"/>
      <c r="F35" s="318"/>
      <c r="G35" s="8" t="s">
        <v>95</v>
      </c>
      <c r="H35" s="262"/>
      <c r="I35" s="276"/>
      <c r="J35" s="565"/>
      <c r="K35" s="558"/>
      <c r="L35" s="276"/>
      <c r="M35" s="553"/>
      <c r="N35" s="334" t="str">
        <f t="shared" si="2"/>
        <v/>
      </c>
    </row>
    <row r="36" spans="1:14" ht="8.1" customHeight="1" thickBot="1">
      <c r="B36" s="15"/>
      <c r="C36" s="16"/>
      <c r="D36" s="16"/>
      <c r="E36" s="294"/>
      <c r="F36" s="320"/>
      <c r="G36" s="16"/>
      <c r="H36" s="521"/>
      <c r="I36" s="16"/>
      <c r="J36" s="569"/>
      <c r="K36" s="15"/>
      <c r="L36" s="16"/>
      <c r="M36" s="574"/>
      <c r="N36" s="336" t="str">
        <f t="shared" si="2"/>
        <v/>
      </c>
    </row>
    <row r="37" spans="1:14" ht="12.95" customHeight="1">
      <c r="E37" s="295"/>
      <c r="F37" s="321"/>
      <c r="M37" s="369"/>
      <c r="N37" s="337" t="str">
        <f t="shared" si="2"/>
        <v/>
      </c>
    </row>
    <row r="38" spans="1:14" ht="12.95" customHeight="1">
      <c r="B38" s="48"/>
      <c r="E38" s="295"/>
      <c r="F38" s="321"/>
      <c r="M38" s="369"/>
      <c r="N38" s="337" t="str">
        <f t="shared" si="2"/>
        <v/>
      </c>
    </row>
    <row r="39" spans="1:14" ht="12.95" customHeight="1">
      <c r="B39" s="48"/>
      <c r="E39" s="295"/>
      <c r="F39" s="321"/>
      <c r="M39" s="369"/>
      <c r="N39" s="337" t="str">
        <f t="shared" si="2"/>
        <v/>
      </c>
    </row>
    <row r="40" spans="1:14" ht="12.95" customHeight="1">
      <c r="B40" s="48"/>
      <c r="E40" s="295"/>
      <c r="F40" s="321"/>
      <c r="M40" s="369"/>
      <c r="N40" s="337" t="str">
        <f t="shared" si="2"/>
        <v/>
      </c>
    </row>
    <row r="41" spans="1:14" ht="12.95" customHeight="1">
      <c r="B41" s="48"/>
      <c r="E41" s="295"/>
      <c r="F41" s="321"/>
      <c r="M41" s="369"/>
      <c r="N41" s="337" t="str">
        <f t="shared" si="2"/>
        <v/>
      </c>
    </row>
    <row r="42" spans="1:14" ht="12.95" customHeight="1">
      <c r="E42" s="295"/>
      <c r="F42" s="321"/>
      <c r="M42" s="369"/>
      <c r="N42" s="337" t="str">
        <f t="shared" si="2"/>
        <v/>
      </c>
    </row>
    <row r="43" spans="1:14" ht="12.95" customHeight="1">
      <c r="E43" s="295"/>
      <c r="F43" s="321"/>
      <c r="M43" s="369"/>
      <c r="N43" s="337" t="str">
        <f t="shared" si="2"/>
        <v/>
      </c>
    </row>
    <row r="44" spans="1:14" ht="12.95" customHeight="1">
      <c r="E44" s="295"/>
      <c r="F44" s="321"/>
      <c r="M44" s="369"/>
      <c r="N44" s="337" t="str">
        <f t="shared" si="2"/>
        <v/>
      </c>
    </row>
    <row r="45" spans="1:14" ht="12.95" customHeight="1">
      <c r="E45" s="295"/>
      <c r="F45" s="321"/>
      <c r="M45" s="369"/>
      <c r="N45" s="337" t="str">
        <f t="shared" si="2"/>
        <v/>
      </c>
    </row>
    <row r="46" spans="1:14" ht="12.95" customHeight="1">
      <c r="E46" s="295"/>
      <c r="F46" s="321"/>
      <c r="M46" s="369"/>
      <c r="N46" s="337" t="str">
        <f t="shared" si="2"/>
        <v/>
      </c>
    </row>
    <row r="47" spans="1:14" ht="12.95" customHeight="1">
      <c r="E47" s="295"/>
      <c r="F47" s="321"/>
      <c r="M47" s="369"/>
      <c r="N47" s="337" t="str">
        <f t="shared" si="2"/>
        <v/>
      </c>
    </row>
    <row r="48" spans="1:14" ht="12.95" customHeight="1">
      <c r="E48" s="295"/>
      <c r="F48" s="321"/>
      <c r="M48" s="369"/>
      <c r="N48" s="337" t="str">
        <f t="shared" si="2"/>
        <v/>
      </c>
    </row>
    <row r="49" spans="5:14" ht="12.95" customHeight="1">
      <c r="E49" s="295"/>
      <c r="F49" s="321"/>
      <c r="M49" s="369"/>
      <c r="N49" s="337" t="str">
        <f t="shared" si="2"/>
        <v/>
      </c>
    </row>
    <row r="50" spans="5:14" ht="12.95" customHeight="1">
      <c r="E50" s="295"/>
      <c r="F50" s="321"/>
      <c r="M50" s="369"/>
      <c r="N50" s="337" t="str">
        <f t="shared" si="2"/>
        <v/>
      </c>
    </row>
    <row r="51" spans="5:14" ht="12.95" customHeight="1">
      <c r="E51" s="295"/>
      <c r="F51" s="321"/>
      <c r="M51" s="369"/>
      <c r="N51" s="337" t="str">
        <f t="shared" si="2"/>
        <v/>
      </c>
    </row>
    <row r="52" spans="5:14" ht="12.95" customHeight="1">
      <c r="E52" s="295"/>
      <c r="F52" s="321"/>
      <c r="M52" s="369"/>
      <c r="N52" s="337" t="str">
        <f t="shared" si="2"/>
        <v/>
      </c>
    </row>
    <row r="53" spans="5:14" ht="12.95" customHeight="1">
      <c r="E53" s="295"/>
      <c r="F53" s="321"/>
      <c r="M53" s="369"/>
      <c r="N53" s="337" t="str">
        <f t="shared" si="2"/>
        <v/>
      </c>
    </row>
    <row r="54" spans="5:14" ht="12.95" customHeight="1">
      <c r="E54" s="295"/>
      <c r="F54" s="321"/>
      <c r="M54" s="369"/>
      <c r="N54" s="337" t="str">
        <f t="shared" si="2"/>
        <v/>
      </c>
    </row>
    <row r="55" spans="5:14" ht="12.95" customHeight="1">
      <c r="E55" s="295"/>
      <c r="F55" s="321"/>
      <c r="M55" s="369"/>
      <c r="N55" s="337" t="str">
        <f t="shared" si="2"/>
        <v/>
      </c>
    </row>
    <row r="56" spans="5:14" ht="12.95" customHeight="1">
      <c r="E56" s="295"/>
      <c r="F56" s="321"/>
      <c r="M56" s="369"/>
      <c r="N56" s="337" t="str">
        <f t="shared" si="2"/>
        <v/>
      </c>
    </row>
    <row r="57" spans="5:14" ht="12.95" customHeight="1">
      <c r="E57" s="295"/>
      <c r="F57" s="321"/>
      <c r="M57" s="369"/>
      <c r="N57" s="337" t="str">
        <f t="shared" si="2"/>
        <v/>
      </c>
    </row>
    <row r="58" spans="5:14" ht="12.95" customHeight="1">
      <c r="E58" s="295"/>
      <c r="F58" s="321"/>
      <c r="M58" s="369"/>
      <c r="N58" s="337" t="str">
        <f t="shared" si="2"/>
        <v/>
      </c>
    </row>
    <row r="59" spans="5:14" ht="12.95" customHeight="1">
      <c r="E59" s="295"/>
      <c r="F59" s="321"/>
      <c r="M59" s="369"/>
      <c r="N59" s="337" t="str">
        <f t="shared" si="2"/>
        <v/>
      </c>
    </row>
    <row r="60" spans="5:14" ht="17.100000000000001" customHeight="1">
      <c r="E60" s="295"/>
      <c r="F60" s="321"/>
      <c r="M60" s="369"/>
      <c r="N60" s="337" t="str">
        <f t="shared" si="2"/>
        <v/>
      </c>
    </row>
    <row r="61" spans="5:14" ht="14.25">
      <c r="E61" s="295"/>
      <c r="F61" s="321"/>
      <c r="M61" s="369"/>
      <c r="N61" s="337" t="str">
        <f t="shared" si="2"/>
        <v/>
      </c>
    </row>
    <row r="62" spans="5:14" ht="14.25">
      <c r="E62" s="295"/>
      <c r="F62" s="321"/>
      <c r="M62" s="369"/>
      <c r="N62" s="337" t="str">
        <f t="shared" si="2"/>
        <v/>
      </c>
    </row>
    <row r="63" spans="5:14" ht="14.25">
      <c r="E63" s="295"/>
      <c r="F63" s="321"/>
      <c r="M63" s="369"/>
      <c r="N63" s="337" t="str">
        <f t="shared" si="2"/>
        <v/>
      </c>
    </row>
    <row r="64" spans="5:14" ht="14.25">
      <c r="E64" s="295"/>
      <c r="F64" s="321"/>
      <c r="M64" s="369"/>
      <c r="N64" s="337" t="str">
        <f t="shared" si="2"/>
        <v/>
      </c>
    </row>
    <row r="65" spans="5:14" ht="14.25">
      <c r="E65" s="295"/>
      <c r="F65" s="321"/>
      <c r="M65" s="369"/>
      <c r="N65" s="337" t="str">
        <f t="shared" si="2"/>
        <v/>
      </c>
    </row>
    <row r="66" spans="5:14" ht="14.25">
      <c r="E66" s="295"/>
      <c r="F66" s="321"/>
      <c r="M66" s="369"/>
      <c r="N66" s="337" t="str">
        <f t="shared" si="2"/>
        <v/>
      </c>
    </row>
    <row r="67" spans="5:14" ht="14.25">
      <c r="E67" s="295"/>
      <c r="F67" s="321"/>
      <c r="M67" s="369"/>
      <c r="N67" s="337" t="str">
        <f t="shared" si="2"/>
        <v/>
      </c>
    </row>
    <row r="68" spans="5:14" ht="14.25">
      <c r="E68" s="295"/>
      <c r="F68" s="321"/>
      <c r="M68" s="369"/>
      <c r="N68" s="337" t="str">
        <f t="shared" si="2"/>
        <v/>
      </c>
    </row>
    <row r="69" spans="5:14" ht="14.25">
      <c r="E69" s="295"/>
      <c r="F69" s="321"/>
      <c r="M69" s="369"/>
      <c r="N69" s="337" t="str">
        <f t="shared" si="2"/>
        <v/>
      </c>
    </row>
    <row r="70" spans="5:14" ht="14.25">
      <c r="E70" s="295"/>
      <c r="F70" s="321"/>
      <c r="M70" s="369"/>
      <c r="N70" s="337" t="str">
        <f t="shared" si="2"/>
        <v/>
      </c>
    </row>
    <row r="71" spans="5:14" ht="14.25">
      <c r="E71" s="295"/>
      <c r="F71" s="321"/>
      <c r="M71" s="369"/>
      <c r="N71" s="337" t="str">
        <f t="shared" si="2"/>
        <v/>
      </c>
    </row>
    <row r="72" spans="5:14" ht="14.25">
      <c r="E72" s="295"/>
      <c r="F72" s="321"/>
      <c r="M72" s="369"/>
      <c r="N72" s="337" t="str">
        <f t="shared" si="2"/>
        <v/>
      </c>
    </row>
    <row r="73" spans="5:14" ht="14.25">
      <c r="E73" s="295"/>
      <c r="F73" s="321"/>
      <c r="M73" s="369"/>
      <c r="N73" s="337" t="str">
        <f t="shared" ref="N73:N77" si="17">IF(I73=0,"",M73/I73*100)</f>
        <v/>
      </c>
    </row>
    <row r="74" spans="5:14" ht="14.25">
      <c r="E74" s="295"/>
      <c r="F74" s="295"/>
      <c r="M74" s="369"/>
      <c r="N74" s="337" t="str">
        <f t="shared" si="17"/>
        <v/>
      </c>
    </row>
    <row r="75" spans="5:14" ht="14.25">
      <c r="E75" s="295"/>
      <c r="F75" s="295"/>
      <c r="M75" s="369"/>
      <c r="N75" s="337" t="str">
        <f t="shared" si="17"/>
        <v/>
      </c>
    </row>
    <row r="76" spans="5:14" ht="14.25">
      <c r="E76" s="295"/>
      <c r="F76" s="295"/>
      <c r="M76" s="369"/>
      <c r="N76" s="337" t="str">
        <f t="shared" si="17"/>
        <v/>
      </c>
    </row>
    <row r="77" spans="5:14" ht="14.25">
      <c r="E77" s="295"/>
      <c r="F77" s="295"/>
      <c r="M77" s="369"/>
      <c r="N77" s="337" t="str">
        <f t="shared" si="17"/>
        <v/>
      </c>
    </row>
    <row r="78" spans="5:14" ht="14.25">
      <c r="E78" s="295"/>
      <c r="F78" s="295"/>
      <c r="M78" s="369"/>
    </row>
    <row r="79" spans="5:14" ht="14.25">
      <c r="E79" s="295"/>
      <c r="F79" s="295"/>
      <c r="M79" s="369"/>
    </row>
    <row r="80" spans="5:14" ht="14.25">
      <c r="E80" s="295"/>
      <c r="F80" s="295"/>
      <c r="M80" s="369"/>
    </row>
    <row r="81" spans="5:13" ht="14.25">
      <c r="E81" s="295"/>
      <c r="F81" s="295"/>
      <c r="M81" s="369"/>
    </row>
    <row r="82" spans="5:13" ht="14.25">
      <c r="E82" s="295"/>
      <c r="F82" s="295"/>
      <c r="M82" s="369"/>
    </row>
    <row r="83" spans="5:13" ht="14.25">
      <c r="E83" s="295"/>
      <c r="F83" s="295"/>
      <c r="M83" s="369"/>
    </row>
    <row r="84" spans="5:13" ht="14.25">
      <c r="E84" s="295"/>
      <c r="F84" s="295"/>
      <c r="M84" s="369"/>
    </row>
    <row r="85" spans="5:13" ht="14.25">
      <c r="E85" s="295"/>
      <c r="F85" s="295"/>
      <c r="M85" s="369"/>
    </row>
    <row r="86" spans="5:13" ht="14.25">
      <c r="E86" s="295"/>
      <c r="F86" s="295"/>
      <c r="M86" s="369"/>
    </row>
    <row r="87" spans="5:13" ht="14.25">
      <c r="E87" s="295"/>
      <c r="F87" s="295"/>
      <c r="M87" s="369"/>
    </row>
    <row r="88" spans="5:13" ht="14.25">
      <c r="E88" s="295"/>
      <c r="F88" s="295"/>
      <c r="M88" s="369"/>
    </row>
    <row r="89" spans="5:13" ht="14.25">
      <c r="E89" s="295"/>
      <c r="F89" s="295"/>
      <c r="M89" s="369"/>
    </row>
    <row r="90" spans="5:13" ht="14.25">
      <c r="E90" s="295"/>
      <c r="F90" s="295"/>
      <c r="M90" s="369"/>
    </row>
    <row r="91" spans="5:13">
      <c r="F91" s="295"/>
    </row>
    <row r="92" spans="5:13">
      <c r="F92" s="295"/>
    </row>
    <row r="93" spans="5:13">
      <c r="F93" s="295"/>
    </row>
    <row r="94" spans="5:13">
      <c r="F94" s="295"/>
    </row>
    <row r="95" spans="5:13">
      <c r="F95" s="295"/>
    </row>
    <row r="96" spans="5:13">
      <c r="F96" s="295"/>
    </row>
  </sheetData>
  <mergeCells count="12">
    <mergeCell ref="N4:N5"/>
    <mergeCell ref="G4:G5"/>
    <mergeCell ref="B2:J2"/>
    <mergeCell ref="B4:B5"/>
    <mergeCell ref="C4:C5"/>
    <mergeCell ref="D4:D5"/>
    <mergeCell ref="F4:F5"/>
    <mergeCell ref="E4:E5"/>
    <mergeCell ref="K4:M4"/>
    <mergeCell ref="H4:H5"/>
    <mergeCell ref="I4:I5"/>
    <mergeCell ref="J4:J5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46"/>
  <dimension ref="A1:P96"/>
  <sheetViews>
    <sheetView topLeftCell="A19" zoomScaleNormal="100" workbookViewId="0">
      <selection activeCell="G56" sqref="G56"/>
    </sheetView>
  </sheetViews>
  <sheetFormatPr defaultRowHeight="12.75"/>
  <cols>
    <col min="1" max="1" width="9.140625" style="272"/>
    <col min="2" max="2" width="4.7109375" style="9" customWidth="1"/>
    <col min="3" max="3" width="5.140625" style="9" customWidth="1"/>
    <col min="4" max="4" width="5" style="9" customWidth="1"/>
    <col min="5" max="5" width="8.7109375" style="17" customWidth="1"/>
    <col min="6" max="6" width="8.7109375" style="277" customWidth="1"/>
    <col min="7" max="7" width="50.7109375" style="9" customWidth="1"/>
    <col min="8" max="8" width="14.7109375" style="510" customWidth="1"/>
    <col min="9" max="9" width="14.7109375" style="272" customWidth="1"/>
    <col min="10" max="10" width="15.7109375" style="510" customWidth="1"/>
    <col min="11" max="12" width="14.7109375" style="272" customWidth="1"/>
    <col min="13" max="13" width="15.7109375" style="272" customWidth="1"/>
    <col min="14" max="14" width="7.7109375" style="337" customWidth="1"/>
    <col min="15" max="16384" width="9.140625" style="9"/>
  </cols>
  <sheetData>
    <row r="1" spans="1:16" ht="13.5" thickBot="1"/>
    <row r="2" spans="1:16" s="93" customFormat="1" ht="20.100000000000001" customHeight="1" thickTop="1" thickBot="1">
      <c r="B2" s="725" t="s">
        <v>546</v>
      </c>
      <c r="C2" s="726"/>
      <c r="D2" s="726"/>
      <c r="E2" s="726"/>
      <c r="F2" s="726"/>
      <c r="G2" s="726"/>
      <c r="H2" s="726"/>
      <c r="I2" s="726"/>
      <c r="J2" s="726"/>
      <c r="K2" s="487"/>
      <c r="L2" s="487"/>
      <c r="M2" s="487"/>
      <c r="N2" s="366"/>
    </row>
    <row r="3" spans="1:16" s="1" customFormat="1" ht="8.1" customHeight="1" thickTop="1" thickBot="1">
      <c r="A3" s="269"/>
      <c r="E3" s="2"/>
      <c r="F3" s="270"/>
      <c r="G3" s="488"/>
      <c r="H3" s="511"/>
      <c r="I3" s="87"/>
      <c r="J3" s="511"/>
      <c r="K3" s="87"/>
      <c r="L3" s="87"/>
      <c r="M3" s="87"/>
      <c r="N3" s="331"/>
    </row>
    <row r="4" spans="1:16" s="1" customFormat="1" ht="39" customHeight="1">
      <c r="A4" s="269"/>
      <c r="B4" s="728" t="s">
        <v>78</v>
      </c>
      <c r="C4" s="746" t="s">
        <v>79</v>
      </c>
      <c r="D4" s="747" t="s">
        <v>110</v>
      </c>
      <c r="E4" s="748" t="s">
        <v>594</v>
      </c>
      <c r="F4" s="733" t="s">
        <v>650</v>
      </c>
      <c r="G4" s="734" t="s">
        <v>80</v>
      </c>
      <c r="H4" s="740" t="s">
        <v>644</v>
      </c>
      <c r="I4" s="742" t="s">
        <v>821</v>
      </c>
      <c r="J4" s="744" t="s">
        <v>822</v>
      </c>
      <c r="K4" s="749" t="s">
        <v>863</v>
      </c>
      <c r="L4" s="738"/>
      <c r="M4" s="739"/>
      <c r="N4" s="735" t="s">
        <v>823</v>
      </c>
    </row>
    <row r="5" spans="1:16" s="269" customFormat="1" ht="27" customHeight="1">
      <c r="B5" s="729"/>
      <c r="C5" s="731"/>
      <c r="D5" s="731"/>
      <c r="E5" s="722"/>
      <c r="F5" s="731"/>
      <c r="G5" s="722"/>
      <c r="H5" s="741"/>
      <c r="I5" s="743"/>
      <c r="J5" s="745"/>
      <c r="K5" s="540" t="s">
        <v>701</v>
      </c>
      <c r="L5" s="359" t="s">
        <v>702</v>
      </c>
      <c r="M5" s="541" t="s">
        <v>413</v>
      </c>
      <c r="N5" s="736"/>
    </row>
    <row r="6" spans="1:16" s="2" customFormat="1" ht="12.95" customHeight="1">
      <c r="A6" s="270"/>
      <c r="B6" s="464">
        <v>1</v>
      </c>
      <c r="C6" s="318">
        <v>2</v>
      </c>
      <c r="D6" s="318">
        <v>3</v>
      </c>
      <c r="E6" s="318">
        <v>4</v>
      </c>
      <c r="F6" s="318">
        <v>5</v>
      </c>
      <c r="G6" s="318">
        <v>6</v>
      </c>
      <c r="H6" s="512">
        <v>7</v>
      </c>
      <c r="I6" s="318">
        <v>8</v>
      </c>
      <c r="J6" s="561">
        <v>9</v>
      </c>
      <c r="K6" s="464">
        <v>10</v>
      </c>
      <c r="L6" s="318">
        <v>11</v>
      </c>
      <c r="M6" s="542" t="s">
        <v>703</v>
      </c>
      <c r="N6" s="465">
        <v>13</v>
      </c>
    </row>
    <row r="7" spans="1:16" s="2" customFormat="1" ht="12.95" customHeight="1">
      <c r="A7" s="270"/>
      <c r="B7" s="6" t="s">
        <v>119</v>
      </c>
      <c r="C7" s="7" t="s">
        <v>81</v>
      </c>
      <c r="D7" s="7" t="s">
        <v>146</v>
      </c>
      <c r="E7" s="5"/>
      <c r="F7" s="271"/>
      <c r="G7" s="5"/>
      <c r="H7" s="513"/>
      <c r="I7" s="271"/>
      <c r="J7" s="568"/>
      <c r="K7" s="4"/>
      <c r="L7" s="271"/>
      <c r="M7" s="570"/>
      <c r="N7" s="332"/>
    </row>
    <row r="8" spans="1:16" s="1" customFormat="1" ht="12.95" customHeight="1">
      <c r="A8" s="269"/>
      <c r="B8" s="12"/>
      <c r="C8" s="8"/>
      <c r="D8" s="8"/>
      <c r="E8" s="292">
        <v>611000</v>
      </c>
      <c r="F8" s="318"/>
      <c r="G8" s="8" t="s">
        <v>163</v>
      </c>
      <c r="H8" s="514">
        <f t="shared" ref="H8:I8" si="0">SUM(H9:H12)</f>
        <v>169880</v>
      </c>
      <c r="I8" s="514">
        <f t="shared" si="0"/>
        <v>169880</v>
      </c>
      <c r="J8" s="563">
        <v>125753</v>
      </c>
      <c r="K8" s="590">
        <f t="shared" ref="K8:M8" si="1">SUM(K9:K12)</f>
        <v>172250</v>
      </c>
      <c r="L8" s="212">
        <f t="shared" si="1"/>
        <v>0</v>
      </c>
      <c r="M8" s="546">
        <f t="shared" si="1"/>
        <v>172250</v>
      </c>
      <c r="N8" s="333">
        <f>IF(I8=0,"",M8/I8*100)</f>
        <v>101.39510242524135</v>
      </c>
    </row>
    <row r="9" spans="1:16" ht="12.95" customHeight="1">
      <c r="B9" s="10"/>
      <c r="C9" s="11"/>
      <c r="D9" s="11"/>
      <c r="E9" s="293">
        <v>611100</v>
      </c>
      <c r="F9" s="319"/>
      <c r="G9" s="18" t="s">
        <v>198</v>
      </c>
      <c r="H9" s="515">
        <v>133400</v>
      </c>
      <c r="I9" s="515">
        <v>133400</v>
      </c>
      <c r="J9" s="564">
        <v>99748</v>
      </c>
      <c r="K9" s="592">
        <v>133400</v>
      </c>
      <c r="L9" s="213">
        <v>0</v>
      </c>
      <c r="M9" s="548">
        <f>SUM(K9:L9)</f>
        <v>133400</v>
      </c>
      <c r="N9" s="334">
        <f t="shared" ref="N9:N72" si="2">IF(I9=0,"",M9/I9*100)</f>
        <v>100</v>
      </c>
      <c r="O9" s="54"/>
    </row>
    <row r="10" spans="1:16" ht="12.95" customHeight="1">
      <c r="B10" s="10"/>
      <c r="C10" s="11"/>
      <c r="D10" s="11"/>
      <c r="E10" s="293">
        <v>611200</v>
      </c>
      <c r="F10" s="319"/>
      <c r="G10" s="11" t="s">
        <v>199</v>
      </c>
      <c r="H10" s="515">
        <v>36480</v>
      </c>
      <c r="I10" s="515">
        <v>36480</v>
      </c>
      <c r="J10" s="564">
        <v>26005</v>
      </c>
      <c r="K10" s="592">
        <f>35300+1800+7*250</f>
        <v>38850</v>
      </c>
      <c r="L10" s="213">
        <v>0</v>
      </c>
      <c r="M10" s="548">
        <f t="shared" ref="M10:M11" si="3">SUM(K10:L10)</f>
        <v>38850</v>
      </c>
      <c r="N10" s="334">
        <f t="shared" si="2"/>
        <v>106.49671052631579</v>
      </c>
      <c r="O10" s="56"/>
    </row>
    <row r="11" spans="1:16" ht="12.95" customHeight="1">
      <c r="B11" s="10"/>
      <c r="C11" s="11"/>
      <c r="D11" s="11"/>
      <c r="E11" s="293">
        <v>611200</v>
      </c>
      <c r="F11" s="319"/>
      <c r="G11" s="180" t="s">
        <v>534</v>
      </c>
      <c r="H11" s="515">
        <f t="shared" ref="H11:I11" si="4">SUM(F11:G11)</f>
        <v>0</v>
      </c>
      <c r="I11" s="515">
        <f t="shared" si="4"/>
        <v>0</v>
      </c>
      <c r="J11" s="564">
        <v>0</v>
      </c>
      <c r="K11" s="592">
        <v>0</v>
      </c>
      <c r="L11" s="213">
        <v>0</v>
      </c>
      <c r="M11" s="548">
        <f t="shared" si="3"/>
        <v>0</v>
      </c>
      <c r="N11" s="334" t="str">
        <f t="shared" si="2"/>
        <v/>
      </c>
      <c r="P11" s="53"/>
    </row>
    <row r="12" spans="1:16" ht="12.95" customHeight="1">
      <c r="B12" s="10"/>
      <c r="C12" s="11"/>
      <c r="D12" s="11"/>
      <c r="E12" s="293"/>
      <c r="F12" s="319"/>
      <c r="G12" s="18"/>
      <c r="H12" s="515"/>
      <c r="I12" s="515"/>
      <c r="J12" s="564"/>
      <c r="K12" s="592"/>
      <c r="L12" s="213"/>
      <c r="M12" s="548"/>
      <c r="N12" s="334" t="str">
        <f t="shared" si="2"/>
        <v/>
      </c>
    </row>
    <row r="13" spans="1:16" s="1" customFormat="1" ht="12.95" customHeight="1">
      <c r="A13" s="269"/>
      <c r="B13" s="12"/>
      <c r="C13" s="8"/>
      <c r="D13" s="8"/>
      <c r="E13" s="292">
        <v>612000</v>
      </c>
      <c r="F13" s="318"/>
      <c r="G13" s="8" t="s">
        <v>162</v>
      </c>
      <c r="H13" s="514">
        <f t="shared" ref="H13:M13" si="5">H14</f>
        <v>14260</v>
      </c>
      <c r="I13" s="514">
        <f t="shared" si="5"/>
        <v>14260</v>
      </c>
      <c r="J13" s="563">
        <v>10567</v>
      </c>
      <c r="K13" s="590">
        <f t="shared" si="5"/>
        <v>14300</v>
      </c>
      <c r="L13" s="212">
        <f t="shared" si="5"/>
        <v>0</v>
      </c>
      <c r="M13" s="546">
        <f t="shared" si="5"/>
        <v>14300</v>
      </c>
      <c r="N13" s="333">
        <f t="shared" si="2"/>
        <v>100.28050490883591</v>
      </c>
    </row>
    <row r="14" spans="1:16" ht="12.95" customHeight="1">
      <c r="B14" s="10"/>
      <c r="C14" s="11"/>
      <c r="D14" s="11"/>
      <c r="E14" s="293">
        <v>612100</v>
      </c>
      <c r="F14" s="319"/>
      <c r="G14" s="13" t="s">
        <v>83</v>
      </c>
      <c r="H14" s="515">
        <v>14260</v>
      </c>
      <c r="I14" s="515">
        <v>14260</v>
      </c>
      <c r="J14" s="564">
        <v>10567</v>
      </c>
      <c r="K14" s="592">
        <v>14300</v>
      </c>
      <c r="L14" s="213">
        <v>0</v>
      </c>
      <c r="M14" s="548">
        <f>SUM(K14:L14)</f>
        <v>14300</v>
      </c>
      <c r="N14" s="334">
        <f t="shared" si="2"/>
        <v>100.28050490883591</v>
      </c>
    </row>
    <row r="15" spans="1:16" ht="12.95" customHeight="1">
      <c r="B15" s="10"/>
      <c r="C15" s="11"/>
      <c r="D15" s="11"/>
      <c r="E15" s="293"/>
      <c r="F15" s="319"/>
      <c r="G15" s="11"/>
      <c r="H15" s="516"/>
      <c r="I15" s="516"/>
      <c r="J15" s="566"/>
      <c r="K15" s="578"/>
      <c r="L15" s="267"/>
      <c r="M15" s="551"/>
      <c r="N15" s="334" t="str">
        <f t="shared" si="2"/>
        <v/>
      </c>
    </row>
    <row r="16" spans="1:16" s="1" customFormat="1" ht="12.95" customHeight="1">
      <c r="A16" s="269"/>
      <c r="B16" s="12"/>
      <c r="C16" s="8"/>
      <c r="D16" s="8"/>
      <c r="E16" s="292">
        <v>613000</v>
      </c>
      <c r="F16" s="318"/>
      <c r="G16" s="8" t="s">
        <v>164</v>
      </c>
      <c r="H16" s="262">
        <f t="shared" ref="H16:I16" si="6">SUM(H17:H26)</f>
        <v>11700</v>
      </c>
      <c r="I16" s="262">
        <f t="shared" si="6"/>
        <v>11700</v>
      </c>
      <c r="J16" s="565">
        <v>4200</v>
      </c>
      <c r="K16" s="552">
        <f t="shared" ref="K16:M16" si="7">SUM(K17:K26)</f>
        <v>11400</v>
      </c>
      <c r="L16" s="281">
        <f t="shared" si="7"/>
        <v>0</v>
      </c>
      <c r="M16" s="553">
        <f t="shared" si="7"/>
        <v>11400</v>
      </c>
      <c r="N16" s="333">
        <f t="shared" si="2"/>
        <v>97.435897435897431</v>
      </c>
    </row>
    <row r="17" spans="1:14" ht="12.95" customHeight="1">
      <c r="B17" s="10"/>
      <c r="C17" s="11"/>
      <c r="D17" s="11"/>
      <c r="E17" s="293">
        <v>613100</v>
      </c>
      <c r="F17" s="319"/>
      <c r="G17" s="11" t="s">
        <v>84</v>
      </c>
      <c r="H17" s="515">
        <v>6000</v>
      </c>
      <c r="I17" s="515">
        <v>6000</v>
      </c>
      <c r="J17" s="564">
        <v>3081</v>
      </c>
      <c r="K17" s="572">
        <v>5500</v>
      </c>
      <c r="L17" s="351">
        <v>0</v>
      </c>
      <c r="M17" s="548">
        <f t="shared" ref="M17:M26" si="8">SUM(K17:L17)</f>
        <v>5500</v>
      </c>
      <c r="N17" s="334">
        <f t="shared" si="2"/>
        <v>91.666666666666657</v>
      </c>
    </row>
    <row r="18" spans="1:14" ht="12.95" customHeight="1">
      <c r="B18" s="10"/>
      <c r="C18" s="11"/>
      <c r="D18" s="11"/>
      <c r="E18" s="293">
        <v>613200</v>
      </c>
      <c r="F18" s="319"/>
      <c r="G18" s="11" t="s">
        <v>85</v>
      </c>
      <c r="H18" s="515">
        <f t="shared" ref="H18:I26" si="9">SUM(F18:G18)</f>
        <v>0</v>
      </c>
      <c r="I18" s="515">
        <f t="shared" si="9"/>
        <v>0</v>
      </c>
      <c r="J18" s="564">
        <v>0</v>
      </c>
      <c r="K18" s="571">
        <v>0</v>
      </c>
      <c r="L18" s="349">
        <v>0</v>
      </c>
      <c r="M18" s="548">
        <f t="shared" si="8"/>
        <v>0</v>
      </c>
      <c r="N18" s="334" t="str">
        <f t="shared" si="2"/>
        <v/>
      </c>
    </row>
    <row r="19" spans="1:14" ht="12.95" customHeight="1">
      <c r="B19" s="10"/>
      <c r="C19" s="11"/>
      <c r="D19" s="11"/>
      <c r="E19" s="293">
        <v>613300</v>
      </c>
      <c r="F19" s="319"/>
      <c r="G19" s="18" t="s">
        <v>200</v>
      </c>
      <c r="H19" s="515">
        <v>1000</v>
      </c>
      <c r="I19" s="515">
        <v>1000</v>
      </c>
      <c r="J19" s="564">
        <v>564</v>
      </c>
      <c r="K19" s="571">
        <v>800</v>
      </c>
      <c r="L19" s="349">
        <v>0</v>
      </c>
      <c r="M19" s="548">
        <f t="shared" si="8"/>
        <v>800</v>
      </c>
      <c r="N19" s="334">
        <f t="shared" si="2"/>
        <v>80</v>
      </c>
    </row>
    <row r="20" spans="1:14" ht="12.95" customHeight="1">
      <c r="B20" s="10"/>
      <c r="C20" s="11"/>
      <c r="D20" s="11"/>
      <c r="E20" s="293">
        <v>613400</v>
      </c>
      <c r="F20" s="319"/>
      <c r="G20" s="11" t="s">
        <v>165</v>
      </c>
      <c r="H20" s="515">
        <v>1000</v>
      </c>
      <c r="I20" s="515">
        <v>1000</v>
      </c>
      <c r="J20" s="564">
        <v>0</v>
      </c>
      <c r="K20" s="572">
        <v>600</v>
      </c>
      <c r="L20" s="351">
        <v>0</v>
      </c>
      <c r="M20" s="548">
        <f t="shared" si="8"/>
        <v>600</v>
      </c>
      <c r="N20" s="334">
        <f t="shared" si="2"/>
        <v>60</v>
      </c>
    </row>
    <row r="21" spans="1:14" ht="12.95" customHeight="1">
      <c r="B21" s="10"/>
      <c r="C21" s="11"/>
      <c r="D21" s="11"/>
      <c r="E21" s="293">
        <v>613500</v>
      </c>
      <c r="F21" s="319"/>
      <c r="G21" s="11" t="s">
        <v>86</v>
      </c>
      <c r="H21" s="515">
        <f t="shared" si="9"/>
        <v>0</v>
      </c>
      <c r="I21" s="515">
        <f t="shared" si="9"/>
        <v>0</v>
      </c>
      <c r="J21" s="564">
        <v>0</v>
      </c>
      <c r="K21" s="571">
        <v>0</v>
      </c>
      <c r="L21" s="349">
        <v>0</v>
      </c>
      <c r="M21" s="548">
        <f t="shared" si="8"/>
        <v>0</v>
      </c>
      <c r="N21" s="334" t="str">
        <f t="shared" si="2"/>
        <v/>
      </c>
    </row>
    <row r="22" spans="1:14" ht="12.95" customHeight="1">
      <c r="B22" s="10"/>
      <c r="C22" s="11"/>
      <c r="D22" s="11"/>
      <c r="E22" s="293">
        <v>613600</v>
      </c>
      <c r="F22" s="319"/>
      <c r="G22" s="18" t="s">
        <v>201</v>
      </c>
      <c r="H22" s="515">
        <f t="shared" si="9"/>
        <v>0</v>
      </c>
      <c r="I22" s="515">
        <f t="shared" si="9"/>
        <v>0</v>
      </c>
      <c r="J22" s="564">
        <v>0</v>
      </c>
      <c r="K22" s="571">
        <v>0</v>
      </c>
      <c r="L22" s="349">
        <v>0</v>
      </c>
      <c r="M22" s="548">
        <f t="shared" si="8"/>
        <v>0</v>
      </c>
      <c r="N22" s="334" t="str">
        <f t="shared" si="2"/>
        <v/>
      </c>
    </row>
    <row r="23" spans="1:14" ht="12.95" customHeight="1">
      <c r="B23" s="10"/>
      <c r="C23" s="11"/>
      <c r="D23" s="11"/>
      <c r="E23" s="293">
        <v>613700</v>
      </c>
      <c r="F23" s="319"/>
      <c r="G23" s="11" t="s">
        <v>87</v>
      </c>
      <c r="H23" s="515">
        <v>1200</v>
      </c>
      <c r="I23" s="515">
        <v>1200</v>
      </c>
      <c r="J23" s="564">
        <v>97</v>
      </c>
      <c r="K23" s="571">
        <v>1000</v>
      </c>
      <c r="L23" s="349">
        <v>0</v>
      </c>
      <c r="M23" s="548">
        <f t="shared" si="8"/>
        <v>1000</v>
      </c>
      <c r="N23" s="334">
        <f t="shared" si="2"/>
        <v>83.333333333333343</v>
      </c>
    </row>
    <row r="24" spans="1:14" ht="12.95" customHeight="1">
      <c r="B24" s="10"/>
      <c r="C24" s="11"/>
      <c r="D24" s="11"/>
      <c r="E24" s="293">
        <v>613800</v>
      </c>
      <c r="F24" s="319"/>
      <c r="G24" s="11" t="s">
        <v>166</v>
      </c>
      <c r="H24" s="515">
        <f t="shared" si="9"/>
        <v>0</v>
      </c>
      <c r="I24" s="515">
        <f t="shared" si="9"/>
        <v>0</v>
      </c>
      <c r="J24" s="564">
        <v>0</v>
      </c>
      <c r="K24" s="571">
        <v>0</v>
      </c>
      <c r="L24" s="349">
        <v>0</v>
      </c>
      <c r="M24" s="548">
        <f t="shared" si="8"/>
        <v>0</v>
      </c>
      <c r="N24" s="334" t="str">
        <f t="shared" si="2"/>
        <v/>
      </c>
    </row>
    <row r="25" spans="1:14" ht="12.95" customHeight="1">
      <c r="B25" s="10"/>
      <c r="C25" s="11"/>
      <c r="D25" s="11"/>
      <c r="E25" s="293">
        <v>613900</v>
      </c>
      <c r="F25" s="319"/>
      <c r="G25" s="11" t="s">
        <v>167</v>
      </c>
      <c r="H25" s="515">
        <v>2500</v>
      </c>
      <c r="I25" s="515">
        <v>2500</v>
      </c>
      <c r="J25" s="564">
        <v>458</v>
      </c>
      <c r="K25" s="572">
        <v>3500</v>
      </c>
      <c r="L25" s="351">
        <v>0</v>
      </c>
      <c r="M25" s="548">
        <f t="shared" si="8"/>
        <v>3500</v>
      </c>
      <c r="N25" s="334">
        <f t="shared" si="2"/>
        <v>140</v>
      </c>
    </row>
    <row r="26" spans="1:14" ht="12.95" customHeight="1">
      <c r="B26" s="10"/>
      <c r="C26" s="11"/>
      <c r="D26" s="11"/>
      <c r="E26" s="293">
        <v>613900</v>
      </c>
      <c r="F26" s="319"/>
      <c r="G26" s="180" t="s">
        <v>535</v>
      </c>
      <c r="H26" s="515">
        <f t="shared" si="9"/>
        <v>0</v>
      </c>
      <c r="I26" s="515">
        <f t="shared" si="9"/>
        <v>0</v>
      </c>
      <c r="J26" s="564">
        <v>0</v>
      </c>
      <c r="K26" s="555">
        <v>0</v>
      </c>
      <c r="L26" s="352">
        <v>0</v>
      </c>
      <c r="M26" s="548">
        <f t="shared" si="8"/>
        <v>0</v>
      </c>
      <c r="N26" s="334" t="str">
        <f t="shared" si="2"/>
        <v/>
      </c>
    </row>
    <row r="27" spans="1:14" s="1" customFormat="1" ht="12.95" customHeight="1">
      <c r="A27" s="269"/>
      <c r="B27" s="12"/>
      <c r="C27" s="8"/>
      <c r="D27" s="8"/>
      <c r="E27" s="303"/>
      <c r="F27" s="330"/>
      <c r="G27" s="8"/>
      <c r="H27" s="516"/>
      <c r="I27" s="516"/>
      <c r="J27" s="566"/>
      <c r="K27" s="573"/>
      <c r="L27" s="268"/>
      <c r="M27" s="551"/>
      <c r="N27" s="334" t="str">
        <f t="shared" si="2"/>
        <v/>
      </c>
    </row>
    <row r="28" spans="1:14" s="1" customFormat="1" ht="12.95" customHeight="1">
      <c r="A28" s="269"/>
      <c r="B28" s="12"/>
      <c r="C28" s="8"/>
      <c r="D28" s="8"/>
      <c r="E28" s="292">
        <v>821000</v>
      </c>
      <c r="F28" s="318"/>
      <c r="G28" s="8" t="s">
        <v>90</v>
      </c>
      <c r="H28" s="262">
        <f t="shared" ref="H28:I28" si="10">SUM(H29:H30)</f>
        <v>1000</v>
      </c>
      <c r="I28" s="262">
        <f t="shared" si="10"/>
        <v>1000</v>
      </c>
      <c r="J28" s="565">
        <v>0</v>
      </c>
      <c r="K28" s="557">
        <f t="shared" ref="K28:M28" si="11">SUM(K29:K30)</f>
        <v>1500</v>
      </c>
      <c r="L28" s="282">
        <f t="shared" si="11"/>
        <v>0</v>
      </c>
      <c r="M28" s="553">
        <f t="shared" si="11"/>
        <v>1500</v>
      </c>
      <c r="N28" s="333">
        <f t="shared" si="2"/>
        <v>150</v>
      </c>
    </row>
    <row r="29" spans="1:14" ht="12.95" customHeight="1">
      <c r="B29" s="10"/>
      <c r="C29" s="11"/>
      <c r="D29" s="11"/>
      <c r="E29" s="293">
        <v>821200</v>
      </c>
      <c r="F29" s="319"/>
      <c r="G29" s="11" t="s">
        <v>91</v>
      </c>
      <c r="H29" s="515">
        <f t="shared" ref="H29:I29" si="12">SUM(F29:G29)</f>
        <v>0</v>
      </c>
      <c r="I29" s="515">
        <f t="shared" si="12"/>
        <v>0</v>
      </c>
      <c r="J29" s="564">
        <v>0</v>
      </c>
      <c r="K29" s="573">
        <v>0</v>
      </c>
      <c r="L29" s="268">
        <v>0</v>
      </c>
      <c r="M29" s="548">
        <f t="shared" ref="M29:M30" si="13">SUM(K29:L29)</f>
        <v>0</v>
      </c>
      <c r="N29" s="334" t="str">
        <f t="shared" si="2"/>
        <v/>
      </c>
    </row>
    <row r="30" spans="1:14" ht="12.95" customHeight="1">
      <c r="B30" s="10"/>
      <c r="C30" s="11"/>
      <c r="D30" s="11"/>
      <c r="E30" s="293">
        <v>821300</v>
      </c>
      <c r="F30" s="319"/>
      <c r="G30" s="11" t="s">
        <v>92</v>
      </c>
      <c r="H30" s="515">
        <v>1000</v>
      </c>
      <c r="I30" s="515">
        <v>1000</v>
      </c>
      <c r="J30" s="564">
        <v>0</v>
      </c>
      <c r="K30" s="573">
        <v>1500</v>
      </c>
      <c r="L30" s="268">
        <v>0</v>
      </c>
      <c r="M30" s="548">
        <f t="shared" si="13"/>
        <v>1500</v>
      </c>
      <c r="N30" s="334">
        <f t="shared" si="2"/>
        <v>150</v>
      </c>
    </row>
    <row r="31" spans="1:14" ht="12.95" customHeight="1">
      <c r="B31" s="10"/>
      <c r="C31" s="11"/>
      <c r="D31" s="11"/>
      <c r="E31" s="293"/>
      <c r="F31" s="319"/>
      <c r="G31" s="11"/>
      <c r="H31" s="516"/>
      <c r="I31" s="516"/>
      <c r="J31" s="566"/>
      <c r="K31" s="578"/>
      <c r="L31" s="267"/>
      <c r="M31" s="551"/>
      <c r="N31" s="334" t="str">
        <f t="shared" si="2"/>
        <v/>
      </c>
    </row>
    <row r="32" spans="1:14" s="1" customFormat="1" ht="12.95" customHeight="1">
      <c r="A32" s="269"/>
      <c r="B32" s="12"/>
      <c r="C32" s="8"/>
      <c r="D32" s="8"/>
      <c r="E32" s="292"/>
      <c r="F32" s="318"/>
      <c r="G32" s="8" t="s">
        <v>93</v>
      </c>
      <c r="H32" s="262">
        <v>7</v>
      </c>
      <c r="I32" s="262">
        <v>7</v>
      </c>
      <c r="J32" s="565">
        <v>7</v>
      </c>
      <c r="K32" s="557">
        <v>7</v>
      </c>
      <c r="L32" s="282"/>
      <c r="M32" s="553">
        <v>7</v>
      </c>
      <c r="N32" s="334"/>
    </row>
    <row r="33" spans="1:14" s="1" customFormat="1" ht="12.95" customHeight="1">
      <c r="A33" s="269"/>
      <c r="B33" s="12"/>
      <c r="C33" s="8"/>
      <c r="D33" s="8"/>
      <c r="E33" s="292"/>
      <c r="F33" s="318"/>
      <c r="G33" s="8" t="s">
        <v>113</v>
      </c>
      <c r="H33" s="262">
        <f t="shared" ref="H33:M33" si="14">H8+H13+H16+H28</f>
        <v>196840</v>
      </c>
      <c r="I33" s="276">
        <f t="shared" si="14"/>
        <v>196840</v>
      </c>
      <c r="J33" s="565">
        <f t="shared" si="14"/>
        <v>140520</v>
      </c>
      <c r="K33" s="558">
        <f t="shared" si="14"/>
        <v>199450</v>
      </c>
      <c r="L33" s="276">
        <f t="shared" si="14"/>
        <v>0</v>
      </c>
      <c r="M33" s="553">
        <f t="shared" si="14"/>
        <v>199450</v>
      </c>
      <c r="N33" s="333">
        <f t="shared" si="2"/>
        <v>101.32595001016054</v>
      </c>
    </row>
    <row r="34" spans="1:14" s="1" customFormat="1" ht="12.95" customHeight="1">
      <c r="A34" s="269"/>
      <c r="B34" s="12"/>
      <c r="C34" s="8"/>
      <c r="D34" s="8"/>
      <c r="E34" s="292"/>
      <c r="F34" s="318"/>
      <c r="G34" s="8" t="s">
        <v>94</v>
      </c>
      <c r="H34" s="262">
        <f>H33+'6'!H33+'5'!H33+'4'!H36+'3'!H56</f>
        <v>2719070</v>
      </c>
      <c r="I34" s="276">
        <f>I33+'6'!I33+'5'!I33+'4'!I36+'3'!I56</f>
        <v>2719070</v>
      </c>
      <c r="J34" s="565">
        <f>J33+'6'!J33+'5'!J33+'4'!J36+'3'!J56</f>
        <v>1659798</v>
      </c>
      <c r="K34" s="558">
        <f>K33+'6'!K33+'5'!K33+'4'!K36+'3'!K56</f>
        <v>2757370</v>
      </c>
      <c r="L34" s="276">
        <f>L33+'6'!L33+'5'!L33+'4'!L36+'3'!L56</f>
        <v>0</v>
      </c>
      <c r="M34" s="553">
        <f>M33+'6'!M33+'5'!M33+'4'!M36+'3'!M56</f>
        <v>2757370</v>
      </c>
      <c r="N34" s="333">
        <f t="shared" si="2"/>
        <v>101.40856984189448</v>
      </c>
    </row>
    <row r="35" spans="1:14" s="1" customFormat="1" ht="12.95" customHeight="1">
      <c r="A35" s="269"/>
      <c r="B35" s="12"/>
      <c r="C35" s="8"/>
      <c r="D35" s="8"/>
      <c r="E35" s="292"/>
      <c r="F35" s="318"/>
      <c r="G35" s="8" t="s">
        <v>95</v>
      </c>
      <c r="H35" s="262">
        <f t="shared" ref="H35:M35" si="15">H34</f>
        <v>2719070</v>
      </c>
      <c r="I35" s="276">
        <f t="shared" si="15"/>
        <v>2719070</v>
      </c>
      <c r="J35" s="565">
        <f t="shared" si="15"/>
        <v>1659798</v>
      </c>
      <c r="K35" s="558">
        <f t="shared" si="15"/>
        <v>2757370</v>
      </c>
      <c r="L35" s="276">
        <f t="shared" si="15"/>
        <v>0</v>
      </c>
      <c r="M35" s="553">
        <f t="shared" si="15"/>
        <v>2757370</v>
      </c>
      <c r="N35" s="333">
        <f t="shared" si="2"/>
        <v>101.40856984189448</v>
      </c>
    </row>
    <row r="36" spans="1:14" ht="12.95" customHeight="1" thickBot="1">
      <c r="B36" s="15"/>
      <c r="C36" s="16"/>
      <c r="D36" s="16"/>
      <c r="E36" s="294"/>
      <c r="F36" s="320"/>
      <c r="G36" s="16"/>
      <c r="H36" s="521"/>
      <c r="I36" s="16"/>
      <c r="J36" s="569"/>
      <c r="K36" s="15"/>
      <c r="L36" s="16"/>
      <c r="M36" s="574"/>
      <c r="N36" s="336" t="str">
        <f t="shared" si="2"/>
        <v/>
      </c>
    </row>
    <row r="37" spans="1:14" ht="12.95" customHeight="1">
      <c r="E37" s="295"/>
      <c r="F37" s="321"/>
      <c r="M37" s="369"/>
      <c r="N37" s="337" t="str">
        <f t="shared" si="2"/>
        <v/>
      </c>
    </row>
    <row r="38" spans="1:14" ht="12.95" customHeight="1">
      <c r="B38" s="48"/>
      <c r="E38" s="295"/>
      <c r="F38" s="321"/>
      <c r="M38" s="369"/>
      <c r="N38" s="337" t="str">
        <f t="shared" si="2"/>
        <v/>
      </c>
    </row>
    <row r="39" spans="1:14" ht="12.95" customHeight="1">
      <c r="B39" s="48"/>
      <c r="E39" s="295"/>
      <c r="F39" s="321"/>
      <c r="M39" s="369"/>
      <c r="N39" s="337" t="str">
        <f t="shared" si="2"/>
        <v/>
      </c>
    </row>
    <row r="40" spans="1:14" ht="12.95" customHeight="1">
      <c r="B40" s="48"/>
      <c r="E40" s="295"/>
      <c r="F40" s="321"/>
      <c r="M40" s="369"/>
      <c r="N40" s="337" t="str">
        <f t="shared" si="2"/>
        <v/>
      </c>
    </row>
    <row r="41" spans="1:14" ht="12.95" customHeight="1">
      <c r="B41" s="48"/>
      <c r="E41" s="295"/>
      <c r="F41" s="321"/>
      <c r="M41" s="369"/>
      <c r="N41" s="337" t="str">
        <f t="shared" si="2"/>
        <v/>
      </c>
    </row>
    <row r="42" spans="1:14" ht="12.95" customHeight="1">
      <c r="E42" s="295"/>
      <c r="F42" s="321"/>
      <c r="M42" s="369"/>
      <c r="N42" s="337" t="str">
        <f t="shared" si="2"/>
        <v/>
      </c>
    </row>
    <row r="43" spans="1:14" ht="12.95" customHeight="1">
      <c r="E43" s="295"/>
      <c r="F43" s="321"/>
      <c r="M43" s="369"/>
      <c r="N43" s="337" t="str">
        <f t="shared" si="2"/>
        <v/>
      </c>
    </row>
    <row r="44" spans="1:14" ht="12.95" customHeight="1">
      <c r="E44" s="295"/>
      <c r="F44" s="321"/>
      <c r="M44" s="369"/>
      <c r="N44" s="337" t="str">
        <f t="shared" si="2"/>
        <v/>
      </c>
    </row>
    <row r="45" spans="1:14" ht="12.95" customHeight="1">
      <c r="E45" s="295"/>
      <c r="F45" s="321"/>
      <c r="M45" s="369"/>
      <c r="N45" s="337" t="str">
        <f t="shared" si="2"/>
        <v/>
      </c>
    </row>
    <row r="46" spans="1:14" ht="12.95" customHeight="1">
      <c r="E46" s="295"/>
      <c r="F46" s="321"/>
      <c r="M46" s="369"/>
      <c r="N46" s="337" t="str">
        <f t="shared" si="2"/>
        <v/>
      </c>
    </row>
    <row r="47" spans="1:14" ht="12.95" customHeight="1">
      <c r="E47" s="295"/>
      <c r="F47" s="321"/>
      <c r="M47" s="369"/>
      <c r="N47" s="337" t="str">
        <f t="shared" si="2"/>
        <v/>
      </c>
    </row>
    <row r="48" spans="1:14" ht="12.95" customHeight="1">
      <c r="E48" s="295"/>
      <c r="F48" s="321"/>
      <c r="M48" s="369"/>
      <c r="N48" s="337" t="str">
        <f t="shared" si="2"/>
        <v/>
      </c>
    </row>
    <row r="49" spans="5:14" ht="12.95" customHeight="1">
      <c r="E49" s="295"/>
      <c r="F49" s="321"/>
      <c r="M49" s="369"/>
      <c r="N49" s="337" t="str">
        <f t="shared" si="2"/>
        <v/>
      </c>
    </row>
    <row r="50" spans="5:14" ht="12.95" customHeight="1">
      <c r="E50" s="295"/>
      <c r="F50" s="321"/>
      <c r="M50" s="369"/>
      <c r="N50" s="337" t="str">
        <f t="shared" si="2"/>
        <v/>
      </c>
    </row>
    <row r="51" spans="5:14" ht="12.95" customHeight="1">
      <c r="E51" s="295"/>
      <c r="F51" s="321"/>
      <c r="M51" s="369"/>
      <c r="N51" s="337" t="str">
        <f t="shared" si="2"/>
        <v/>
      </c>
    </row>
    <row r="52" spans="5:14" ht="12.95" customHeight="1">
      <c r="E52" s="295"/>
      <c r="F52" s="321"/>
      <c r="M52" s="369"/>
      <c r="N52" s="337" t="str">
        <f t="shared" si="2"/>
        <v/>
      </c>
    </row>
    <row r="53" spans="5:14" ht="12.95" customHeight="1">
      <c r="E53" s="295"/>
      <c r="F53" s="321"/>
      <c r="M53" s="369"/>
      <c r="N53" s="337" t="str">
        <f t="shared" si="2"/>
        <v/>
      </c>
    </row>
    <row r="54" spans="5:14" ht="12.95" customHeight="1">
      <c r="E54" s="295"/>
      <c r="F54" s="321"/>
      <c r="M54" s="369"/>
      <c r="N54" s="337" t="str">
        <f t="shared" si="2"/>
        <v/>
      </c>
    </row>
    <row r="55" spans="5:14" ht="12.95" customHeight="1">
      <c r="E55" s="295"/>
      <c r="F55" s="321"/>
      <c r="M55" s="369"/>
      <c r="N55" s="337" t="str">
        <f t="shared" si="2"/>
        <v/>
      </c>
    </row>
    <row r="56" spans="5:14" ht="12.95" customHeight="1">
      <c r="E56" s="295"/>
      <c r="F56" s="321"/>
      <c r="M56" s="369"/>
      <c r="N56" s="337" t="str">
        <f t="shared" si="2"/>
        <v/>
      </c>
    </row>
    <row r="57" spans="5:14" ht="12.95" customHeight="1">
      <c r="E57" s="295"/>
      <c r="F57" s="321"/>
      <c r="M57" s="369"/>
      <c r="N57" s="337" t="str">
        <f t="shared" si="2"/>
        <v/>
      </c>
    </row>
    <row r="58" spans="5:14" ht="12.95" customHeight="1">
      <c r="E58" s="295"/>
      <c r="F58" s="321"/>
      <c r="M58" s="369"/>
      <c r="N58" s="337" t="str">
        <f t="shared" si="2"/>
        <v/>
      </c>
    </row>
    <row r="59" spans="5:14" ht="12.95" customHeight="1">
      <c r="E59" s="295"/>
      <c r="F59" s="321"/>
      <c r="M59" s="369"/>
      <c r="N59" s="337" t="str">
        <f t="shared" si="2"/>
        <v/>
      </c>
    </row>
    <row r="60" spans="5:14" ht="17.100000000000001" customHeight="1">
      <c r="E60" s="295"/>
      <c r="F60" s="321"/>
      <c r="M60" s="369"/>
      <c r="N60" s="337" t="str">
        <f t="shared" si="2"/>
        <v/>
      </c>
    </row>
    <row r="61" spans="5:14" ht="14.25">
      <c r="E61" s="295"/>
      <c r="F61" s="321"/>
      <c r="M61" s="369"/>
      <c r="N61" s="337" t="str">
        <f t="shared" si="2"/>
        <v/>
      </c>
    </row>
    <row r="62" spans="5:14" ht="14.25">
      <c r="E62" s="295"/>
      <c r="F62" s="321"/>
      <c r="M62" s="369"/>
      <c r="N62" s="337" t="str">
        <f t="shared" si="2"/>
        <v/>
      </c>
    </row>
    <row r="63" spans="5:14" ht="14.25">
      <c r="E63" s="295"/>
      <c r="F63" s="321"/>
      <c r="M63" s="369"/>
      <c r="N63" s="337" t="str">
        <f t="shared" si="2"/>
        <v/>
      </c>
    </row>
    <row r="64" spans="5:14" ht="14.25">
      <c r="E64" s="295"/>
      <c r="F64" s="321"/>
      <c r="M64" s="369"/>
      <c r="N64" s="337" t="str">
        <f t="shared" si="2"/>
        <v/>
      </c>
    </row>
    <row r="65" spans="5:14" ht="14.25">
      <c r="E65" s="295"/>
      <c r="F65" s="321"/>
      <c r="M65" s="369"/>
      <c r="N65" s="337" t="str">
        <f t="shared" si="2"/>
        <v/>
      </c>
    </row>
    <row r="66" spans="5:14" ht="14.25">
      <c r="E66" s="295"/>
      <c r="F66" s="321"/>
      <c r="M66" s="369"/>
      <c r="N66" s="337" t="str">
        <f t="shared" si="2"/>
        <v/>
      </c>
    </row>
    <row r="67" spans="5:14" ht="14.25">
      <c r="E67" s="295"/>
      <c r="F67" s="321"/>
      <c r="M67" s="369"/>
      <c r="N67" s="337" t="str">
        <f t="shared" si="2"/>
        <v/>
      </c>
    </row>
    <row r="68" spans="5:14" ht="14.25">
      <c r="E68" s="295"/>
      <c r="F68" s="321"/>
      <c r="M68" s="369"/>
      <c r="N68" s="337" t="str">
        <f t="shared" si="2"/>
        <v/>
      </c>
    </row>
    <row r="69" spans="5:14" ht="14.25">
      <c r="E69" s="295"/>
      <c r="F69" s="321"/>
      <c r="M69" s="369"/>
      <c r="N69" s="337" t="str">
        <f t="shared" si="2"/>
        <v/>
      </c>
    </row>
    <row r="70" spans="5:14" ht="14.25">
      <c r="E70" s="295"/>
      <c r="F70" s="321"/>
      <c r="M70" s="369"/>
      <c r="N70" s="337" t="str">
        <f t="shared" si="2"/>
        <v/>
      </c>
    </row>
    <row r="71" spans="5:14" ht="14.25">
      <c r="E71" s="295"/>
      <c r="F71" s="321"/>
      <c r="M71" s="369"/>
      <c r="N71" s="337" t="str">
        <f t="shared" si="2"/>
        <v/>
      </c>
    </row>
    <row r="72" spans="5:14" ht="14.25">
      <c r="E72" s="295"/>
      <c r="F72" s="321"/>
      <c r="M72" s="369"/>
      <c r="N72" s="337" t="str">
        <f t="shared" si="2"/>
        <v/>
      </c>
    </row>
    <row r="73" spans="5:14" ht="14.25">
      <c r="E73" s="295"/>
      <c r="F73" s="321"/>
      <c r="M73" s="369"/>
      <c r="N73" s="337" t="str">
        <f t="shared" ref="N73:N77" si="16">IF(I73=0,"",M73/I73*100)</f>
        <v/>
      </c>
    </row>
    <row r="74" spans="5:14" ht="14.25">
      <c r="E74" s="295"/>
      <c r="F74" s="295"/>
      <c r="M74" s="369"/>
      <c r="N74" s="337" t="str">
        <f t="shared" si="16"/>
        <v/>
      </c>
    </row>
    <row r="75" spans="5:14" ht="14.25">
      <c r="E75" s="295"/>
      <c r="F75" s="295"/>
      <c r="M75" s="369"/>
      <c r="N75" s="337" t="str">
        <f t="shared" si="16"/>
        <v/>
      </c>
    </row>
    <row r="76" spans="5:14" ht="14.25">
      <c r="E76" s="295"/>
      <c r="F76" s="295"/>
      <c r="M76" s="369"/>
      <c r="N76" s="337" t="str">
        <f t="shared" si="16"/>
        <v/>
      </c>
    </row>
    <row r="77" spans="5:14" ht="14.25">
      <c r="E77" s="295"/>
      <c r="F77" s="295"/>
      <c r="M77" s="369"/>
      <c r="N77" s="337" t="str">
        <f t="shared" si="16"/>
        <v/>
      </c>
    </row>
    <row r="78" spans="5:14" ht="14.25">
      <c r="E78" s="295"/>
      <c r="F78" s="295"/>
      <c r="M78" s="369"/>
    </row>
    <row r="79" spans="5:14" ht="14.25">
      <c r="E79" s="295"/>
      <c r="F79" s="295"/>
      <c r="M79" s="369"/>
    </row>
    <row r="80" spans="5:14" ht="14.25">
      <c r="E80" s="295"/>
      <c r="F80" s="295"/>
      <c r="M80" s="369"/>
    </row>
    <row r="81" spans="5:13" ht="14.25">
      <c r="E81" s="295"/>
      <c r="F81" s="295"/>
      <c r="M81" s="369"/>
    </row>
    <row r="82" spans="5:13" ht="14.25">
      <c r="E82" s="295"/>
      <c r="F82" s="295"/>
      <c r="M82" s="369"/>
    </row>
    <row r="83" spans="5:13" ht="14.25">
      <c r="E83" s="295"/>
      <c r="F83" s="295"/>
      <c r="M83" s="369"/>
    </row>
    <row r="84" spans="5:13" ht="14.25">
      <c r="E84" s="295"/>
      <c r="F84" s="295"/>
      <c r="M84" s="369"/>
    </row>
    <row r="85" spans="5:13" ht="14.25">
      <c r="E85" s="295"/>
      <c r="F85" s="295"/>
      <c r="M85" s="369"/>
    </row>
    <row r="86" spans="5:13" ht="14.25">
      <c r="E86" s="295"/>
      <c r="F86" s="295"/>
      <c r="M86" s="369"/>
    </row>
    <row r="87" spans="5:13" ht="14.25">
      <c r="E87" s="295"/>
      <c r="F87" s="295"/>
      <c r="M87" s="369"/>
    </row>
    <row r="88" spans="5:13" ht="14.25">
      <c r="E88" s="295"/>
      <c r="F88" s="295"/>
      <c r="M88" s="369"/>
    </row>
    <row r="89" spans="5:13" ht="14.25">
      <c r="E89" s="295"/>
      <c r="F89" s="295"/>
      <c r="M89" s="369"/>
    </row>
    <row r="90" spans="5:13" ht="14.25">
      <c r="E90" s="295"/>
      <c r="F90" s="295"/>
      <c r="M90" s="369"/>
    </row>
    <row r="91" spans="5:13">
      <c r="F91" s="295"/>
    </row>
    <row r="92" spans="5:13">
      <c r="F92" s="295"/>
    </row>
    <row r="93" spans="5:13">
      <c r="F93" s="295"/>
    </row>
    <row r="94" spans="5:13">
      <c r="F94" s="295"/>
    </row>
    <row r="95" spans="5:13">
      <c r="F95" s="295"/>
    </row>
    <row r="96" spans="5:13">
      <c r="F96" s="295"/>
    </row>
  </sheetData>
  <mergeCells count="12">
    <mergeCell ref="N4:N5"/>
    <mergeCell ref="G4:G5"/>
    <mergeCell ref="B2:J2"/>
    <mergeCell ref="B4:B5"/>
    <mergeCell ref="C4:C5"/>
    <mergeCell ref="D4:D5"/>
    <mergeCell ref="F4:F5"/>
    <mergeCell ref="E4:E5"/>
    <mergeCell ref="K4:M4"/>
    <mergeCell ref="H4:H5"/>
    <mergeCell ref="I4:I5"/>
    <mergeCell ref="J4:J5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1"/>
  <dimension ref="A1:Q96"/>
  <sheetViews>
    <sheetView topLeftCell="A22" zoomScaleNormal="100" workbookViewId="0">
      <selection activeCell="K10" sqref="K10"/>
    </sheetView>
  </sheetViews>
  <sheetFormatPr defaultRowHeight="12.75"/>
  <cols>
    <col min="1" max="1" width="9.140625" style="272"/>
    <col min="2" max="2" width="4.7109375" style="9" customWidth="1"/>
    <col min="3" max="3" width="5.140625" style="9" customWidth="1"/>
    <col min="4" max="4" width="5" style="9" customWidth="1"/>
    <col min="5" max="5" width="8.7109375" style="17" customWidth="1"/>
    <col min="6" max="6" width="8.7109375" style="277" customWidth="1"/>
    <col min="7" max="7" width="50.7109375" style="9" customWidth="1"/>
    <col min="8" max="8" width="14.7109375" style="510" customWidth="1"/>
    <col min="9" max="9" width="14.7109375" style="272" customWidth="1"/>
    <col min="10" max="10" width="15.7109375" style="510" customWidth="1"/>
    <col min="11" max="12" width="14.7109375" style="272" customWidth="1"/>
    <col min="13" max="13" width="15.7109375" style="272" customWidth="1"/>
    <col min="14" max="14" width="7.7109375" style="337" customWidth="1"/>
    <col min="15" max="16384" width="9.140625" style="9"/>
  </cols>
  <sheetData>
    <row r="1" spans="1:17" ht="13.5" thickBot="1"/>
    <row r="2" spans="1:17" s="363" customFormat="1" ht="20.100000000000001" customHeight="1" thickTop="1" thickBot="1">
      <c r="B2" s="725" t="s">
        <v>126</v>
      </c>
      <c r="C2" s="726"/>
      <c r="D2" s="726"/>
      <c r="E2" s="726"/>
      <c r="F2" s="726"/>
      <c r="G2" s="726"/>
      <c r="H2" s="726"/>
      <c r="I2" s="726"/>
      <c r="J2" s="726"/>
      <c r="K2" s="487"/>
      <c r="L2" s="487"/>
      <c r="M2" s="487"/>
      <c r="N2" s="366"/>
    </row>
    <row r="3" spans="1:17" s="1" customFormat="1" ht="8.1" customHeight="1" thickTop="1" thickBot="1">
      <c r="A3" s="269"/>
      <c r="E3" s="2"/>
      <c r="F3" s="270"/>
      <c r="G3" s="488"/>
      <c r="H3" s="511"/>
      <c r="I3" s="87"/>
      <c r="J3" s="511"/>
      <c r="K3" s="87"/>
      <c r="L3" s="87"/>
      <c r="M3" s="87"/>
      <c r="N3" s="331"/>
    </row>
    <row r="4" spans="1:17" s="1" customFormat="1" ht="39" customHeight="1">
      <c r="A4" s="269"/>
      <c r="B4" s="728" t="s">
        <v>78</v>
      </c>
      <c r="C4" s="746" t="s">
        <v>79</v>
      </c>
      <c r="D4" s="747" t="s">
        <v>110</v>
      </c>
      <c r="E4" s="748" t="s">
        <v>594</v>
      </c>
      <c r="F4" s="733" t="s">
        <v>650</v>
      </c>
      <c r="G4" s="734" t="s">
        <v>80</v>
      </c>
      <c r="H4" s="740" t="s">
        <v>644</v>
      </c>
      <c r="I4" s="742" t="s">
        <v>821</v>
      </c>
      <c r="J4" s="744" t="s">
        <v>822</v>
      </c>
      <c r="K4" s="749" t="s">
        <v>863</v>
      </c>
      <c r="L4" s="738"/>
      <c r="M4" s="739"/>
      <c r="N4" s="735" t="s">
        <v>823</v>
      </c>
    </row>
    <row r="5" spans="1:17" s="269" customFormat="1" ht="27" customHeight="1">
      <c r="B5" s="729"/>
      <c r="C5" s="731"/>
      <c r="D5" s="731"/>
      <c r="E5" s="722"/>
      <c r="F5" s="731"/>
      <c r="G5" s="722"/>
      <c r="H5" s="741"/>
      <c r="I5" s="743"/>
      <c r="J5" s="745"/>
      <c r="K5" s="540" t="s">
        <v>701</v>
      </c>
      <c r="L5" s="359" t="s">
        <v>702</v>
      </c>
      <c r="M5" s="541" t="s">
        <v>413</v>
      </c>
      <c r="N5" s="736"/>
    </row>
    <row r="6" spans="1:17" s="2" customFormat="1" ht="12.95" customHeight="1">
      <c r="A6" s="270"/>
      <c r="B6" s="464">
        <v>1</v>
      </c>
      <c r="C6" s="318">
        <v>2</v>
      </c>
      <c r="D6" s="318">
        <v>3</v>
      </c>
      <c r="E6" s="318">
        <v>4</v>
      </c>
      <c r="F6" s="318">
        <v>5</v>
      </c>
      <c r="G6" s="318">
        <v>6</v>
      </c>
      <c r="H6" s="512">
        <v>7</v>
      </c>
      <c r="I6" s="318">
        <v>8</v>
      </c>
      <c r="J6" s="561">
        <v>9</v>
      </c>
      <c r="K6" s="464">
        <v>10</v>
      </c>
      <c r="L6" s="318">
        <v>11</v>
      </c>
      <c r="M6" s="542" t="s">
        <v>703</v>
      </c>
      <c r="N6" s="465">
        <v>13</v>
      </c>
    </row>
    <row r="7" spans="1:17" s="2" customFormat="1" ht="12.95" customHeight="1">
      <c r="A7" s="270"/>
      <c r="B7" s="6" t="s">
        <v>127</v>
      </c>
      <c r="C7" s="7" t="s">
        <v>81</v>
      </c>
      <c r="D7" s="7" t="s">
        <v>82</v>
      </c>
      <c r="E7" s="5"/>
      <c r="F7" s="271"/>
      <c r="G7" s="5"/>
      <c r="H7" s="513"/>
      <c r="I7" s="271"/>
      <c r="J7" s="568"/>
      <c r="K7" s="4"/>
      <c r="L7" s="271"/>
      <c r="M7" s="570"/>
      <c r="N7" s="332"/>
    </row>
    <row r="8" spans="1:17" s="1" customFormat="1" ht="12.95" customHeight="1">
      <c r="A8" s="269"/>
      <c r="B8" s="12"/>
      <c r="C8" s="8"/>
      <c r="D8" s="8"/>
      <c r="E8" s="292">
        <v>611000</v>
      </c>
      <c r="F8" s="318"/>
      <c r="G8" s="8" t="s">
        <v>163</v>
      </c>
      <c r="H8" s="514">
        <f t="shared" ref="H8:I8" si="0">SUM(H9:H12)</f>
        <v>276000</v>
      </c>
      <c r="I8" s="514">
        <f t="shared" si="0"/>
        <v>276000</v>
      </c>
      <c r="J8" s="563">
        <v>209906</v>
      </c>
      <c r="K8" s="545">
        <f t="shared" ref="K8:M8" si="1">SUM(K9:K12)</f>
        <v>288970</v>
      </c>
      <c r="L8" s="201">
        <f t="shared" si="1"/>
        <v>0</v>
      </c>
      <c r="M8" s="546">
        <f t="shared" si="1"/>
        <v>288970</v>
      </c>
      <c r="N8" s="333">
        <f>IF(I8=0,"",M8/I8*100)</f>
        <v>104.69927536231884</v>
      </c>
    </row>
    <row r="9" spans="1:17" ht="12.95" customHeight="1">
      <c r="B9" s="10"/>
      <c r="C9" s="11"/>
      <c r="D9" s="11"/>
      <c r="E9" s="293">
        <v>611100</v>
      </c>
      <c r="F9" s="319"/>
      <c r="G9" s="18" t="s">
        <v>198</v>
      </c>
      <c r="H9" s="515">
        <v>217200</v>
      </c>
      <c r="I9" s="515">
        <v>217200</v>
      </c>
      <c r="J9" s="564">
        <v>162907</v>
      </c>
      <c r="K9" s="549">
        <f>217040+1300+420</f>
        <v>218760</v>
      </c>
      <c r="L9" s="200">
        <v>0</v>
      </c>
      <c r="M9" s="548">
        <f>SUM(K9:L9)</f>
        <v>218760</v>
      </c>
      <c r="N9" s="334">
        <f t="shared" ref="N9:N72" si="2">IF(I9=0,"",M9/I9*100)</f>
        <v>100.7182320441989</v>
      </c>
      <c r="O9" s="48"/>
    </row>
    <row r="10" spans="1:17" ht="12.95" customHeight="1">
      <c r="B10" s="10"/>
      <c r="C10" s="11"/>
      <c r="D10" s="11"/>
      <c r="E10" s="293">
        <v>611200</v>
      </c>
      <c r="F10" s="319"/>
      <c r="G10" s="11" t="s">
        <v>199</v>
      </c>
      <c r="H10" s="515">
        <v>58800</v>
      </c>
      <c r="I10" s="515">
        <v>58800</v>
      </c>
      <c r="J10" s="564">
        <v>46999</v>
      </c>
      <c r="K10" s="549">
        <f>62920+930+1860+500+16*250</f>
        <v>70210</v>
      </c>
      <c r="L10" s="200">
        <v>0</v>
      </c>
      <c r="M10" s="548">
        <f t="shared" ref="M10:M11" si="3">SUM(K10:L10)</f>
        <v>70210</v>
      </c>
      <c r="N10" s="334">
        <f t="shared" si="2"/>
        <v>119.4047619047619</v>
      </c>
    </row>
    <row r="11" spans="1:17" ht="12.95" customHeight="1">
      <c r="B11" s="10"/>
      <c r="C11" s="11"/>
      <c r="D11" s="11"/>
      <c r="E11" s="293">
        <v>611200</v>
      </c>
      <c r="F11" s="319"/>
      <c r="G11" s="180" t="s">
        <v>534</v>
      </c>
      <c r="H11" s="515">
        <f t="shared" ref="H11:I11" si="4">SUM(F11:G11)</f>
        <v>0</v>
      </c>
      <c r="I11" s="515">
        <f t="shared" si="4"/>
        <v>0</v>
      </c>
      <c r="J11" s="564">
        <v>0</v>
      </c>
      <c r="K11" s="549">
        <v>0</v>
      </c>
      <c r="L11" s="200">
        <v>0</v>
      </c>
      <c r="M11" s="548">
        <f t="shared" si="3"/>
        <v>0</v>
      </c>
      <c r="N11" s="334" t="str">
        <f t="shared" si="2"/>
        <v/>
      </c>
      <c r="P11" s="53"/>
    </row>
    <row r="12" spans="1:17" ht="12.95" customHeight="1">
      <c r="B12" s="10"/>
      <c r="C12" s="11"/>
      <c r="D12" s="11"/>
      <c r="E12" s="293"/>
      <c r="F12" s="319"/>
      <c r="G12" s="18"/>
      <c r="H12" s="515"/>
      <c r="I12" s="515"/>
      <c r="J12" s="564"/>
      <c r="K12" s="549"/>
      <c r="L12" s="200"/>
      <c r="M12" s="548"/>
      <c r="N12" s="334" t="str">
        <f t="shared" si="2"/>
        <v/>
      </c>
      <c r="P12" s="48"/>
    </row>
    <row r="13" spans="1:17" s="1" customFormat="1" ht="12.95" customHeight="1">
      <c r="A13" s="269"/>
      <c r="B13" s="12"/>
      <c r="C13" s="8"/>
      <c r="D13" s="8"/>
      <c r="E13" s="292">
        <v>612000</v>
      </c>
      <c r="F13" s="318"/>
      <c r="G13" s="8" t="s">
        <v>162</v>
      </c>
      <c r="H13" s="514">
        <f t="shared" ref="H13:M13" si="5">H14</f>
        <v>23250</v>
      </c>
      <c r="I13" s="514">
        <f t="shared" si="5"/>
        <v>23250</v>
      </c>
      <c r="J13" s="563">
        <v>17492</v>
      </c>
      <c r="K13" s="545">
        <f t="shared" si="5"/>
        <v>23500</v>
      </c>
      <c r="L13" s="201">
        <f t="shared" si="5"/>
        <v>0</v>
      </c>
      <c r="M13" s="546">
        <f t="shared" si="5"/>
        <v>23500</v>
      </c>
      <c r="N13" s="333">
        <f t="shared" si="2"/>
        <v>101.0752688172043</v>
      </c>
      <c r="P13" s="57"/>
      <c r="Q13" s="57"/>
    </row>
    <row r="14" spans="1:17" ht="12.95" customHeight="1">
      <c r="B14" s="10"/>
      <c r="C14" s="11"/>
      <c r="D14" s="11"/>
      <c r="E14" s="293">
        <v>612100</v>
      </c>
      <c r="F14" s="319"/>
      <c r="G14" s="13" t="s">
        <v>83</v>
      </c>
      <c r="H14" s="515">
        <v>23250</v>
      </c>
      <c r="I14" s="515">
        <v>23250</v>
      </c>
      <c r="J14" s="564">
        <v>17492</v>
      </c>
      <c r="K14" s="549">
        <v>23500</v>
      </c>
      <c r="L14" s="200">
        <v>0</v>
      </c>
      <c r="M14" s="548">
        <f>SUM(K14:L14)</f>
        <v>23500</v>
      </c>
      <c r="N14" s="334">
        <f t="shared" si="2"/>
        <v>101.0752688172043</v>
      </c>
    </row>
    <row r="15" spans="1:17" ht="12.95" customHeight="1">
      <c r="B15" s="10"/>
      <c r="C15" s="11"/>
      <c r="D15" s="11"/>
      <c r="E15" s="293"/>
      <c r="F15" s="319"/>
      <c r="G15" s="11"/>
      <c r="H15" s="516"/>
      <c r="I15" s="516"/>
      <c r="J15" s="566"/>
      <c r="K15" s="573"/>
      <c r="L15" s="268"/>
      <c r="M15" s="551"/>
      <c r="N15" s="334" t="str">
        <f t="shared" si="2"/>
        <v/>
      </c>
    </row>
    <row r="16" spans="1:17" s="1" customFormat="1" ht="12.95" customHeight="1">
      <c r="A16" s="269"/>
      <c r="B16" s="12"/>
      <c r="C16" s="8"/>
      <c r="D16" s="8"/>
      <c r="E16" s="292">
        <v>613000</v>
      </c>
      <c r="F16" s="318"/>
      <c r="G16" s="8" t="s">
        <v>164</v>
      </c>
      <c r="H16" s="262">
        <f t="shared" ref="H16:I16" si="6">SUM(H17:H26)</f>
        <v>401500</v>
      </c>
      <c r="I16" s="262">
        <f t="shared" si="6"/>
        <v>401500</v>
      </c>
      <c r="J16" s="565">
        <v>268459</v>
      </c>
      <c r="K16" s="552">
        <f t="shared" ref="K16:M16" si="7">SUM(K17:K26)</f>
        <v>409600</v>
      </c>
      <c r="L16" s="281">
        <f t="shared" si="7"/>
        <v>0</v>
      </c>
      <c r="M16" s="553">
        <f t="shared" si="7"/>
        <v>409600</v>
      </c>
      <c r="N16" s="333">
        <f t="shared" si="2"/>
        <v>102.01743462017434</v>
      </c>
    </row>
    <row r="17" spans="1:15" ht="12.95" customHeight="1">
      <c r="B17" s="10"/>
      <c r="C17" s="11"/>
      <c r="D17" s="11"/>
      <c r="E17" s="293">
        <v>613100</v>
      </c>
      <c r="F17" s="319"/>
      <c r="G17" s="11" t="s">
        <v>84</v>
      </c>
      <c r="H17" s="515">
        <v>8500</v>
      </c>
      <c r="I17" s="515">
        <v>8500</v>
      </c>
      <c r="J17" s="564">
        <v>5493</v>
      </c>
      <c r="K17" s="572">
        <v>8500</v>
      </c>
      <c r="L17" s="351">
        <v>0</v>
      </c>
      <c r="M17" s="548">
        <f t="shared" ref="M17:M26" si="8">SUM(K17:L17)</f>
        <v>8500</v>
      </c>
      <c r="N17" s="334">
        <f t="shared" si="2"/>
        <v>100</v>
      </c>
    </row>
    <row r="18" spans="1:15" ht="12.95" customHeight="1">
      <c r="B18" s="10"/>
      <c r="C18" s="11"/>
      <c r="D18" s="11"/>
      <c r="E18" s="293">
        <v>613200</v>
      </c>
      <c r="F18" s="319"/>
      <c r="G18" s="11" t="s">
        <v>85</v>
      </c>
      <c r="H18" s="515">
        <v>95000</v>
      </c>
      <c r="I18" s="515">
        <v>95000</v>
      </c>
      <c r="J18" s="564">
        <v>49751</v>
      </c>
      <c r="K18" s="571">
        <v>95000</v>
      </c>
      <c r="L18" s="349">
        <v>0</v>
      </c>
      <c r="M18" s="548">
        <f t="shared" si="8"/>
        <v>95000</v>
      </c>
      <c r="N18" s="334">
        <f t="shared" si="2"/>
        <v>100</v>
      </c>
    </row>
    <row r="19" spans="1:15" ht="12.95" customHeight="1">
      <c r="B19" s="10"/>
      <c r="C19" s="11"/>
      <c r="D19" s="11"/>
      <c r="E19" s="293">
        <v>613300</v>
      </c>
      <c r="F19" s="319"/>
      <c r="G19" s="18" t="s">
        <v>200</v>
      </c>
      <c r="H19" s="515">
        <v>41500</v>
      </c>
      <c r="I19" s="515">
        <v>41500</v>
      </c>
      <c r="J19" s="564">
        <v>29931</v>
      </c>
      <c r="K19" s="571">
        <v>41500</v>
      </c>
      <c r="L19" s="349">
        <v>0</v>
      </c>
      <c r="M19" s="548">
        <f t="shared" si="8"/>
        <v>41500</v>
      </c>
      <c r="N19" s="334">
        <f t="shared" si="2"/>
        <v>100</v>
      </c>
    </row>
    <row r="20" spans="1:15" ht="12.95" customHeight="1">
      <c r="B20" s="10"/>
      <c r="C20" s="11"/>
      <c r="D20" s="11"/>
      <c r="E20" s="293">
        <v>613400</v>
      </c>
      <c r="F20" s="319"/>
      <c r="G20" s="11" t="s">
        <v>165</v>
      </c>
      <c r="H20" s="515">
        <v>84000</v>
      </c>
      <c r="I20" s="515">
        <v>84000</v>
      </c>
      <c r="J20" s="564">
        <v>56398</v>
      </c>
      <c r="K20" s="571">
        <v>84000</v>
      </c>
      <c r="L20" s="349">
        <v>0</v>
      </c>
      <c r="M20" s="548">
        <f t="shared" si="8"/>
        <v>84000</v>
      </c>
      <c r="N20" s="334">
        <f t="shared" si="2"/>
        <v>100</v>
      </c>
    </row>
    <row r="21" spans="1:15" ht="12.95" customHeight="1">
      <c r="B21" s="10"/>
      <c r="C21" s="11"/>
      <c r="D21" s="11"/>
      <c r="E21" s="293">
        <v>613500</v>
      </c>
      <c r="F21" s="319"/>
      <c r="G21" s="11" t="s">
        <v>86</v>
      </c>
      <c r="H21" s="515">
        <v>61000</v>
      </c>
      <c r="I21" s="515">
        <v>61000</v>
      </c>
      <c r="J21" s="564">
        <v>49074</v>
      </c>
      <c r="K21" s="571">
        <v>68000</v>
      </c>
      <c r="L21" s="349">
        <v>0</v>
      </c>
      <c r="M21" s="548">
        <f t="shared" si="8"/>
        <v>68000</v>
      </c>
      <c r="N21" s="334">
        <f t="shared" si="2"/>
        <v>111.47540983606557</v>
      </c>
    </row>
    <row r="22" spans="1:15" ht="12.95" customHeight="1">
      <c r="B22" s="10"/>
      <c r="C22" s="11"/>
      <c r="D22" s="11"/>
      <c r="E22" s="293">
        <v>613600</v>
      </c>
      <c r="F22" s="319"/>
      <c r="G22" s="18" t="s">
        <v>201</v>
      </c>
      <c r="H22" s="515">
        <f t="shared" ref="H22:I26" si="9">SUM(F22:G22)</f>
        <v>0</v>
      </c>
      <c r="I22" s="515">
        <f t="shared" si="9"/>
        <v>0</v>
      </c>
      <c r="J22" s="564">
        <v>0</v>
      </c>
      <c r="K22" s="571">
        <v>0</v>
      </c>
      <c r="L22" s="349">
        <v>0</v>
      </c>
      <c r="M22" s="548">
        <f t="shared" si="8"/>
        <v>0</v>
      </c>
      <c r="N22" s="334" t="str">
        <f t="shared" si="2"/>
        <v/>
      </c>
    </row>
    <row r="23" spans="1:15" ht="12.95" customHeight="1">
      <c r="B23" s="10"/>
      <c r="C23" s="11"/>
      <c r="D23" s="11"/>
      <c r="E23" s="293">
        <v>613700</v>
      </c>
      <c r="F23" s="319"/>
      <c r="G23" s="11" t="s">
        <v>87</v>
      </c>
      <c r="H23" s="515">
        <v>41000</v>
      </c>
      <c r="I23" s="515">
        <v>41000</v>
      </c>
      <c r="J23" s="564">
        <v>25172</v>
      </c>
      <c r="K23" s="571">
        <v>41000</v>
      </c>
      <c r="L23" s="349">
        <v>0</v>
      </c>
      <c r="M23" s="548">
        <f t="shared" si="8"/>
        <v>41000</v>
      </c>
      <c r="N23" s="334">
        <f t="shared" si="2"/>
        <v>100</v>
      </c>
    </row>
    <row r="24" spans="1:15" ht="12.95" customHeight="1">
      <c r="B24" s="10"/>
      <c r="C24" s="11"/>
      <c r="D24" s="11"/>
      <c r="E24" s="293">
        <v>613800</v>
      </c>
      <c r="F24" s="319"/>
      <c r="G24" s="11" t="s">
        <v>166</v>
      </c>
      <c r="H24" s="515">
        <v>5500</v>
      </c>
      <c r="I24" s="515">
        <v>5500</v>
      </c>
      <c r="J24" s="564">
        <v>4212</v>
      </c>
      <c r="K24" s="571">
        <v>6600</v>
      </c>
      <c r="L24" s="349">
        <v>0</v>
      </c>
      <c r="M24" s="548">
        <f t="shared" si="8"/>
        <v>6600</v>
      </c>
      <c r="N24" s="334">
        <f t="shared" si="2"/>
        <v>120</v>
      </c>
      <c r="O24" s="48"/>
    </row>
    <row r="25" spans="1:15" ht="12.95" customHeight="1">
      <c r="B25" s="10"/>
      <c r="C25" s="11"/>
      <c r="D25" s="11"/>
      <c r="E25" s="293">
        <v>613900</v>
      </c>
      <c r="F25" s="319"/>
      <c r="G25" s="11" t="s">
        <v>167</v>
      </c>
      <c r="H25" s="515">
        <v>65000</v>
      </c>
      <c r="I25" s="515">
        <v>65000</v>
      </c>
      <c r="J25" s="564">
        <v>48428</v>
      </c>
      <c r="K25" s="572">
        <v>65000</v>
      </c>
      <c r="L25" s="351">
        <v>0</v>
      </c>
      <c r="M25" s="548">
        <f t="shared" si="8"/>
        <v>65000</v>
      </c>
      <c r="N25" s="334">
        <f t="shared" si="2"/>
        <v>100</v>
      </c>
    </row>
    <row r="26" spans="1:15" ht="12.95" customHeight="1">
      <c r="B26" s="10"/>
      <c r="C26" s="11"/>
      <c r="D26" s="11"/>
      <c r="E26" s="293">
        <v>613900</v>
      </c>
      <c r="F26" s="319"/>
      <c r="G26" s="180" t="s">
        <v>535</v>
      </c>
      <c r="H26" s="515">
        <f t="shared" si="9"/>
        <v>0</v>
      </c>
      <c r="I26" s="515">
        <f t="shared" si="9"/>
        <v>0</v>
      </c>
      <c r="J26" s="564">
        <v>0</v>
      </c>
      <c r="K26" s="554">
        <v>0</v>
      </c>
      <c r="L26" s="350">
        <v>0</v>
      </c>
      <c r="M26" s="548">
        <f t="shared" si="8"/>
        <v>0</v>
      </c>
      <c r="N26" s="334" t="str">
        <f t="shared" si="2"/>
        <v/>
      </c>
    </row>
    <row r="27" spans="1:15" s="1" customFormat="1" ht="12.95" customHeight="1">
      <c r="A27" s="269"/>
      <c r="B27" s="12"/>
      <c r="C27" s="8"/>
      <c r="D27" s="8"/>
      <c r="E27" s="303"/>
      <c r="F27" s="330"/>
      <c r="G27" s="8"/>
      <c r="H27" s="516"/>
      <c r="I27" s="516"/>
      <c r="J27" s="566"/>
      <c r="K27" s="578"/>
      <c r="L27" s="267"/>
      <c r="M27" s="551"/>
      <c r="N27" s="334" t="str">
        <f t="shared" si="2"/>
        <v/>
      </c>
    </row>
    <row r="28" spans="1:15" s="1" customFormat="1" ht="12.95" customHeight="1">
      <c r="A28" s="269"/>
      <c r="B28" s="12"/>
      <c r="C28" s="8"/>
      <c r="D28" s="8"/>
      <c r="E28" s="292">
        <v>821000</v>
      </c>
      <c r="F28" s="318"/>
      <c r="G28" s="8" t="s">
        <v>90</v>
      </c>
      <c r="H28" s="262">
        <f t="shared" ref="H28:I28" si="10">SUM(H29:H30)</f>
        <v>80000</v>
      </c>
      <c r="I28" s="262">
        <f t="shared" si="10"/>
        <v>80000</v>
      </c>
      <c r="J28" s="565">
        <v>78519</v>
      </c>
      <c r="K28" s="558">
        <f t="shared" ref="K28:M28" si="11">SUM(K29:K30)</f>
        <v>80000</v>
      </c>
      <c r="L28" s="276">
        <f t="shared" si="11"/>
        <v>0</v>
      </c>
      <c r="M28" s="553">
        <f t="shared" si="11"/>
        <v>80000</v>
      </c>
      <c r="N28" s="333">
        <f t="shared" si="2"/>
        <v>100</v>
      </c>
    </row>
    <row r="29" spans="1:15" ht="12.95" customHeight="1">
      <c r="B29" s="10"/>
      <c r="C29" s="11"/>
      <c r="D29" s="11"/>
      <c r="E29" s="293">
        <v>821200</v>
      </c>
      <c r="F29" s="319"/>
      <c r="G29" s="11" t="s">
        <v>91</v>
      </c>
      <c r="H29" s="515">
        <f t="shared" ref="H29:I29" si="12">SUM(F29:G29)</f>
        <v>0</v>
      </c>
      <c r="I29" s="515">
        <f t="shared" si="12"/>
        <v>0</v>
      </c>
      <c r="J29" s="564">
        <v>0</v>
      </c>
      <c r="K29" s="573">
        <v>0</v>
      </c>
      <c r="L29" s="268">
        <v>0</v>
      </c>
      <c r="M29" s="548">
        <f t="shared" ref="M29:M30" si="13">SUM(K29:L29)</f>
        <v>0</v>
      </c>
      <c r="N29" s="334" t="str">
        <f t="shared" si="2"/>
        <v/>
      </c>
    </row>
    <row r="30" spans="1:15" ht="12.95" customHeight="1">
      <c r="B30" s="10"/>
      <c r="C30" s="11"/>
      <c r="D30" s="11"/>
      <c r="E30" s="293">
        <v>821300</v>
      </c>
      <c r="F30" s="319"/>
      <c r="G30" s="11" t="s">
        <v>92</v>
      </c>
      <c r="H30" s="515">
        <v>80000</v>
      </c>
      <c r="I30" s="515">
        <v>80000</v>
      </c>
      <c r="J30" s="564">
        <v>78519</v>
      </c>
      <c r="K30" s="573">
        <v>80000</v>
      </c>
      <c r="L30" s="268">
        <v>0</v>
      </c>
      <c r="M30" s="548">
        <f t="shared" si="13"/>
        <v>80000</v>
      </c>
      <c r="N30" s="334">
        <f t="shared" si="2"/>
        <v>100</v>
      </c>
    </row>
    <row r="31" spans="1:15" ht="12.95" customHeight="1">
      <c r="B31" s="10"/>
      <c r="C31" s="11"/>
      <c r="D31" s="11"/>
      <c r="E31" s="293"/>
      <c r="F31" s="319"/>
      <c r="G31" s="11"/>
      <c r="H31" s="262"/>
      <c r="I31" s="262"/>
      <c r="J31" s="565"/>
      <c r="K31" s="558"/>
      <c r="L31" s="276"/>
      <c r="M31" s="553"/>
      <c r="N31" s="334" t="str">
        <f t="shared" si="2"/>
        <v/>
      </c>
    </row>
    <row r="32" spans="1:15" s="1" customFormat="1" ht="12.95" customHeight="1">
      <c r="A32" s="269"/>
      <c r="B32" s="12"/>
      <c r="C32" s="8"/>
      <c r="D32" s="8"/>
      <c r="E32" s="292"/>
      <c r="F32" s="318"/>
      <c r="G32" s="8" t="s">
        <v>93</v>
      </c>
      <c r="H32" s="262">
        <v>16</v>
      </c>
      <c r="I32" s="262">
        <v>16</v>
      </c>
      <c r="J32" s="565">
        <v>16</v>
      </c>
      <c r="K32" s="583">
        <v>16</v>
      </c>
      <c r="L32" s="282"/>
      <c r="M32" s="553">
        <v>16</v>
      </c>
      <c r="N32" s="334"/>
    </row>
    <row r="33" spans="1:14" s="1" customFormat="1" ht="12.95" customHeight="1">
      <c r="A33" s="269"/>
      <c r="B33" s="12"/>
      <c r="C33" s="8"/>
      <c r="D33" s="8"/>
      <c r="E33" s="292"/>
      <c r="F33" s="318"/>
      <c r="G33" s="8" t="s">
        <v>113</v>
      </c>
      <c r="H33" s="262">
        <f t="shared" ref="H33:M33" si="14">H8+H13+H16+H28</f>
        <v>780750</v>
      </c>
      <c r="I33" s="276">
        <f t="shared" si="14"/>
        <v>780750</v>
      </c>
      <c r="J33" s="565">
        <f t="shared" si="14"/>
        <v>574376</v>
      </c>
      <c r="K33" s="558">
        <f t="shared" si="14"/>
        <v>802070</v>
      </c>
      <c r="L33" s="276">
        <f t="shared" si="14"/>
        <v>0</v>
      </c>
      <c r="M33" s="553">
        <f t="shared" si="14"/>
        <v>802070</v>
      </c>
      <c r="N33" s="333">
        <f t="shared" si="2"/>
        <v>102.73070765289785</v>
      </c>
    </row>
    <row r="34" spans="1:14" s="1" customFormat="1" ht="12.95" customHeight="1">
      <c r="A34" s="269"/>
      <c r="B34" s="12"/>
      <c r="C34" s="8"/>
      <c r="D34" s="8"/>
      <c r="E34" s="292"/>
      <c r="F34" s="318"/>
      <c r="G34" s="8" t="s">
        <v>94</v>
      </c>
      <c r="H34" s="262">
        <f t="shared" ref="H34:J35" si="15">H33</f>
        <v>780750</v>
      </c>
      <c r="I34" s="276">
        <f t="shared" si="15"/>
        <v>780750</v>
      </c>
      <c r="J34" s="565">
        <f t="shared" si="15"/>
        <v>574376</v>
      </c>
      <c r="K34" s="558">
        <f t="shared" ref="K34:M34" si="16">K33</f>
        <v>802070</v>
      </c>
      <c r="L34" s="276">
        <f t="shared" si="16"/>
        <v>0</v>
      </c>
      <c r="M34" s="553">
        <f t="shared" si="16"/>
        <v>802070</v>
      </c>
      <c r="N34" s="333">
        <f t="shared" si="2"/>
        <v>102.73070765289785</v>
      </c>
    </row>
    <row r="35" spans="1:14" s="1" customFormat="1" ht="12.95" customHeight="1">
      <c r="A35" s="269"/>
      <c r="B35" s="12"/>
      <c r="C35" s="8"/>
      <c r="D35" s="8"/>
      <c r="E35" s="292"/>
      <c r="F35" s="318"/>
      <c r="G35" s="8" t="s">
        <v>95</v>
      </c>
      <c r="H35" s="262">
        <f t="shared" si="15"/>
        <v>780750</v>
      </c>
      <c r="I35" s="276">
        <f t="shared" si="15"/>
        <v>780750</v>
      </c>
      <c r="J35" s="565">
        <f t="shared" si="15"/>
        <v>574376</v>
      </c>
      <c r="K35" s="558">
        <f t="shared" ref="K35:M35" si="17">K34</f>
        <v>802070</v>
      </c>
      <c r="L35" s="276">
        <f t="shared" si="17"/>
        <v>0</v>
      </c>
      <c r="M35" s="553">
        <f t="shared" si="17"/>
        <v>802070</v>
      </c>
      <c r="N35" s="333">
        <f t="shared" si="2"/>
        <v>102.73070765289785</v>
      </c>
    </row>
    <row r="36" spans="1:14" ht="12.95" customHeight="1" thickBot="1">
      <c r="B36" s="15"/>
      <c r="C36" s="16"/>
      <c r="D36" s="16"/>
      <c r="E36" s="294"/>
      <c r="F36" s="320"/>
      <c r="G36" s="16"/>
      <c r="H36" s="521"/>
      <c r="I36" s="16"/>
      <c r="J36" s="569"/>
      <c r="K36" s="15"/>
      <c r="L36" s="16"/>
      <c r="M36" s="574"/>
      <c r="N36" s="336" t="str">
        <f t="shared" si="2"/>
        <v/>
      </c>
    </row>
    <row r="37" spans="1:14" ht="12.95" customHeight="1">
      <c r="E37" s="295"/>
      <c r="F37" s="321"/>
      <c r="M37" s="369"/>
      <c r="N37" s="337" t="str">
        <f t="shared" si="2"/>
        <v/>
      </c>
    </row>
    <row r="38" spans="1:14" ht="12.95" customHeight="1">
      <c r="B38" s="48"/>
      <c r="E38" s="295"/>
      <c r="F38" s="321"/>
      <c r="M38" s="369"/>
      <c r="N38" s="337" t="str">
        <f t="shared" si="2"/>
        <v/>
      </c>
    </row>
    <row r="39" spans="1:14" ht="12.95" customHeight="1">
      <c r="B39" s="48"/>
      <c r="E39" s="295"/>
      <c r="F39" s="321"/>
      <c r="M39" s="369"/>
      <c r="N39" s="337" t="str">
        <f t="shared" si="2"/>
        <v/>
      </c>
    </row>
    <row r="40" spans="1:14" ht="12.95" customHeight="1">
      <c r="B40" s="48"/>
      <c r="E40" s="295"/>
      <c r="F40" s="321"/>
      <c r="M40" s="369"/>
      <c r="N40" s="337" t="str">
        <f t="shared" si="2"/>
        <v/>
      </c>
    </row>
    <row r="41" spans="1:14" ht="12.95" customHeight="1">
      <c r="B41" s="48"/>
      <c r="E41" s="295"/>
      <c r="F41" s="321"/>
      <c r="M41" s="369"/>
      <c r="N41" s="337" t="str">
        <f t="shared" si="2"/>
        <v/>
      </c>
    </row>
    <row r="42" spans="1:14" ht="12.95" customHeight="1">
      <c r="E42" s="295"/>
      <c r="F42" s="321"/>
      <c r="M42" s="369"/>
      <c r="N42" s="337" t="str">
        <f t="shared" si="2"/>
        <v/>
      </c>
    </row>
    <row r="43" spans="1:14" ht="12.95" customHeight="1">
      <c r="E43" s="295"/>
      <c r="F43" s="321"/>
      <c r="M43" s="369"/>
      <c r="N43" s="337" t="str">
        <f t="shared" si="2"/>
        <v/>
      </c>
    </row>
    <row r="44" spans="1:14" ht="12.95" customHeight="1">
      <c r="E44" s="295"/>
      <c r="F44" s="321"/>
      <c r="M44" s="369"/>
      <c r="N44" s="337" t="str">
        <f t="shared" si="2"/>
        <v/>
      </c>
    </row>
    <row r="45" spans="1:14" ht="12.95" customHeight="1">
      <c r="E45" s="295"/>
      <c r="F45" s="321"/>
      <c r="M45" s="369"/>
      <c r="N45" s="337" t="str">
        <f t="shared" si="2"/>
        <v/>
      </c>
    </row>
    <row r="46" spans="1:14" ht="12.95" customHeight="1">
      <c r="E46" s="295"/>
      <c r="F46" s="321"/>
      <c r="M46" s="369"/>
      <c r="N46" s="337" t="str">
        <f t="shared" si="2"/>
        <v/>
      </c>
    </row>
    <row r="47" spans="1:14" ht="12.95" customHeight="1">
      <c r="E47" s="295"/>
      <c r="F47" s="321"/>
      <c r="M47" s="369"/>
      <c r="N47" s="337" t="str">
        <f t="shared" si="2"/>
        <v/>
      </c>
    </row>
    <row r="48" spans="1:14" ht="12.95" customHeight="1">
      <c r="E48" s="295"/>
      <c r="F48" s="321"/>
      <c r="M48" s="369"/>
      <c r="N48" s="337" t="str">
        <f t="shared" si="2"/>
        <v/>
      </c>
    </row>
    <row r="49" spans="5:14" ht="12.95" customHeight="1">
      <c r="E49" s="295"/>
      <c r="F49" s="321"/>
      <c r="M49" s="369"/>
      <c r="N49" s="337" t="str">
        <f t="shared" si="2"/>
        <v/>
      </c>
    </row>
    <row r="50" spans="5:14" ht="12.95" customHeight="1">
      <c r="E50" s="295"/>
      <c r="F50" s="321"/>
      <c r="M50" s="369"/>
      <c r="N50" s="337" t="str">
        <f t="shared" si="2"/>
        <v/>
      </c>
    </row>
    <row r="51" spans="5:14" ht="12.95" customHeight="1">
      <c r="E51" s="295"/>
      <c r="F51" s="321"/>
      <c r="M51" s="369"/>
      <c r="N51" s="337" t="str">
        <f t="shared" si="2"/>
        <v/>
      </c>
    </row>
    <row r="52" spans="5:14" ht="12.95" customHeight="1">
      <c r="E52" s="295"/>
      <c r="F52" s="321"/>
      <c r="M52" s="369"/>
      <c r="N52" s="337" t="str">
        <f t="shared" si="2"/>
        <v/>
      </c>
    </row>
    <row r="53" spans="5:14" ht="12.95" customHeight="1">
      <c r="E53" s="295"/>
      <c r="F53" s="321"/>
      <c r="M53" s="369"/>
      <c r="N53" s="337" t="str">
        <f t="shared" si="2"/>
        <v/>
      </c>
    </row>
    <row r="54" spans="5:14" ht="12.95" customHeight="1">
      <c r="E54" s="295"/>
      <c r="F54" s="321"/>
      <c r="M54" s="369"/>
      <c r="N54" s="337" t="str">
        <f t="shared" si="2"/>
        <v/>
      </c>
    </row>
    <row r="55" spans="5:14" ht="12.95" customHeight="1">
      <c r="E55" s="295"/>
      <c r="F55" s="321"/>
      <c r="M55" s="369"/>
      <c r="N55" s="337" t="str">
        <f t="shared" si="2"/>
        <v/>
      </c>
    </row>
    <row r="56" spans="5:14" ht="12.95" customHeight="1">
      <c r="E56" s="295"/>
      <c r="F56" s="321"/>
      <c r="M56" s="369"/>
      <c r="N56" s="337" t="str">
        <f t="shared" si="2"/>
        <v/>
      </c>
    </row>
    <row r="57" spans="5:14" ht="12.95" customHeight="1">
      <c r="E57" s="295"/>
      <c r="F57" s="321"/>
      <c r="M57" s="369"/>
      <c r="N57" s="337" t="str">
        <f t="shared" si="2"/>
        <v/>
      </c>
    </row>
    <row r="58" spans="5:14" ht="12.95" customHeight="1">
      <c r="E58" s="295"/>
      <c r="F58" s="321"/>
      <c r="M58" s="369"/>
      <c r="N58" s="337" t="str">
        <f t="shared" si="2"/>
        <v/>
      </c>
    </row>
    <row r="59" spans="5:14" ht="12.95" customHeight="1">
      <c r="E59" s="295"/>
      <c r="F59" s="321"/>
      <c r="M59" s="369"/>
      <c r="N59" s="337" t="str">
        <f t="shared" si="2"/>
        <v/>
      </c>
    </row>
    <row r="60" spans="5:14" ht="17.100000000000001" customHeight="1">
      <c r="E60" s="295"/>
      <c r="F60" s="321"/>
      <c r="M60" s="369"/>
      <c r="N60" s="337" t="str">
        <f t="shared" si="2"/>
        <v/>
      </c>
    </row>
    <row r="61" spans="5:14" ht="14.25">
      <c r="E61" s="295"/>
      <c r="F61" s="321"/>
      <c r="M61" s="369"/>
      <c r="N61" s="337" t="str">
        <f t="shared" si="2"/>
        <v/>
      </c>
    </row>
    <row r="62" spans="5:14" ht="14.25">
      <c r="E62" s="295"/>
      <c r="F62" s="321"/>
      <c r="M62" s="369"/>
      <c r="N62" s="337" t="str">
        <f t="shared" si="2"/>
        <v/>
      </c>
    </row>
    <row r="63" spans="5:14" ht="14.25">
      <c r="E63" s="295"/>
      <c r="F63" s="321"/>
      <c r="M63" s="369"/>
      <c r="N63" s="337" t="str">
        <f t="shared" si="2"/>
        <v/>
      </c>
    </row>
    <row r="64" spans="5:14" ht="14.25">
      <c r="E64" s="295"/>
      <c r="F64" s="321"/>
      <c r="M64" s="369"/>
      <c r="N64" s="337" t="str">
        <f t="shared" si="2"/>
        <v/>
      </c>
    </row>
    <row r="65" spans="5:14" ht="14.25">
      <c r="E65" s="295"/>
      <c r="F65" s="321"/>
      <c r="M65" s="369"/>
      <c r="N65" s="337" t="str">
        <f t="shared" si="2"/>
        <v/>
      </c>
    </row>
    <row r="66" spans="5:14" ht="14.25">
      <c r="E66" s="295"/>
      <c r="F66" s="321"/>
      <c r="M66" s="369"/>
      <c r="N66" s="337" t="str">
        <f t="shared" si="2"/>
        <v/>
      </c>
    </row>
    <row r="67" spans="5:14" ht="14.25">
      <c r="E67" s="295"/>
      <c r="F67" s="321"/>
      <c r="M67" s="369"/>
      <c r="N67" s="337" t="str">
        <f t="shared" si="2"/>
        <v/>
      </c>
    </row>
    <row r="68" spans="5:14" ht="14.25">
      <c r="E68" s="295"/>
      <c r="F68" s="321"/>
      <c r="M68" s="369"/>
      <c r="N68" s="337" t="str">
        <f t="shared" si="2"/>
        <v/>
      </c>
    </row>
    <row r="69" spans="5:14" ht="14.25">
      <c r="E69" s="295"/>
      <c r="F69" s="321"/>
      <c r="M69" s="369"/>
      <c r="N69" s="337" t="str">
        <f t="shared" si="2"/>
        <v/>
      </c>
    </row>
    <row r="70" spans="5:14" ht="14.25">
      <c r="E70" s="295"/>
      <c r="F70" s="321"/>
      <c r="M70" s="369"/>
      <c r="N70" s="337" t="str">
        <f t="shared" si="2"/>
        <v/>
      </c>
    </row>
    <row r="71" spans="5:14" ht="14.25">
      <c r="E71" s="295"/>
      <c r="F71" s="321"/>
      <c r="M71" s="369"/>
      <c r="N71" s="337" t="str">
        <f t="shared" si="2"/>
        <v/>
      </c>
    </row>
    <row r="72" spans="5:14" ht="14.25">
      <c r="E72" s="295"/>
      <c r="F72" s="321"/>
      <c r="M72" s="369"/>
      <c r="N72" s="337" t="str">
        <f t="shared" si="2"/>
        <v/>
      </c>
    </row>
    <row r="73" spans="5:14" ht="14.25">
      <c r="E73" s="295"/>
      <c r="F73" s="321"/>
      <c r="M73" s="369"/>
      <c r="N73" s="337" t="str">
        <f t="shared" ref="N73:N77" si="18">IF(I73=0,"",M73/I73*100)</f>
        <v/>
      </c>
    </row>
    <row r="74" spans="5:14" ht="14.25">
      <c r="E74" s="295"/>
      <c r="F74" s="295"/>
      <c r="M74" s="369"/>
      <c r="N74" s="337" t="str">
        <f t="shared" si="18"/>
        <v/>
      </c>
    </row>
    <row r="75" spans="5:14" ht="14.25">
      <c r="E75" s="295"/>
      <c r="F75" s="295"/>
      <c r="M75" s="369"/>
      <c r="N75" s="337" t="str">
        <f t="shared" si="18"/>
        <v/>
      </c>
    </row>
    <row r="76" spans="5:14" ht="14.25">
      <c r="E76" s="295"/>
      <c r="F76" s="295"/>
      <c r="M76" s="369"/>
      <c r="N76" s="337" t="str">
        <f t="shared" si="18"/>
        <v/>
      </c>
    </row>
    <row r="77" spans="5:14" ht="14.25">
      <c r="E77" s="295"/>
      <c r="F77" s="295"/>
      <c r="M77" s="369"/>
      <c r="N77" s="337" t="str">
        <f t="shared" si="18"/>
        <v/>
      </c>
    </row>
    <row r="78" spans="5:14" ht="14.25">
      <c r="E78" s="295"/>
      <c r="F78" s="295"/>
      <c r="M78" s="369"/>
    </row>
    <row r="79" spans="5:14" ht="14.25">
      <c r="E79" s="295"/>
      <c r="F79" s="295"/>
      <c r="M79" s="369"/>
    </row>
    <row r="80" spans="5:14" ht="14.25">
      <c r="E80" s="295"/>
      <c r="F80" s="295"/>
      <c r="M80" s="369"/>
    </row>
    <row r="81" spans="5:13" ht="14.25">
      <c r="E81" s="295"/>
      <c r="F81" s="295"/>
      <c r="M81" s="369"/>
    </row>
    <row r="82" spans="5:13" ht="14.25">
      <c r="E82" s="295"/>
      <c r="F82" s="295"/>
      <c r="M82" s="369"/>
    </row>
    <row r="83" spans="5:13" ht="14.25">
      <c r="E83" s="295"/>
      <c r="F83" s="295"/>
      <c r="M83" s="369"/>
    </row>
    <row r="84" spans="5:13" ht="14.25">
      <c r="E84" s="295"/>
      <c r="F84" s="295"/>
      <c r="M84" s="369"/>
    </row>
    <row r="85" spans="5:13" ht="14.25">
      <c r="E85" s="295"/>
      <c r="F85" s="295"/>
      <c r="M85" s="369"/>
    </row>
    <row r="86" spans="5:13" ht="14.25">
      <c r="E86" s="295"/>
      <c r="F86" s="295"/>
      <c r="M86" s="369"/>
    </row>
    <row r="87" spans="5:13" ht="14.25">
      <c r="E87" s="295"/>
      <c r="F87" s="295"/>
      <c r="M87" s="369"/>
    </row>
    <row r="88" spans="5:13" ht="14.25">
      <c r="E88" s="295"/>
      <c r="F88" s="295"/>
      <c r="M88" s="369"/>
    </row>
    <row r="89" spans="5:13" ht="14.25">
      <c r="E89" s="295"/>
      <c r="F89" s="295"/>
      <c r="M89" s="369"/>
    </row>
    <row r="90" spans="5:13" ht="14.25">
      <c r="E90" s="295"/>
      <c r="F90" s="295"/>
      <c r="M90" s="369"/>
    </row>
    <row r="91" spans="5:13">
      <c r="F91" s="295"/>
    </row>
    <row r="92" spans="5:13">
      <c r="F92" s="295"/>
    </row>
    <row r="93" spans="5:13">
      <c r="F93" s="295"/>
    </row>
    <row r="94" spans="5:13">
      <c r="F94" s="295"/>
    </row>
    <row r="95" spans="5:13">
      <c r="F95" s="295"/>
    </row>
    <row r="96" spans="5:13">
      <c r="F96" s="295"/>
    </row>
  </sheetData>
  <mergeCells count="12">
    <mergeCell ref="N4:N5"/>
    <mergeCell ref="G4:G5"/>
    <mergeCell ref="B2:J2"/>
    <mergeCell ref="B4:B5"/>
    <mergeCell ref="C4:C5"/>
    <mergeCell ref="D4:D5"/>
    <mergeCell ref="F4:F5"/>
    <mergeCell ref="E4:E5"/>
    <mergeCell ref="K4:M4"/>
    <mergeCell ref="H4:H5"/>
    <mergeCell ref="I4:I5"/>
    <mergeCell ref="J4:J5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2"/>
  <dimension ref="A1:P96"/>
  <sheetViews>
    <sheetView zoomScaleNormal="100" workbookViewId="0">
      <selection activeCell="K10" sqref="K10"/>
    </sheetView>
  </sheetViews>
  <sheetFormatPr defaultRowHeight="12.75"/>
  <cols>
    <col min="1" max="1" width="9.140625" style="272"/>
    <col min="2" max="2" width="4.7109375" style="9" customWidth="1"/>
    <col min="3" max="3" width="5.140625" style="9" customWidth="1"/>
    <col min="4" max="4" width="5" style="9" customWidth="1"/>
    <col min="5" max="5" width="8.7109375" style="17" customWidth="1"/>
    <col min="6" max="6" width="8.7109375" style="277" customWidth="1"/>
    <col min="7" max="7" width="50.7109375" style="9" customWidth="1"/>
    <col min="8" max="8" width="14.7109375" style="510" customWidth="1"/>
    <col min="9" max="9" width="14.7109375" style="272" customWidth="1"/>
    <col min="10" max="10" width="15.7109375" style="510" customWidth="1"/>
    <col min="11" max="12" width="14.7109375" style="272" customWidth="1"/>
    <col min="13" max="13" width="15.7109375" style="272" customWidth="1"/>
    <col min="14" max="14" width="7.7109375" style="337" customWidth="1"/>
    <col min="15" max="15" width="9.140625" style="9"/>
    <col min="16" max="16" width="9.5703125" style="9" bestFit="1" customWidth="1"/>
    <col min="17" max="16384" width="9.140625" style="9"/>
  </cols>
  <sheetData>
    <row r="1" spans="1:16" ht="13.5" thickBot="1"/>
    <row r="2" spans="1:16" s="93" customFormat="1" ht="20.100000000000001" customHeight="1" thickTop="1" thickBot="1">
      <c r="A2" s="363"/>
      <c r="B2" s="725" t="s">
        <v>128</v>
      </c>
      <c r="C2" s="726"/>
      <c r="D2" s="726"/>
      <c r="E2" s="726"/>
      <c r="F2" s="726"/>
      <c r="G2" s="726"/>
      <c r="H2" s="726"/>
      <c r="I2" s="726"/>
      <c r="J2" s="726"/>
      <c r="K2" s="487"/>
      <c r="L2" s="487"/>
      <c r="M2" s="487"/>
      <c r="N2" s="366"/>
    </row>
    <row r="3" spans="1:16" s="1" customFormat="1" ht="8.1" customHeight="1" thickTop="1" thickBot="1">
      <c r="A3" s="269"/>
      <c r="E3" s="2"/>
      <c r="F3" s="270"/>
      <c r="G3" s="488"/>
      <c r="H3" s="511"/>
      <c r="I3" s="87"/>
      <c r="J3" s="511"/>
      <c r="K3" s="87"/>
      <c r="L3" s="87"/>
      <c r="M3" s="87"/>
      <c r="N3" s="331"/>
    </row>
    <row r="4" spans="1:16" s="1" customFormat="1" ht="39" customHeight="1">
      <c r="A4" s="269"/>
      <c r="B4" s="728" t="s">
        <v>78</v>
      </c>
      <c r="C4" s="746" t="s">
        <v>79</v>
      </c>
      <c r="D4" s="747" t="s">
        <v>110</v>
      </c>
      <c r="E4" s="748" t="s">
        <v>594</v>
      </c>
      <c r="F4" s="733" t="s">
        <v>650</v>
      </c>
      <c r="G4" s="734" t="s">
        <v>80</v>
      </c>
      <c r="H4" s="740" t="s">
        <v>644</v>
      </c>
      <c r="I4" s="742" t="s">
        <v>821</v>
      </c>
      <c r="J4" s="744" t="s">
        <v>822</v>
      </c>
      <c r="K4" s="749" t="s">
        <v>863</v>
      </c>
      <c r="L4" s="738"/>
      <c r="M4" s="739"/>
      <c r="N4" s="735" t="s">
        <v>823</v>
      </c>
    </row>
    <row r="5" spans="1:16" s="269" customFormat="1" ht="27" customHeight="1">
      <c r="B5" s="729"/>
      <c r="C5" s="731"/>
      <c r="D5" s="731"/>
      <c r="E5" s="722"/>
      <c r="F5" s="731"/>
      <c r="G5" s="722"/>
      <c r="H5" s="741"/>
      <c r="I5" s="743"/>
      <c r="J5" s="745"/>
      <c r="K5" s="540" t="s">
        <v>701</v>
      </c>
      <c r="L5" s="359" t="s">
        <v>702</v>
      </c>
      <c r="M5" s="541" t="s">
        <v>413</v>
      </c>
      <c r="N5" s="736"/>
    </row>
    <row r="6" spans="1:16" s="2" customFormat="1" ht="12.95" customHeight="1">
      <c r="A6" s="270"/>
      <c r="B6" s="464">
        <v>1</v>
      </c>
      <c r="C6" s="318">
        <v>2</v>
      </c>
      <c r="D6" s="318">
        <v>3</v>
      </c>
      <c r="E6" s="318">
        <v>4</v>
      </c>
      <c r="F6" s="318">
        <v>5</v>
      </c>
      <c r="G6" s="318">
        <v>6</v>
      </c>
      <c r="H6" s="512">
        <v>7</v>
      </c>
      <c r="I6" s="318">
        <v>8</v>
      </c>
      <c r="J6" s="561">
        <v>9</v>
      </c>
      <c r="K6" s="464">
        <v>10</v>
      </c>
      <c r="L6" s="318">
        <v>11</v>
      </c>
      <c r="M6" s="542" t="s">
        <v>703</v>
      </c>
      <c r="N6" s="465">
        <v>13</v>
      </c>
    </row>
    <row r="7" spans="1:16" s="2" customFormat="1" ht="12.95" customHeight="1">
      <c r="A7" s="270"/>
      <c r="B7" s="6" t="s">
        <v>129</v>
      </c>
      <c r="C7" s="7" t="s">
        <v>81</v>
      </c>
      <c r="D7" s="7" t="s">
        <v>82</v>
      </c>
      <c r="E7" s="5"/>
      <c r="F7" s="271"/>
      <c r="G7" s="5"/>
      <c r="H7" s="513"/>
      <c r="I7" s="271"/>
      <c r="J7" s="568"/>
      <c r="K7" s="4"/>
      <c r="L7" s="271"/>
      <c r="M7" s="570"/>
      <c r="N7" s="332"/>
    </row>
    <row r="8" spans="1:16" s="1" customFormat="1" ht="12.95" customHeight="1">
      <c r="A8" s="269"/>
      <c r="B8" s="12"/>
      <c r="C8" s="8"/>
      <c r="D8" s="8"/>
      <c r="E8" s="292">
        <v>611000</v>
      </c>
      <c r="F8" s="318"/>
      <c r="G8" s="8" t="s">
        <v>163</v>
      </c>
      <c r="H8" s="514">
        <f t="shared" ref="H8:I8" si="0">SUM(H9:H12)</f>
        <v>4844890</v>
      </c>
      <c r="I8" s="514">
        <f t="shared" si="0"/>
        <v>4844890</v>
      </c>
      <c r="J8" s="563">
        <v>3577273</v>
      </c>
      <c r="K8" s="545">
        <f t="shared" ref="K8:M8" si="1">SUM(K9:K12)</f>
        <v>4911790</v>
      </c>
      <c r="L8" s="201">
        <f t="shared" si="1"/>
        <v>0</v>
      </c>
      <c r="M8" s="546">
        <f t="shared" si="1"/>
        <v>4911790</v>
      </c>
      <c r="N8" s="333">
        <f>IF(I8=0,"",M8/I8*100)</f>
        <v>101.38083630381701</v>
      </c>
      <c r="P8" s="55"/>
    </row>
    <row r="9" spans="1:16" ht="12.95" customHeight="1">
      <c r="B9" s="10"/>
      <c r="C9" s="11"/>
      <c r="D9" s="11"/>
      <c r="E9" s="293">
        <v>611100</v>
      </c>
      <c r="F9" s="319"/>
      <c r="G9" s="18" t="s">
        <v>198</v>
      </c>
      <c r="H9" s="515">
        <v>4018380</v>
      </c>
      <c r="I9" s="515">
        <v>4018380</v>
      </c>
      <c r="J9" s="564">
        <v>2976813</v>
      </c>
      <c r="K9" s="549">
        <f>4021100+9000+4400+6*420+740</f>
        <v>4037760</v>
      </c>
      <c r="L9" s="200">
        <v>0</v>
      </c>
      <c r="M9" s="548">
        <f>SUM(K9:L9)</f>
        <v>4037760</v>
      </c>
      <c r="N9" s="334">
        <f t="shared" ref="N9:N72" si="2">IF(I9=0,"",M9/I9*100)</f>
        <v>100.48228390545444</v>
      </c>
      <c r="O9" s="65"/>
    </row>
    <row r="10" spans="1:16" ht="12.95" customHeight="1">
      <c r="B10" s="10"/>
      <c r="C10" s="11"/>
      <c r="D10" s="11"/>
      <c r="E10" s="293">
        <v>611200</v>
      </c>
      <c r="F10" s="319"/>
      <c r="G10" s="11" t="s">
        <v>199</v>
      </c>
      <c r="H10" s="515">
        <v>826510</v>
      </c>
      <c r="I10" s="515">
        <v>826510</v>
      </c>
      <c r="J10" s="564">
        <v>600460</v>
      </c>
      <c r="K10" s="549">
        <f>792500+10000+13320+6*930+1630+204*250</f>
        <v>874030</v>
      </c>
      <c r="L10" s="200">
        <v>0</v>
      </c>
      <c r="M10" s="548">
        <f t="shared" ref="M10:M11" si="3">SUM(K10:L10)</f>
        <v>874030</v>
      </c>
      <c r="N10" s="334">
        <f t="shared" si="2"/>
        <v>105.74947671534525</v>
      </c>
      <c r="O10" s="66"/>
    </row>
    <row r="11" spans="1:16" ht="12.95" customHeight="1">
      <c r="B11" s="10"/>
      <c r="C11" s="11"/>
      <c r="D11" s="11"/>
      <c r="E11" s="293">
        <v>611200</v>
      </c>
      <c r="F11" s="319"/>
      <c r="G11" s="180" t="s">
        <v>534</v>
      </c>
      <c r="H11" s="515">
        <f t="shared" ref="H11:I11" si="4">SUM(F11:G11)</f>
        <v>0</v>
      </c>
      <c r="I11" s="515">
        <f t="shared" si="4"/>
        <v>0</v>
      </c>
      <c r="J11" s="564">
        <v>0</v>
      </c>
      <c r="K11" s="549">
        <v>0</v>
      </c>
      <c r="L11" s="200">
        <v>0</v>
      </c>
      <c r="M11" s="548">
        <f t="shared" si="3"/>
        <v>0</v>
      </c>
      <c r="N11" s="334" t="str">
        <f t="shared" si="2"/>
        <v/>
      </c>
      <c r="P11" s="53"/>
    </row>
    <row r="12" spans="1:16" ht="12.95" customHeight="1">
      <c r="B12" s="10"/>
      <c r="C12" s="11"/>
      <c r="D12" s="11"/>
      <c r="E12" s="293"/>
      <c r="F12" s="319"/>
      <c r="G12" s="18"/>
      <c r="H12" s="515"/>
      <c r="I12" s="515"/>
      <c r="J12" s="564"/>
      <c r="K12" s="549"/>
      <c r="L12" s="200"/>
      <c r="M12" s="548"/>
      <c r="N12" s="334" t="str">
        <f t="shared" si="2"/>
        <v/>
      </c>
      <c r="O12" s="66"/>
    </row>
    <row r="13" spans="1:16" s="1" customFormat="1" ht="12.95" customHeight="1">
      <c r="A13" s="269"/>
      <c r="B13" s="12"/>
      <c r="C13" s="8"/>
      <c r="D13" s="8"/>
      <c r="E13" s="292">
        <v>612000</v>
      </c>
      <c r="F13" s="318"/>
      <c r="G13" s="8" t="s">
        <v>162</v>
      </c>
      <c r="H13" s="514">
        <f t="shared" ref="H13:M13" si="5">H14</f>
        <v>626380</v>
      </c>
      <c r="I13" s="514">
        <f t="shared" si="5"/>
        <v>626380</v>
      </c>
      <c r="J13" s="563">
        <v>460757</v>
      </c>
      <c r="K13" s="545">
        <f t="shared" si="5"/>
        <v>623980</v>
      </c>
      <c r="L13" s="201">
        <f t="shared" si="5"/>
        <v>0</v>
      </c>
      <c r="M13" s="546">
        <f t="shared" si="5"/>
        <v>623980</v>
      </c>
      <c r="N13" s="333">
        <f t="shared" si="2"/>
        <v>99.616846004023117</v>
      </c>
      <c r="O13" s="67"/>
    </row>
    <row r="14" spans="1:16" ht="12.95" customHeight="1">
      <c r="B14" s="10"/>
      <c r="C14" s="11"/>
      <c r="D14" s="11"/>
      <c r="E14" s="293">
        <v>612100</v>
      </c>
      <c r="F14" s="319"/>
      <c r="G14" s="13" t="s">
        <v>83</v>
      </c>
      <c r="H14" s="515">
        <v>626380</v>
      </c>
      <c r="I14" s="515">
        <v>626380</v>
      </c>
      <c r="J14" s="564">
        <v>460757</v>
      </c>
      <c r="K14" s="549">
        <f>621830+1000+6*150+250</f>
        <v>623980</v>
      </c>
      <c r="L14" s="200">
        <v>0</v>
      </c>
      <c r="M14" s="548">
        <f>SUM(K14:L14)</f>
        <v>623980</v>
      </c>
      <c r="N14" s="334">
        <f t="shared" si="2"/>
        <v>99.616846004023117</v>
      </c>
      <c r="O14" s="65"/>
    </row>
    <row r="15" spans="1:16" ht="12.95" customHeight="1">
      <c r="B15" s="10"/>
      <c r="C15" s="11"/>
      <c r="D15" s="11"/>
      <c r="E15" s="293"/>
      <c r="F15" s="319"/>
      <c r="G15" s="18"/>
      <c r="H15" s="516"/>
      <c r="I15" s="516"/>
      <c r="J15" s="566"/>
      <c r="K15" s="573"/>
      <c r="L15" s="268"/>
      <c r="M15" s="551"/>
      <c r="N15" s="334" t="str">
        <f t="shared" si="2"/>
        <v/>
      </c>
      <c r="O15" s="66"/>
    </row>
    <row r="16" spans="1:16" s="1" customFormat="1" ht="12.95" customHeight="1">
      <c r="A16" s="269"/>
      <c r="B16" s="12"/>
      <c r="C16" s="8"/>
      <c r="D16" s="8"/>
      <c r="E16" s="292">
        <v>613000</v>
      </c>
      <c r="F16" s="318"/>
      <c r="G16" s="8" t="s">
        <v>164</v>
      </c>
      <c r="H16" s="262">
        <f t="shared" ref="H16:I16" si="6">SUM(H17:H26)</f>
        <v>797400</v>
      </c>
      <c r="I16" s="262">
        <f t="shared" si="6"/>
        <v>797400</v>
      </c>
      <c r="J16" s="565">
        <v>491213</v>
      </c>
      <c r="K16" s="557">
        <f t="shared" ref="K16:M16" si="7">SUM(K17:K26)</f>
        <v>762400</v>
      </c>
      <c r="L16" s="282">
        <f t="shared" si="7"/>
        <v>0</v>
      </c>
      <c r="M16" s="553">
        <f t="shared" si="7"/>
        <v>762400</v>
      </c>
      <c r="N16" s="333">
        <f t="shared" si="2"/>
        <v>95.610734888387256</v>
      </c>
    </row>
    <row r="17" spans="1:15" ht="12.95" customHeight="1">
      <c r="B17" s="10"/>
      <c r="C17" s="11"/>
      <c r="D17" s="11"/>
      <c r="E17" s="293">
        <v>613100</v>
      </c>
      <c r="F17" s="319"/>
      <c r="G17" s="11" t="s">
        <v>84</v>
      </c>
      <c r="H17" s="515">
        <v>12900</v>
      </c>
      <c r="I17" s="515">
        <v>12900</v>
      </c>
      <c r="J17" s="564">
        <v>9269</v>
      </c>
      <c r="K17" s="572">
        <v>14500</v>
      </c>
      <c r="L17" s="351">
        <v>0</v>
      </c>
      <c r="M17" s="548">
        <f t="shared" ref="M17:M26" si="8">SUM(K17:L17)</f>
        <v>14500</v>
      </c>
      <c r="N17" s="334">
        <f t="shared" si="2"/>
        <v>112.40310077519379</v>
      </c>
    </row>
    <row r="18" spans="1:15" ht="12.95" customHeight="1">
      <c r="B18" s="10"/>
      <c r="C18" s="11"/>
      <c r="D18" s="11"/>
      <c r="E18" s="293">
        <v>613200</v>
      </c>
      <c r="F18" s="319"/>
      <c r="G18" s="11" t="s">
        <v>85</v>
      </c>
      <c r="H18" s="515">
        <v>83000</v>
      </c>
      <c r="I18" s="515">
        <v>83000</v>
      </c>
      <c r="J18" s="564">
        <v>51017</v>
      </c>
      <c r="K18" s="572">
        <v>83000</v>
      </c>
      <c r="L18" s="351">
        <v>0</v>
      </c>
      <c r="M18" s="548">
        <f t="shared" si="8"/>
        <v>83000</v>
      </c>
      <c r="N18" s="334">
        <f t="shared" si="2"/>
        <v>100</v>
      </c>
    </row>
    <row r="19" spans="1:15" ht="12.95" customHeight="1">
      <c r="B19" s="10"/>
      <c r="C19" s="11"/>
      <c r="D19" s="11"/>
      <c r="E19" s="293">
        <v>613300</v>
      </c>
      <c r="F19" s="319"/>
      <c r="G19" s="18" t="s">
        <v>200</v>
      </c>
      <c r="H19" s="515">
        <v>92000</v>
      </c>
      <c r="I19" s="515">
        <v>92000</v>
      </c>
      <c r="J19" s="564">
        <v>68397</v>
      </c>
      <c r="K19" s="572">
        <v>92000</v>
      </c>
      <c r="L19" s="351">
        <v>0</v>
      </c>
      <c r="M19" s="548">
        <f t="shared" si="8"/>
        <v>92000</v>
      </c>
      <c r="N19" s="334">
        <f t="shared" si="2"/>
        <v>100</v>
      </c>
    </row>
    <row r="20" spans="1:15" ht="12.95" customHeight="1">
      <c r="B20" s="10"/>
      <c r="C20" s="11"/>
      <c r="D20" s="11"/>
      <c r="E20" s="293">
        <v>613400</v>
      </c>
      <c r="F20" s="319"/>
      <c r="G20" s="11" t="s">
        <v>165</v>
      </c>
      <c r="H20" s="515">
        <v>200000</v>
      </c>
      <c r="I20" s="515">
        <v>200000</v>
      </c>
      <c r="J20" s="564">
        <v>56164</v>
      </c>
      <c r="K20" s="572">
        <v>148000</v>
      </c>
      <c r="L20" s="351">
        <v>0</v>
      </c>
      <c r="M20" s="548">
        <f t="shared" si="8"/>
        <v>148000</v>
      </c>
      <c r="N20" s="334">
        <f t="shared" si="2"/>
        <v>74</v>
      </c>
    </row>
    <row r="21" spans="1:15" ht="12.95" customHeight="1">
      <c r="B21" s="10"/>
      <c r="C21" s="11"/>
      <c r="D21" s="11"/>
      <c r="E21" s="293">
        <v>613500</v>
      </c>
      <c r="F21" s="319"/>
      <c r="G21" s="11" t="s">
        <v>86</v>
      </c>
      <c r="H21" s="515">
        <v>100000</v>
      </c>
      <c r="I21" s="515">
        <v>100000</v>
      </c>
      <c r="J21" s="564">
        <v>75316</v>
      </c>
      <c r="K21" s="572">
        <v>108000</v>
      </c>
      <c r="L21" s="351">
        <v>0</v>
      </c>
      <c r="M21" s="548">
        <f t="shared" si="8"/>
        <v>108000</v>
      </c>
      <c r="N21" s="334">
        <f t="shared" si="2"/>
        <v>108</v>
      </c>
    </row>
    <row r="22" spans="1:15" ht="12.95" customHeight="1">
      <c r="B22" s="10"/>
      <c r="C22" s="11"/>
      <c r="D22" s="11"/>
      <c r="E22" s="293">
        <v>613600</v>
      </c>
      <c r="F22" s="319"/>
      <c r="G22" s="18" t="s">
        <v>201</v>
      </c>
      <c r="H22" s="515">
        <v>33000</v>
      </c>
      <c r="I22" s="515">
        <v>33000</v>
      </c>
      <c r="J22" s="564">
        <v>24250</v>
      </c>
      <c r="K22" s="572">
        <v>31000</v>
      </c>
      <c r="L22" s="351">
        <v>0</v>
      </c>
      <c r="M22" s="548">
        <f t="shared" si="8"/>
        <v>31000</v>
      </c>
      <c r="N22" s="334">
        <f t="shared" si="2"/>
        <v>93.939393939393938</v>
      </c>
    </row>
    <row r="23" spans="1:15" ht="12.95" customHeight="1">
      <c r="B23" s="10"/>
      <c r="C23" s="11"/>
      <c r="D23" s="11"/>
      <c r="E23" s="293">
        <v>613700</v>
      </c>
      <c r="F23" s="319"/>
      <c r="G23" s="11" t="s">
        <v>87</v>
      </c>
      <c r="H23" s="515">
        <v>80000</v>
      </c>
      <c r="I23" s="515">
        <v>80000</v>
      </c>
      <c r="J23" s="564">
        <v>59480</v>
      </c>
      <c r="K23" s="572">
        <f>95000-1600</f>
        <v>93400</v>
      </c>
      <c r="L23" s="351">
        <v>0</v>
      </c>
      <c r="M23" s="548">
        <f t="shared" si="8"/>
        <v>93400</v>
      </c>
      <c r="N23" s="334">
        <f t="shared" si="2"/>
        <v>116.75</v>
      </c>
    </row>
    <row r="24" spans="1:15" ht="12.95" customHeight="1">
      <c r="B24" s="10"/>
      <c r="C24" s="11"/>
      <c r="D24" s="11"/>
      <c r="E24" s="293">
        <v>613800</v>
      </c>
      <c r="F24" s="319"/>
      <c r="G24" s="11" t="s">
        <v>166</v>
      </c>
      <c r="H24" s="515">
        <v>16500</v>
      </c>
      <c r="I24" s="515">
        <v>16500</v>
      </c>
      <c r="J24" s="564">
        <v>11241</v>
      </c>
      <c r="K24" s="572">
        <v>17500</v>
      </c>
      <c r="L24" s="351">
        <v>0</v>
      </c>
      <c r="M24" s="548">
        <f t="shared" si="8"/>
        <v>17500</v>
      </c>
      <c r="N24" s="334">
        <f t="shared" si="2"/>
        <v>106.06060606060606</v>
      </c>
    </row>
    <row r="25" spans="1:15" ht="12.95" customHeight="1">
      <c r="B25" s="10"/>
      <c r="C25" s="11"/>
      <c r="D25" s="11"/>
      <c r="E25" s="293">
        <v>613900</v>
      </c>
      <c r="F25" s="319"/>
      <c r="G25" s="11" t="s">
        <v>167</v>
      </c>
      <c r="H25" s="515">
        <v>180000</v>
      </c>
      <c r="I25" s="515">
        <v>180000</v>
      </c>
      <c r="J25" s="564">
        <v>136079</v>
      </c>
      <c r="K25" s="572">
        <v>175000</v>
      </c>
      <c r="L25" s="351">
        <v>0</v>
      </c>
      <c r="M25" s="548">
        <f t="shared" si="8"/>
        <v>175000</v>
      </c>
      <c r="N25" s="334">
        <f t="shared" si="2"/>
        <v>97.222222222222214</v>
      </c>
    </row>
    <row r="26" spans="1:15" ht="12.95" customHeight="1">
      <c r="B26" s="10"/>
      <c r="C26" s="11"/>
      <c r="D26" s="11"/>
      <c r="E26" s="293">
        <v>613900</v>
      </c>
      <c r="F26" s="319"/>
      <c r="G26" s="180" t="s">
        <v>535</v>
      </c>
      <c r="H26" s="515">
        <f t="shared" ref="H26:I26" si="9">SUM(F26:G26)</f>
        <v>0</v>
      </c>
      <c r="I26" s="515">
        <f t="shared" si="9"/>
        <v>0</v>
      </c>
      <c r="J26" s="564">
        <v>0</v>
      </c>
      <c r="K26" s="555">
        <v>0</v>
      </c>
      <c r="L26" s="352">
        <v>0</v>
      </c>
      <c r="M26" s="548">
        <f t="shared" si="8"/>
        <v>0</v>
      </c>
      <c r="N26" s="334" t="str">
        <f t="shared" si="2"/>
        <v/>
      </c>
      <c r="O26" s="54"/>
    </row>
    <row r="27" spans="1:15" s="1" customFormat="1" ht="12.95" customHeight="1">
      <c r="A27" s="269"/>
      <c r="B27" s="12"/>
      <c r="C27" s="8"/>
      <c r="D27" s="8"/>
      <c r="E27" s="303"/>
      <c r="F27" s="330"/>
      <c r="G27" s="8"/>
      <c r="H27" s="516"/>
      <c r="I27" s="516"/>
      <c r="J27" s="566"/>
      <c r="K27" s="573"/>
      <c r="L27" s="268"/>
      <c r="M27" s="551"/>
      <c r="N27" s="334" t="str">
        <f t="shared" si="2"/>
        <v/>
      </c>
    </row>
    <row r="28" spans="1:15" s="1" customFormat="1" ht="12.95" customHeight="1">
      <c r="A28" s="269"/>
      <c r="B28" s="12"/>
      <c r="C28" s="8"/>
      <c r="D28" s="8"/>
      <c r="E28" s="292">
        <v>821000</v>
      </c>
      <c r="F28" s="318"/>
      <c r="G28" s="8" t="s">
        <v>90</v>
      </c>
      <c r="H28" s="262">
        <f t="shared" ref="H28:I28" si="10">SUM(H29:H30)</f>
        <v>40000</v>
      </c>
      <c r="I28" s="262">
        <f t="shared" si="10"/>
        <v>40000</v>
      </c>
      <c r="J28" s="565">
        <v>283</v>
      </c>
      <c r="K28" s="557">
        <f t="shared" ref="K28:M28" si="11">SUM(K29:K30)</f>
        <v>100000</v>
      </c>
      <c r="L28" s="282">
        <f t="shared" si="11"/>
        <v>0</v>
      </c>
      <c r="M28" s="553">
        <f t="shared" si="11"/>
        <v>100000</v>
      </c>
      <c r="N28" s="333">
        <f t="shared" si="2"/>
        <v>250</v>
      </c>
    </row>
    <row r="29" spans="1:15" ht="12.95" customHeight="1">
      <c r="B29" s="10"/>
      <c r="C29" s="11"/>
      <c r="D29" s="11"/>
      <c r="E29" s="293">
        <v>821200</v>
      </c>
      <c r="F29" s="319"/>
      <c r="G29" s="11" t="s">
        <v>91</v>
      </c>
      <c r="H29" s="515">
        <f t="shared" ref="H29:I29" si="12">SUM(F29:G29)</f>
        <v>0</v>
      </c>
      <c r="I29" s="515">
        <f t="shared" si="12"/>
        <v>0</v>
      </c>
      <c r="J29" s="564">
        <v>0</v>
      </c>
      <c r="K29" s="573">
        <v>0</v>
      </c>
      <c r="L29" s="268">
        <v>0</v>
      </c>
      <c r="M29" s="548">
        <f t="shared" ref="M29:M30" si="13">SUM(K29:L29)</f>
        <v>0</v>
      </c>
      <c r="N29" s="334" t="str">
        <f t="shared" si="2"/>
        <v/>
      </c>
    </row>
    <row r="30" spans="1:15" ht="12.95" customHeight="1">
      <c r="B30" s="10"/>
      <c r="C30" s="11"/>
      <c r="D30" s="11"/>
      <c r="E30" s="293">
        <v>821300</v>
      </c>
      <c r="F30" s="319"/>
      <c r="G30" s="11" t="s">
        <v>92</v>
      </c>
      <c r="H30" s="515">
        <v>40000</v>
      </c>
      <c r="I30" s="515">
        <v>40000</v>
      </c>
      <c r="J30" s="564">
        <v>283</v>
      </c>
      <c r="K30" s="573">
        <v>100000</v>
      </c>
      <c r="L30" s="268">
        <v>0</v>
      </c>
      <c r="M30" s="548">
        <f t="shared" si="13"/>
        <v>100000</v>
      </c>
      <c r="N30" s="334">
        <f t="shared" si="2"/>
        <v>250</v>
      </c>
    </row>
    <row r="31" spans="1:15" ht="12.95" customHeight="1">
      <c r="B31" s="10"/>
      <c r="C31" s="11"/>
      <c r="D31" s="11"/>
      <c r="E31" s="293"/>
      <c r="F31" s="319"/>
      <c r="G31" s="11"/>
      <c r="H31" s="262"/>
      <c r="I31" s="262"/>
      <c r="J31" s="565"/>
      <c r="K31" s="558"/>
      <c r="L31" s="276"/>
      <c r="M31" s="553"/>
      <c r="N31" s="334" t="str">
        <f t="shared" si="2"/>
        <v/>
      </c>
    </row>
    <row r="32" spans="1:15" s="1" customFormat="1" ht="12.95" customHeight="1">
      <c r="A32" s="269"/>
      <c r="B32" s="12"/>
      <c r="C32" s="8"/>
      <c r="D32" s="8"/>
      <c r="E32" s="292"/>
      <c r="F32" s="318"/>
      <c r="G32" s="8" t="s">
        <v>93</v>
      </c>
      <c r="H32" s="262">
        <v>218</v>
      </c>
      <c r="I32" s="262">
        <v>218</v>
      </c>
      <c r="J32" s="565">
        <v>205</v>
      </c>
      <c r="K32" s="557">
        <v>218</v>
      </c>
      <c r="L32" s="282"/>
      <c r="M32" s="553">
        <v>218</v>
      </c>
      <c r="N32" s="334"/>
    </row>
    <row r="33" spans="1:14" s="1" customFormat="1" ht="12.95" customHeight="1">
      <c r="A33" s="269"/>
      <c r="B33" s="12"/>
      <c r="C33" s="8"/>
      <c r="D33" s="8"/>
      <c r="E33" s="292"/>
      <c r="F33" s="318"/>
      <c r="G33" s="8" t="s">
        <v>113</v>
      </c>
      <c r="H33" s="262">
        <f t="shared" ref="H33:M33" si="14">H8+H13+H16+H28</f>
        <v>6308670</v>
      </c>
      <c r="I33" s="276">
        <f t="shared" si="14"/>
        <v>6308670</v>
      </c>
      <c r="J33" s="565">
        <f t="shared" si="14"/>
        <v>4529526</v>
      </c>
      <c r="K33" s="558">
        <f t="shared" si="14"/>
        <v>6398170</v>
      </c>
      <c r="L33" s="276">
        <f t="shared" si="14"/>
        <v>0</v>
      </c>
      <c r="M33" s="553">
        <f t="shared" si="14"/>
        <v>6398170</v>
      </c>
      <c r="N33" s="333">
        <f t="shared" si="2"/>
        <v>101.41868254323019</v>
      </c>
    </row>
    <row r="34" spans="1:14" s="1" customFormat="1" ht="12.95" customHeight="1">
      <c r="A34" s="269"/>
      <c r="B34" s="12"/>
      <c r="C34" s="8"/>
      <c r="D34" s="8"/>
      <c r="E34" s="292"/>
      <c r="F34" s="318"/>
      <c r="G34" s="8" t="s">
        <v>94</v>
      </c>
      <c r="H34" s="262">
        <f t="shared" ref="H34:J35" si="15">H33</f>
        <v>6308670</v>
      </c>
      <c r="I34" s="276">
        <f t="shared" si="15"/>
        <v>6308670</v>
      </c>
      <c r="J34" s="565">
        <f t="shared" si="15"/>
        <v>4529526</v>
      </c>
      <c r="K34" s="558">
        <f t="shared" ref="K34:M34" si="16">K33</f>
        <v>6398170</v>
      </c>
      <c r="L34" s="276">
        <f t="shared" si="16"/>
        <v>0</v>
      </c>
      <c r="M34" s="553">
        <f t="shared" si="16"/>
        <v>6398170</v>
      </c>
      <c r="N34" s="333">
        <f t="shared" si="2"/>
        <v>101.41868254323019</v>
      </c>
    </row>
    <row r="35" spans="1:14" s="1" customFormat="1" ht="12.95" customHeight="1">
      <c r="A35" s="269"/>
      <c r="B35" s="12"/>
      <c r="C35" s="8"/>
      <c r="D35" s="8"/>
      <c r="E35" s="292"/>
      <c r="F35" s="318"/>
      <c r="G35" s="8" t="s">
        <v>95</v>
      </c>
      <c r="H35" s="262">
        <f t="shared" si="15"/>
        <v>6308670</v>
      </c>
      <c r="I35" s="276">
        <f t="shared" si="15"/>
        <v>6308670</v>
      </c>
      <c r="J35" s="565">
        <f t="shared" si="15"/>
        <v>4529526</v>
      </c>
      <c r="K35" s="558">
        <f t="shared" ref="K35:M35" si="17">K34</f>
        <v>6398170</v>
      </c>
      <c r="L35" s="276">
        <f t="shared" si="17"/>
        <v>0</v>
      </c>
      <c r="M35" s="553">
        <f t="shared" si="17"/>
        <v>6398170</v>
      </c>
      <c r="N35" s="333">
        <f t="shared" si="2"/>
        <v>101.41868254323019</v>
      </c>
    </row>
    <row r="36" spans="1:14" ht="12.95" customHeight="1" thickBot="1">
      <c r="B36" s="15"/>
      <c r="C36" s="16"/>
      <c r="D36" s="16"/>
      <c r="E36" s="294"/>
      <c r="F36" s="320"/>
      <c r="G36" s="16"/>
      <c r="H36" s="521"/>
      <c r="I36" s="16"/>
      <c r="J36" s="569"/>
      <c r="K36" s="15"/>
      <c r="L36" s="16"/>
      <c r="M36" s="574"/>
      <c r="N36" s="336" t="str">
        <f t="shared" si="2"/>
        <v/>
      </c>
    </row>
    <row r="37" spans="1:14" ht="12.95" customHeight="1">
      <c r="E37" s="295"/>
      <c r="F37" s="321"/>
      <c r="M37" s="369"/>
      <c r="N37" s="337" t="str">
        <f t="shared" si="2"/>
        <v/>
      </c>
    </row>
    <row r="38" spans="1:14" ht="12.95" customHeight="1">
      <c r="B38" s="48"/>
      <c r="E38" s="295"/>
      <c r="F38" s="321"/>
      <c r="M38" s="369"/>
      <c r="N38" s="337" t="str">
        <f t="shared" si="2"/>
        <v/>
      </c>
    </row>
    <row r="39" spans="1:14" ht="12.95" customHeight="1">
      <c r="B39" s="48"/>
      <c r="E39" s="295"/>
      <c r="F39" s="321"/>
      <c r="M39" s="369"/>
      <c r="N39" s="337" t="str">
        <f t="shared" si="2"/>
        <v/>
      </c>
    </row>
    <row r="40" spans="1:14" ht="12.95" customHeight="1">
      <c r="B40" s="48"/>
      <c r="E40" s="295"/>
      <c r="F40" s="321"/>
      <c r="M40" s="369"/>
      <c r="N40" s="337" t="str">
        <f t="shared" si="2"/>
        <v/>
      </c>
    </row>
    <row r="41" spans="1:14" ht="12.95" customHeight="1">
      <c r="B41" s="48"/>
      <c r="E41" s="295"/>
      <c r="F41" s="321"/>
      <c r="M41" s="369"/>
      <c r="N41" s="337" t="str">
        <f t="shared" si="2"/>
        <v/>
      </c>
    </row>
    <row r="42" spans="1:14" ht="12.95" customHeight="1">
      <c r="B42" s="48"/>
      <c r="E42" s="295"/>
      <c r="F42" s="321"/>
      <c r="M42" s="369"/>
      <c r="N42" s="337" t="str">
        <f t="shared" si="2"/>
        <v/>
      </c>
    </row>
    <row r="43" spans="1:14" ht="12.95" customHeight="1">
      <c r="B43" s="48"/>
      <c r="E43" s="295"/>
      <c r="F43" s="321"/>
      <c r="M43" s="369"/>
      <c r="N43" s="337" t="str">
        <f t="shared" si="2"/>
        <v/>
      </c>
    </row>
    <row r="44" spans="1:14" ht="12.95" customHeight="1">
      <c r="E44" s="295"/>
      <c r="F44" s="321"/>
      <c r="M44" s="369"/>
      <c r="N44" s="337" t="str">
        <f t="shared" si="2"/>
        <v/>
      </c>
    </row>
    <row r="45" spans="1:14" ht="12.95" customHeight="1">
      <c r="E45" s="295"/>
      <c r="F45" s="321"/>
      <c r="M45" s="369"/>
      <c r="N45" s="337" t="str">
        <f t="shared" si="2"/>
        <v/>
      </c>
    </row>
    <row r="46" spans="1:14" ht="12.95" customHeight="1">
      <c r="E46" s="295"/>
      <c r="F46" s="321"/>
      <c r="M46" s="369"/>
      <c r="N46" s="337" t="str">
        <f t="shared" si="2"/>
        <v/>
      </c>
    </row>
    <row r="47" spans="1:14" ht="12.95" customHeight="1">
      <c r="E47" s="295"/>
      <c r="F47" s="321"/>
      <c r="M47" s="369"/>
      <c r="N47" s="337" t="str">
        <f t="shared" si="2"/>
        <v/>
      </c>
    </row>
    <row r="48" spans="1:14" ht="12.95" customHeight="1">
      <c r="E48" s="295"/>
      <c r="F48" s="321"/>
      <c r="M48" s="369"/>
      <c r="N48" s="337" t="str">
        <f t="shared" si="2"/>
        <v/>
      </c>
    </row>
    <row r="49" spans="5:14" ht="12.95" customHeight="1">
      <c r="E49" s="295"/>
      <c r="F49" s="321"/>
      <c r="M49" s="369"/>
      <c r="N49" s="337" t="str">
        <f t="shared" si="2"/>
        <v/>
      </c>
    </row>
    <row r="50" spans="5:14" ht="12.95" customHeight="1">
      <c r="E50" s="295"/>
      <c r="F50" s="321"/>
      <c r="M50" s="369"/>
      <c r="N50" s="337" t="str">
        <f t="shared" si="2"/>
        <v/>
      </c>
    </row>
    <row r="51" spans="5:14" ht="12.95" customHeight="1">
      <c r="E51" s="295"/>
      <c r="F51" s="321"/>
      <c r="M51" s="369"/>
      <c r="N51" s="337" t="str">
        <f t="shared" si="2"/>
        <v/>
      </c>
    </row>
    <row r="52" spans="5:14" ht="12.95" customHeight="1">
      <c r="E52" s="295"/>
      <c r="F52" s="321"/>
      <c r="M52" s="369"/>
      <c r="N52" s="337" t="str">
        <f t="shared" si="2"/>
        <v/>
      </c>
    </row>
    <row r="53" spans="5:14" ht="12.95" customHeight="1">
      <c r="E53" s="295"/>
      <c r="F53" s="321"/>
      <c r="M53" s="369"/>
      <c r="N53" s="337" t="str">
        <f t="shared" si="2"/>
        <v/>
      </c>
    </row>
    <row r="54" spans="5:14" ht="12.95" customHeight="1">
      <c r="E54" s="295"/>
      <c r="F54" s="321"/>
      <c r="M54" s="369"/>
      <c r="N54" s="337" t="str">
        <f t="shared" si="2"/>
        <v/>
      </c>
    </row>
    <row r="55" spans="5:14" ht="12.95" customHeight="1">
      <c r="E55" s="295"/>
      <c r="F55" s="321"/>
      <c r="M55" s="369"/>
      <c r="N55" s="337" t="str">
        <f t="shared" si="2"/>
        <v/>
      </c>
    </row>
    <row r="56" spans="5:14" ht="12.95" customHeight="1">
      <c r="E56" s="295"/>
      <c r="F56" s="321"/>
      <c r="M56" s="369"/>
      <c r="N56" s="337" t="str">
        <f t="shared" si="2"/>
        <v/>
      </c>
    </row>
    <row r="57" spans="5:14" ht="12.95" customHeight="1">
      <c r="E57" s="295"/>
      <c r="F57" s="321"/>
      <c r="M57" s="369"/>
      <c r="N57" s="337" t="str">
        <f t="shared" si="2"/>
        <v/>
      </c>
    </row>
    <row r="58" spans="5:14" ht="12.95" customHeight="1">
      <c r="E58" s="295"/>
      <c r="F58" s="321"/>
      <c r="M58" s="369"/>
      <c r="N58" s="337" t="str">
        <f t="shared" si="2"/>
        <v/>
      </c>
    </row>
    <row r="59" spans="5:14" ht="12.95" customHeight="1">
      <c r="E59" s="295"/>
      <c r="F59" s="321"/>
      <c r="M59" s="369"/>
      <c r="N59" s="337" t="str">
        <f t="shared" si="2"/>
        <v/>
      </c>
    </row>
    <row r="60" spans="5:14" ht="17.100000000000001" customHeight="1">
      <c r="E60" s="295"/>
      <c r="F60" s="321"/>
      <c r="M60" s="369"/>
      <c r="N60" s="337" t="str">
        <f t="shared" si="2"/>
        <v/>
      </c>
    </row>
    <row r="61" spans="5:14" ht="14.25">
      <c r="E61" s="295"/>
      <c r="F61" s="321"/>
      <c r="M61" s="369"/>
      <c r="N61" s="337" t="str">
        <f t="shared" si="2"/>
        <v/>
      </c>
    </row>
    <row r="62" spans="5:14" ht="14.25">
      <c r="E62" s="295"/>
      <c r="F62" s="321"/>
      <c r="M62" s="369"/>
      <c r="N62" s="337" t="str">
        <f t="shared" si="2"/>
        <v/>
      </c>
    </row>
    <row r="63" spans="5:14" ht="14.25">
      <c r="E63" s="295"/>
      <c r="F63" s="321"/>
      <c r="M63" s="369"/>
      <c r="N63" s="337" t="str">
        <f t="shared" si="2"/>
        <v/>
      </c>
    </row>
    <row r="64" spans="5:14" ht="14.25">
      <c r="E64" s="295"/>
      <c r="F64" s="321"/>
      <c r="M64" s="369"/>
      <c r="N64" s="337" t="str">
        <f t="shared" si="2"/>
        <v/>
      </c>
    </row>
    <row r="65" spans="5:14" ht="14.25">
      <c r="E65" s="295"/>
      <c r="F65" s="321"/>
      <c r="M65" s="369"/>
      <c r="N65" s="337" t="str">
        <f t="shared" si="2"/>
        <v/>
      </c>
    </row>
    <row r="66" spans="5:14" ht="14.25">
      <c r="E66" s="295"/>
      <c r="F66" s="321"/>
      <c r="M66" s="369"/>
      <c r="N66" s="337" t="str">
        <f t="shared" si="2"/>
        <v/>
      </c>
    </row>
    <row r="67" spans="5:14" ht="14.25">
      <c r="E67" s="295"/>
      <c r="F67" s="321"/>
      <c r="M67" s="369"/>
      <c r="N67" s="337" t="str">
        <f t="shared" si="2"/>
        <v/>
      </c>
    </row>
    <row r="68" spans="5:14" ht="14.25">
      <c r="E68" s="295"/>
      <c r="F68" s="321"/>
      <c r="M68" s="369"/>
      <c r="N68" s="337" t="str">
        <f t="shared" si="2"/>
        <v/>
      </c>
    </row>
    <row r="69" spans="5:14" ht="14.25">
      <c r="E69" s="295"/>
      <c r="F69" s="321"/>
      <c r="M69" s="369"/>
      <c r="N69" s="337" t="str">
        <f t="shared" si="2"/>
        <v/>
      </c>
    </row>
    <row r="70" spans="5:14" ht="14.25">
      <c r="E70" s="295"/>
      <c r="F70" s="321"/>
      <c r="M70" s="369"/>
      <c r="N70" s="337" t="str">
        <f t="shared" si="2"/>
        <v/>
      </c>
    </row>
    <row r="71" spans="5:14" ht="14.25">
      <c r="E71" s="295"/>
      <c r="F71" s="321"/>
      <c r="M71" s="369"/>
      <c r="N71" s="337" t="str">
        <f t="shared" si="2"/>
        <v/>
      </c>
    </row>
    <row r="72" spans="5:14" ht="14.25">
      <c r="E72" s="295"/>
      <c r="F72" s="321"/>
      <c r="M72" s="369"/>
      <c r="N72" s="337" t="str">
        <f t="shared" si="2"/>
        <v/>
      </c>
    </row>
    <row r="73" spans="5:14" ht="14.25">
      <c r="E73" s="295"/>
      <c r="F73" s="321"/>
      <c r="M73" s="369"/>
      <c r="N73" s="337" t="str">
        <f t="shared" ref="N73:N77" si="18">IF(I73=0,"",M73/I73*100)</f>
        <v/>
      </c>
    </row>
    <row r="74" spans="5:14" ht="14.25">
      <c r="E74" s="295"/>
      <c r="F74" s="295"/>
      <c r="M74" s="369"/>
      <c r="N74" s="337" t="str">
        <f t="shared" si="18"/>
        <v/>
      </c>
    </row>
    <row r="75" spans="5:14" ht="14.25">
      <c r="E75" s="295"/>
      <c r="F75" s="295"/>
      <c r="M75" s="369"/>
      <c r="N75" s="337" t="str">
        <f t="shared" si="18"/>
        <v/>
      </c>
    </row>
    <row r="76" spans="5:14" ht="14.25">
      <c r="E76" s="295"/>
      <c r="F76" s="295"/>
      <c r="M76" s="369"/>
      <c r="N76" s="337" t="str">
        <f t="shared" si="18"/>
        <v/>
      </c>
    </row>
    <row r="77" spans="5:14" ht="14.25">
      <c r="E77" s="295"/>
      <c r="F77" s="295"/>
      <c r="M77" s="369"/>
      <c r="N77" s="337" t="str">
        <f t="shared" si="18"/>
        <v/>
      </c>
    </row>
    <row r="78" spans="5:14" ht="14.25">
      <c r="E78" s="295"/>
      <c r="F78" s="295"/>
      <c r="M78" s="369"/>
    </row>
    <row r="79" spans="5:14" ht="14.25">
      <c r="E79" s="295"/>
      <c r="F79" s="295"/>
      <c r="M79" s="369"/>
    </row>
    <row r="80" spans="5:14" ht="14.25">
      <c r="E80" s="295"/>
      <c r="F80" s="295"/>
      <c r="M80" s="369"/>
    </row>
    <row r="81" spans="5:13" ht="14.25">
      <c r="E81" s="295"/>
      <c r="F81" s="295"/>
      <c r="M81" s="369"/>
    </row>
    <row r="82" spans="5:13" ht="14.25">
      <c r="E82" s="295"/>
      <c r="F82" s="295"/>
      <c r="M82" s="369"/>
    </row>
    <row r="83" spans="5:13" ht="14.25">
      <c r="E83" s="295"/>
      <c r="F83" s="295"/>
      <c r="M83" s="369"/>
    </row>
    <row r="84" spans="5:13" ht="14.25">
      <c r="E84" s="295"/>
      <c r="F84" s="295"/>
      <c r="M84" s="369"/>
    </row>
    <row r="85" spans="5:13" ht="14.25">
      <c r="E85" s="295"/>
      <c r="F85" s="295"/>
      <c r="M85" s="369"/>
    </row>
    <row r="86" spans="5:13" ht="14.25">
      <c r="E86" s="295"/>
      <c r="F86" s="295"/>
      <c r="M86" s="369"/>
    </row>
    <row r="87" spans="5:13" ht="14.25">
      <c r="E87" s="295"/>
      <c r="F87" s="295"/>
      <c r="M87" s="369"/>
    </row>
    <row r="88" spans="5:13" ht="14.25">
      <c r="E88" s="295"/>
      <c r="F88" s="295"/>
      <c r="M88" s="369"/>
    </row>
    <row r="89" spans="5:13" ht="14.25">
      <c r="E89" s="295"/>
      <c r="F89" s="295"/>
      <c r="M89" s="369"/>
    </row>
    <row r="90" spans="5:13" ht="14.25">
      <c r="E90" s="295"/>
      <c r="F90" s="295"/>
      <c r="M90" s="369"/>
    </row>
    <row r="91" spans="5:13">
      <c r="F91" s="295"/>
    </row>
    <row r="92" spans="5:13">
      <c r="F92" s="295"/>
    </row>
    <row r="93" spans="5:13">
      <c r="F93" s="295"/>
    </row>
    <row r="94" spans="5:13">
      <c r="F94" s="295"/>
    </row>
    <row r="95" spans="5:13">
      <c r="F95" s="295"/>
    </row>
    <row r="96" spans="5:13">
      <c r="F96" s="295"/>
    </row>
  </sheetData>
  <mergeCells count="12">
    <mergeCell ref="N4:N5"/>
    <mergeCell ref="G4:G5"/>
    <mergeCell ref="B2:J2"/>
    <mergeCell ref="B4:B5"/>
    <mergeCell ref="C4:C5"/>
    <mergeCell ref="D4:D5"/>
    <mergeCell ref="F4:F5"/>
    <mergeCell ref="E4:E5"/>
    <mergeCell ref="K4:M4"/>
    <mergeCell ref="H4:H5"/>
    <mergeCell ref="I4:I5"/>
    <mergeCell ref="J4:J5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3"/>
  <dimension ref="A1:P96"/>
  <sheetViews>
    <sheetView topLeftCell="A10" zoomScaleNormal="100" workbookViewId="0">
      <selection activeCell="K10" sqref="K10"/>
    </sheetView>
  </sheetViews>
  <sheetFormatPr defaultRowHeight="12.75"/>
  <cols>
    <col min="1" max="1" width="9.140625" style="272"/>
    <col min="2" max="2" width="4.7109375" style="9" customWidth="1"/>
    <col min="3" max="3" width="5.140625" style="9" customWidth="1"/>
    <col min="4" max="4" width="5" style="9" customWidth="1"/>
    <col min="5" max="5" width="8.7109375" style="17" customWidth="1"/>
    <col min="6" max="6" width="8.7109375" style="277" customWidth="1"/>
    <col min="7" max="7" width="50.7109375" style="9" customWidth="1"/>
    <col min="8" max="8" width="14.7109375" style="519" customWidth="1"/>
    <col min="9" max="9" width="14.7109375" style="54" customWidth="1"/>
    <col min="10" max="10" width="15.7109375" style="519" customWidth="1"/>
    <col min="11" max="12" width="14.7109375" style="54" customWidth="1"/>
    <col min="13" max="13" width="15.7109375" style="54" customWidth="1"/>
    <col min="14" max="14" width="7.7109375" style="337" customWidth="1"/>
    <col min="15" max="16384" width="9.140625" style="9"/>
  </cols>
  <sheetData>
    <row r="1" spans="1:16" ht="13.5" thickBot="1"/>
    <row r="2" spans="1:16" s="363" customFormat="1" ht="20.100000000000001" customHeight="1" thickTop="1" thickBot="1">
      <c r="B2" s="725" t="s">
        <v>130</v>
      </c>
      <c r="C2" s="726"/>
      <c r="D2" s="726"/>
      <c r="E2" s="726"/>
      <c r="F2" s="726"/>
      <c r="G2" s="726"/>
      <c r="H2" s="508"/>
      <c r="I2" s="364"/>
      <c r="J2" s="508"/>
      <c r="K2" s="364"/>
      <c r="L2" s="364"/>
      <c r="M2" s="364"/>
      <c r="N2" s="367"/>
    </row>
    <row r="3" spans="1:16" s="1" customFormat="1" ht="8.1" customHeight="1" thickTop="1" thickBot="1">
      <c r="A3" s="269"/>
      <c r="E3" s="2"/>
      <c r="F3" s="270"/>
      <c r="G3" s="488"/>
      <c r="H3" s="511"/>
      <c r="I3" s="87"/>
      <c r="J3" s="511"/>
      <c r="K3" s="87"/>
      <c r="L3" s="87"/>
      <c r="M3" s="87"/>
      <c r="N3" s="331"/>
    </row>
    <row r="4" spans="1:16" s="1" customFormat="1" ht="39" customHeight="1">
      <c r="A4" s="269"/>
      <c r="B4" s="728" t="s">
        <v>78</v>
      </c>
      <c r="C4" s="746" t="s">
        <v>79</v>
      </c>
      <c r="D4" s="747" t="s">
        <v>110</v>
      </c>
      <c r="E4" s="748" t="s">
        <v>594</v>
      </c>
      <c r="F4" s="733" t="s">
        <v>650</v>
      </c>
      <c r="G4" s="734" t="s">
        <v>80</v>
      </c>
      <c r="H4" s="740" t="s">
        <v>644</v>
      </c>
      <c r="I4" s="742" t="s">
        <v>821</v>
      </c>
      <c r="J4" s="744" t="s">
        <v>822</v>
      </c>
      <c r="K4" s="749" t="s">
        <v>863</v>
      </c>
      <c r="L4" s="738"/>
      <c r="M4" s="739"/>
      <c r="N4" s="735" t="s">
        <v>823</v>
      </c>
    </row>
    <row r="5" spans="1:16" s="269" customFormat="1" ht="27" customHeight="1">
      <c r="B5" s="729"/>
      <c r="C5" s="731"/>
      <c r="D5" s="731"/>
      <c r="E5" s="722"/>
      <c r="F5" s="731"/>
      <c r="G5" s="722"/>
      <c r="H5" s="741"/>
      <c r="I5" s="743"/>
      <c r="J5" s="745"/>
      <c r="K5" s="540" t="s">
        <v>701</v>
      </c>
      <c r="L5" s="359" t="s">
        <v>702</v>
      </c>
      <c r="M5" s="541" t="s">
        <v>413</v>
      </c>
      <c r="N5" s="736"/>
    </row>
    <row r="6" spans="1:16" s="2" customFormat="1" ht="12.95" customHeight="1">
      <c r="A6" s="270"/>
      <c r="B6" s="464">
        <v>1</v>
      </c>
      <c r="C6" s="318">
        <v>2</v>
      </c>
      <c r="D6" s="318">
        <v>3</v>
      </c>
      <c r="E6" s="318">
        <v>4</v>
      </c>
      <c r="F6" s="318">
        <v>5</v>
      </c>
      <c r="G6" s="318">
        <v>6</v>
      </c>
      <c r="H6" s="512">
        <v>7</v>
      </c>
      <c r="I6" s="318">
        <v>8</v>
      </c>
      <c r="J6" s="561">
        <v>9</v>
      </c>
      <c r="K6" s="464">
        <v>10</v>
      </c>
      <c r="L6" s="318">
        <v>11</v>
      </c>
      <c r="M6" s="542" t="s">
        <v>703</v>
      </c>
      <c r="N6" s="465">
        <v>13</v>
      </c>
    </row>
    <row r="7" spans="1:16" s="2" customFormat="1" ht="12.95" customHeight="1">
      <c r="A7" s="270"/>
      <c r="B7" s="6" t="s">
        <v>131</v>
      </c>
      <c r="C7" s="7" t="s">
        <v>81</v>
      </c>
      <c r="D7" s="7" t="s">
        <v>82</v>
      </c>
      <c r="E7" s="5"/>
      <c r="F7" s="271"/>
      <c r="G7" s="5"/>
      <c r="H7" s="520"/>
      <c r="I7" s="81"/>
      <c r="J7" s="562"/>
      <c r="K7" s="543"/>
      <c r="L7" s="81"/>
      <c r="M7" s="544"/>
      <c r="N7" s="332"/>
    </row>
    <row r="8" spans="1:16" s="1" customFormat="1" ht="12.95" customHeight="1">
      <c r="A8" s="269"/>
      <c r="B8" s="12"/>
      <c r="C8" s="8"/>
      <c r="D8" s="8"/>
      <c r="E8" s="292">
        <v>611000</v>
      </c>
      <c r="F8" s="318"/>
      <c r="G8" s="8" t="s">
        <v>163</v>
      </c>
      <c r="H8" s="514">
        <f t="shared" ref="H8:I8" si="0">SUM(H9:H12)</f>
        <v>94470</v>
      </c>
      <c r="I8" s="514">
        <f t="shared" si="0"/>
        <v>94470</v>
      </c>
      <c r="J8" s="563">
        <v>70622</v>
      </c>
      <c r="K8" s="545">
        <f t="shared" ref="K8:M8" si="1">SUM(K9:K12)</f>
        <v>99430</v>
      </c>
      <c r="L8" s="201">
        <f t="shared" si="1"/>
        <v>0</v>
      </c>
      <c r="M8" s="546">
        <f t="shared" si="1"/>
        <v>99430</v>
      </c>
      <c r="N8" s="333">
        <f>IF(I8=0,"",M8/I8*100)</f>
        <v>105.25034402455806</v>
      </c>
    </row>
    <row r="9" spans="1:16" ht="12.95" customHeight="1">
      <c r="B9" s="10"/>
      <c r="C9" s="11"/>
      <c r="D9" s="11"/>
      <c r="E9" s="293">
        <v>611100</v>
      </c>
      <c r="F9" s="319"/>
      <c r="G9" s="18" t="s">
        <v>198</v>
      </c>
      <c r="H9" s="515">
        <v>80870</v>
      </c>
      <c r="I9" s="515">
        <v>80870</v>
      </c>
      <c r="J9" s="564">
        <v>59148</v>
      </c>
      <c r="K9" s="547">
        <f>82530+500</f>
        <v>83030</v>
      </c>
      <c r="L9" s="203">
        <v>0</v>
      </c>
      <c r="M9" s="548">
        <f>SUM(K9:L9)</f>
        <v>83030</v>
      </c>
      <c r="N9" s="334">
        <f t="shared" ref="N9:N72" si="2">IF(I9=0,"",M9/I9*100)</f>
        <v>102.67095338197107</v>
      </c>
    </row>
    <row r="10" spans="1:16" ht="12.95" customHeight="1">
      <c r="B10" s="10"/>
      <c r="C10" s="11"/>
      <c r="D10" s="11"/>
      <c r="E10" s="293">
        <v>611200</v>
      </c>
      <c r="F10" s="319"/>
      <c r="G10" s="11" t="s">
        <v>199</v>
      </c>
      <c r="H10" s="515">
        <v>13600</v>
      </c>
      <c r="I10" s="515">
        <v>13600</v>
      </c>
      <c r="J10" s="564">
        <v>11474</v>
      </c>
      <c r="K10" s="547">
        <f>15100+300+4*250</f>
        <v>16400</v>
      </c>
      <c r="L10" s="203">
        <v>0</v>
      </c>
      <c r="M10" s="548">
        <f t="shared" ref="M10:M11" si="3">SUM(K10:L10)</f>
        <v>16400</v>
      </c>
      <c r="N10" s="334">
        <f t="shared" si="2"/>
        <v>120.58823529411764</v>
      </c>
    </row>
    <row r="11" spans="1:16" ht="12.95" customHeight="1">
      <c r="B11" s="10"/>
      <c r="C11" s="11"/>
      <c r="D11" s="11"/>
      <c r="E11" s="293">
        <v>611200</v>
      </c>
      <c r="F11" s="319"/>
      <c r="G11" s="180" t="s">
        <v>534</v>
      </c>
      <c r="H11" s="515">
        <f t="shared" ref="H11:I11" si="4">SUM(F11:G11)</f>
        <v>0</v>
      </c>
      <c r="I11" s="515">
        <f t="shared" si="4"/>
        <v>0</v>
      </c>
      <c r="J11" s="564">
        <v>0</v>
      </c>
      <c r="K11" s="549">
        <v>0</v>
      </c>
      <c r="L11" s="200">
        <v>0</v>
      </c>
      <c r="M11" s="548">
        <f t="shared" si="3"/>
        <v>0</v>
      </c>
      <c r="N11" s="334" t="str">
        <f t="shared" si="2"/>
        <v/>
      </c>
      <c r="P11" s="53"/>
    </row>
    <row r="12" spans="1:16" ht="12.95" customHeight="1">
      <c r="B12" s="10"/>
      <c r="C12" s="11"/>
      <c r="D12" s="11"/>
      <c r="E12" s="293"/>
      <c r="F12" s="319"/>
      <c r="G12" s="18"/>
      <c r="H12" s="515"/>
      <c r="I12" s="515"/>
      <c r="J12" s="564"/>
      <c r="K12" s="547"/>
      <c r="L12" s="203"/>
      <c r="M12" s="548"/>
      <c r="N12" s="334" t="str">
        <f t="shared" si="2"/>
        <v/>
      </c>
    </row>
    <row r="13" spans="1:16" s="1" customFormat="1" ht="12.95" customHeight="1">
      <c r="A13" s="269"/>
      <c r="B13" s="12"/>
      <c r="C13" s="8"/>
      <c r="D13" s="8"/>
      <c r="E13" s="292">
        <v>612000</v>
      </c>
      <c r="F13" s="318"/>
      <c r="G13" s="8" t="s">
        <v>162</v>
      </c>
      <c r="H13" s="514">
        <f t="shared" ref="H13:M13" si="5">H14</f>
        <v>8720</v>
      </c>
      <c r="I13" s="514">
        <f t="shared" si="5"/>
        <v>8720</v>
      </c>
      <c r="J13" s="563">
        <v>6259</v>
      </c>
      <c r="K13" s="545">
        <f t="shared" si="5"/>
        <v>8880</v>
      </c>
      <c r="L13" s="201">
        <f t="shared" si="5"/>
        <v>0</v>
      </c>
      <c r="M13" s="546">
        <f t="shared" si="5"/>
        <v>8880</v>
      </c>
      <c r="N13" s="333">
        <f t="shared" si="2"/>
        <v>101.83486238532109</v>
      </c>
    </row>
    <row r="14" spans="1:16" ht="12.95" customHeight="1">
      <c r="B14" s="10"/>
      <c r="C14" s="11"/>
      <c r="D14" s="11"/>
      <c r="E14" s="293">
        <v>612100</v>
      </c>
      <c r="F14" s="319"/>
      <c r="G14" s="13" t="s">
        <v>83</v>
      </c>
      <c r="H14" s="515">
        <v>8720</v>
      </c>
      <c r="I14" s="515">
        <v>8720</v>
      </c>
      <c r="J14" s="564">
        <v>6259</v>
      </c>
      <c r="K14" s="547">
        <v>8880</v>
      </c>
      <c r="L14" s="203">
        <v>0</v>
      </c>
      <c r="M14" s="548">
        <f>SUM(K14:L14)</f>
        <v>8880</v>
      </c>
      <c r="N14" s="334">
        <f t="shared" si="2"/>
        <v>101.83486238532109</v>
      </c>
    </row>
    <row r="15" spans="1:16" ht="12.95" customHeight="1">
      <c r="B15" s="10"/>
      <c r="C15" s="11"/>
      <c r="D15" s="11"/>
      <c r="E15" s="293"/>
      <c r="F15" s="319"/>
      <c r="G15" s="11"/>
      <c r="H15" s="516"/>
      <c r="I15" s="516"/>
      <c r="J15" s="566"/>
      <c r="K15" s="550"/>
      <c r="L15" s="279"/>
      <c r="M15" s="551"/>
      <c r="N15" s="334" t="str">
        <f t="shared" si="2"/>
        <v/>
      </c>
    </row>
    <row r="16" spans="1:16" s="1" customFormat="1" ht="12.95" customHeight="1">
      <c r="A16" s="269"/>
      <c r="B16" s="12"/>
      <c r="C16" s="8"/>
      <c r="D16" s="8"/>
      <c r="E16" s="292">
        <v>613000</v>
      </c>
      <c r="F16" s="318"/>
      <c r="G16" s="8" t="s">
        <v>164</v>
      </c>
      <c r="H16" s="262">
        <f t="shared" ref="H16:I16" si="6">SUM(H17:H26)</f>
        <v>79300</v>
      </c>
      <c r="I16" s="262">
        <f t="shared" si="6"/>
        <v>79300</v>
      </c>
      <c r="J16" s="565">
        <v>40679</v>
      </c>
      <c r="K16" s="552">
        <f t="shared" ref="K16:M16" si="7">SUM(K17:K26)</f>
        <v>65800</v>
      </c>
      <c r="L16" s="281">
        <f t="shared" si="7"/>
        <v>0</v>
      </c>
      <c r="M16" s="553">
        <f t="shared" si="7"/>
        <v>65800</v>
      </c>
      <c r="N16" s="333">
        <f t="shared" si="2"/>
        <v>82.97604035308953</v>
      </c>
    </row>
    <row r="17" spans="1:14" ht="12.95" customHeight="1">
      <c r="B17" s="10"/>
      <c r="C17" s="11"/>
      <c r="D17" s="11"/>
      <c r="E17" s="293">
        <v>613100</v>
      </c>
      <c r="F17" s="319"/>
      <c r="G17" s="11" t="s">
        <v>84</v>
      </c>
      <c r="H17" s="515">
        <v>3500</v>
      </c>
      <c r="I17" s="515">
        <v>4500</v>
      </c>
      <c r="J17" s="564">
        <v>3251</v>
      </c>
      <c r="K17" s="573">
        <v>4500</v>
      </c>
      <c r="L17" s="268">
        <v>0</v>
      </c>
      <c r="M17" s="548">
        <f t="shared" ref="M17:M26" si="8">SUM(K17:L17)</f>
        <v>4500</v>
      </c>
      <c r="N17" s="334">
        <f t="shared" si="2"/>
        <v>100</v>
      </c>
    </row>
    <row r="18" spans="1:14" ht="12.95" customHeight="1">
      <c r="B18" s="10"/>
      <c r="C18" s="11"/>
      <c r="D18" s="11"/>
      <c r="E18" s="293">
        <v>613200</v>
      </c>
      <c r="F18" s="319"/>
      <c r="G18" s="11" t="s">
        <v>85</v>
      </c>
      <c r="H18" s="515">
        <f t="shared" ref="H18:I26" si="9">SUM(F18:G18)</f>
        <v>0</v>
      </c>
      <c r="I18" s="515">
        <f t="shared" si="9"/>
        <v>0</v>
      </c>
      <c r="J18" s="564">
        <v>0</v>
      </c>
      <c r="K18" s="573">
        <v>0</v>
      </c>
      <c r="L18" s="268">
        <v>0</v>
      </c>
      <c r="M18" s="548">
        <f t="shared" si="8"/>
        <v>0</v>
      </c>
      <c r="N18" s="334" t="str">
        <f t="shared" si="2"/>
        <v/>
      </c>
    </row>
    <row r="19" spans="1:14" ht="12.95" customHeight="1">
      <c r="B19" s="10"/>
      <c r="C19" s="11"/>
      <c r="D19" s="11"/>
      <c r="E19" s="293">
        <v>613300</v>
      </c>
      <c r="F19" s="319"/>
      <c r="G19" s="18" t="s">
        <v>200</v>
      </c>
      <c r="H19" s="515">
        <v>2800</v>
      </c>
      <c r="I19" s="515">
        <v>2800</v>
      </c>
      <c r="J19" s="564">
        <v>1621</v>
      </c>
      <c r="K19" s="573">
        <v>2800</v>
      </c>
      <c r="L19" s="268">
        <v>0</v>
      </c>
      <c r="M19" s="548">
        <f t="shared" si="8"/>
        <v>2800</v>
      </c>
      <c r="N19" s="334">
        <f t="shared" si="2"/>
        <v>100</v>
      </c>
    </row>
    <row r="20" spans="1:14" ht="12.95" customHeight="1">
      <c r="B20" s="10"/>
      <c r="C20" s="11"/>
      <c r="D20" s="11"/>
      <c r="E20" s="293">
        <v>613400</v>
      </c>
      <c r="F20" s="319"/>
      <c r="G20" s="11" t="s">
        <v>165</v>
      </c>
      <c r="H20" s="515">
        <v>2000</v>
      </c>
      <c r="I20" s="515">
        <v>2500</v>
      </c>
      <c r="J20" s="564">
        <v>2457</v>
      </c>
      <c r="K20" s="573">
        <v>2500</v>
      </c>
      <c r="L20" s="268">
        <v>0</v>
      </c>
      <c r="M20" s="548">
        <f t="shared" si="8"/>
        <v>2500</v>
      </c>
      <c r="N20" s="334">
        <f t="shared" si="2"/>
        <v>100</v>
      </c>
    </row>
    <row r="21" spans="1:14" ht="12.95" customHeight="1">
      <c r="B21" s="10"/>
      <c r="C21" s="11"/>
      <c r="D21" s="11"/>
      <c r="E21" s="293">
        <v>613500</v>
      </c>
      <c r="F21" s="319"/>
      <c r="G21" s="11" t="s">
        <v>86</v>
      </c>
      <c r="H21" s="515">
        <f t="shared" si="9"/>
        <v>0</v>
      </c>
      <c r="I21" s="515">
        <f t="shared" si="9"/>
        <v>0</v>
      </c>
      <c r="J21" s="564">
        <v>0</v>
      </c>
      <c r="K21" s="573">
        <v>0</v>
      </c>
      <c r="L21" s="268">
        <v>0</v>
      </c>
      <c r="M21" s="548">
        <f t="shared" si="8"/>
        <v>0</v>
      </c>
      <c r="N21" s="334" t="str">
        <f t="shared" si="2"/>
        <v/>
      </c>
    </row>
    <row r="22" spans="1:14" ht="12.95" customHeight="1">
      <c r="B22" s="10"/>
      <c r="C22" s="11"/>
      <c r="D22" s="11"/>
      <c r="E22" s="293">
        <v>613600</v>
      </c>
      <c r="F22" s="319"/>
      <c r="G22" s="18" t="s">
        <v>201</v>
      </c>
      <c r="H22" s="515">
        <f t="shared" si="9"/>
        <v>0</v>
      </c>
      <c r="I22" s="515">
        <f t="shared" si="9"/>
        <v>0</v>
      </c>
      <c r="J22" s="564">
        <v>0</v>
      </c>
      <c r="K22" s="573">
        <v>0</v>
      </c>
      <c r="L22" s="268">
        <v>0</v>
      </c>
      <c r="M22" s="548">
        <f t="shared" si="8"/>
        <v>0</v>
      </c>
      <c r="N22" s="334" t="str">
        <f t="shared" si="2"/>
        <v/>
      </c>
    </row>
    <row r="23" spans="1:14" ht="12.95" customHeight="1">
      <c r="B23" s="10"/>
      <c r="C23" s="11"/>
      <c r="D23" s="11"/>
      <c r="E23" s="293">
        <v>613700</v>
      </c>
      <c r="F23" s="319"/>
      <c r="G23" s="11" t="s">
        <v>87</v>
      </c>
      <c r="H23" s="515">
        <v>1000</v>
      </c>
      <c r="I23" s="515">
        <v>1000</v>
      </c>
      <c r="J23" s="564">
        <v>591</v>
      </c>
      <c r="K23" s="573">
        <v>1000</v>
      </c>
      <c r="L23" s="268">
        <v>0</v>
      </c>
      <c r="M23" s="548">
        <f t="shared" si="8"/>
        <v>1000</v>
      </c>
      <c r="N23" s="334">
        <f t="shared" si="2"/>
        <v>100</v>
      </c>
    </row>
    <row r="24" spans="1:14" ht="12.95" customHeight="1">
      <c r="B24" s="10"/>
      <c r="C24" s="11"/>
      <c r="D24" s="11"/>
      <c r="E24" s="293">
        <v>613800</v>
      </c>
      <c r="F24" s="319"/>
      <c r="G24" s="11" t="s">
        <v>166</v>
      </c>
      <c r="H24" s="515">
        <f t="shared" si="9"/>
        <v>0</v>
      </c>
      <c r="I24" s="515">
        <f t="shared" si="9"/>
        <v>0</v>
      </c>
      <c r="J24" s="564">
        <v>0</v>
      </c>
      <c r="K24" s="573">
        <v>0</v>
      </c>
      <c r="L24" s="268">
        <v>0</v>
      </c>
      <c r="M24" s="548">
        <f t="shared" si="8"/>
        <v>0</v>
      </c>
      <c r="N24" s="334" t="str">
        <f t="shared" si="2"/>
        <v/>
      </c>
    </row>
    <row r="25" spans="1:14" ht="12.95" customHeight="1">
      <c r="B25" s="10"/>
      <c r="C25" s="11"/>
      <c r="D25" s="11"/>
      <c r="E25" s="293">
        <v>613900</v>
      </c>
      <c r="F25" s="319"/>
      <c r="G25" s="11" t="s">
        <v>167</v>
      </c>
      <c r="H25" s="515">
        <v>70000</v>
      </c>
      <c r="I25" s="515">
        <v>68500</v>
      </c>
      <c r="J25" s="564">
        <v>32759</v>
      </c>
      <c r="K25" s="573">
        <v>55000</v>
      </c>
      <c r="L25" s="268">
        <v>0</v>
      </c>
      <c r="M25" s="548">
        <f t="shared" si="8"/>
        <v>55000</v>
      </c>
      <c r="N25" s="334">
        <f t="shared" si="2"/>
        <v>80.291970802919707</v>
      </c>
    </row>
    <row r="26" spans="1:14" ht="12.95" customHeight="1">
      <c r="B26" s="10"/>
      <c r="C26" s="11"/>
      <c r="D26" s="11"/>
      <c r="E26" s="293">
        <v>613900</v>
      </c>
      <c r="F26" s="319"/>
      <c r="G26" s="180" t="s">
        <v>535</v>
      </c>
      <c r="H26" s="515">
        <f t="shared" si="9"/>
        <v>0</v>
      </c>
      <c r="I26" s="515">
        <f t="shared" si="9"/>
        <v>0</v>
      </c>
      <c r="J26" s="564">
        <v>0</v>
      </c>
      <c r="K26" s="602">
        <v>0</v>
      </c>
      <c r="L26" s="82">
        <v>0</v>
      </c>
      <c r="M26" s="548">
        <f t="shared" si="8"/>
        <v>0</v>
      </c>
      <c r="N26" s="334" t="str">
        <f t="shared" si="2"/>
        <v/>
      </c>
    </row>
    <row r="27" spans="1:14" s="1" customFormat="1" ht="12.95" customHeight="1">
      <c r="A27" s="269"/>
      <c r="B27" s="12"/>
      <c r="C27" s="8"/>
      <c r="D27" s="8"/>
      <c r="E27" s="303"/>
      <c r="F27" s="330"/>
      <c r="G27" s="8"/>
      <c r="H27" s="516"/>
      <c r="I27" s="516"/>
      <c r="J27" s="566"/>
      <c r="K27" s="550"/>
      <c r="L27" s="279"/>
      <c r="M27" s="551"/>
      <c r="N27" s="334" t="str">
        <f t="shared" si="2"/>
        <v/>
      </c>
    </row>
    <row r="28" spans="1:14" s="1" customFormat="1" ht="12.95" customHeight="1">
      <c r="A28" s="269"/>
      <c r="B28" s="12"/>
      <c r="C28" s="8"/>
      <c r="D28" s="8"/>
      <c r="E28" s="292">
        <v>821000</v>
      </c>
      <c r="F28" s="318"/>
      <c r="G28" s="8" t="s">
        <v>90</v>
      </c>
      <c r="H28" s="262">
        <f t="shared" ref="H28:I28" si="10">SUM(H29:H30)</f>
        <v>0</v>
      </c>
      <c r="I28" s="262">
        <f t="shared" si="10"/>
        <v>0</v>
      </c>
      <c r="J28" s="565">
        <v>0</v>
      </c>
      <c r="K28" s="558">
        <f t="shared" ref="K28:M28" si="11">SUM(K29:K30)</f>
        <v>3000</v>
      </c>
      <c r="L28" s="276">
        <f t="shared" si="11"/>
        <v>0</v>
      </c>
      <c r="M28" s="553">
        <f t="shared" si="11"/>
        <v>3000</v>
      </c>
      <c r="N28" s="333" t="str">
        <f t="shared" si="2"/>
        <v/>
      </c>
    </row>
    <row r="29" spans="1:14" ht="12.95" customHeight="1">
      <c r="B29" s="10"/>
      <c r="C29" s="11"/>
      <c r="D29" s="11"/>
      <c r="E29" s="293">
        <v>821200</v>
      </c>
      <c r="F29" s="319"/>
      <c r="G29" s="11" t="s">
        <v>91</v>
      </c>
      <c r="H29" s="515">
        <f t="shared" ref="H29:I30" si="12">SUM(F29:G29)</f>
        <v>0</v>
      </c>
      <c r="I29" s="515">
        <f t="shared" si="12"/>
        <v>0</v>
      </c>
      <c r="J29" s="564">
        <v>0</v>
      </c>
      <c r="K29" s="550">
        <v>0</v>
      </c>
      <c r="L29" s="279">
        <v>0</v>
      </c>
      <c r="M29" s="548">
        <f t="shared" ref="M29:M30" si="13">SUM(K29:L29)</f>
        <v>0</v>
      </c>
      <c r="N29" s="334" t="str">
        <f t="shared" si="2"/>
        <v/>
      </c>
    </row>
    <row r="30" spans="1:14" ht="12.95" customHeight="1">
      <c r="B30" s="10"/>
      <c r="C30" s="11"/>
      <c r="D30" s="11"/>
      <c r="E30" s="293">
        <v>821300</v>
      </c>
      <c r="F30" s="319"/>
      <c r="G30" s="11" t="s">
        <v>92</v>
      </c>
      <c r="H30" s="515">
        <f t="shared" si="12"/>
        <v>0</v>
      </c>
      <c r="I30" s="515">
        <f t="shared" si="12"/>
        <v>0</v>
      </c>
      <c r="J30" s="564">
        <v>0</v>
      </c>
      <c r="K30" s="550">
        <v>3000</v>
      </c>
      <c r="L30" s="279">
        <v>0</v>
      </c>
      <c r="M30" s="548">
        <f t="shared" si="13"/>
        <v>3000</v>
      </c>
      <c r="N30" s="334" t="str">
        <f t="shared" si="2"/>
        <v/>
      </c>
    </row>
    <row r="31" spans="1:14" ht="12.95" customHeight="1">
      <c r="B31" s="10"/>
      <c r="C31" s="11"/>
      <c r="D31" s="11"/>
      <c r="E31" s="293"/>
      <c r="F31" s="319"/>
      <c r="G31" s="11"/>
      <c r="H31" s="516"/>
      <c r="I31" s="516"/>
      <c r="J31" s="566"/>
      <c r="K31" s="550"/>
      <c r="L31" s="279"/>
      <c r="M31" s="551"/>
      <c r="N31" s="334" t="str">
        <f t="shared" si="2"/>
        <v/>
      </c>
    </row>
    <row r="32" spans="1:14" s="1" customFormat="1" ht="12.95" customHeight="1">
      <c r="A32" s="269"/>
      <c r="B32" s="12"/>
      <c r="C32" s="8"/>
      <c r="D32" s="8"/>
      <c r="E32" s="292"/>
      <c r="F32" s="318"/>
      <c r="G32" s="8" t="s">
        <v>93</v>
      </c>
      <c r="H32" s="262">
        <v>4</v>
      </c>
      <c r="I32" s="262">
        <v>4</v>
      </c>
      <c r="J32" s="565">
        <v>4</v>
      </c>
      <c r="K32" s="557">
        <v>4</v>
      </c>
      <c r="L32" s="276"/>
      <c r="M32" s="553">
        <v>4</v>
      </c>
      <c r="N32" s="334"/>
    </row>
    <row r="33" spans="1:14" s="1" customFormat="1" ht="12.95" customHeight="1">
      <c r="A33" s="269"/>
      <c r="B33" s="12"/>
      <c r="C33" s="8"/>
      <c r="D33" s="8"/>
      <c r="E33" s="292"/>
      <c r="F33" s="318"/>
      <c r="G33" s="8" t="s">
        <v>113</v>
      </c>
      <c r="H33" s="262">
        <f t="shared" ref="H33:M33" si="14">H8+H13+H16+H28</f>
        <v>182490</v>
      </c>
      <c r="I33" s="276">
        <f t="shared" si="14"/>
        <v>182490</v>
      </c>
      <c r="J33" s="565">
        <f t="shared" si="14"/>
        <v>117560</v>
      </c>
      <c r="K33" s="558">
        <f t="shared" si="14"/>
        <v>177110</v>
      </c>
      <c r="L33" s="276">
        <f t="shared" si="14"/>
        <v>0</v>
      </c>
      <c r="M33" s="553">
        <f t="shared" si="14"/>
        <v>177110</v>
      </c>
      <c r="N33" s="333">
        <f t="shared" si="2"/>
        <v>97.051893254424897</v>
      </c>
    </row>
    <row r="34" spans="1:14" s="1" customFormat="1" ht="12.95" customHeight="1">
      <c r="A34" s="269"/>
      <c r="B34" s="12"/>
      <c r="C34" s="8"/>
      <c r="D34" s="8"/>
      <c r="E34" s="292"/>
      <c r="F34" s="318"/>
      <c r="G34" s="8" t="s">
        <v>94</v>
      </c>
      <c r="H34" s="262"/>
      <c r="I34" s="276"/>
      <c r="J34" s="565"/>
      <c r="K34" s="558"/>
      <c r="L34" s="276"/>
      <c r="M34" s="553"/>
      <c r="N34" s="334" t="str">
        <f t="shared" si="2"/>
        <v/>
      </c>
    </row>
    <row r="35" spans="1:14" s="1" customFormat="1" ht="12.95" customHeight="1">
      <c r="A35" s="269"/>
      <c r="B35" s="12"/>
      <c r="C35" s="8"/>
      <c r="D35" s="8"/>
      <c r="E35" s="292"/>
      <c r="F35" s="318"/>
      <c r="G35" s="8" t="s">
        <v>95</v>
      </c>
      <c r="H35" s="516"/>
      <c r="I35" s="267"/>
      <c r="J35" s="566"/>
      <c r="K35" s="578"/>
      <c r="L35" s="267"/>
      <c r="M35" s="551"/>
      <c r="N35" s="334" t="str">
        <f t="shared" si="2"/>
        <v/>
      </c>
    </row>
    <row r="36" spans="1:14" ht="12.95" customHeight="1" thickBot="1">
      <c r="B36" s="15"/>
      <c r="C36" s="16"/>
      <c r="D36" s="16"/>
      <c r="E36" s="294"/>
      <c r="F36" s="320"/>
      <c r="G36" s="16"/>
      <c r="H36" s="518"/>
      <c r="I36" s="27"/>
      <c r="J36" s="567"/>
      <c r="K36" s="559"/>
      <c r="L36" s="27"/>
      <c r="M36" s="560"/>
      <c r="N36" s="336" t="str">
        <f t="shared" si="2"/>
        <v/>
      </c>
    </row>
    <row r="37" spans="1:14" ht="12.95" customHeight="1">
      <c r="E37" s="295"/>
      <c r="F37" s="321"/>
      <c r="M37" s="370"/>
      <c r="N37" s="337" t="str">
        <f t="shared" si="2"/>
        <v/>
      </c>
    </row>
    <row r="38" spans="1:14" ht="12.95" customHeight="1">
      <c r="E38" s="295"/>
      <c r="F38" s="321"/>
      <c r="M38" s="370"/>
      <c r="N38" s="337" t="str">
        <f t="shared" si="2"/>
        <v/>
      </c>
    </row>
    <row r="39" spans="1:14" ht="12.95" customHeight="1">
      <c r="E39" s="295"/>
      <c r="F39" s="321"/>
      <c r="M39" s="370"/>
      <c r="N39" s="337" t="str">
        <f t="shared" si="2"/>
        <v/>
      </c>
    </row>
    <row r="40" spans="1:14" ht="12.95" customHeight="1">
      <c r="E40" s="295"/>
      <c r="F40" s="321"/>
      <c r="M40" s="370"/>
      <c r="N40" s="337" t="str">
        <f t="shared" si="2"/>
        <v/>
      </c>
    </row>
    <row r="41" spans="1:14" ht="12.95" customHeight="1">
      <c r="E41" s="295"/>
      <c r="F41" s="321"/>
      <c r="M41" s="370"/>
      <c r="N41" s="337" t="str">
        <f t="shared" si="2"/>
        <v/>
      </c>
    </row>
    <row r="42" spans="1:14" ht="12.95" customHeight="1">
      <c r="E42" s="295"/>
      <c r="F42" s="321"/>
      <c r="M42" s="370"/>
      <c r="N42" s="337" t="str">
        <f t="shared" si="2"/>
        <v/>
      </c>
    </row>
    <row r="43" spans="1:14" ht="12.95" customHeight="1">
      <c r="E43" s="295"/>
      <c r="F43" s="321"/>
      <c r="M43" s="370"/>
      <c r="N43" s="337" t="str">
        <f t="shared" si="2"/>
        <v/>
      </c>
    </row>
    <row r="44" spans="1:14" ht="12.95" customHeight="1">
      <c r="E44" s="295"/>
      <c r="F44" s="321"/>
      <c r="M44" s="370"/>
      <c r="N44" s="337" t="str">
        <f t="shared" si="2"/>
        <v/>
      </c>
    </row>
    <row r="45" spans="1:14" ht="12.95" customHeight="1">
      <c r="E45" s="295"/>
      <c r="F45" s="321"/>
      <c r="M45" s="370"/>
      <c r="N45" s="337" t="str">
        <f t="shared" si="2"/>
        <v/>
      </c>
    </row>
    <row r="46" spans="1:14" ht="12.95" customHeight="1">
      <c r="E46" s="295"/>
      <c r="F46" s="321"/>
      <c r="M46" s="370"/>
      <c r="N46" s="337" t="str">
        <f t="shared" si="2"/>
        <v/>
      </c>
    </row>
    <row r="47" spans="1:14" ht="12.95" customHeight="1">
      <c r="E47" s="295"/>
      <c r="F47" s="321"/>
      <c r="M47" s="370"/>
      <c r="N47" s="337" t="str">
        <f t="shared" si="2"/>
        <v/>
      </c>
    </row>
    <row r="48" spans="1:14" ht="12.95" customHeight="1">
      <c r="E48" s="295"/>
      <c r="F48" s="321"/>
      <c r="M48" s="370"/>
      <c r="N48" s="337" t="str">
        <f t="shared" si="2"/>
        <v/>
      </c>
    </row>
    <row r="49" spans="5:14" ht="12.95" customHeight="1">
      <c r="E49" s="295"/>
      <c r="F49" s="321"/>
      <c r="M49" s="370"/>
      <c r="N49" s="337" t="str">
        <f t="shared" si="2"/>
        <v/>
      </c>
    </row>
    <row r="50" spans="5:14" ht="12.95" customHeight="1">
      <c r="E50" s="295"/>
      <c r="F50" s="321"/>
      <c r="M50" s="370"/>
      <c r="N50" s="337" t="str">
        <f t="shared" si="2"/>
        <v/>
      </c>
    </row>
    <row r="51" spans="5:14" ht="12.95" customHeight="1">
      <c r="E51" s="295"/>
      <c r="F51" s="321"/>
      <c r="M51" s="370"/>
      <c r="N51" s="337" t="str">
        <f t="shared" si="2"/>
        <v/>
      </c>
    </row>
    <row r="52" spans="5:14" ht="12.95" customHeight="1">
      <c r="E52" s="295"/>
      <c r="F52" s="321"/>
      <c r="M52" s="370"/>
      <c r="N52" s="337" t="str">
        <f t="shared" si="2"/>
        <v/>
      </c>
    </row>
    <row r="53" spans="5:14" ht="12.95" customHeight="1">
      <c r="E53" s="295"/>
      <c r="F53" s="321"/>
      <c r="M53" s="370"/>
      <c r="N53" s="337" t="str">
        <f t="shared" si="2"/>
        <v/>
      </c>
    </row>
    <row r="54" spans="5:14" ht="12.95" customHeight="1">
      <c r="E54" s="295"/>
      <c r="F54" s="321"/>
      <c r="M54" s="370"/>
      <c r="N54" s="337" t="str">
        <f t="shared" si="2"/>
        <v/>
      </c>
    </row>
    <row r="55" spans="5:14" ht="12.95" customHeight="1">
      <c r="E55" s="295"/>
      <c r="F55" s="321"/>
      <c r="M55" s="370"/>
      <c r="N55" s="337" t="str">
        <f t="shared" si="2"/>
        <v/>
      </c>
    </row>
    <row r="56" spans="5:14" ht="12.95" customHeight="1">
      <c r="E56" s="295"/>
      <c r="F56" s="321"/>
      <c r="M56" s="370"/>
      <c r="N56" s="337" t="str">
        <f t="shared" si="2"/>
        <v/>
      </c>
    </row>
    <row r="57" spans="5:14" ht="12.95" customHeight="1">
      <c r="E57" s="295"/>
      <c r="F57" s="321"/>
      <c r="M57" s="370"/>
      <c r="N57" s="337" t="str">
        <f t="shared" si="2"/>
        <v/>
      </c>
    </row>
    <row r="58" spans="5:14" ht="12.95" customHeight="1">
      <c r="E58" s="295"/>
      <c r="F58" s="321"/>
      <c r="M58" s="370"/>
      <c r="N58" s="337" t="str">
        <f t="shared" si="2"/>
        <v/>
      </c>
    </row>
    <row r="59" spans="5:14" ht="12.95" customHeight="1">
      <c r="E59" s="295"/>
      <c r="F59" s="321"/>
      <c r="M59" s="370"/>
      <c r="N59" s="337" t="str">
        <f t="shared" si="2"/>
        <v/>
      </c>
    </row>
    <row r="60" spans="5:14" ht="17.100000000000001" customHeight="1">
      <c r="E60" s="295"/>
      <c r="F60" s="321"/>
      <c r="M60" s="370"/>
      <c r="N60" s="337" t="str">
        <f t="shared" si="2"/>
        <v/>
      </c>
    </row>
    <row r="61" spans="5:14" ht="14.25">
      <c r="E61" s="295"/>
      <c r="F61" s="321"/>
      <c r="M61" s="370"/>
      <c r="N61" s="337" t="str">
        <f t="shared" si="2"/>
        <v/>
      </c>
    </row>
    <row r="62" spans="5:14" ht="14.25">
      <c r="E62" s="295"/>
      <c r="F62" s="321"/>
      <c r="M62" s="370"/>
      <c r="N62" s="337" t="str">
        <f t="shared" si="2"/>
        <v/>
      </c>
    </row>
    <row r="63" spans="5:14" ht="14.25">
      <c r="E63" s="295"/>
      <c r="F63" s="321"/>
      <c r="M63" s="370"/>
      <c r="N63" s="337" t="str">
        <f t="shared" si="2"/>
        <v/>
      </c>
    </row>
    <row r="64" spans="5:14" ht="14.25">
      <c r="E64" s="295"/>
      <c r="F64" s="321"/>
      <c r="M64" s="370"/>
      <c r="N64" s="337" t="str">
        <f t="shared" si="2"/>
        <v/>
      </c>
    </row>
    <row r="65" spans="5:14" ht="14.25">
      <c r="E65" s="295"/>
      <c r="F65" s="321"/>
      <c r="M65" s="370"/>
      <c r="N65" s="337" t="str">
        <f t="shared" si="2"/>
        <v/>
      </c>
    </row>
    <row r="66" spans="5:14" ht="14.25">
      <c r="E66" s="295"/>
      <c r="F66" s="321"/>
      <c r="M66" s="370"/>
      <c r="N66" s="337" t="str">
        <f t="shared" si="2"/>
        <v/>
      </c>
    </row>
    <row r="67" spans="5:14" ht="14.25">
      <c r="E67" s="295"/>
      <c r="F67" s="321"/>
      <c r="M67" s="370"/>
      <c r="N67" s="337" t="str">
        <f t="shared" si="2"/>
        <v/>
      </c>
    </row>
    <row r="68" spans="5:14" ht="14.25">
      <c r="E68" s="295"/>
      <c r="F68" s="321"/>
      <c r="M68" s="370"/>
      <c r="N68" s="337" t="str">
        <f t="shared" si="2"/>
        <v/>
      </c>
    </row>
    <row r="69" spans="5:14" ht="14.25">
      <c r="E69" s="295"/>
      <c r="F69" s="321"/>
      <c r="M69" s="370"/>
      <c r="N69" s="337" t="str">
        <f t="shared" si="2"/>
        <v/>
      </c>
    </row>
    <row r="70" spans="5:14" ht="14.25">
      <c r="E70" s="295"/>
      <c r="F70" s="321"/>
      <c r="M70" s="370"/>
      <c r="N70" s="337" t="str">
        <f t="shared" si="2"/>
        <v/>
      </c>
    </row>
    <row r="71" spans="5:14" ht="14.25">
      <c r="E71" s="295"/>
      <c r="F71" s="321"/>
      <c r="M71" s="370"/>
      <c r="N71" s="337" t="str">
        <f t="shared" si="2"/>
        <v/>
      </c>
    </row>
    <row r="72" spans="5:14" ht="14.25">
      <c r="E72" s="295"/>
      <c r="F72" s="321"/>
      <c r="M72" s="370"/>
      <c r="N72" s="337" t="str">
        <f t="shared" si="2"/>
        <v/>
      </c>
    </row>
    <row r="73" spans="5:14" ht="14.25">
      <c r="E73" s="295"/>
      <c r="F73" s="321"/>
      <c r="M73" s="370"/>
      <c r="N73" s="337" t="str">
        <f t="shared" ref="N73:N77" si="15">IF(I73=0,"",M73/I73*100)</f>
        <v/>
      </c>
    </row>
    <row r="74" spans="5:14" ht="14.25">
      <c r="E74" s="295"/>
      <c r="F74" s="295"/>
      <c r="M74" s="370"/>
      <c r="N74" s="337" t="str">
        <f t="shared" si="15"/>
        <v/>
      </c>
    </row>
    <row r="75" spans="5:14" ht="14.25">
      <c r="E75" s="295"/>
      <c r="F75" s="295"/>
      <c r="M75" s="370"/>
      <c r="N75" s="337" t="str">
        <f t="shared" si="15"/>
        <v/>
      </c>
    </row>
    <row r="76" spans="5:14" ht="14.25">
      <c r="E76" s="295"/>
      <c r="F76" s="295"/>
      <c r="M76" s="370"/>
      <c r="N76" s="337" t="str">
        <f t="shared" si="15"/>
        <v/>
      </c>
    </row>
    <row r="77" spans="5:14" ht="14.25">
      <c r="E77" s="295"/>
      <c r="F77" s="295"/>
      <c r="M77" s="370"/>
      <c r="N77" s="337" t="str">
        <f t="shared" si="15"/>
        <v/>
      </c>
    </row>
    <row r="78" spans="5:14" ht="14.25">
      <c r="E78" s="295"/>
      <c r="F78" s="295"/>
      <c r="M78" s="370"/>
    </row>
    <row r="79" spans="5:14" ht="14.25">
      <c r="E79" s="295"/>
      <c r="F79" s="295"/>
      <c r="M79" s="370"/>
    </row>
    <row r="80" spans="5:14" ht="14.25">
      <c r="E80" s="295"/>
      <c r="F80" s="295"/>
      <c r="M80" s="370"/>
    </row>
    <row r="81" spans="5:13" ht="14.25">
      <c r="E81" s="295"/>
      <c r="F81" s="295"/>
      <c r="M81" s="370"/>
    </row>
    <row r="82" spans="5:13" ht="14.25">
      <c r="E82" s="295"/>
      <c r="F82" s="295"/>
      <c r="M82" s="370"/>
    </row>
    <row r="83" spans="5:13" ht="14.25">
      <c r="E83" s="295"/>
      <c r="F83" s="295"/>
      <c r="M83" s="370"/>
    </row>
    <row r="84" spans="5:13" ht="14.25">
      <c r="E84" s="295"/>
      <c r="F84" s="295"/>
      <c r="M84" s="370"/>
    </row>
    <row r="85" spans="5:13" ht="14.25">
      <c r="E85" s="295"/>
      <c r="F85" s="295"/>
      <c r="M85" s="370"/>
    </row>
    <row r="86" spans="5:13" ht="14.25">
      <c r="E86" s="295"/>
      <c r="F86" s="295"/>
      <c r="M86" s="370"/>
    </row>
    <row r="87" spans="5:13" ht="14.25">
      <c r="E87" s="295"/>
      <c r="F87" s="295"/>
      <c r="M87" s="370"/>
    </row>
    <row r="88" spans="5:13" ht="14.25">
      <c r="E88" s="295"/>
      <c r="F88" s="295"/>
      <c r="M88" s="370"/>
    </row>
    <row r="89" spans="5:13" ht="14.25">
      <c r="E89" s="295"/>
      <c r="F89" s="295"/>
      <c r="M89" s="370"/>
    </row>
    <row r="90" spans="5:13" ht="14.25">
      <c r="E90" s="295"/>
      <c r="F90" s="295"/>
      <c r="M90" s="370"/>
    </row>
    <row r="91" spans="5:13">
      <c r="F91" s="295"/>
    </row>
    <row r="92" spans="5:13">
      <c r="F92" s="295"/>
    </row>
    <row r="93" spans="5:13">
      <c r="F93" s="295"/>
    </row>
    <row r="94" spans="5:13">
      <c r="F94" s="295"/>
    </row>
    <row r="95" spans="5:13">
      <c r="F95" s="295"/>
    </row>
    <row r="96" spans="5:13">
      <c r="F96" s="295"/>
    </row>
  </sheetData>
  <mergeCells count="12">
    <mergeCell ref="N4:N5"/>
    <mergeCell ref="G4:G5"/>
    <mergeCell ref="B2:G2"/>
    <mergeCell ref="B4:B5"/>
    <mergeCell ref="C4:C5"/>
    <mergeCell ref="D4:D5"/>
    <mergeCell ref="F4:F5"/>
    <mergeCell ref="E4:E5"/>
    <mergeCell ref="K4:M4"/>
    <mergeCell ref="H4:H5"/>
    <mergeCell ref="I4:I5"/>
    <mergeCell ref="J4:J5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4"/>
  <dimension ref="A1:R96"/>
  <sheetViews>
    <sheetView zoomScaleNormal="100" workbookViewId="0">
      <selection activeCell="K10" sqref="K10"/>
    </sheetView>
  </sheetViews>
  <sheetFormatPr defaultRowHeight="12.75"/>
  <cols>
    <col min="1" max="1" width="9.140625" style="272"/>
    <col min="2" max="2" width="4.7109375" style="9" customWidth="1"/>
    <col min="3" max="3" width="5.140625" style="9" customWidth="1"/>
    <col min="4" max="4" width="5" style="9" customWidth="1"/>
    <col min="5" max="5" width="8.7109375" style="17" customWidth="1"/>
    <col min="6" max="6" width="8.7109375" style="277" customWidth="1"/>
    <col min="7" max="7" width="50.7109375" style="9" customWidth="1"/>
    <col min="8" max="8" width="14.7109375" style="519" customWidth="1"/>
    <col min="9" max="9" width="14.7109375" style="54" customWidth="1"/>
    <col min="10" max="10" width="15.7109375" style="519" customWidth="1"/>
    <col min="11" max="12" width="14.7109375" style="54" customWidth="1"/>
    <col min="13" max="13" width="15.7109375" style="54" customWidth="1"/>
    <col min="14" max="14" width="7.7109375" style="337" customWidth="1"/>
    <col min="15" max="16384" width="9.140625" style="9"/>
  </cols>
  <sheetData>
    <row r="1" spans="1:18" ht="13.5" thickBot="1"/>
    <row r="2" spans="1:18" s="363" customFormat="1" ht="20.100000000000001" customHeight="1" thickTop="1" thickBot="1">
      <c r="B2" s="725" t="s">
        <v>195</v>
      </c>
      <c r="C2" s="726"/>
      <c r="D2" s="726"/>
      <c r="E2" s="726"/>
      <c r="F2" s="726"/>
      <c r="G2" s="726"/>
      <c r="H2" s="508"/>
      <c r="I2" s="364"/>
      <c r="J2" s="508"/>
      <c r="K2" s="364"/>
      <c r="L2" s="364"/>
      <c r="M2" s="364"/>
      <c r="N2" s="367"/>
    </row>
    <row r="3" spans="1:18" s="1" customFormat="1" ht="8.1" customHeight="1" thickTop="1" thickBot="1">
      <c r="A3" s="269"/>
      <c r="E3" s="2"/>
      <c r="F3" s="270"/>
      <c r="G3" s="488"/>
      <c r="H3" s="511"/>
      <c r="I3" s="87"/>
      <c r="J3" s="511"/>
      <c r="K3" s="87"/>
      <c r="L3" s="87"/>
      <c r="M3" s="87"/>
      <c r="N3" s="331"/>
    </row>
    <row r="4" spans="1:18" s="1" customFormat="1" ht="39" customHeight="1">
      <c r="A4" s="269"/>
      <c r="B4" s="728" t="s">
        <v>78</v>
      </c>
      <c r="C4" s="746" t="s">
        <v>79</v>
      </c>
      <c r="D4" s="747" t="s">
        <v>110</v>
      </c>
      <c r="E4" s="748" t="s">
        <v>594</v>
      </c>
      <c r="F4" s="733" t="s">
        <v>650</v>
      </c>
      <c r="G4" s="734" t="s">
        <v>80</v>
      </c>
      <c r="H4" s="740" t="s">
        <v>644</v>
      </c>
      <c r="I4" s="742" t="s">
        <v>821</v>
      </c>
      <c r="J4" s="744" t="s">
        <v>822</v>
      </c>
      <c r="K4" s="749" t="s">
        <v>863</v>
      </c>
      <c r="L4" s="738"/>
      <c r="M4" s="739"/>
      <c r="N4" s="735" t="s">
        <v>823</v>
      </c>
    </row>
    <row r="5" spans="1:18" s="269" customFormat="1" ht="27" customHeight="1">
      <c r="B5" s="729"/>
      <c r="C5" s="731"/>
      <c r="D5" s="731"/>
      <c r="E5" s="722"/>
      <c r="F5" s="731"/>
      <c r="G5" s="722"/>
      <c r="H5" s="741"/>
      <c r="I5" s="743"/>
      <c r="J5" s="745"/>
      <c r="K5" s="540" t="s">
        <v>701</v>
      </c>
      <c r="L5" s="359" t="s">
        <v>702</v>
      </c>
      <c r="M5" s="541" t="s">
        <v>413</v>
      </c>
      <c r="N5" s="736"/>
    </row>
    <row r="6" spans="1:18" s="2" customFormat="1" ht="12.95" customHeight="1">
      <c r="A6" s="270"/>
      <c r="B6" s="464">
        <v>1</v>
      </c>
      <c r="C6" s="318">
        <v>2</v>
      </c>
      <c r="D6" s="318">
        <v>3</v>
      </c>
      <c r="E6" s="318">
        <v>4</v>
      </c>
      <c r="F6" s="318">
        <v>5</v>
      </c>
      <c r="G6" s="318">
        <v>6</v>
      </c>
      <c r="H6" s="512">
        <v>7</v>
      </c>
      <c r="I6" s="318">
        <v>8</v>
      </c>
      <c r="J6" s="561">
        <v>9</v>
      </c>
      <c r="K6" s="464">
        <v>10</v>
      </c>
      <c r="L6" s="318">
        <v>11</v>
      </c>
      <c r="M6" s="542" t="s">
        <v>703</v>
      </c>
      <c r="N6" s="465">
        <v>13</v>
      </c>
    </row>
    <row r="7" spans="1:18" s="2" customFormat="1" ht="12.95" customHeight="1">
      <c r="A7" s="270"/>
      <c r="B7" s="6" t="s">
        <v>131</v>
      </c>
      <c r="C7" s="7" t="s">
        <v>132</v>
      </c>
      <c r="D7" s="7" t="s">
        <v>124</v>
      </c>
      <c r="E7" s="5"/>
      <c r="F7" s="271"/>
      <c r="G7" s="5"/>
      <c r="H7" s="520"/>
      <c r="I7" s="81"/>
      <c r="J7" s="562"/>
      <c r="K7" s="543"/>
      <c r="L7" s="81"/>
      <c r="M7" s="544"/>
      <c r="N7" s="332"/>
    </row>
    <row r="8" spans="1:18" s="1" customFormat="1" ht="12.95" customHeight="1">
      <c r="A8" s="269"/>
      <c r="B8" s="12"/>
      <c r="C8" s="8"/>
      <c r="D8" s="8"/>
      <c r="E8" s="292">
        <v>611000</v>
      </c>
      <c r="F8" s="318"/>
      <c r="G8" s="8" t="s">
        <v>163</v>
      </c>
      <c r="H8" s="514">
        <f t="shared" ref="H8:I8" si="0">SUM(H9:H12)</f>
        <v>1148430</v>
      </c>
      <c r="I8" s="514">
        <f t="shared" si="0"/>
        <v>1148430</v>
      </c>
      <c r="J8" s="563">
        <v>855089</v>
      </c>
      <c r="K8" s="590">
        <f t="shared" ref="K8:M8" si="1">SUM(K9:K12)</f>
        <v>1147330</v>
      </c>
      <c r="L8" s="212">
        <f t="shared" si="1"/>
        <v>0</v>
      </c>
      <c r="M8" s="546">
        <f t="shared" si="1"/>
        <v>1147330</v>
      </c>
      <c r="N8" s="333">
        <f>IF(I8=0,"",M8/I8*100)</f>
        <v>99.904217061553595</v>
      </c>
    </row>
    <row r="9" spans="1:18" ht="12.95" customHeight="1">
      <c r="B9" s="10"/>
      <c r="C9" s="11"/>
      <c r="D9" s="11"/>
      <c r="E9" s="293">
        <v>611100</v>
      </c>
      <c r="F9" s="319"/>
      <c r="G9" s="18" t="s">
        <v>198</v>
      </c>
      <c r="H9" s="515">
        <v>971130</v>
      </c>
      <c r="I9" s="515">
        <v>971130</v>
      </c>
      <c r="J9" s="564">
        <v>732473</v>
      </c>
      <c r="K9" s="591">
        <f>967620+2*1000+3000</f>
        <v>972620</v>
      </c>
      <c r="L9" s="214">
        <v>0</v>
      </c>
      <c r="M9" s="548">
        <f>SUM(K9:L9)</f>
        <v>972620</v>
      </c>
      <c r="N9" s="334">
        <f t="shared" ref="N9:N72" si="2">IF(I9=0,"",M9/I9*100)</f>
        <v>100.15342950995232</v>
      </c>
    </row>
    <row r="10" spans="1:18" ht="12.95" customHeight="1">
      <c r="B10" s="10"/>
      <c r="C10" s="11"/>
      <c r="D10" s="11"/>
      <c r="E10" s="293">
        <v>611200</v>
      </c>
      <c r="F10" s="319"/>
      <c r="G10" s="11" t="s">
        <v>199</v>
      </c>
      <c r="H10" s="515">
        <v>177300</v>
      </c>
      <c r="I10" s="515">
        <v>177300</v>
      </c>
      <c r="J10" s="564">
        <v>122616</v>
      </c>
      <c r="K10" s="591">
        <f>161960+2000+43*250</f>
        <v>174710</v>
      </c>
      <c r="L10" s="214">
        <v>0</v>
      </c>
      <c r="M10" s="548">
        <f t="shared" ref="M10:M11" si="3">SUM(K10:L10)</f>
        <v>174710</v>
      </c>
      <c r="N10" s="334">
        <f t="shared" si="2"/>
        <v>98.539199097574738</v>
      </c>
    </row>
    <row r="11" spans="1:18" ht="12.95" customHeight="1">
      <c r="B11" s="10"/>
      <c r="C11" s="11"/>
      <c r="D11" s="11"/>
      <c r="E11" s="293">
        <v>611200</v>
      </c>
      <c r="F11" s="319"/>
      <c r="G11" s="180" t="s">
        <v>534</v>
      </c>
      <c r="H11" s="515">
        <f t="shared" ref="H11:I11" si="4">SUM(F11:G11)</f>
        <v>0</v>
      </c>
      <c r="I11" s="515">
        <f t="shared" si="4"/>
        <v>0</v>
      </c>
      <c r="J11" s="564">
        <v>0</v>
      </c>
      <c r="K11" s="592">
        <v>0</v>
      </c>
      <c r="L11" s="213">
        <v>0</v>
      </c>
      <c r="M11" s="548">
        <f t="shared" si="3"/>
        <v>0</v>
      </c>
      <c r="N11" s="334" t="str">
        <f t="shared" si="2"/>
        <v/>
      </c>
      <c r="P11" s="53"/>
    </row>
    <row r="12" spans="1:18" ht="12.95" customHeight="1">
      <c r="B12" s="10"/>
      <c r="C12" s="11"/>
      <c r="D12" s="11"/>
      <c r="E12" s="293"/>
      <c r="F12" s="319"/>
      <c r="G12" s="18"/>
      <c r="H12" s="515"/>
      <c r="I12" s="515"/>
      <c r="J12" s="564"/>
      <c r="K12" s="591"/>
      <c r="L12" s="214"/>
      <c r="M12" s="548"/>
      <c r="N12" s="334" t="str">
        <f t="shared" si="2"/>
        <v/>
      </c>
    </row>
    <row r="13" spans="1:18" s="1" customFormat="1" ht="12.95" customHeight="1">
      <c r="A13" s="269"/>
      <c r="B13" s="12"/>
      <c r="C13" s="8"/>
      <c r="D13" s="8"/>
      <c r="E13" s="292">
        <v>612000</v>
      </c>
      <c r="F13" s="318"/>
      <c r="G13" s="8" t="s">
        <v>162</v>
      </c>
      <c r="H13" s="514">
        <f t="shared" ref="H13:M13" si="5">H14</f>
        <v>105400</v>
      </c>
      <c r="I13" s="514">
        <f t="shared" si="5"/>
        <v>105400</v>
      </c>
      <c r="J13" s="563">
        <v>78674</v>
      </c>
      <c r="K13" s="590">
        <f t="shared" si="5"/>
        <v>105480</v>
      </c>
      <c r="L13" s="212">
        <f t="shared" si="5"/>
        <v>0</v>
      </c>
      <c r="M13" s="546">
        <f t="shared" si="5"/>
        <v>105480</v>
      </c>
      <c r="N13" s="333">
        <f t="shared" si="2"/>
        <v>100.07590132827325</v>
      </c>
    </row>
    <row r="14" spans="1:18" ht="12.95" customHeight="1">
      <c r="B14" s="10"/>
      <c r="C14" s="11"/>
      <c r="D14" s="11"/>
      <c r="E14" s="293">
        <v>612100</v>
      </c>
      <c r="F14" s="319"/>
      <c r="G14" s="13" t="s">
        <v>83</v>
      </c>
      <c r="H14" s="515">
        <v>105400</v>
      </c>
      <c r="I14" s="515">
        <v>105400</v>
      </c>
      <c r="J14" s="564">
        <v>78674</v>
      </c>
      <c r="K14" s="591">
        <f>104780+2*100+500</f>
        <v>105480</v>
      </c>
      <c r="L14" s="214">
        <v>0</v>
      </c>
      <c r="M14" s="548">
        <f>SUM(K14:L14)</f>
        <v>105480</v>
      </c>
      <c r="N14" s="334">
        <f t="shared" si="2"/>
        <v>100.07590132827325</v>
      </c>
    </row>
    <row r="15" spans="1:18" ht="12.95" customHeight="1">
      <c r="B15" s="10"/>
      <c r="C15" s="11"/>
      <c r="D15" s="11"/>
      <c r="E15" s="293"/>
      <c r="F15" s="319"/>
      <c r="G15" s="11"/>
      <c r="H15" s="516"/>
      <c r="I15" s="516"/>
      <c r="J15" s="566"/>
      <c r="K15" s="550"/>
      <c r="L15" s="279"/>
      <c r="M15" s="551"/>
      <c r="N15" s="334" t="str">
        <f t="shared" si="2"/>
        <v/>
      </c>
      <c r="R15" s="54"/>
    </row>
    <row r="16" spans="1:18" s="1" customFormat="1" ht="12.95" customHeight="1">
      <c r="A16" s="269"/>
      <c r="B16" s="12"/>
      <c r="C16" s="8"/>
      <c r="D16" s="8"/>
      <c r="E16" s="292">
        <v>613000</v>
      </c>
      <c r="F16" s="318"/>
      <c r="G16" s="8" t="s">
        <v>164</v>
      </c>
      <c r="H16" s="262">
        <f t="shared" ref="H16:I16" si="6">SUM(H17:H26)</f>
        <v>323300</v>
      </c>
      <c r="I16" s="262">
        <f t="shared" si="6"/>
        <v>323300</v>
      </c>
      <c r="J16" s="565">
        <v>159019</v>
      </c>
      <c r="K16" s="552">
        <f t="shared" ref="K16:M16" si="7">SUM(K17:K26)</f>
        <v>273300</v>
      </c>
      <c r="L16" s="281">
        <f t="shared" si="7"/>
        <v>0</v>
      </c>
      <c r="M16" s="553">
        <f t="shared" si="7"/>
        <v>273300</v>
      </c>
      <c r="N16" s="333">
        <f t="shared" si="2"/>
        <v>84.534488091555829</v>
      </c>
    </row>
    <row r="17" spans="1:15" ht="12.95" customHeight="1">
      <c r="B17" s="10"/>
      <c r="C17" s="11"/>
      <c r="D17" s="11"/>
      <c r="E17" s="293">
        <v>613100</v>
      </c>
      <c r="F17" s="319"/>
      <c r="G17" s="11" t="s">
        <v>84</v>
      </c>
      <c r="H17" s="515">
        <v>6500</v>
      </c>
      <c r="I17" s="515">
        <v>6500</v>
      </c>
      <c r="J17" s="564">
        <v>2731</v>
      </c>
      <c r="K17" s="554">
        <v>5000</v>
      </c>
      <c r="L17" s="350">
        <v>0</v>
      </c>
      <c r="M17" s="548">
        <f t="shared" ref="M17:M26" si="8">SUM(K17:L17)</f>
        <v>5000</v>
      </c>
      <c r="N17" s="334">
        <f t="shared" si="2"/>
        <v>76.923076923076934</v>
      </c>
    </row>
    <row r="18" spans="1:15" ht="12.95" customHeight="1">
      <c r="B18" s="10"/>
      <c r="C18" s="11"/>
      <c r="D18" s="11"/>
      <c r="E18" s="293">
        <v>613200</v>
      </c>
      <c r="F18" s="319"/>
      <c r="G18" s="11" t="s">
        <v>85</v>
      </c>
      <c r="H18" s="515">
        <v>18000</v>
      </c>
      <c r="I18" s="515">
        <v>18000</v>
      </c>
      <c r="J18" s="564">
        <v>11257</v>
      </c>
      <c r="K18" s="554">
        <v>16500</v>
      </c>
      <c r="L18" s="350">
        <v>0</v>
      </c>
      <c r="M18" s="548">
        <f t="shared" si="8"/>
        <v>16500</v>
      </c>
      <c r="N18" s="334">
        <f t="shared" si="2"/>
        <v>91.666666666666657</v>
      </c>
    </row>
    <row r="19" spans="1:15" ht="12.95" customHeight="1">
      <c r="B19" s="10"/>
      <c r="C19" s="11"/>
      <c r="D19" s="11"/>
      <c r="E19" s="293">
        <v>613300</v>
      </c>
      <c r="F19" s="319"/>
      <c r="G19" s="18" t="s">
        <v>200</v>
      </c>
      <c r="H19" s="515">
        <v>125000</v>
      </c>
      <c r="I19" s="515">
        <v>125000</v>
      </c>
      <c r="J19" s="564">
        <v>61410</v>
      </c>
      <c r="K19" s="554">
        <v>100000</v>
      </c>
      <c r="L19" s="350">
        <v>0</v>
      </c>
      <c r="M19" s="548">
        <f t="shared" si="8"/>
        <v>100000</v>
      </c>
      <c r="N19" s="334">
        <f t="shared" si="2"/>
        <v>80</v>
      </c>
    </row>
    <row r="20" spans="1:15" ht="12.95" customHeight="1">
      <c r="B20" s="10"/>
      <c r="C20" s="11"/>
      <c r="D20" s="11"/>
      <c r="E20" s="293">
        <v>613400</v>
      </c>
      <c r="F20" s="319"/>
      <c r="G20" s="11" t="s">
        <v>165</v>
      </c>
      <c r="H20" s="515">
        <v>35000</v>
      </c>
      <c r="I20" s="515">
        <v>35000</v>
      </c>
      <c r="J20" s="564">
        <v>25002</v>
      </c>
      <c r="K20" s="555">
        <v>35000</v>
      </c>
      <c r="L20" s="352">
        <v>0</v>
      </c>
      <c r="M20" s="548">
        <f t="shared" si="8"/>
        <v>35000</v>
      </c>
      <c r="N20" s="334">
        <f t="shared" si="2"/>
        <v>100</v>
      </c>
      <c r="O20" s="48"/>
    </row>
    <row r="21" spans="1:15" ht="12.95" customHeight="1">
      <c r="B21" s="10"/>
      <c r="C21" s="11"/>
      <c r="D21" s="11"/>
      <c r="E21" s="293">
        <v>613500</v>
      </c>
      <c r="F21" s="319"/>
      <c r="G21" s="11" t="s">
        <v>86</v>
      </c>
      <c r="H21" s="515">
        <v>15000</v>
      </c>
      <c r="I21" s="515">
        <v>15000</v>
      </c>
      <c r="J21" s="564">
        <v>8957</v>
      </c>
      <c r="K21" s="554">
        <v>13000</v>
      </c>
      <c r="L21" s="350">
        <v>0</v>
      </c>
      <c r="M21" s="548">
        <f t="shared" si="8"/>
        <v>13000</v>
      </c>
      <c r="N21" s="334">
        <f t="shared" si="2"/>
        <v>86.666666666666671</v>
      </c>
    </row>
    <row r="22" spans="1:15" ht="12.95" customHeight="1">
      <c r="B22" s="10"/>
      <c r="C22" s="11"/>
      <c r="D22" s="11"/>
      <c r="E22" s="293">
        <v>613600</v>
      </c>
      <c r="F22" s="319"/>
      <c r="G22" s="18" t="s">
        <v>201</v>
      </c>
      <c r="H22" s="515">
        <f t="shared" ref="H22:I26" si="9">SUM(F22:G22)</f>
        <v>0</v>
      </c>
      <c r="I22" s="515">
        <f t="shared" si="9"/>
        <v>0</v>
      </c>
      <c r="J22" s="564">
        <v>0</v>
      </c>
      <c r="K22" s="555">
        <v>0</v>
      </c>
      <c r="L22" s="352">
        <v>0</v>
      </c>
      <c r="M22" s="548">
        <f t="shared" si="8"/>
        <v>0</v>
      </c>
      <c r="N22" s="334" t="str">
        <f t="shared" si="2"/>
        <v/>
      </c>
    </row>
    <row r="23" spans="1:15" ht="12.95" customHeight="1">
      <c r="B23" s="10"/>
      <c r="C23" s="11"/>
      <c r="D23" s="11"/>
      <c r="E23" s="293">
        <v>613700</v>
      </c>
      <c r="F23" s="319"/>
      <c r="G23" s="11" t="s">
        <v>87</v>
      </c>
      <c r="H23" s="515">
        <v>10800</v>
      </c>
      <c r="I23" s="515">
        <v>10800</v>
      </c>
      <c r="J23" s="564">
        <v>4328</v>
      </c>
      <c r="K23" s="555">
        <v>10800</v>
      </c>
      <c r="L23" s="352">
        <v>0</v>
      </c>
      <c r="M23" s="548">
        <f t="shared" si="8"/>
        <v>10800</v>
      </c>
      <c r="N23" s="334">
        <f t="shared" si="2"/>
        <v>100</v>
      </c>
    </row>
    <row r="24" spans="1:15" ht="12.95" customHeight="1">
      <c r="B24" s="10"/>
      <c r="C24" s="11"/>
      <c r="D24" s="11"/>
      <c r="E24" s="293">
        <v>613800</v>
      </c>
      <c r="F24" s="319"/>
      <c r="G24" s="11" t="s">
        <v>166</v>
      </c>
      <c r="H24" s="515">
        <v>3000</v>
      </c>
      <c r="I24" s="515">
        <v>3000</v>
      </c>
      <c r="J24" s="564">
        <v>1853</v>
      </c>
      <c r="K24" s="555">
        <v>3000</v>
      </c>
      <c r="L24" s="352">
        <v>0</v>
      </c>
      <c r="M24" s="548">
        <f t="shared" si="8"/>
        <v>3000</v>
      </c>
      <c r="N24" s="334">
        <f t="shared" si="2"/>
        <v>100</v>
      </c>
    </row>
    <row r="25" spans="1:15" ht="12.95" customHeight="1">
      <c r="B25" s="10"/>
      <c r="C25" s="11"/>
      <c r="D25" s="11"/>
      <c r="E25" s="293">
        <v>613900</v>
      </c>
      <c r="F25" s="319"/>
      <c r="G25" s="11" t="s">
        <v>167</v>
      </c>
      <c r="H25" s="515">
        <v>110000</v>
      </c>
      <c r="I25" s="515">
        <v>110000</v>
      </c>
      <c r="J25" s="564">
        <v>43481</v>
      </c>
      <c r="K25" s="555">
        <v>90000</v>
      </c>
      <c r="L25" s="352">
        <v>0</v>
      </c>
      <c r="M25" s="548">
        <f t="shared" si="8"/>
        <v>90000</v>
      </c>
      <c r="N25" s="334">
        <f t="shared" si="2"/>
        <v>81.818181818181827</v>
      </c>
      <c r="O25" s="63"/>
    </row>
    <row r="26" spans="1:15" ht="12.95" customHeight="1">
      <c r="B26" s="10"/>
      <c r="C26" s="11"/>
      <c r="D26" s="11"/>
      <c r="E26" s="293">
        <v>613900</v>
      </c>
      <c r="F26" s="319"/>
      <c r="G26" s="180" t="s">
        <v>535</v>
      </c>
      <c r="H26" s="515">
        <f t="shared" si="9"/>
        <v>0</v>
      </c>
      <c r="I26" s="515">
        <f t="shared" si="9"/>
        <v>0</v>
      </c>
      <c r="J26" s="564">
        <v>0</v>
      </c>
      <c r="K26" s="555">
        <v>0</v>
      </c>
      <c r="L26" s="352">
        <v>0</v>
      </c>
      <c r="M26" s="548">
        <f t="shared" si="8"/>
        <v>0</v>
      </c>
      <c r="N26" s="334" t="str">
        <f t="shared" si="2"/>
        <v/>
      </c>
    </row>
    <row r="27" spans="1:15" s="1" customFormat="1" ht="12.95" customHeight="1">
      <c r="A27" s="269"/>
      <c r="B27" s="12"/>
      <c r="C27" s="8"/>
      <c r="D27" s="8"/>
      <c r="E27" s="303"/>
      <c r="F27" s="330"/>
      <c r="G27" s="8"/>
      <c r="H27" s="516"/>
      <c r="I27" s="516"/>
      <c r="J27" s="566"/>
      <c r="K27" s="556"/>
      <c r="L27" s="283"/>
      <c r="M27" s="551"/>
      <c r="N27" s="334" t="str">
        <f t="shared" si="2"/>
        <v/>
      </c>
    </row>
    <row r="28" spans="1:15" ht="12.95" customHeight="1">
      <c r="B28" s="10"/>
      <c r="C28" s="11"/>
      <c r="D28" s="11"/>
      <c r="E28" s="293"/>
      <c r="F28" s="319"/>
      <c r="G28" s="11"/>
      <c r="H28" s="262"/>
      <c r="I28" s="262"/>
      <c r="J28" s="565"/>
      <c r="K28" s="557"/>
      <c r="L28" s="282"/>
      <c r="M28" s="553"/>
      <c r="N28" s="334" t="str">
        <f t="shared" si="2"/>
        <v/>
      </c>
    </row>
    <row r="29" spans="1:15" s="1" customFormat="1" ht="12.95" customHeight="1">
      <c r="A29" s="269"/>
      <c r="B29" s="12"/>
      <c r="C29" s="8"/>
      <c r="D29" s="8"/>
      <c r="E29" s="292">
        <v>821000</v>
      </c>
      <c r="F29" s="318"/>
      <c r="G29" s="8" t="s">
        <v>90</v>
      </c>
      <c r="H29" s="262">
        <f t="shared" ref="H29:I29" si="10">H30+H31</f>
        <v>25000</v>
      </c>
      <c r="I29" s="262">
        <f t="shared" si="10"/>
        <v>25000</v>
      </c>
      <c r="J29" s="565">
        <v>22903</v>
      </c>
      <c r="K29" s="557">
        <f t="shared" ref="K29:M29" si="11">K30+K31</f>
        <v>25000</v>
      </c>
      <c r="L29" s="282">
        <f t="shared" si="11"/>
        <v>0</v>
      </c>
      <c r="M29" s="553">
        <f t="shared" si="11"/>
        <v>25000</v>
      </c>
      <c r="N29" s="333">
        <f t="shared" si="2"/>
        <v>100</v>
      </c>
    </row>
    <row r="30" spans="1:15" ht="12.95" customHeight="1">
      <c r="B30" s="10"/>
      <c r="C30" s="11"/>
      <c r="D30" s="11"/>
      <c r="E30" s="293">
        <v>821200</v>
      </c>
      <c r="F30" s="319"/>
      <c r="G30" s="11" t="s">
        <v>91</v>
      </c>
      <c r="H30" s="515">
        <f t="shared" ref="H30:I30" si="12">SUM(F30:G30)</f>
        <v>0</v>
      </c>
      <c r="I30" s="515">
        <f t="shared" si="12"/>
        <v>0</v>
      </c>
      <c r="J30" s="564">
        <v>0</v>
      </c>
      <c r="K30" s="556">
        <v>0</v>
      </c>
      <c r="L30" s="283">
        <v>0</v>
      </c>
      <c r="M30" s="548">
        <f t="shared" ref="M30:M31" si="13">SUM(K30:L30)</f>
        <v>0</v>
      </c>
      <c r="N30" s="334" t="str">
        <f t="shared" si="2"/>
        <v/>
      </c>
    </row>
    <row r="31" spans="1:15" ht="12.95" customHeight="1">
      <c r="B31" s="10"/>
      <c r="C31" s="11"/>
      <c r="D31" s="11"/>
      <c r="E31" s="293">
        <v>821300</v>
      </c>
      <c r="F31" s="319"/>
      <c r="G31" s="11" t="s">
        <v>92</v>
      </c>
      <c r="H31" s="515">
        <v>25000</v>
      </c>
      <c r="I31" s="515">
        <v>25000</v>
      </c>
      <c r="J31" s="564">
        <v>22903</v>
      </c>
      <c r="K31" s="556">
        <v>25000</v>
      </c>
      <c r="L31" s="283">
        <v>0</v>
      </c>
      <c r="M31" s="548">
        <f t="shared" si="13"/>
        <v>25000</v>
      </c>
      <c r="N31" s="334">
        <f t="shared" si="2"/>
        <v>100</v>
      </c>
    </row>
    <row r="32" spans="1:15" ht="12.95" customHeight="1">
      <c r="B32" s="10"/>
      <c r="C32" s="11"/>
      <c r="D32" s="11"/>
      <c r="E32" s="293"/>
      <c r="F32" s="319"/>
      <c r="G32" s="11"/>
      <c r="H32" s="516"/>
      <c r="I32" s="516"/>
      <c r="J32" s="566"/>
      <c r="K32" s="550"/>
      <c r="L32" s="279"/>
      <c r="M32" s="551"/>
      <c r="N32" s="334" t="str">
        <f t="shared" si="2"/>
        <v/>
      </c>
    </row>
    <row r="33" spans="1:14" s="1" customFormat="1" ht="12.95" customHeight="1">
      <c r="A33" s="269"/>
      <c r="B33" s="12"/>
      <c r="C33" s="8"/>
      <c r="D33" s="8"/>
      <c r="E33" s="292"/>
      <c r="F33" s="318"/>
      <c r="G33" s="8" t="s">
        <v>93</v>
      </c>
      <c r="H33" s="517">
        <v>44</v>
      </c>
      <c r="I33" s="517">
        <v>44</v>
      </c>
      <c r="J33" s="579">
        <v>42</v>
      </c>
      <c r="K33" s="583">
        <v>43</v>
      </c>
      <c r="L33" s="284"/>
      <c r="M33" s="581">
        <v>43</v>
      </c>
      <c r="N33" s="334"/>
    </row>
    <row r="34" spans="1:14" s="1" customFormat="1" ht="12.95" customHeight="1">
      <c r="A34" s="269"/>
      <c r="B34" s="12"/>
      <c r="C34" s="8"/>
      <c r="D34" s="8"/>
      <c r="E34" s="292"/>
      <c r="F34" s="318"/>
      <c r="G34" s="8" t="s">
        <v>113</v>
      </c>
      <c r="H34" s="262">
        <f t="shared" ref="H34:M34" si="14">H8+H13+H16+H29</f>
        <v>1602130</v>
      </c>
      <c r="I34" s="276">
        <f t="shared" si="14"/>
        <v>1602130</v>
      </c>
      <c r="J34" s="565">
        <f t="shared" si="14"/>
        <v>1115685</v>
      </c>
      <c r="K34" s="558">
        <f t="shared" si="14"/>
        <v>1551110</v>
      </c>
      <c r="L34" s="276">
        <f t="shared" si="14"/>
        <v>0</v>
      </c>
      <c r="M34" s="553">
        <f t="shared" si="14"/>
        <v>1551110</v>
      </c>
      <c r="N34" s="333">
        <f t="shared" si="2"/>
        <v>96.815489379763193</v>
      </c>
    </row>
    <row r="35" spans="1:14" s="1" customFormat="1" ht="12.95" customHeight="1">
      <c r="A35" s="269"/>
      <c r="B35" s="12"/>
      <c r="C35" s="8"/>
      <c r="D35" s="8"/>
      <c r="E35" s="292"/>
      <c r="F35" s="318"/>
      <c r="G35" s="8" t="s">
        <v>94</v>
      </c>
      <c r="H35" s="262">
        <f t="shared" ref="H35:M35" si="15">H34</f>
        <v>1602130</v>
      </c>
      <c r="I35" s="276">
        <f t="shared" si="15"/>
        <v>1602130</v>
      </c>
      <c r="J35" s="565">
        <f t="shared" si="15"/>
        <v>1115685</v>
      </c>
      <c r="K35" s="558">
        <f t="shared" si="15"/>
        <v>1551110</v>
      </c>
      <c r="L35" s="276">
        <f t="shared" si="15"/>
        <v>0</v>
      </c>
      <c r="M35" s="553">
        <f t="shared" si="15"/>
        <v>1551110</v>
      </c>
      <c r="N35" s="333">
        <f t="shared" si="2"/>
        <v>96.815489379763193</v>
      </c>
    </row>
    <row r="36" spans="1:14" s="1" customFormat="1" ht="12.95" customHeight="1">
      <c r="A36" s="269"/>
      <c r="B36" s="12"/>
      <c r="C36" s="8"/>
      <c r="D36" s="8"/>
      <c r="E36" s="292"/>
      <c r="F36" s="318"/>
      <c r="G36" s="8" t="s">
        <v>95</v>
      </c>
      <c r="H36" s="516"/>
      <c r="I36" s="267"/>
      <c r="J36" s="566"/>
      <c r="K36" s="578"/>
      <c r="L36" s="267"/>
      <c r="M36" s="551"/>
      <c r="N36" s="335" t="str">
        <f t="shared" si="2"/>
        <v/>
      </c>
    </row>
    <row r="37" spans="1:14" ht="12.95" customHeight="1" thickBot="1">
      <c r="B37" s="15"/>
      <c r="C37" s="16"/>
      <c r="D37" s="16"/>
      <c r="E37" s="294"/>
      <c r="F37" s="320"/>
      <c r="G37" s="16"/>
      <c r="H37" s="518"/>
      <c r="I37" s="27"/>
      <c r="J37" s="567"/>
      <c r="K37" s="559"/>
      <c r="L37" s="27"/>
      <c r="M37" s="560"/>
      <c r="N37" s="336" t="str">
        <f t="shared" si="2"/>
        <v/>
      </c>
    </row>
    <row r="38" spans="1:14" ht="12.95" customHeight="1">
      <c r="E38" s="295"/>
      <c r="F38" s="321"/>
      <c r="M38" s="370"/>
      <c r="N38" s="337" t="str">
        <f t="shared" si="2"/>
        <v/>
      </c>
    </row>
    <row r="39" spans="1:14" ht="12.95" customHeight="1">
      <c r="B39" s="48"/>
      <c r="E39" s="295"/>
      <c r="F39" s="321"/>
      <c r="M39" s="370"/>
      <c r="N39" s="337" t="str">
        <f t="shared" si="2"/>
        <v/>
      </c>
    </row>
    <row r="40" spans="1:14" ht="12.95" customHeight="1">
      <c r="B40" s="48"/>
      <c r="E40" s="295"/>
      <c r="F40" s="321"/>
      <c r="M40" s="370"/>
      <c r="N40" s="337" t="str">
        <f t="shared" si="2"/>
        <v/>
      </c>
    </row>
    <row r="41" spans="1:14" ht="12.95" customHeight="1">
      <c r="B41" s="48"/>
      <c r="E41" s="295"/>
      <c r="F41" s="321"/>
      <c r="M41" s="370"/>
      <c r="N41" s="337" t="str">
        <f t="shared" si="2"/>
        <v/>
      </c>
    </row>
    <row r="42" spans="1:14" ht="12.95" customHeight="1">
      <c r="B42" s="48"/>
      <c r="E42" s="295"/>
      <c r="F42" s="321"/>
      <c r="M42" s="370"/>
      <c r="N42" s="337" t="str">
        <f t="shared" si="2"/>
        <v/>
      </c>
    </row>
    <row r="43" spans="1:14" ht="12.95" customHeight="1">
      <c r="B43" s="48"/>
      <c r="E43" s="295"/>
      <c r="F43" s="321"/>
      <c r="M43" s="370"/>
      <c r="N43" s="337" t="str">
        <f t="shared" si="2"/>
        <v/>
      </c>
    </row>
    <row r="44" spans="1:14" ht="12.95" customHeight="1">
      <c r="B44" s="48"/>
      <c r="E44" s="295"/>
      <c r="F44" s="321"/>
      <c r="M44" s="370"/>
      <c r="N44" s="337" t="str">
        <f t="shared" si="2"/>
        <v/>
      </c>
    </row>
    <row r="45" spans="1:14" ht="12.95" customHeight="1">
      <c r="B45" s="48"/>
      <c r="E45" s="295"/>
      <c r="F45" s="321"/>
      <c r="M45" s="370"/>
      <c r="N45" s="337" t="str">
        <f t="shared" si="2"/>
        <v/>
      </c>
    </row>
    <row r="46" spans="1:14" ht="12.95" customHeight="1">
      <c r="E46" s="295"/>
      <c r="F46" s="321"/>
      <c r="M46" s="370"/>
      <c r="N46" s="337" t="str">
        <f t="shared" si="2"/>
        <v/>
      </c>
    </row>
    <row r="47" spans="1:14" ht="12.95" customHeight="1">
      <c r="E47" s="295"/>
      <c r="F47" s="321"/>
      <c r="M47" s="370"/>
      <c r="N47" s="337" t="str">
        <f t="shared" si="2"/>
        <v/>
      </c>
    </row>
    <row r="48" spans="1:14" ht="12.95" customHeight="1">
      <c r="E48" s="295"/>
      <c r="F48" s="321"/>
      <c r="M48" s="370"/>
      <c r="N48" s="337" t="str">
        <f t="shared" si="2"/>
        <v/>
      </c>
    </row>
    <row r="49" spans="5:14" ht="12.95" customHeight="1">
      <c r="E49" s="295"/>
      <c r="F49" s="321"/>
      <c r="M49" s="370"/>
      <c r="N49" s="337" t="str">
        <f t="shared" si="2"/>
        <v/>
      </c>
    </row>
    <row r="50" spans="5:14" ht="12.95" customHeight="1">
      <c r="E50" s="295"/>
      <c r="F50" s="321"/>
      <c r="M50" s="370"/>
      <c r="N50" s="337" t="str">
        <f t="shared" si="2"/>
        <v/>
      </c>
    </row>
    <row r="51" spans="5:14" ht="12.95" customHeight="1">
      <c r="E51" s="295"/>
      <c r="F51" s="321"/>
      <c r="M51" s="370"/>
      <c r="N51" s="337" t="str">
        <f t="shared" si="2"/>
        <v/>
      </c>
    </row>
    <row r="52" spans="5:14" ht="12.95" customHeight="1">
      <c r="E52" s="295"/>
      <c r="F52" s="321"/>
      <c r="M52" s="370"/>
      <c r="N52" s="337" t="str">
        <f t="shared" si="2"/>
        <v/>
      </c>
    </row>
    <row r="53" spans="5:14" ht="12.95" customHeight="1">
      <c r="E53" s="295"/>
      <c r="F53" s="321"/>
      <c r="M53" s="370"/>
      <c r="N53" s="337" t="str">
        <f t="shared" si="2"/>
        <v/>
      </c>
    </row>
    <row r="54" spans="5:14" ht="12.95" customHeight="1">
      <c r="E54" s="295"/>
      <c r="F54" s="321"/>
      <c r="M54" s="370"/>
      <c r="N54" s="337" t="str">
        <f t="shared" si="2"/>
        <v/>
      </c>
    </row>
    <row r="55" spans="5:14" ht="12.95" customHeight="1">
      <c r="E55" s="295"/>
      <c r="F55" s="321"/>
      <c r="M55" s="370"/>
      <c r="N55" s="337" t="str">
        <f t="shared" si="2"/>
        <v/>
      </c>
    </row>
    <row r="56" spans="5:14" ht="12.95" customHeight="1">
      <c r="E56" s="295"/>
      <c r="F56" s="321"/>
      <c r="M56" s="370"/>
      <c r="N56" s="337" t="str">
        <f t="shared" si="2"/>
        <v/>
      </c>
    </row>
    <row r="57" spans="5:14" ht="12.95" customHeight="1">
      <c r="E57" s="295"/>
      <c r="F57" s="321"/>
      <c r="M57" s="370"/>
      <c r="N57" s="337" t="str">
        <f t="shared" si="2"/>
        <v/>
      </c>
    </row>
    <row r="58" spans="5:14" ht="12.95" customHeight="1">
      <c r="E58" s="295"/>
      <c r="F58" s="321"/>
      <c r="M58" s="370"/>
      <c r="N58" s="337" t="str">
        <f t="shared" si="2"/>
        <v/>
      </c>
    </row>
    <row r="59" spans="5:14" ht="12.95" customHeight="1">
      <c r="E59" s="295"/>
      <c r="F59" s="321"/>
      <c r="M59" s="370"/>
      <c r="N59" s="337" t="str">
        <f t="shared" si="2"/>
        <v/>
      </c>
    </row>
    <row r="60" spans="5:14" ht="17.100000000000001" customHeight="1">
      <c r="E60" s="295"/>
      <c r="F60" s="321"/>
      <c r="M60" s="370"/>
      <c r="N60" s="337" t="str">
        <f t="shared" si="2"/>
        <v/>
      </c>
    </row>
    <row r="61" spans="5:14" ht="14.25">
      <c r="E61" s="295"/>
      <c r="F61" s="321"/>
      <c r="M61" s="370"/>
      <c r="N61" s="337" t="str">
        <f t="shared" si="2"/>
        <v/>
      </c>
    </row>
    <row r="62" spans="5:14" ht="14.25">
      <c r="E62" s="295"/>
      <c r="F62" s="321"/>
      <c r="M62" s="370"/>
      <c r="N62" s="337" t="str">
        <f t="shared" si="2"/>
        <v/>
      </c>
    </row>
    <row r="63" spans="5:14" ht="14.25">
      <c r="E63" s="295"/>
      <c r="F63" s="321"/>
      <c r="M63" s="370"/>
      <c r="N63" s="337" t="str">
        <f t="shared" si="2"/>
        <v/>
      </c>
    </row>
    <row r="64" spans="5:14" ht="14.25">
      <c r="E64" s="295"/>
      <c r="F64" s="321"/>
      <c r="M64" s="370"/>
      <c r="N64" s="337" t="str">
        <f t="shared" si="2"/>
        <v/>
      </c>
    </row>
    <row r="65" spans="5:14" ht="14.25">
      <c r="E65" s="295"/>
      <c r="F65" s="321"/>
      <c r="M65" s="370"/>
      <c r="N65" s="337" t="str">
        <f t="shared" si="2"/>
        <v/>
      </c>
    </row>
    <row r="66" spans="5:14" ht="14.25">
      <c r="E66" s="295"/>
      <c r="F66" s="321"/>
      <c r="M66" s="370"/>
      <c r="N66" s="337" t="str">
        <f t="shared" si="2"/>
        <v/>
      </c>
    </row>
    <row r="67" spans="5:14" ht="14.25">
      <c r="E67" s="295"/>
      <c r="F67" s="321"/>
      <c r="M67" s="370"/>
      <c r="N67" s="337" t="str">
        <f t="shared" si="2"/>
        <v/>
      </c>
    </row>
    <row r="68" spans="5:14" ht="14.25">
      <c r="E68" s="295"/>
      <c r="F68" s="321"/>
      <c r="M68" s="370"/>
      <c r="N68" s="337" t="str">
        <f t="shared" si="2"/>
        <v/>
      </c>
    </row>
    <row r="69" spans="5:14" ht="14.25">
      <c r="E69" s="295"/>
      <c r="F69" s="321"/>
      <c r="M69" s="370"/>
      <c r="N69" s="337" t="str">
        <f t="shared" si="2"/>
        <v/>
      </c>
    </row>
    <row r="70" spans="5:14" ht="14.25">
      <c r="E70" s="295"/>
      <c r="F70" s="321"/>
      <c r="M70" s="370"/>
      <c r="N70" s="337" t="str">
        <f t="shared" si="2"/>
        <v/>
      </c>
    </row>
    <row r="71" spans="5:14" ht="14.25">
      <c r="E71" s="295"/>
      <c r="F71" s="321"/>
      <c r="M71" s="370"/>
      <c r="N71" s="337" t="str">
        <f t="shared" si="2"/>
        <v/>
      </c>
    </row>
    <row r="72" spans="5:14" ht="14.25">
      <c r="E72" s="295"/>
      <c r="F72" s="321"/>
      <c r="M72" s="370"/>
      <c r="N72" s="337" t="str">
        <f t="shared" si="2"/>
        <v/>
      </c>
    </row>
    <row r="73" spans="5:14" ht="14.25">
      <c r="E73" s="295"/>
      <c r="F73" s="321"/>
      <c r="M73" s="370"/>
      <c r="N73" s="337" t="str">
        <f t="shared" ref="N73:N77" si="16">IF(I73=0,"",M73/I73*100)</f>
        <v/>
      </c>
    </row>
    <row r="74" spans="5:14" ht="14.25">
      <c r="E74" s="295"/>
      <c r="F74" s="295"/>
      <c r="M74" s="370"/>
      <c r="N74" s="337" t="str">
        <f t="shared" si="16"/>
        <v/>
      </c>
    </row>
    <row r="75" spans="5:14" ht="14.25">
      <c r="E75" s="295"/>
      <c r="F75" s="295"/>
      <c r="M75" s="370"/>
      <c r="N75" s="337" t="str">
        <f t="shared" si="16"/>
        <v/>
      </c>
    </row>
    <row r="76" spans="5:14" ht="14.25">
      <c r="E76" s="295"/>
      <c r="F76" s="295"/>
      <c r="M76" s="370"/>
      <c r="N76" s="337" t="str">
        <f t="shared" si="16"/>
        <v/>
      </c>
    </row>
    <row r="77" spans="5:14" ht="14.25">
      <c r="E77" s="295"/>
      <c r="F77" s="295"/>
      <c r="M77" s="370"/>
      <c r="N77" s="337" t="str">
        <f t="shared" si="16"/>
        <v/>
      </c>
    </row>
    <row r="78" spans="5:14" ht="14.25">
      <c r="E78" s="295"/>
      <c r="F78" s="295"/>
      <c r="M78" s="370"/>
    </row>
    <row r="79" spans="5:14" ht="14.25">
      <c r="E79" s="295"/>
      <c r="F79" s="295"/>
      <c r="M79" s="370"/>
    </row>
    <row r="80" spans="5:14" ht="14.25">
      <c r="E80" s="295"/>
      <c r="F80" s="295"/>
      <c r="M80" s="370"/>
    </row>
    <row r="81" spans="5:13" ht="14.25">
      <c r="E81" s="295"/>
      <c r="F81" s="295"/>
      <c r="M81" s="370"/>
    </row>
    <row r="82" spans="5:13" ht="14.25">
      <c r="E82" s="295"/>
      <c r="F82" s="295"/>
      <c r="M82" s="370"/>
    </row>
    <row r="83" spans="5:13" ht="14.25">
      <c r="E83" s="295"/>
      <c r="F83" s="295"/>
      <c r="M83" s="370"/>
    </row>
    <row r="84" spans="5:13" ht="14.25">
      <c r="E84" s="295"/>
      <c r="F84" s="295"/>
      <c r="M84" s="370"/>
    </row>
    <row r="85" spans="5:13" ht="14.25">
      <c r="E85" s="295"/>
      <c r="F85" s="295"/>
      <c r="M85" s="370"/>
    </row>
    <row r="86" spans="5:13" ht="14.25">
      <c r="E86" s="295"/>
      <c r="F86" s="295"/>
      <c r="M86" s="370"/>
    </row>
    <row r="87" spans="5:13" ht="14.25">
      <c r="E87" s="295"/>
      <c r="F87" s="295"/>
      <c r="M87" s="370"/>
    </row>
    <row r="88" spans="5:13" ht="14.25">
      <c r="E88" s="295"/>
      <c r="F88" s="295"/>
      <c r="M88" s="370"/>
    </row>
    <row r="89" spans="5:13" ht="14.25">
      <c r="E89" s="295"/>
      <c r="F89" s="295"/>
      <c r="M89" s="370"/>
    </row>
    <row r="90" spans="5:13" ht="14.25">
      <c r="E90" s="295"/>
      <c r="F90" s="295"/>
      <c r="M90" s="370"/>
    </row>
    <row r="91" spans="5:13">
      <c r="F91" s="295"/>
    </row>
    <row r="92" spans="5:13">
      <c r="F92" s="295"/>
    </row>
    <row r="93" spans="5:13">
      <c r="F93" s="295"/>
    </row>
    <row r="94" spans="5:13">
      <c r="F94" s="295"/>
    </row>
    <row r="95" spans="5:13">
      <c r="F95" s="295"/>
    </row>
    <row r="96" spans="5:13">
      <c r="F96" s="295"/>
    </row>
  </sheetData>
  <mergeCells count="12">
    <mergeCell ref="N4:N5"/>
    <mergeCell ref="G4:G5"/>
    <mergeCell ref="B2:G2"/>
    <mergeCell ref="B4:B5"/>
    <mergeCell ref="C4:C5"/>
    <mergeCell ref="D4:D5"/>
    <mergeCell ref="F4:F5"/>
    <mergeCell ref="E4:E5"/>
    <mergeCell ref="K4:M4"/>
    <mergeCell ref="H4:H5"/>
    <mergeCell ref="I4:I5"/>
    <mergeCell ref="J4:J5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7"/>
  <dimension ref="A1:P96"/>
  <sheetViews>
    <sheetView zoomScaleNormal="100" workbookViewId="0">
      <selection activeCell="K10" sqref="K10"/>
    </sheetView>
  </sheetViews>
  <sheetFormatPr defaultRowHeight="12.75"/>
  <cols>
    <col min="1" max="1" width="9.140625" style="272"/>
    <col min="2" max="2" width="4.7109375" style="9" customWidth="1"/>
    <col min="3" max="3" width="5.140625" style="9" customWidth="1"/>
    <col min="4" max="4" width="5" style="9" customWidth="1"/>
    <col min="5" max="5" width="8.7109375" style="17" customWidth="1"/>
    <col min="6" max="6" width="8.7109375" style="277" customWidth="1"/>
    <col min="7" max="7" width="50.7109375" style="9" customWidth="1"/>
    <col min="8" max="8" width="14.7109375" style="519" customWidth="1"/>
    <col min="9" max="9" width="14.7109375" style="54" customWidth="1"/>
    <col min="10" max="10" width="15.7109375" style="519" customWidth="1"/>
    <col min="11" max="12" width="14.7109375" style="54" customWidth="1"/>
    <col min="13" max="13" width="15.7109375" style="54" customWidth="1"/>
    <col min="14" max="14" width="7.7109375" style="337" customWidth="1"/>
    <col min="15" max="16384" width="9.140625" style="9"/>
  </cols>
  <sheetData>
    <row r="1" spans="1:16" ht="13.5" thickBot="1"/>
    <row r="2" spans="1:16" s="363" customFormat="1" ht="20.100000000000001" customHeight="1" thickTop="1" thickBot="1">
      <c r="B2" s="725" t="s">
        <v>217</v>
      </c>
      <c r="C2" s="726"/>
      <c r="D2" s="726"/>
      <c r="E2" s="726"/>
      <c r="F2" s="726"/>
      <c r="G2" s="726"/>
      <c r="H2" s="750"/>
      <c r="I2" s="750"/>
      <c r="J2" s="508"/>
      <c r="K2" s="364"/>
      <c r="L2" s="364"/>
      <c r="M2" s="364"/>
      <c r="N2" s="367"/>
    </row>
    <row r="3" spans="1:16" s="1" customFormat="1" ht="8.1" customHeight="1" thickTop="1" thickBot="1">
      <c r="A3" s="269"/>
      <c r="E3" s="2"/>
      <c r="F3" s="270"/>
      <c r="G3" s="488"/>
      <c r="H3" s="511"/>
      <c r="I3" s="87"/>
      <c r="J3" s="511"/>
      <c r="K3" s="87"/>
      <c r="L3" s="87"/>
      <c r="M3" s="87"/>
      <c r="N3" s="331"/>
    </row>
    <row r="4" spans="1:16" s="1" customFormat="1" ht="39" customHeight="1">
      <c r="A4" s="269"/>
      <c r="B4" s="728" t="s">
        <v>78</v>
      </c>
      <c r="C4" s="746" t="s">
        <v>79</v>
      </c>
      <c r="D4" s="747" t="s">
        <v>110</v>
      </c>
      <c r="E4" s="748" t="s">
        <v>594</v>
      </c>
      <c r="F4" s="733" t="s">
        <v>650</v>
      </c>
      <c r="G4" s="734" t="s">
        <v>80</v>
      </c>
      <c r="H4" s="740" t="s">
        <v>644</v>
      </c>
      <c r="I4" s="742" t="s">
        <v>821</v>
      </c>
      <c r="J4" s="744" t="s">
        <v>822</v>
      </c>
      <c r="K4" s="749" t="s">
        <v>863</v>
      </c>
      <c r="L4" s="738"/>
      <c r="M4" s="739"/>
      <c r="N4" s="735" t="s">
        <v>823</v>
      </c>
    </row>
    <row r="5" spans="1:16" s="269" customFormat="1" ht="27" customHeight="1">
      <c r="B5" s="729"/>
      <c r="C5" s="731"/>
      <c r="D5" s="731"/>
      <c r="E5" s="722"/>
      <c r="F5" s="731"/>
      <c r="G5" s="722"/>
      <c r="H5" s="741"/>
      <c r="I5" s="743"/>
      <c r="J5" s="745"/>
      <c r="K5" s="540" t="s">
        <v>701</v>
      </c>
      <c r="L5" s="359" t="s">
        <v>702</v>
      </c>
      <c r="M5" s="541" t="s">
        <v>413</v>
      </c>
      <c r="N5" s="736"/>
    </row>
    <row r="6" spans="1:16" s="2" customFormat="1" ht="12.95" customHeight="1">
      <c r="A6" s="270"/>
      <c r="B6" s="464">
        <v>1</v>
      </c>
      <c r="C6" s="318">
        <v>2</v>
      </c>
      <c r="D6" s="318">
        <v>3</v>
      </c>
      <c r="E6" s="318">
        <v>4</v>
      </c>
      <c r="F6" s="318">
        <v>5</v>
      </c>
      <c r="G6" s="318">
        <v>6</v>
      </c>
      <c r="H6" s="512">
        <v>7</v>
      </c>
      <c r="I6" s="318">
        <v>8</v>
      </c>
      <c r="J6" s="561">
        <v>9</v>
      </c>
      <c r="K6" s="464">
        <v>10</v>
      </c>
      <c r="L6" s="318">
        <v>11</v>
      </c>
      <c r="M6" s="542" t="s">
        <v>703</v>
      </c>
      <c r="N6" s="465">
        <v>13</v>
      </c>
    </row>
    <row r="7" spans="1:16" s="2" customFormat="1" ht="12.95" customHeight="1">
      <c r="A7" s="270"/>
      <c r="B7" s="6" t="s">
        <v>131</v>
      </c>
      <c r="C7" s="7" t="s">
        <v>133</v>
      </c>
      <c r="D7" s="7" t="s">
        <v>82</v>
      </c>
      <c r="E7" s="5"/>
      <c r="F7" s="271"/>
      <c r="G7" s="5"/>
      <c r="H7" s="520"/>
      <c r="I7" s="81"/>
      <c r="J7" s="562"/>
      <c r="K7" s="543"/>
      <c r="L7" s="81"/>
      <c r="M7" s="544"/>
      <c r="N7" s="332"/>
    </row>
    <row r="8" spans="1:16" s="1" customFormat="1" ht="12.95" customHeight="1">
      <c r="A8" s="269"/>
      <c r="B8" s="12"/>
      <c r="C8" s="8"/>
      <c r="D8" s="8"/>
      <c r="E8" s="292">
        <v>611000</v>
      </c>
      <c r="F8" s="318"/>
      <c r="G8" s="8" t="s">
        <v>163</v>
      </c>
      <c r="H8" s="514">
        <f t="shared" ref="H8:I8" si="0">SUM(H9:H12)</f>
        <v>43660</v>
      </c>
      <c r="I8" s="514">
        <f t="shared" si="0"/>
        <v>43660</v>
      </c>
      <c r="J8" s="563">
        <v>24458</v>
      </c>
      <c r="K8" s="545">
        <f t="shared" ref="K8:M8" si="1">SUM(K9:K12)</f>
        <v>33210</v>
      </c>
      <c r="L8" s="201">
        <f t="shared" si="1"/>
        <v>0</v>
      </c>
      <c r="M8" s="546">
        <f t="shared" si="1"/>
        <v>33210</v>
      </c>
      <c r="N8" s="333">
        <f>IF(I8=0,"",M8/I8*100)</f>
        <v>76.065048098946406</v>
      </c>
    </row>
    <row r="9" spans="1:16" ht="12.95" customHeight="1">
      <c r="B9" s="10"/>
      <c r="C9" s="11"/>
      <c r="D9" s="11"/>
      <c r="E9" s="293">
        <v>611100</v>
      </c>
      <c r="F9" s="319"/>
      <c r="G9" s="18" t="s">
        <v>198</v>
      </c>
      <c r="H9" s="515">
        <v>37620</v>
      </c>
      <c r="I9" s="515">
        <v>37620</v>
      </c>
      <c r="J9" s="564">
        <v>21706</v>
      </c>
      <c r="K9" s="547">
        <f>28970+200</f>
        <v>29170</v>
      </c>
      <c r="L9" s="203">
        <v>0</v>
      </c>
      <c r="M9" s="548">
        <f>SUM(K9:L9)</f>
        <v>29170</v>
      </c>
      <c r="N9" s="334">
        <f t="shared" ref="N9:N72" si="2">IF(I9=0,"",M9/I9*100)</f>
        <v>77.538543328017013</v>
      </c>
    </row>
    <row r="10" spans="1:16" ht="12.95" customHeight="1">
      <c r="B10" s="10"/>
      <c r="C10" s="11"/>
      <c r="D10" s="11"/>
      <c r="E10" s="293">
        <v>611200</v>
      </c>
      <c r="F10" s="319"/>
      <c r="G10" s="11" t="s">
        <v>199</v>
      </c>
      <c r="H10" s="515">
        <v>6040</v>
      </c>
      <c r="I10" s="515">
        <v>6040</v>
      </c>
      <c r="J10" s="564">
        <v>2752</v>
      </c>
      <c r="K10" s="547">
        <f>3640+150+250</f>
        <v>4040</v>
      </c>
      <c r="L10" s="203">
        <v>0</v>
      </c>
      <c r="M10" s="548">
        <f t="shared" ref="M10:M11" si="3">SUM(K10:L10)</f>
        <v>4040</v>
      </c>
      <c r="N10" s="334">
        <f t="shared" si="2"/>
        <v>66.88741721854305</v>
      </c>
    </row>
    <row r="11" spans="1:16" ht="12.95" customHeight="1">
      <c r="B11" s="10"/>
      <c r="C11" s="11"/>
      <c r="D11" s="11"/>
      <c r="E11" s="293">
        <v>611200</v>
      </c>
      <c r="F11" s="319"/>
      <c r="G11" s="180" t="s">
        <v>534</v>
      </c>
      <c r="H11" s="515">
        <f t="shared" ref="H11:I11" si="4">SUM(F11:G11)</f>
        <v>0</v>
      </c>
      <c r="I11" s="515">
        <f t="shared" si="4"/>
        <v>0</v>
      </c>
      <c r="J11" s="564">
        <v>0</v>
      </c>
      <c r="K11" s="549">
        <v>0</v>
      </c>
      <c r="L11" s="200">
        <v>0</v>
      </c>
      <c r="M11" s="548">
        <f t="shared" si="3"/>
        <v>0</v>
      </c>
      <c r="N11" s="334" t="str">
        <f t="shared" si="2"/>
        <v/>
      </c>
      <c r="P11" s="53"/>
    </row>
    <row r="12" spans="1:16" ht="12.95" customHeight="1">
      <c r="B12" s="10"/>
      <c r="C12" s="11"/>
      <c r="D12" s="11"/>
      <c r="E12" s="293"/>
      <c r="F12" s="319"/>
      <c r="G12" s="18"/>
      <c r="H12" s="515"/>
      <c r="I12" s="515"/>
      <c r="J12" s="564"/>
      <c r="K12" s="547"/>
      <c r="L12" s="203"/>
      <c r="M12" s="548"/>
      <c r="N12" s="334" t="str">
        <f t="shared" si="2"/>
        <v/>
      </c>
    </row>
    <row r="13" spans="1:16" s="1" customFormat="1" ht="12.95" customHeight="1">
      <c r="A13" s="269"/>
      <c r="B13" s="12"/>
      <c r="C13" s="8"/>
      <c r="D13" s="8"/>
      <c r="E13" s="292">
        <v>612000</v>
      </c>
      <c r="F13" s="318"/>
      <c r="G13" s="8" t="s">
        <v>162</v>
      </c>
      <c r="H13" s="514">
        <f t="shared" ref="H13:M13" si="5">H14</f>
        <v>4130</v>
      </c>
      <c r="I13" s="514">
        <f t="shared" si="5"/>
        <v>4130</v>
      </c>
      <c r="J13" s="563">
        <v>2293</v>
      </c>
      <c r="K13" s="545">
        <f t="shared" si="5"/>
        <v>3160</v>
      </c>
      <c r="L13" s="201">
        <f t="shared" si="5"/>
        <v>0</v>
      </c>
      <c r="M13" s="546">
        <f t="shared" si="5"/>
        <v>3160</v>
      </c>
      <c r="N13" s="333">
        <f t="shared" si="2"/>
        <v>76.513317191283292</v>
      </c>
    </row>
    <row r="14" spans="1:16" ht="12.95" customHeight="1">
      <c r="B14" s="10"/>
      <c r="C14" s="11"/>
      <c r="D14" s="11"/>
      <c r="E14" s="293">
        <v>612100</v>
      </c>
      <c r="F14" s="319"/>
      <c r="G14" s="13" t="s">
        <v>83</v>
      </c>
      <c r="H14" s="515">
        <v>4130</v>
      </c>
      <c r="I14" s="515">
        <v>4130</v>
      </c>
      <c r="J14" s="564">
        <v>2293</v>
      </c>
      <c r="K14" s="547">
        <f>3060+100</f>
        <v>3160</v>
      </c>
      <c r="L14" s="203">
        <v>0</v>
      </c>
      <c r="M14" s="548">
        <f>SUM(K14:L14)</f>
        <v>3160</v>
      </c>
      <c r="N14" s="334">
        <f t="shared" si="2"/>
        <v>76.513317191283292</v>
      </c>
    </row>
    <row r="15" spans="1:16" ht="12.95" customHeight="1">
      <c r="B15" s="10"/>
      <c r="C15" s="11"/>
      <c r="D15" s="11"/>
      <c r="E15" s="293"/>
      <c r="F15" s="319"/>
      <c r="G15" s="11"/>
      <c r="H15" s="516"/>
      <c r="I15" s="516"/>
      <c r="J15" s="566"/>
      <c r="K15" s="550"/>
      <c r="L15" s="279"/>
      <c r="M15" s="551"/>
      <c r="N15" s="334" t="str">
        <f t="shared" si="2"/>
        <v/>
      </c>
    </row>
    <row r="16" spans="1:16" s="1" customFormat="1" ht="12.95" customHeight="1">
      <c r="A16" s="269"/>
      <c r="B16" s="12"/>
      <c r="C16" s="8"/>
      <c r="D16" s="8"/>
      <c r="E16" s="292">
        <v>613000</v>
      </c>
      <c r="F16" s="318"/>
      <c r="G16" s="8" t="s">
        <v>164</v>
      </c>
      <c r="H16" s="262">
        <f t="shared" ref="H16:I16" si="6">SUM(H17:H26)</f>
        <v>4200</v>
      </c>
      <c r="I16" s="262">
        <f t="shared" si="6"/>
        <v>4200</v>
      </c>
      <c r="J16" s="565">
        <v>1734</v>
      </c>
      <c r="K16" s="552">
        <f t="shared" ref="K16:M16" si="7">SUM(K17:K26)</f>
        <v>2300</v>
      </c>
      <c r="L16" s="281">
        <f t="shared" si="7"/>
        <v>0</v>
      </c>
      <c r="M16" s="553">
        <f t="shared" si="7"/>
        <v>2300</v>
      </c>
      <c r="N16" s="334">
        <f t="shared" si="2"/>
        <v>54.761904761904766</v>
      </c>
    </row>
    <row r="17" spans="1:14" ht="12.95" customHeight="1">
      <c r="B17" s="10"/>
      <c r="C17" s="11"/>
      <c r="D17" s="11"/>
      <c r="E17" s="293">
        <v>613100</v>
      </c>
      <c r="F17" s="319"/>
      <c r="G17" s="11" t="s">
        <v>84</v>
      </c>
      <c r="H17" s="515">
        <v>500</v>
      </c>
      <c r="I17" s="515">
        <v>500</v>
      </c>
      <c r="J17" s="564">
        <v>0</v>
      </c>
      <c r="K17" s="554">
        <v>200</v>
      </c>
      <c r="L17" s="350">
        <v>0</v>
      </c>
      <c r="M17" s="548">
        <f t="shared" ref="M17:M26" si="8">SUM(K17:L17)</f>
        <v>200</v>
      </c>
      <c r="N17" s="334">
        <f t="shared" si="2"/>
        <v>40</v>
      </c>
    </row>
    <row r="18" spans="1:14" ht="12.95" customHeight="1">
      <c r="B18" s="10"/>
      <c r="C18" s="11"/>
      <c r="D18" s="11"/>
      <c r="E18" s="293">
        <v>613200</v>
      </c>
      <c r="F18" s="319"/>
      <c r="G18" s="11" t="s">
        <v>85</v>
      </c>
      <c r="H18" s="515">
        <f t="shared" ref="H18:I26" si="9">SUM(F18:G18)</f>
        <v>0</v>
      </c>
      <c r="I18" s="515">
        <f t="shared" si="9"/>
        <v>0</v>
      </c>
      <c r="J18" s="564">
        <v>0</v>
      </c>
      <c r="K18" s="554">
        <v>0</v>
      </c>
      <c r="L18" s="350">
        <v>0</v>
      </c>
      <c r="M18" s="548">
        <f t="shared" si="8"/>
        <v>0</v>
      </c>
      <c r="N18" s="334" t="str">
        <f t="shared" si="2"/>
        <v/>
      </c>
    </row>
    <row r="19" spans="1:14" ht="12.95" customHeight="1">
      <c r="B19" s="10"/>
      <c r="C19" s="11"/>
      <c r="D19" s="11"/>
      <c r="E19" s="293">
        <v>613300</v>
      </c>
      <c r="F19" s="319"/>
      <c r="G19" s="18" t="s">
        <v>200</v>
      </c>
      <c r="H19" s="515">
        <v>1000</v>
      </c>
      <c r="I19" s="515">
        <v>1000</v>
      </c>
      <c r="J19" s="564">
        <v>460</v>
      </c>
      <c r="K19" s="554">
        <v>600</v>
      </c>
      <c r="L19" s="350">
        <v>0</v>
      </c>
      <c r="M19" s="548">
        <f t="shared" si="8"/>
        <v>600</v>
      </c>
      <c r="N19" s="334">
        <f t="shared" si="2"/>
        <v>60</v>
      </c>
    </row>
    <row r="20" spans="1:14" ht="12.95" customHeight="1">
      <c r="B20" s="10"/>
      <c r="C20" s="11"/>
      <c r="D20" s="11"/>
      <c r="E20" s="293">
        <v>613400</v>
      </c>
      <c r="F20" s="319"/>
      <c r="G20" s="11" t="s">
        <v>165</v>
      </c>
      <c r="H20" s="515">
        <v>1000</v>
      </c>
      <c r="I20" s="515">
        <v>1000</v>
      </c>
      <c r="J20" s="564">
        <v>318</v>
      </c>
      <c r="K20" s="554">
        <v>500</v>
      </c>
      <c r="L20" s="350">
        <v>0</v>
      </c>
      <c r="M20" s="548">
        <f t="shared" si="8"/>
        <v>500</v>
      </c>
      <c r="N20" s="334">
        <f t="shared" si="2"/>
        <v>50</v>
      </c>
    </row>
    <row r="21" spans="1:14" ht="12.95" customHeight="1">
      <c r="B21" s="10"/>
      <c r="C21" s="11"/>
      <c r="D21" s="11"/>
      <c r="E21" s="293">
        <v>613500</v>
      </c>
      <c r="F21" s="319"/>
      <c r="G21" s="11" t="s">
        <v>86</v>
      </c>
      <c r="H21" s="515">
        <f t="shared" si="9"/>
        <v>0</v>
      </c>
      <c r="I21" s="515">
        <f t="shared" si="9"/>
        <v>0</v>
      </c>
      <c r="J21" s="564">
        <v>0</v>
      </c>
      <c r="K21" s="554">
        <v>0</v>
      </c>
      <c r="L21" s="350">
        <v>0</v>
      </c>
      <c r="M21" s="548">
        <f t="shared" si="8"/>
        <v>0</v>
      </c>
      <c r="N21" s="334" t="str">
        <f t="shared" si="2"/>
        <v/>
      </c>
    </row>
    <row r="22" spans="1:14" ht="12.95" customHeight="1">
      <c r="B22" s="10"/>
      <c r="C22" s="11"/>
      <c r="D22" s="11"/>
      <c r="E22" s="293">
        <v>613600</v>
      </c>
      <c r="F22" s="319"/>
      <c r="G22" s="18" t="s">
        <v>201</v>
      </c>
      <c r="H22" s="515">
        <f t="shared" si="9"/>
        <v>0</v>
      </c>
      <c r="I22" s="515">
        <f t="shared" si="9"/>
        <v>0</v>
      </c>
      <c r="J22" s="564">
        <v>0</v>
      </c>
      <c r="K22" s="554">
        <v>0</v>
      </c>
      <c r="L22" s="350">
        <v>0</v>
      </c>
      <c r="M22" s="548">
        <f t="shared" si="8"/>
        <v>0</v>
      </c>
      <c r="N22" s="334" t="str">
        <f t="shared" si="2"/>
        <v/>
      </c>
    </row>
    <row r="23" spans="1:14" ht="12.95" customHeight="1">
      <c r="B23" s="10"/>
      <c r="C23" s="11"/>
      <c r="D23" s="11"/>
      <c r="E23" s="293">
        <v>613700</v>
      </c>
      <c r="F23" s="319"/>
      <c r="G23" s="11" t="s">
        <v>87</v>
      </c>
      <c r="H23" s="515">
        <f t="shared" si="9"/>
        <v>0</v>
      </c>
      <c r="I23" s="515">
        <f t="shared" si="9"/>
        <v>0</v>
      </c>
      <c r="J23" s="564">
        <v>0</v>
      </c>
      <c r="K23" s="554">
        <v>0</v>
      </c>
      <c r="L23" s="350">
        <v>0</v>
      </c>
      <c r="M23" s="548">
        <f t="shared" si="8"/>
        <v>0</v>
      </c>
      <c r="N23" s="334" t="str">
        <f t="shared" si="2"/>
        <v/>
      </c>
    </row>
    <row r="24" spans="1:14" ht="12.95" customHeight="1">
      <c r="B24" s="10"/>
      <c r="C24" s="11"/>
      <c r="D24" s="11"/>
      <c r="E24" s="293">
        <v>613800</v>
      </c>
      <c r="F24" s="319"/>
      <c r="G24" s="11" t="s">
        <v>166</v>
      </c>
      <c r="H24" s="515">
        <f t="shared" si="9"/>
        <v>0</v>
      </c>
      <c r="I24" s="515">
        <f t="shared" si="9"/>
        <v>0</v>
      </c>
      <c r="J24" s="564">
        <v>0</v>
      </c>
      <c r="K24" s="554">
        <v>0</v>
      </c>
      <c r="L24" s="350">
        <v>0</v>
      </c>
      <c r="M24" s="548">
        <f t="shared" si="8"/>
        <v>0</v>
      </c>
      <c r="N24" s="334" t="str">
        <f t="shared" si="2"/>
        <v/>
      </c>
    </row>
    <row r="25" spans="1:14" ht="12.95" customHeight="1">
      <c r="B25" s="10"/>
      <c r="C25" s="11"/>
      <c r="D25" s="11"/>
      <c r="E25" s="293">
        <v>613900</v>
      </c>
      <c r="F25" s="319"/>
      <c r="G25" s="11" t="s">
        <v>167</v>
      </c>
      <c r="H25" s="515">
        <v>1700</v>
      </c>
      <c r="I25" s="515">
        <v>1700</v>
      </c>
      <c r="J25" s="564">
        <v>956</v>
      </c>
      <c r="K25" s="554">
        <v>1000</v>
      </c>
      <c r="L25" s="350">
        <v>0</v>
      </c>
      <c r="M25" s="548">
        <f t="shared" si="8"/>
        <v>1000</v>
      </c>
      <c r="N25" s="334">
        <f t="shared" si="2"/>
        <v>58.82352941176471</v>
      </c>
    </row>
    <row r="26" spans="1:14" ht="12.95" customHeight="1">
      <c r="B26" s="10"/>
      <c r="C26" s="11"/>
      <c r="D26" s="11"/>
      <c r="E26" s="293">
        <v>613900</v>
      </c>
      <c r="F26" s="319"/>
      <c r="G26" s="180" t="s">
        <v>535</v>
      </c>
      <c r="H26" s="515">
        <f t="shared" si="9"/>
        <v>0</v>
      </c>
      <c r="I26" s="515">
        <f t="shared" si="9"/>
        <v>0</v>
      </c>
      <c r="J26" s="564">
        <v>0</v>
      </c>
      <c r="K26" s="554">
        <v>0</v>
      </c>
      <c r="L26" s="350">
        <v>0</v>
      </c>
      <c r="M26" s="548">
        <f t="shared" si="8"/>
        <v>0</v>
      </c>
      <c r="N26" s="334" t="str">
        <f t="shared" si="2"/>
        <v/>
      </c>
    </row>
    <row r="27" spans="1:14" s="1" customFormat="1" ht="12.95" customHeight="1">
      <c r="A27" s="269"/>
      <c r="B27" s="12"/>
      <c r="C27" s="8"/>
      <c r="D27" s="8"/>
      <c r="E27" s="303"/>
      <c r="F27" s="330"/>
      <c r="G27" s="8"/>
      <c r="H27" s="348"/>
      <c r="I27" s="348"/>
      <c r="J27" s="584"/>
      <c r="K27" s="554"/>
      <c r="L27" s="350"/>
      <c r="M27" s="585"/>
      <c r="N27" s="334" t="str">
        <f t="shared" si="2"/>
        <v/>
      </c>
    </row>
    <row r="28" spans="1:14" s="1" customFormat="1" ht="12.95" customHeight="1">
      <c r="A28" s="269"/>
      <c r="B28" s="12"/>
      <c r="C28" s="8"/>
      <c r="D28" s="8"/>
      <c r="E28" s="292">
        <v>821000</v>
      </c>
      <c r="F28" s="318"/>
      <c r="G28" s="8" t="s">
        <v>90</v>
      </c>
      <c r="H28" s="527">
        <f>SUM(H29:H30)</f>
        <v>3000</v>
      </c>
      <c r="I28" s="527">
        <f>SUM(I29:I30)</f>
        <v>3000</v>
      </c>
      <c r="J28" s="600">
        <v>0</v>
      </c>
      <c r="K28" s="558">
        <f t="shared" ref="K28:L28" si="10">SUM(K29:K30)</f>
        <v>1000</v>
      </c>
      <c r="L28" s="276">
        <f t="shared" si="10"/>
        <v>0</v>
      </c>
      <c r="M28" s="601">
        <f>SUM(M29:M30)</f>
        <v>1000</v>
      </c>
      <c r="N28" s="333">
        <f t="shared" si="2"/>
        <v>33.333333333333329</v>
      </c>
    </row>
    <row r="29" spans="1:14" ht="12.95" customHeight="1">
      <c r="B29" s="10"/>
      <c r="C29" s="11"/>
      <c r="D29" s="11"/>
      <c r="E29" s="293">
        <v>821200</v>
      </c>
      <c r="F29" s="319"/>
      <c r="G29" s="11" t="s">
        <v>91</v>
      </c>
      <c r="H29" s="515">
        <f t="shared" ref="H29:I29" si="11">SUM(F29:G29)</f>
        <v>0</v>
      </c>
      <c r="I29" s="515">
        <f t="shared" si="11"/>
        <v>0</v>
      </c>
      <c r="J29" s="564">
        <v>0</v>
      </c>
      <c r="K29" s="554">
        <v>0</v>
      </c>
      <c r="L29" s="350">
        <v>0</v>
      </c>
      <c r="M29" s="548">
        <f t="shared" ref="M29:M30" si="12">SUM(K29:L29)</f>
        <v>0</v>
      </c>
      <c r="N29" s="334" t="str">
        <f t="shared" si="2"/>
        <v/>
      </c>
    </row>
    <row r="30" spans="1:14" ht="12.95" customHeight="1">
      <c r="B30" s="10"/>
      <c r="C30" s="11"/>
      <c r="D30" s="11"/>
      <c r="E30" s="293">
        <v>821300</v>
      </c>
      <c r="F30" s="319"/>
      <c r="G30" s="11" t="s">
        <v>92</v>
      </c>
      <c r="H30" s="515">
        <v>3000</v>
      </c>
      <c r="I30" s="515">
        <v>3000</v>
      </c>
      <c r="J30" s="564">
        <v>0</v>
      </c>
      <c r="K30" s="555">
        <v>1000</v>
      </c>
      <c r="L30" s="352">
        <v>0</v>
      </c>
      <c r="M30" s="548">
        <f t="shared" si="12"/>
        <v>1000</v>
      </c>
      <c r="N30" s="334">
        <f t="shared" si="2"/>
        <v>33.333333333333329</v>
      </c>
    </row>
    <row r="31" spans="1:14" ht="12.95" customHeight="1">
      <c r="B31" s="10"/>
      <c r="C31" s="11"/>
      <c r="D31" s="11"/>
      <c r="E31" s="293"/>
      <c r="F31" s="319"/>
      <c r="G31" s="11"/>
      <c r="H31" s="516"/>
      <c r="I31" s="516"/>
      <c r="J31" s="566"/>
      <c r="K31" s="550"/>
      <c r="L31" s="279"/>
      <c r="M31" s="551"/>
      <c r="N31" s="334" t="str">
        <f t="shared" si="2"/>
        <v/>
      </c>
    </row>
    <row r="32" spans="1:14" s="1" customFormat="1" ht="12.95" customHeight="1">
      <c r="A32" s="269"/>
      <c r="B32" s="12"/>
      <c r="C32" s="8"/>
      <c r="D32" s="8"/>
      <c r="E32" s="292"/>
      <c r="F32" s="318"/>
      <c r="G32" s="8" t="s">
        <v>93</v>
      </c>
      <c r="H32" s="262">
        <v>2</v>
      </c>
      <c r="I32" s="262">
        <v>2</v>
      </c>
      <c r="J32" s="565">
        <v>1</v>
      </c>
      <c r="K32" s="583">
        <v>1</v>
      </c>
      <c r="L32" s="282"/>
      <c r="M32" s="581">
        <v>1</v>
      </c>
      <c r="N32" s="334"/>
    </row>
    <row r="33" spans="1:14" s="1" customFormat="1" ht="12.95" customHeight="1">
      <c r="A33" s="269"/>
      <c r="B33" s="12"/>
      <c r="C33" s="8"/>
      <c r="D33" s="8"/>
      <c r="E33" s="292"/>
      <c r="F33" s="318"/>
      <c r="G33" s="8" t="s">
        <v>113</v>
      </c>
      <c r="H33" s="262">
        <f t="shared" ref="H33:M33" si="13">H8+H13+H16+H28</f>
        <v>54990</v>
      </c>
      <c r="I33" s="276">
        <f t="shared" si="13"/>
        <v>54990</v>
      </c>
      <c r="J33" s="565">
        <f t="shared" si="13"/>
        <v>28485</v>
      </c>
      <c r="K33" s="558">
        <f t="shared" si="13"/>
        <v>39670</v>
      </c>
      <c r="L33" s="276">
        <f t="shared" si="13"/>
        <v>0</v>
      </c>
      <c r="M33" s="553">
        <f t="shared" si="13"/>
        <v>39670</v>
      </c>
      <c r="N33" s="333">
        <f t="shared" si="2"/>
        <v>72.140389161665752</v>
      </c>
    </row>
    <row r="34" spans="1:14" s="1" customFormat="1" ht="12.95" customHeight="1">
      <c r="A34" s="269"/>
      <c r="B34" s="12"/>
      <c r="C34" s="8"/>
      <c r="D34" s="8"/>
      <c r="E34" s="292"/>
      <c r="F34" s="318"/>
      <c r="G34" s="8" t="s">
        <v>94</v>
      </c>
      <c r="H34" s="262"/>
      <c r="I34" s="276"/>
      <c r="J34" s="565"/>
      <c r="K34" s="558"/>
      <c r="L34" s="276"/>
      <c r="M34" s="553"/>
      <c r="N34" s="333" t="str">
        <f t="shared" si="2"/>
        <v/>
      </c>
    </row>
    <row r="35" spans="1:14" s="1" customFormat="1" ht="12.95" customHeight="1">
      <c r="A35" s="269"/>
      <c r="B35" s="12"/>
      <c r="C35" s="8"/>
      <c r="D35" s="8"/>
      <c r="E35" s="292"/>
      <c r="F35" s="318"/>
      <c r="G35" s="8" t="s">
        <v>95</v>
      </c>
      <c r="H35" s="516"/>
      <c r="I35" s="267"/>
      <c r="J35" s="566"/>
      <c r="K35" s="578"/>
      <c r="L35" s="267"/>
      <c r="M35" s="551"/>
      <c r="N35" s="334" t="str">
        <f t="shared" si="2"/>
        <v/>
      </c>
    </row>
    <row r="36" spans="1:14" ht="12.95" customHeight="1" thickBot="1">
      <c r="B36" s="15"/>
      <c r="C36" s="16"/>
      <c r="D36" s="16"/>
      <c r="E36" s="294"/>
      <c r="F36" s="320"/>
      <c r="G36" s="16"/>
      <c r="H36" s="518"/>
      <c r="I36" s="27"/>
      <c r="J36" s="567"/>
      <c r="K36" s="559"/>
      <c r="L36" s="27"/>
      <c r="M36" s="560"/>
      <c r="N36" s="336" t="str">
        <f t="shared" si="2"/>
        <v/>
      </c>
    </row>
    <row r="37" spans="1:14" ht="12.95" customHeight="1">
      <c r="E37" s="295"/>
      <c r="F37" s="321"/>
      <c r="M37" s="370"/>
      <c r="N37" s="337" t="str">
        <f t="shared" si="2"/>
        <v/>
      </c>
    </row>
    <row r="38" spans="1:14" ht="12.95" customHeight="1">
      <c r="B38" s="48"/>
      <c r="E38" s="295"/>
      <c r="F38" s="321"/>
      <c r="M38" s="370"/>
      <c r="N38" s="337" t="str">
        <f t="shared" si="2"/>
        <v/>
      </c>
    </row>
    <row r="39" spans="1:14" ht="12.95" customHeight="1">
      <c r="B39" s="48"/>
      <c r="E39" s="295"/>
      <c r="F39" s="321"/>
      <c r="M39" s="370"/>
      <c r="N39" s="337" t="str">
        <f t="shared" si="2"/>
        <v/>
      </c>
    </row>
    <row r="40" spans="1:14" ht="12.95" customHeight="1">
      <c r="E40" s="295"/>
      <c r="F40" s="321"/>
      <c r="M40" s="370"/>
      <c r="N40" s="337" t="str">
        <f t="shared" si="2"/>
        <v/>
      </c>
    </row>
    <row r="41" spans="1:14" ht="12.95" customHeight="1">
      <c r="E41" s="295"/>
      <c r="F41" s="321"/>
      <c r="M41" s="370"/>
      <c r="N41" s="337" t="str">
        <f t="shared" si="2"/>
        <v/>
      </c>
    </row>
    <row r="42" spans="1:14" ht="12.95" customHeight="1">
      <c r="E42" s="295"/>
      <c r="F42" s="321"/>
      <c r="M42" s="370"/>
      <c r="N42" s="337" t="str">
        <f t="shared" si="2"/>
        <v/>
      </c>
    </row>
    <row r="43" spans="1:14" ht="12.95" customHeight="1">
      <c r="E43" s="295"/>
      <c r="F43" s="321"/>
      <c r="M43" s="370"/>
      <c r="N43" s="337" t="str">
        <f t="shared" si="2"/>
        <v/>
      </c>
    </row>
    <row r="44" spans="1:14" ht="12.95" customHeight="1">
      <c r="E44" s="295"/>
      <c r="F44" s="321"/>
      <c r="M44" s="370"/>
      <c r="N44" s="337" t="str">
        <f t="shared" si="2"/>
        <v/>
      </c>
    </row>
    <row r="45" spans="1:14" ht="12.95" customHeight="1">
      <c r="E45" s="295"/>
      <c r="F45" s="321"/>
      <c r="M45" s="370"/>
      <c r="N45" s="337" t="str">
        <f t="shared" si="2"/>
        <v/>
      </c>
    </row>
    <row r="46" spans="1:14" ht="12.95" customHeight="1">
      <c r="E46" s="295"/>
      <c r="F46" s="321"/>
      <c r="M46" s="370"/>
      <c r="N46" s="337" t="str">
        <f t="shared" si="2"/>
        <v/>
      </c>
    </row>
    <row r="47" spans="1:14" ht="12.95" customHeight="1">
      <c r="E47" s="295"/>
      <c r="F47" s="321"/>
      <c r="M47" s="370"/>
      <c r="N47" s="337" t="str">
        <f t="shared" si="2"/>
        <v/>
      </c>
    </row>
    <row r="48" spans="1:14" ht="12.95" customHeight="1">
      <c r="E48" s="295"/>
      <c r="F48" s="321"/>
      <c r="M48" s="370"/>
      <c r="N48" s="337" t="str">
        <f t="shared" si="2"/>
        <v/>
      </c>
    </row>
    <row r="49" spans="5:14" ht="12.95" customHeight="1">
      <c r="E49" s="295"/>
      <c r="F49" s="321"/>
      <c r="M49" s="370"/>
      <c r="N49" s="337" t="str">
        <f t="shared" si="2"/>
        <v/>
      </c>
    </row>
    <row r="50" spans="5:14" ht="12.95" customHeight="1">
      <c r="E50" s="295"/>
      <c r="F50" s="321"/>
      <c r="M50" s="370"/>
      <c r="N50" s="337" t="str">
        <f t="shared" si="2"/>
        <v/>
      </c>
    </row>
    <row r="51" spans="5:14" ht="12.95" customHeight="1">
      <c r="E51" s="295"/>
      <c r="F51" s="321"/>
      <c r="M51" s="370"/>
      <c r="N51" s="337" t="str">
        <f t="shared" si="2"/>
        <v/>
      </c>
    </row>
    <row r="52" spans="5:14" ht="12.95" customHeight="1">
      <c r="E52" s="295"/>
      <c r="F52" s="321"/>
      <c r="M52" s="370"/>
      <c r="N52" s="337" t="str">
        <f t="shared" si="2"/>
        <v/>
      </c>
    </row>
    <row r="53" spans="5:14" ht="12.95" customHeight="1">
      <c r="E53" s="295"/>
      <c r="F53" s="321"/>
      <c r="M53" s="370"/>
      <c r="N53" s="337" t="str">
        <f t="shared" si="2"/>
        <v/>
      </c>
    </row>
    <row r="54" spans="5:14" ht="12.95" customHeight="1">
      <c r="E54" s="295"/>
      <c r="F54" s="321"/>
      <c r="M54" s="370"/>
      <c r="N54" s="337" t="str">
        <f t="shared" si="2"/>
        <v/>
      </c>
    </row>
    <row r="55" spans="5:14" ht="12.95" customHeight="1">
      <c r="E55" s="295"/>
      <c r="F55" s="321"/>
      <c r="M55" s="370"/>
      <c r="N55" s="337" t="str">
        <f t="shared" si="2"/>
        <v/>
      </c>
    </row>
    <row r="56" spans="5:14" ht="12.95" customHeight="1">
      <c r="E56" s="295"/>
      <c r="F56" s="321"/>
      <c r="M56" s="370"/>
      <c r="N56" s="337" t="str">
        <f t="shared" si="2"/>
        <v/>
      </c>
    </row>
    <row r="57" spans="5:14" ht="12.95" customHeight="1">
      <c r="E57" s="295"/>
      <c r="F57" s="321"/>
      <c r="M57" s="370"/>
      <c r="N57" s="337" t="str">
        <f t="shared" si="2"/>
        <v/>
      </c>
    </row>
    <row r="58" spans="5:14" ht="12.95" customHeight="1">
      <c r="E58" s="295"/>
      <c r="F58" s="321"/>
      <c r="M58" s="370"/>
      <c r="N58" s="337" t="str">
        <f t="shared" si="2"/>
        <v/>
      </c>
    </row>
    <row r="59" spans="5:14" ht="12.95" customHeight="1">
      <c r="E59" s="295"/>
      <c r="F59" s="321"/>
      <c r="M59" s="370"/>
      <c r="N59" s="337" t="str">
        <f t="shared" si="2"/>
        <v/>
      </c>
    </row>
    <row r="60" spans="5:14" ht="17.100000000000001" customHeight="1">
      <c r="E60" s="295"/>
      <c r="F60" s="321"/>
      <c r="M60" s="370"/>
      <c r="N60" s="337" t="str">
        <f t="shared" si="2"/>
        <v/>
      </c>
    </row>
    <row r="61" spans="5:14" ht="14.25">
      <c r="E61" s="295"/>
      <c r="F61" s="321"/>
      <c r="M61" s="370"/>
      <c r="N61" s="337" t="str">
        <f t="shared" si="2"/>
        <v/>
      </c>
    </row>
    <row r="62" spans="5:14" ht="14.25">
      <c r="E62" s="295"/>
      <c r="F62" s="321"/>
      <c r="M62" s="370"/>
      <c r="N62" s="337" t="str">
        <f t="shared" si="2"/>
        <v/>
      </c>
    </row>
    <row r="63" spans="5:14" ht="14.25">
      <c r="E63" s="295"/>
      <c r="F63" s="321"/>
      <c r="M63" s="370"/>
      <c r="N63" s="337" t="str">
        <f t="shared" si="2"/>
        <v/>
      </c>
    </row>
    <row r="64" spans="5:14" ht="14.25">
      <c r="E64" s="295"/>
      <c r="F64" s="321"/>
      <c r="M64" s="370"/>
      <c r="N64" s="337" t="str">
        <f t="shared" si="2"/>
        <v/>
      </c>
    </row>
    <row r="65" spans="5:14" ht="14.25">
      <c r="E65" s="295"/>
      <c r="F65" s="321"/>
      <c r="M65" s="370"/>
      <c r="N65" s="337" t="str">
        <f t="shared" si="2"/>
        <v/>
      </c>
    </row>
    <row r="66" spans="5:14" ht="14.25">
      <c r="E66" s="295"/>
      <c r="F66" s="321"/>
      <c r="M66" s="370"/>
      <c r="N66" s="337" t="str">
        <f t="shared" si="2"/>
        <v/>
      </c>
    </row>
    <row r="67" spans="5:14" ht="14.25">
      <c r="E67" s="295"/>
      <c r="F67" s="321"/>
      <c r="M67" s="370"/>
      <c r="N67" s="337" t="str">
        <f t="shared" si="2"/>
        <v/>
      </c>
    </row>
    <row r="68" spans="5:14" ht="14.25">
      <c r="E68" s="295"/>
      <c r="F68" s="321"/>
      <c r="M68" s="370"/>
      <c r="N68" s="337" t="str">
        <f t="shared" si="2"/>
        <v/>
      </c>
    </row>
    <row r="69" spans="5:14" ht="14.25">
      <c r="E69" s="295"/>
      <c r="F69" s="321"/>
      <c r="M69" s="370"/>
      <c r="N69" s="337" t="str">
        <f t="shared" si="2"/>
        <v/>
      </c>
    </row>
    <row r="70" spans="5:14" ht="14.25">
      <c r="E70" s="295"/>
      <c r="F70" s="321"/>
      <c r="M70" s="370"/>
      <c r="N70" s="337" t="str">
        <f t="shared" si="2"/>
        <v/>
      </c>
    </row>
    <row r="71" spans="5:14" ht="14.25">
      <c r="E71" s="295"/>
      <c r="F71" s="321"/>
      <c r="M71" s="370"/>
      <c r="N71" s="337" t="str">
        <f t="shared" si="2"/>
        <v/>
      </c>
    </row>
    <row r="72" spans="5:14" ht="14.25">
      <c r="E72" s="295"/>
      <c r="F72" s="321"/>
      <c r="M72" s="370"/>
      <c r="N72" s="337" t="str">
        <f t="shared" si="2"/>
        <v/>
      </c>
    </row>
    <row r="73" spans="5:14" ht="14.25">
      <c r="E73" s="295"/>
      <c r="F73" s="321"/>
      <c r="M73" s="370"/>
      <c r="N73" s="337" t="str">
        <f t="shared" ref="N73:N77" si="14">IF(I73=0,"",M73/I73*100)</f>
        <v/>
      </c>
    </row>
    <row r="74" spans="5:14" ht="14.25">
      <c r="E74" s="295"/>
      <c r="F74" s="295"/>
      <c r="M74" s="370"/>
      <c r="N74" s="337" t="str">
        <f t="shared" si="14"/>
        <v/>
      </c>
    </row>
    <row r="75" spans="5:14" ht="14.25">
      <c r="E75" s="295"/>
      <c r="F75" s="295"/>
      <c r="M75" s="370"/>
      <c r="N75" s="337" t="str">
        <f t="shared" si="14"/>
        <v/>
      </c>
    </row>
    <row r="76" spans="5:14" ht="14.25">
      <c r="E76" s="295"/>
      <c r="F76" s="295"/>
      <c r="M76" s="370"/>
      <c r="N76" s="337" t="str">
        <f t="shared" si="14"/>
        <v/>
      </c>
    </row>
    <row r="77" spans="5:14" ht="14.25">
      <c r="E77" s="295"/>
      <c r="F77" s="295"/>
      <c r="M77" s="370"/>
      <c r="N77" s="337" t="str">
        <f t="shared" si="14"/>
        <v/>
      </c>
    </row>
    <row r="78" spans="5:14" ht="14.25">
      <c r="E78" s="295"/>
      <c r="F78" s="295"/>
      <c r="M78" s="370"/>
    </row>
    <row r="79" spans="5:14" ht="14.25">
      <c r="E79" s="295"/>
      <c r="F79" s="295"/>
      <c r="M79" s="370"/>
    </row>
    <row r="80" spans="5:14" ht="14.25">
      <c r="E80" s="295"/>
      <c r="F80" s="295"/>
      <c r="M80" s="370"/>
    </row>
    <row r="81" spans="5:13" ht="14.25">
      <c r="E81" s="295"/>
      <c r="F81" s="295"/>
      <c r="M81" s="370"/>
    </row>
    <row r="82" spans="5:13" ht="14.25">
      <c r="E82" s="295"/>
      <c r="F82" s="295"/>
      <c r="M82" s="370"/>
    </row>
    <row r="83" spans="5:13" ht="14.25">
      <c r="E83" s="295"/>
      <c r="F83" s="295"/>
      <c r="M83" s="370"/>
    </row>
    <row r="84" spans="5:13" ht="14.25">
      <c r="E84" s="295"/>
      <c r="F84" s="295"/>
      <c r="M84" s="370"/>
    </row>
    <row r="85" spans="5:13" ht="14.25">
      <c r="E85" s="295"/>
      <c r="F85" s="295"/>
      <c r="M85" s="370"/>
    </row>
    <row r="86" spans="5:13" ht="14.25">
      <c r="E86" s="295"/>
      <c r="F86" s="295"/>
      <c r="M86" s="370"/>
    </row>
    <row r="87" spans="5:13" ht="14.25">
      <c r="E87" s="295"/>
      <c r="F87" s="295"/>
      <c r="M87" s="370"/>
    </row>
    <row r="88" spans="5:13" ht="14.25">
      <c r="E88" s="295"/>
      <c r="F88" s="295"/>
      <c r="M88" s="370"/>
    </row>
    <row r="89" spans="5:13" ht="14.25">
      <c r="E89" s="295"/>
      <c r="F89" s="295"/>
      <c r="M89" s="370"/>
    </row>
    <row r="90" spans="5:13" ht="14.25">
      <c r="E90" s="295"/>
      <c r="F90" s="295"/>
      <c r="M90" s="370"/>
    </row>
    <row r="91" spans="5:13">
      <c r="F91" s="295"/>
    </row>
    <row r="92" spans="5:13">
      <c r="F92" s="295"/>
    </row>
    <row r="93" spans="5:13">
      <c r="F93" s="295"/>
    </row>
    <row r="94" spans="5:13">
      <c r="F94" s="295"/>
    </row>
    <row r="95" spans="5:13">
      <c r="F95" s="295"/>
    </row>
    <row r="96" spans="5:13">
      <c r="F96" s="295"/>
    </row>
  </sheetData>
  <mergeCells count="12">
    <mergeCell ref="B2:I2"/>
    <mergeCell ref="N4:N5"/>
    <mergeCell ref="G4:G5"/>
    <mergeCell ref="B4:B5"/>
    <mergeCell ref="C4:C5"/>
    <mergeCell ref="D4:D5"/>
    <mergeCell ref="F4:F5"/>
    <mergeCell ref="E4:E5"/>
    <mergeCell ref="K4:M4"/>
    <mergeCell ref="H4:H5"/>
    <mergeCell ref="I4:I5"/>
    <mergeCell ref="J4:J5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43"/>
  <dimension ref="A1:P96"/>
  <sheetViews>
    <sheetView zoomScaleNormal="100" workbookViewId="0">
      <selection activeCell="K10" sqref="K10"/>
    </sheetView>
  </sheetViews>
  <sheetFormatPr defaultRowHeight="12.75"/>
  <cols>
    <col min="1" max="1" width="9.140625" style="272"/>
    <col min="2" max="2" width="4.7109375" style="9" customWidth="1"/>
    <col min="3" max="3" width="5.140625" style="9" customWidth="1"/>
    <col min="4" max="4" width="5" style="9" customWidth="1"/>
    <col min="5" max="5" width="8.7109375" style="17" customWidth="1"/>
    <col min="6" max="6" width="8.7109375" style="277" customWidth="1"/>
    <col min="7" max="7" width="50.7109375" style="9" customWidth="1"/>
    <col min="8" max="8" width="14.7109375" style="519" customWidth="1"/>
    <col min="9" max="9" width="14.7109375" style="54" customWidth="1"/>
    <col min="10" max="10" width="15.7109375" style="519" customWidth="1"/>
    <col min="11" max="12" width="14.7109375" style="54" customWidth="1"/>
    <col min="13" max="13" width="15.7109375" style="54" customWidth="1"/>
    <col min="14" max="14" width="7.7109375" style="337" customWidth="1"/>
    <col min="15" max="16384" width="9.140625" style="9"/>
  </cols>
  <sheetData>
    <row r="1" spans="1:16" ht="13.5" thickBot="1"/>
    <row r="2" spans="1:16" s="93" customFormat="1" ht="20.100000000000001" customHeight="1" thickTop="1" thickBot="1">
      <c r="A2" s="363"/>
      <c r="B2" s="725" t="s">
        <v>216</v>
      </c>
      <c r="C2" s="726"/>
      <c r="D2" s="726"/>
      <c r="E2" s="726"/>
      <c r="F2" s="726"/>
      <c r="G2" s="726"/>
      <c r="H2" s="750"/>
      <c r="I2" s="750"/>
      <c r="J2" s="508"/>
      <c r="K2" s="364"/>
      <c r="L2" s="364"/>
      <c r="M2" s="364"/>
      <c r="N2" s="367"/>
    </row>
    <row r="3" spans="1:16" s="1" customFormat="1" ht="8.1" customHeight="1" thickTop="1" thickBot="1">
      <c r="A3" s="269"/>
      <c r="E3" s="2"/>
      <c r="F3" s="270"/>
      <c r="G3" s="488"/>
      <c r="H3" s="511"/>
      <c r="I3" s="87"/>
      <c r="J3" s="511"/>
      <c r="K3" s="87"/>
      <c r="L3" s="87"/>
      <c r="M3" s="87"/>
      <c r="N3" s="331"/>
    </row>
    <row r="4" spans="1:16" s="1" customFormat="1" ht="39" customHeight="1">
      <c r="A4" s="269"/>
      <c r="B4" s="728" t="s">
        <v>78</v>
      </c>
      <c r="C4" s="746" t="s">
        <v>79</v>
      </c>
      <c r="D4" s="747" t="s">
        <v>110</v>
      </c>
      <c r="E4" s="748" t="s">
        <v>594</v>
      </c>
      <c r="F4" s="733" t="s">
        <v>650</v>
      </c>
      <c r="G4" s="734" t="s">
        <v>80</v>
      </c>
      <c r="H4" s="740" t="s">
        <v>644</v>
      </c>
      <c r="I4" s="742" t="s">
        <v>821</v>
      </c>
      <c r="J4" s="744" t="s">
        <v>822</v>
      </c>
      <c r="K4" s="749" t="s">
        <v>863</v>
      </c>
      <c r="L4" s="738"/>
      <c r="M4" s="739"/>
      <c r="N4" s="735" t="s">
        <v>823</v>
      </c>
    </row>
    <row r="5" spans="1:16" s="269" customFormat="1" ht="27" customHeight="1">
      <c r="B5" s="729"/>
      <c r="C5" s="731"/>
      <c r="D5" s="731"/>
      <c r="E5" s="722"/>
      <c r="F5" s="731"/>
      <c r="G5" s="722"/>
      <c r="H5" s="741"/>
      <c r="I5" s="743"/>
      <c r="J5" s="745"/>
      <c r="K5" s="540" t="s">
        <v>701</v>
      </c>
      <c r="L5" s="359" t="s">
        <v>702</v>
      </c>
      <c r="M5" s="541" t="s">
        <v>413</v>
      </c>
      <c r="N5" s="736"/>
    </row>
    <row r="6" spans="1:16" s="2" customFormat="1" ht="12.95" customHeight="1">
      <c r="A6" s="270"/>
      <c r="B6" s="464">
        <v>1</v>
      </c>
      <c r="C6" s="318">
        <v>2</v>
      </c>
      <c r="D6" s="318">
        <v>3</v>
      </c>
      <c r="E6" s="318">
        <v>4</v>
      </c>
      <c r="F6" s="318">
        <v>5</v>
      </c>
      <c r="G6" s="318">
        <v>6</v>
      </c>
      <c r="H6" s="512">
        <v>7</v>
      </c>
      <c r="I6" s="318">
        <v>8</v>
      </c>
      <c r="J6" s="561">
        <v>9</v>
      </c>
      <c r="K6" s="464">
        <v>10</v>
      </c>
      <c r="L6" s="318">
        <v>11</v>
      </c>
      <c r="M6" s="542" t="s">
        <v>703</v>
      </c>
      <c r="N6" s="465">
        <v>13</v>
      </c>
    </row>
    <row r="7" spans="1:16" s="2" customFormat="1" ht="12.95" customHeight="1">
      <c r="A7" s="270"/>
      <c r="B7" s="6" t="s">
        <v>131</v>
      </c>
      <c r="C7" s="7" t="s">
        <v>133</v>
      </c>
      <c r="D7" s="7" t="s">
        <v>117</v>
      </c>
      <c r="E7" s="5"/>
      <c r="F7" s="271"/>
      <c r="G7" s="5"/>
      <c r="H7" s="520"/>
      <c r="I7" s="81"/>
      <c r="J7" s="562"/>
      <c r="K7" s="543"/>
      <c r="L7" s="81"/>
      <c r="M7" s="544"/>
      <c r="N7" s="332"/>
    </row>
    <row r="8" spans="1:16" s="1" customFormat="1" ht="12.95" customHeight="1">
      <c r="A8" s="269"/>
      <c r="B8" s="12"/>
      <c r="C8" s="8"/>
      <c r="D8" s="8"/>
      <c r="E8" s="292">
        <v>611000</v>
      </c>
      <c r="F8" s="318"/>
      <c r="G8" s="8" t="s">
        <v>163</v>
      </c>
      <c r="H8" s="514">
        <f t="shared" ref="H8:I8" si="0">SUM(H9:H12)</f>
        <v>38560</v>
      </c>
      <c r="I8" s="514">
        <f t="shared" si="0"/>
        <v>38560</v>
      </c>
      <c r="J8" s="563">
        <v>28548</v>
      </c>
      <c r="K8" s="545">
        <f t="shared" ref="K8:M8" si="1">SUM(K9:K12)</f>
        <v>39060</v>
      </c>
      <c r="L8" s="201">
        <f t="shared" si="1"/>
        <v>0</v>
      </c>
      <c r="M8" s="546">
        <f t="shared" si="1"/>
        <v>39060</v>
      </c>
      <c r="N8" s="333">
        <f>IF(I8=0,"",M8/I8*100)</f>
        <v>101.29668049792531</v>
      </c>
    </row>
    <row r="9" spans="1:16" ht="12.95" customHeight="1">
      <c r="B9" s="10"/>
      <c r="C9" s="11"/>
      <c r="D9" s="11"/>
      <c r="E9" s="293">
        <v>611100</v>
      </c>
      <c r="F9" s="319"/>
      <c r="G9" s="18" t="s">
        <v>198</v>
      </c>
      <c r="H9" s="515">
        <v>31540</v>
      </c>
      <c r="I9" s="515">
        <v>31540</v>
      </c>
      <c r="J9" s="564">
        <v>23418</v>
      </c>
      <c r="K9" s="547">
        <f>31240+300</f>
        <v>31540</v>
      </c>
      <c r="L9" s="203">
        <v>0</v>
      </c>
      <c r="M9" s="548">
        <f>SUM(K9:L9)</f>
        <v>31540</v>
      </c>
      <c r="N9" s="334">
        <f t="shared" ref="N9:N72" si="2">IF(I9=0,"",M9/I9*100)</f>
        <v>100</v>
      </c>
    </row>
    <row r="10" spans="1:16" ht="12.95" customHeight="1">
      <c r="B10" s="10"/>
      <c r="C10" s="11"/>
      <c r="D10" s="11"/>
      <c r="E10" s="293">
        <v>611200</v>
      </c>
      <c r="F10" s="319"/>
      <c r="G10" s="11" t="s">
        <v>199</v>
      </c>
      <c r="H10" s="515">
        <v>7020</v>
      </c>
      <c r="I10" s="515">
        <v>7020</v>
      </c>
      <c r="J10" s="564">
        <v>5130</v>
      </c>
      <c r="K10" s="547">
        <f>7020+2*250</f>
        <v>7520</v>
      </c>
      <c r="L10" s="203">
        <v>0</v>
      </c>
      <c r="M10" s="548">
        <f t="shared" ref="M10:M11" si="3">SUM(K10:L10)</f>
        <v>7520</v>
      </c>
      <c r="N10" s="334">
        <f t="shared" si="2"/>
        <v>107.12250712250713</v>
      </c>
    </row>
    <row r="11" spans="1:16" ht="12.95" customHeight="1">
      <c r="B11" s="10"/>
      <c r="C11" s="11"/>
      <c r="D11" s="11"/>
      <c r="E11" s="293">
        <v>611200</v>
      </c>
      <c r="F11" s="319"/>
      <c r="G11" s="343" t="s">
        <v>534</v>
      </c>
      <c r="H11" s="515">
        <f t="shared" ref="H11:I11" si="4">SUM(F11:G11)</f>
        <v>0</v>
      </c>
      <c r="I11" s="515">
        <f t="shared" si="4"/>
        <v>0</v>
      </c>
      <c r="J11" s="564">
        <v>0</v>
      </c>
      <c r="K11" s="549">
        <v>0</v>
      </c>
      <c r="L11" s="200">
        <v>0</v>
      </c>
      <c r="M11" s="548">
        <f t="shared" si="3"/>
        <v>0</v>
      </c>
      <c r="N11" s="334" t="str">
        <f t="shared" si="2"/>
        <v/>
      </c>
      <c r="P11" s="53"/>
    </row>
    <row r="12" spans="1:16" ht="12.95" customHeight="1">
      <c r="B12" s="10"/>
      <c r="C12" s="11"/>
      <c r="D12" s="11"/>
      <c r="E12" s="293"/>
      <c r="F12" s="319"/>
      <c r="G12" s="18"/>
      <c r="H12" s="515"/>
      <c r="I12" s="515"/>
      <c r="J12" s="564"/>
      <c r="K12" s="547"/>
      <c r="L12" s="203"/>
      <c r="M12" s="548"/>
      <c r="N12" s="334" t="str">
        <f t="shared" si="2"/>
        <v/>
      </c>
    </row>
    <row r="13" spans="1:16" s="1" customFormat="1" ht="12.95" customHeight="1">
      <c r="A13" s="269"/>
      <c r="B13" s="12"/>
      <c r="C13" s="8"/>
      <c r="D13" s="8"/>
      <c r="E13" s="292">
        <v>612000</v>
      </c>
      <c r="F13" s="318"/>
      <c r="G13" s="8" t="s">
        <v>162</v>
      </c>
      <c r="H13" s="514">
        <f t="shared" ref="H13:M13" si="5">H14</f>
        <v>3430</v>
      </c>
      <c r="I13" s="514">
        <f t="shared" si="5"/>
        <v>3430</v>
      </c>
      <c r="J13" s="563">
        <v>2486</v>
      </c>
      <c r="K13" s="545">
        <f t="shared" si="5"/>
        <v>3430</v>
      </c>
      <c r="L13" s="201">
        <f t="shared" si="5"/>
        <v>0</v>
      </c>
      <c r="M13" s="546">
        <f t="shared" si="5"/>
        <v>3430</v>
      </c>
      <c r="N13" s="333">
        <f t="shared" si="2"/>
        <v>100</v>
      </c>
    </row>
    <row r="14" spans="1:16" ht="12.95" customHeight="1">
      <c r="B14" s="10"/>
      <c r="C14" s="11"/>
      <c r="D14" s="11"/>
      <c r="E14" s="293">
        <v>612100</v>
      </c>
      <c r="F14" s="319"/>
      <c r="G14" s="13" t="s">
        <v>83</v>
      </c>
      <c r="H14" s="515">
        <v>3430</v>
      </c>
      <c r="I14" s="515">
        <v>3430</v>
      </c>
      <c r="J14" s="564">
        <v>2486</v>
      </c>
      <c r="K14" s="547">
        <f>3430</f>
        <v>3430</v>
      </c>
      <c r="L14" s="203">
        <v>0</v>
      </c>
      <c r="M14" s="548">
        <f>SUM(K14:L14)</f>
        <v>3430</v>
      </c>
      <c r="N14" s="334">
        <f t="shared" si="2"/>
        <v>100</v>
      </c>
    </row>
    <row r="15" spans="1:16" ht="12.95" customHeight="1">
      <c r="B15" s="10"/>
      <c r="C15" s="11"/>
      <c r="D15" s="11"/>
      <c r="E15" s="293"/>
      <c r="F15" s="319"/>
      <c r="G15" s="11"/>
      <c r="H15" s="516"/>
      <c r="I15" s="516"/>
      <c r="J15" s="566"/>
      <c r="K15" s="550"/>
      <c r="L15" s="279"/>
      <c r="M15" s="551"/>
      <c r="N15" s="334" t="str">
        <f t="shared" si="2"/>
        <v/>
      </c>
    </row>
    <row r="16" spans="1:16" s="1" customFormat="1" ht="12.95" customHeight="1">
      <c r="A16" s="269"/>
      <c r="B16" s="12"/>
      <c r="C16" s="8"/>
      <c r="D16" s="8"/>
      <c r="E16" s="292">
        <v>613000</v>
      </c>
      <c r="F16" s="318"/>
      <c r="G16" s="8" t="s">
        <v>164</v>
      </c>
      <c r="H16" s="262">
        <f t="shared" ref="H16:I16" si="6">SUM(H17:H26)</f>
        <v>3050</v>
      </c>
      <c r="I16" s="262">
        <f t="shared" si="6"/>
        <v>3050</v>
      </c>
      <c r="J16" s="565">
        <v>766</v>
      </c>
      <c r="K16" s="552">
        <f t="shared" ref="K16:M16" si="7">SUM(K17:K26)</f>
        <v>2550</v>
      </c>
      <c r="L16" s="281">
        <f t="shared" si="7"/>
        <v>0</v>
      </c>
      <c r="M16" s="553">
        <f t="shared" si="7"/>
        <v>2550</v>
      </c>
      <c r="N16" s="333">
        <f t="shared" si="2"/>
        <v>83.606557377049185</v>
      </c>
    </row>
    <row r="17" spans="1:14" ht="12.95" customHeight="1">
      <c r="B17" s="10"/>
      <c r="C17" s="11"/>
      <c r="D17" s="11"/>
      <c r="E17" s="293">
        <v>613100</v>
      </c>
      <c r="F17" s="319"/>
      <c r="G17" s="11" t="s">
        <v>84</v>
      </c>
      <c r="H17" s="515">
        <v>1000</v>
      </c>
      <c r="I17" s="515">
        <v>1000</v>
      </c>
      <c r="J17" s="564">
        <v>0</v>
      </c>
      <c r="K17" s="554">
        <v>500</v>
      </c>
      <c r="L17" s="350">
        <v>0</v>
      </c>
      <c r="M17" s="548">
        <f t="shared" ref="M17:M26" si="8">SUM(K17:L17)</f>
        <v>500</v>
      </c>
      <c r="N17" s="334">
        <f t="shared" si="2"/>
        <v>50</v>
      </c>
    </row>
    <row r="18" spans="1:14" ht="12.95" customHeight="1">
      <c r="B18" s="10"/>
      <c r="C18" s="11"/>
      <c r="D18" s="11"/>
      <c r="E18" s="293">
        <v>613200</v>
      </c>
      <c r="F18" s="319"/>
      <c r="G18" s="11" t="s">
        <v>85</v>
      </c>
      <c r="H18" s="515">
        <f t="shared" ref="H18:I26" si="9">SUM(F18:G18)</f>
        <v>0</v>
      </c>
      <c r="I18" s="515">
        <f t="shared" si="9"/>
        <v>0</v>
      </c>
      <c r="J18" s="564">
        <v>0</v>
      </c>
      <c r="K18" s="554">
        <v>0</v>
      </c>
      <c r="L18" s="350">
        <v>0</v>
      </c>
      <c r="M18" s="548">
        <f t="shared" si="8"/>
        <v>0</v>
      </c>
      <c r="N18" s="334" t="str">
        <f t="shared" si="2"/>
        <v/>
      </c>
    </row>
    <row r="19" spans="1:14" ht="12.95" customHeight="1">
      <c r="B19" s="10"/>
      <c r="C19" s="11"/>
      <c r="D19" s="11"/>
      <c r="E19" s="293">
        <v>613300</v>
      </c>
      <c r="F19" s="319"/>
      <c r="G19" s="18" t="s">
        <v>200</v>
      </c>
      <c r="H19" s="515">
        <v>750</v>
      </c>
      <c r="I19" s="515">
        <v>750</v>
      </c>
      <c r="J19" s="564">
        <v>463</v>
      </c>
      <c r="K19" s="554">
        <v>750</v>
      </c>
      <c r="L19" s="350">
        <v>0</v>
      </c>
      <c r="M19" s="548">
        <f t="shared" si="8"/>
        <v>750</v>
      </c>
      <c r="N19" s="334">
        <f t="shared" si="2"/>
        <v>100</v>
      </c>
    </row>
    <row r="20" spans="1:14" ht="12.95" customHeight="1">
      <c r="B20" s="10"/>
      <c r="C20" s="11"/>
      <c r="D20" s="11"/>
      <c r="E20" s="293">
        <v>613400</v>
      </c>
      <c r="F20" s="319"/>
      <c r="G20" s="11" t="s">
        <v>165</v>
      </c>
      <c r="H20" s="515">
        <v>500</v>
      </c>
      <c r="I20" s="515">
        <v>500</v>
      </c>
      <c r="J20" s="564">
        <v>55</v>
      </c>
      <c r="K20" s="554">
        <v>500</v>
      </c>
      <c r="L20" s="350">
        <v>0</v>
      </c>
      <c r="M20" s="548">
        <f t="shared" si="8"/>
        <v>500</v>
      </c>
      <c r="N20" s="334">
        <f t="shared" si="2"/>
        <v>100</v>
      </c>
    </row>
    <row r="21" spans="1:14" ht="12.95" customHeight="1">
      <c r="B21" s="10"/>
      <c r="C21" s="11"/>
      <c r="D21" s="11"/>
      <c r="E21" s="293">
        <v>613500</v>
      </c>
      <c r="F21" s="319"/>
      <c r="G21" s="11" t="s">
        <v>86</v>
      </c>
      <c r="H21" s="515">
        <f t="shared" si="9"/>
        <v>0</v>
      </c>
      <c r="I21" s="515">
        <f t="shared" si="9"/>
        <v>0</v>
      </c>
      <c r="J21" s="564">
        <v>0</v>
      </c>
      <c r="K21" s="554">
        <v>0</v>
      </c>
      <c r="L21" s="350">
        <v>0</v>
      </c>
      <c r="M21" s="548">
        <f t="shared" si="8"/>
        <v>0</v>
      </c>
      <c r="N21" s="334" t="str">
        <f t="shared" si="2"/>
        <v/>
      </c>
    </row>
    <row r="22" spans="1:14" ht="12.95" customHeight="1">
      <c r="B22" s="10"/>
      <c r="C22" s="11"/>
      <c r="D22" s="11"/>
      <c r="E22" s="293">
        <v>613600</v>
      </c>
      <c r="F22" s="319"/>
      <c r="G22" s="18" t="s">
        <v>201</v>
      </c>
      <c r="H22" s="515">
        <f t="shared" si="9"/>
        <v>0</v>
      </c>
      <c r="I22" s="515">
        <f t="shared" si="9"/>
        <v>0</v>
      </c>
      <c r="J22" s="564">
        <v>0</v>
      </c>
      <c r="K22" s="554">
        <v>0</v>
      </c>
      <c r="L22" s="350">
        <v>0</v>
      </c>
      <c r="M22" s="548">
        <f t="shared" si="8"/>
        <v>0</v>
      </c>
      <c r="N22" s="334" t="str">
        <f t="shared" si="2"/>
        <v/>
      </c>
    </row>
    <row r="23" spans="1:14" ht="12.95" customHeight="1">
      <c r="B23" s="10"/>
      <c r="C23" s="11"/>
      <c r="D23" s="11"/>
      <c r="E23" s="293">
        <v>613700</v>
      </c>
      <c r="F23" s="319"/>
      <c r="G23" s="11" t="s">
        <v>87</v>
      </c>
      <c r="H23" s="515">
        <v>300</v>
      </c>
      <c r="I23" s="515">
        <v>300</v>
      </c>
      <c r="J23" s="564">
        <v>100</v>
      </c>
      <c r="K23" s="554">
        <v>300</v>
      </c>
      <c r="L23" s="350">
        <v>0</v>
      </c>
      <c r="M23" s="548">
        <f t="shared" si="8"/>
        <v>300</v>
      </c>
      <c r="N23" s="334">
        <f t="shared" si="2"/>
        <v>100</v>
      </c>
    </row>
    <row r="24" spans="1:14" ht="12.95" customHeight="1">
      <c r="B24" s="10"/>
      <c r="C24" s="11"/>
      <c r="D24" s="11"/>
      <c r="E24" s="293">
        <v>613800</v>
      </c>
      <c r="F24" s="319"/>
      <c r="G24" s="11" t="s">
        <v>166</v>
      </c>
      <c r="H24" s="515">
        <f t="shared" si="9"/>
        <v>0</v>
      </c>
      <c r="I24" s="515">
        <f t="shared" si="9"/>
        <v>0</v>
      </c>
      <c r="J24" s="564">
        <v>0</v>
      </c>
      <c r="K24" s="554">
        <v>0</v>
      </c>
      <c r="L24" s="350">
        <v>0</v>
      </c>
      <c r="M24" s="548">
        <f t="shared" si="8"/>
        <v>0</v>
      </c>
      <c r="N24" s="334" t="str">
        <f t="shared" si="2"/>
        <v/>
      </c>
    </row>
    <row r="25" spans="1:14" ht="12.95" customHeight="1">
      <c r="B25" s="10"/>
      <c r="C25" s="11"/>
      <c r="D25" s="11"/>
      <c r="E25" s="293">
        <v>613900</v>
      </c>
      <c r="F25" s="319"/>
      <c r="G25" s="11" t="s">
        <v>167</v>
      </c>
      <c r="H25" s="515">
        <v>500</v>
      </c>
      <c r="I25" s="515">
        <v>500</v>
      </c>
      <c r="J25" s="564">
        <v>148</v>
      </c>
      <c r="K25" s="555">
        <v>500</v>
      </c>
      <c r="L25" s="352">
        <v>0</v>
      </c>
      <c r="M25" s="548">
        <f t="shared" si="8"/>
        <v>500</v>
      </c>
      <c r="N25" s="334">
        <f t="shared" si="2"/>
        <v>100</v>
      </c>
    </row>
    <row r="26" spans="1:14" ht="12.95" customHeight="1">
      <c r="B26" s="10"/>
      <c r="C26" s="11"/>
      <c r="D26" s="11"/>
      <c r="E26" s="293">
        <v>613900</v>
      </c>
      <c r="F26" s="319"/>
      <c r="G26" s="18" t="s">
        <v>607</v>
      </c>
      <c r="H26" s="515">
        <f t="shared" si="9"/>
        <v>0</v>
      </c>
      <c r="I26" s="515">
        <f t="shared" si="9"/>
        <v>0</v>
      </c>
      <c r="J26" s="564">
        <v>0</v>
      </c>
      <c r="K26" s="554">
        <v>0</v>
      </c>
      <c r="L26" s="350">
        <v>0</v>
      </c>
      <c r="M26" s="548">
        <f t="shared" si="8"/>
        <v>0</v>
      </c>
      <c r="N26" s="334" t="str">
        <f t="shared" si="2"/>
        <v/>
      </c>
    </row>
    <row r="27" spans="1:14" s="1" customFormat="1" ht="12.95" customHeight="1">
      <c r="A27" s="269"/>
      <c r="B27" s="12"/>
      <c r="C27" s="8"/>
      <c r="D27" s="8"/>
      <c r="E27" s="303"/>
      <c r="F27" s="330"/>
      <c r="G27" s="8"/>
      <c r="H27" s="516"/>
      <c r="I27" s="516"/>
      <c r="J27" s="566"/>
      <c r="K27" s="550"/>
      <c r="L27" s="279"/>
      <c r="M27" s="551"/>
      <c r="N27" s="334" t="str">
        <f t="shared" si="2"/>
        <v/>
      </c>
    </row>
    <row r="28" spans="1:14" s="1" customFormat="1" ht="12.95" customHeight="1">
      <c r="A28" s="269"/>
      <c r="B28" s="12"/>
      <c r="C28" s="8"/>
      <c r="D28" s="8"/>
      <c r="E28" s="292">
        <v>821000</v>
      </c>
      <c r="F28" s="318"/>
      <c r="G28" s="8" t="s">
        <v>90</v>
      </c>
      <c r="H28" s="262">
        <f t="shared" ref="H28:I28" si="10">SUM(H29:H30)</f>
        <v>1000</v>
      </c>
      <c r="I28" s="262">
        <f t="shared" si="10"/>
        <v>1000</v>
      </c>
      <c r="J28" s="565">
        <v>0</v>
      </c>
      <c r="K28" s="558">
        <f t="shared" ref="K28:M28" si="11">SUM(K29:K30)</f>
        <v>1000</v>
      </c>
      <c r="L28" s="276">
        <f t="shared" si="11"/>
        <v>0</v>
      </c>
      <c r="M28" s="553">
        <f t="shared" si="11"/>
        <v>1000</v>
      </c>
      <c r="N28" s="333">
        <f t="shared" si="2"/>
        <v>100</v>
      </c>
    </row>
    <row r="29" spans="1:14" ht="12.95" customHeight="1">
      <c r="B29" s="10"/>
      <c r="C29" s="11"/>
      <c r="D29" s="11"/>
      <c r="E29" s="293">
        <v>821200</v>
      </c>
      <c r="F29" s="319"/>
      <c r="G29" s="11" t="s">
        <v>91</v>
      </c>
      <c r="H29" s="515">
        <f t="shared" ref="H29:I29" si="12">SUM(F29:G29)</f>
        <v>0</v>
      </c>
      <c r="I29" s="515">
        <f t="shared" si="12"/>
        <v>0</v>
      </c>
      <c r="J29" s="564">
        <v>0</v>
      </c>
      <c r="K29" s="550">
        <v>0</v>
      </c>
      <c r="L29" s="279">
        <v>0</v>
      </c>
      <c r="M29" s="548">
        <f t="shared" ref="M29:M30" si="13">SUM(K29:L29)</f>
        <v>0</v>
      </c>
      <c r="N29" s="334" t="str">
        <f t="shared" si="2"/>
        <v/>
      </c>
    </row>
    <row r="30" spans="1:14" ht="12.95" customHeight="1">
      <c r="B30" s="10"/>
      <c r="C30" s="11"/>
      <c r="D30" s="11"/>
      <c r="E30" s="293">
        <v>821300</v>
      </c>
      <c r="F30" s="319"/>
      <c r="G30" s="11" t="s">
        <v>92</v>
      </c>
      <c r="H30" s="515">
        <v>1000</v>
      </c>
      <c r="I30" s="515">
        <v>1000</v>
      </c>
      <c r="J30" s="564">
        <v>0</v>
      </c>
      <c r="K30" s="550">
        <v>1000</v>
      </c>
      <c r="L30" s="279">
        <v>0</v>
      </c>
      <c r="M30" s="548">
        <f t="shared" si="13"/>
        <v>1000</v>
      </c>
      <c r="N30" s="334">
        <f t="shared" si="2"/>
        <v>100</v>
      </c>
    </row>
    <row r="31" spans="1:14" ht="12.95" customHeight="1">
      <c r="B31" s="10"/>
      <c r="C31" s="11"/>
      <c r="D31" s="11"/>
      <c r="E31" s="293"/>
      <c r="F31" s="319"/>
      <c r="G31" s="11"/>
      <c r="H31" s="516"/>
      <c r="I31" s="516"/>
      <c r="J31" s="566"/>
      <c r="K31" s="550"/>
      <c r="L31" s="279"/>
      <c r="M31" s="551"/>
      <c r="N31" s="334" t="str">
        <f t="shared" si="2"/>
        <v/>
      </c>
    </row>
    <row r="32" spans="1:14" s="1" customFormat="1" ht="12.95" customHeight="1">
      <c r="A32" s="269"/>
      <c r="B32" s="12"/>
      <c r="C32" s="8"/>
      <c r="D32" s="8"/>
      <c r="E32" s="292"/>
      <c r="F32" s="318"/>
      <c r="G32" s="8" t="s">
        <v>93</v>
      </c>
      <c r="H32" s="262">
        <v>2</v>
      </c>
      <c r="I32" s="262">
        <v>2</v>
      </c>
      <c r="J32" s="565">
        <v>2</v>
      </c>
      <c r="K32" s="557">
        <v>2</v>
      </c>
      <c r="L32" s="282"/>
      <c r="M32" s="553">
        <v>2</v>
      </c>
      <c r="N32" s="334"/>
    </row>
    <row r="33" spans="1:14" s="1" customFormat="1" ht="12.95" customHeight="1">
      <c r="A33" s="269"/>
      <c r="B33" s="12"/>
      <c r="C33" s="8"/>
      <c r="D33" s="8"/>
      <c r="E33" s="292"/>
      <c r="F33" s="318"/>
      <c r="G33" s="8" t="s">
        <v>113</v>
      </c>
      <c r="H33" s="262">
        <f t="shared" ref="H33:M33" si="14">H8+H13+H16+H28</f>
        <v>46040</v>
      </c>
      <c r="I33" s="276">
        <f t="shared" si="14"/>
        <v>46040</v>
      </c>
      <c r="J33" s="565">
        <f t="shared" si="14"/>
        <v>31800</v>
      </c>
      <c r="K33" s="558">
        <f t="shared" si="14"/>
        <v>46040</v>
      </c>
      <c r="L33" s="276">
        <f t="shared" si="14"/>
        <v>0</v>
      </c>
      <c r="M33" s="553">
        <f t="shared" si="14"/>
        <v>46040</v>
      </c>
      <c r="N33" s="333">
        <f t="shared" si="2"/>
        <v>100</v>
      </c>
    </row>
    <row r="34" spans="1:14" s="1" customFormat="1" ht="12.95" customHeight="1">
      <c r="A34" s="269"/>
      <c r="B34" s="12"/>
      <c r="C34" s="8"/>
      <c r="D34" s="8"/>
      <c r="E34" s="292"/>
      <c r="F34" s="318"/>
      <c r="G34" s="8" t="s">
        <v>94</v>
      </c>
      <c r="H34" s="262">
        <f>H33+'12'!H33</f>
        <v>101030</v>
      </c>
      <c r="I34" s="276">
        <f>I33+'12'!I33</f>
        <v>101030</v>
      </c>
      <c r="J34" s="565">
        <f>J33+'12'!J33</f>
        <v>60285</v>
      </c>
      <c r="K34" s="558">
        <f>K33+'12'!K33</f>
        <v>85710</v>
      </c>
      <c r="L34" s="276">
        <f>L33+'12'!L33</f>
        <v>0</v>
      </c>
      <c r="M34" s="553">
        <f>M33+'12'!M33</f>
        <v>85710</v>
      </c>
      <c r="N34" s="333">
        <f t="shared" si="2"/>
        <v>84.83618727110759</v>
      </c>
    </row>
    <row r="35" spans="1:14" s="1" customFormat="1" ht="12.95" customHeight="1">
      <c r="A35" s="269"/>
      <c r="B35" s="12"/>
      <c r="C35" s="8"/>
      <c r="D35" s="8"/>
      <c r="E35" s="292"/>
      <c r="F35" s="318"/>
      <c r="G35" s="8" t="s">
        <v>95</v>
      </c>
      <c r="H35" s="262"/>
      <c r="I35" s="276"/>
      <c r="J35" s="565"/>
      <c r="K35" s="558"/>
      <c r="L35" s="276"/>
      <c r="M35" s="553"/>
      <c r="N35" s="333" t="str">
        <f t="shared" si="2"/>
        <v/>
      </c>
    </row>
    <row r="36" spans="1:14" ht="12.95" customHeight="1" thickBot="1">
      <c r="B36" s="15"/>
      <c r="C36" s="16"/>
      <c r="D36" s="16"/>
      <c r="E36" s="294"/>
      <c r="F36" s="320"/>
      <c r="G36" s="16"/>
      <c r="H36" s="518"/>
      <c r="I36" s="27"/>
      <c r="J36" s="567"/>
      <c r="K36" s="559"/>
      <c r="L36" s="27"/>
      <c r="M36" s="560"/>
      <c r="N36" s="336" t="str">
        <f t="shared" si="2"/>
        <v/>
      </c>
    </row>
    <row r="37" spans="1:14" ht="12.95" customHeight="1">
      <c r="E37" s="295"/>
      <c r="F37" s="321"/>
      <c r="M37" s="370"/>
      <c r="N37" s="337" t="str">
        <f t="shared" si="2"/>
        <v/>
      </c>
    </row>
    <row r="38" spans="1:14" ht="12.95" customHeight="1">
      <c r="B38" s="48"/>
      <c r="E38" s="295"/>
      <c r="F38" s="321"/>
      <c r="M38" s="370"/>
      <c r="N38" s="337" t="str">
        <f t="shared" si="2"/>
        <v/>
      </c>
    </row>
    <row r="39" spans="1:14" ht="12.95" customHeight="1">
      <c r="E39" s="295"/>
      <c r="F39" s="321"/>
      <c r="M39" s="370"/>
      <c r="N39" s="337" t="str">
        <f t="shared" si="2"/>
        <v/>
      </c>
    </row>
    <row r="40" spans="1:14" ht="12.95" customHeight="1">
      <c r="E40" s="295"/>
      <c r="F40" s="321"/>
      <c r="M40" s="370"/>
      <c r="N40" s="337" t="str">
        <f t="shared" si="2"/>
        <v/>
      </c>
    </row>
    <row r="41" spans="1:14" ht="12.95" customHeight="1">
      <c r="E41" s="295"/>
      <c r="F41" s="321"/>
      <c r="M41" s="370"/>
      <c r="N41" s="337" t="str">
        <f t="shared" si="2"/>
        <v/>
      </c>
    </row>
    <row r="42" spans="1:14" ht="12.95" customHeight="1">
      <c r="E42" s="295"/>
      <c r="F42" s="321"/>
      <c r="M42" s="370"/>
      <c r="N42" s="337" t="str">
        <f t="shared" si="2"/>
        <v/>
      </c>
    </row>
    <row r="43" spans="1:14" ht="12.95" customHeight="1">
      <c r="E43" s="295"/>
      <c r="F43" s="321"/>
      <c r="M43" s="370"/>
      <c r="N43" s="337" t="str">
        <f t="shared" si="2"/>
        <v/>
      </c>
    </row>
    <row r="44" spans="1:14" ht="12.95" customHeight="1">
      <c r="E44" s="295"/>
      <c r="F44" s="321"/>
      <c r="M44" s="370"/>
      <c r="N44" s="337" t="str">
        <f t="shared" si="2"/>
        <v/>
      </c>
    </row>
    <row r="45" spans="1:14" ht="12.95" customHeight="1">
      <c r="E45" s="295"/>
      <c r="F45" s="321"/>
      <c r="M45" s="370"/>
      <c r="N45" s="337" t="str">
        <f t="shared" si="2"/>
        <v/>
      </c>
    </row>
    <row r="46" spans="1:14" ht="12.95" customHeight="1">
      <c r="E46" s="295"/>
      <c r="F46" s="321"/>
      <c r="M46" s="370"/>
      <c r="N46" s="337" t="str">
        <f t="shared" si="2"/>
        <v/>
      </c>
    </row>
    <row r="47" spans="1:14" ht="12.95" customHeight="1">
      <c r="E47" s="295"/>
      <c r="F47" s="321"/>
      <c r="M47" s="370"/>
      <c r="N47" s="337" t="str">
        <f t="shared" si="2"/>
        <v/>
      </c>
    </row>
    <row r="48" spans="1:14" ht="12.95" customHeight="1">
      <c r="E48" s="295"/>
      <c r="F48" s="321"/>
      <c r="M48" s="370"/>
      <c r="N48" s="337" t="str">
        <f t="shared" si="2"/>
        <v/>
      </c>
    </row>
    <row r="49" spans="5:14" ht="12.95" customHeight="1">
      <c r="E49" s="295"/>
      <c r="F49" s="321"/>
      <c r="M49" s="370"/>
      <c r="N49" s="337" t="str">
        <f t="shared" si="2"/>
        <v/>
      </c>
    </row>
    <row r="50" spans="5:14" ht="12.95" customHeight="1">
      <c r="E50" s="295"/>
      <c r="F50" s="321"/>
      <c r="M50" s="370"/>
      <c r="N50" s="337" t="str">
        <f t="shared" si="2"/>
        <v/>
      </c>
    </row>
    <row r="51" spans="5:14" ht="12.95" customHeight="1">
      <c r="E51" s="295"/>
      <c r="F51" s="321"/>
      <c r="M51" s="370"/>
      <c r="N51" s="337" t="str">
        <f t="shared" si="2"/>
        <v/>
      </c>
    </row>
    <row r="52" spans="5:14" ht="12.95" customHeight="1">
      <c r="E52" s="295"/>
      <c r="F52" s="321"/>
      <c r="M52" s="370"/>
      <c r="N52" s="337" t="str">
        <f t="shared" si="2"/>
        <v/>
      </c>
    </row>
    <row r="53" spans="5:14" ht="12.95" customHeight="1">
      <c r="E53" s="295"/>
      <c r="F53" s="321"/>
      <c r="M53" s="370"/>
      <c r="N53" s="337" t="str">
        <f t="shared" si="2"/>
        <v/>
      </c>
    </row>
    <row r="54" spans="5:14" ht="12.95" customHeight="1">
      <c r="E54" s="295"/>
      <c r="F54" s="321"/>
      <c r="M54" s="370"/>
      <c r="N54" s="337" t="str">
        <f t="shared" si="2"/>
        <v/>
      </c>
    </row>
    <row r="55" spans="5:14" ht="12.95" customHeight="1">
      <c r="E55" s="295"/>
      <c r="F55" s="321"/>
      <c r="M55" s="370"/>
      <c r="N55" s="337" t="str">
        <f t="shared" si="2"/>
        <v/>
      </c>
    </row>
    <row r="56" spans="5:14" ht="12.95" customHeight="1">
      <c r="E56" s="295"/>
      <c r="F56" s="321"/>
      <c r="M56" s="370"/>
      <c r="N56" s="337" t="str">
        <f t="shared" si="2"/>
        <v/>
      </c>
    </row>
    <row r="57" spans="5:14" ht="12.95" customHeight="1">
      <c r="E57" s="295"/>
      <c r="F57" s="321"/>
      <c r="M57" s="370"/>
      <c r="N57" s="337" t="str">
        <f t="shared" si="2"/>
        <v/>
      </c>
    </row>
    <row r="58" spans="5:14" ht="12.95" customHeight="1">
      <c r="E58" s="295"/>
      <c r="F58" s="321"/>
      <c r="M58" s="370"/>
      <c r="N58" s="337" t="str">
        <f t="shared" si="2"/>
        <v/>
      </c>
    </row>
    <row r="59" spans="5:14" ht="12.95" customHeight="1">
      <c r="E59" s="295"/>
      <c r="F59" s="321"/>
      <c r="M59" s="370"/>
      <c r="N59" s="337" t="str">
        <f t="shared" si="2"/>
        <v/>
      </c>
    </row>
    <row r="60" spans="5:14" ht="17.100000000000001" customHeight="1">
      <c r="E60" s="295"/>
      <c r="F60" s="321"/>
      <c r="M60" s="370"/>
      <c r="N60" s="337" t="str">
        <f t="shared" si="2"/>
        <v/>
      </c>
    </row>
    <row r="61" spans="5:14" ht="14.25">
      <c r="E61" s="295"/>
      <c r="F61" s="321"/>
      <c r="M61" s="370"/>
      <c r="N61" s="337" t="str">
        <f t="shared" si="2"/>
        <v/>
      </c>
    </row>
    <row r="62" spans="5:14" ht="14.25">
      <c r="E62" s="295"/>
      <c r="F62" s="321"/>
      <c r="M62" s="370"/>
      <c r="N62" s="337" t="str">
        <f t="shared" si="2"/>
        <v/>
      </c>
    </row>
    <row r="63" spans="5:14" ht="14.25">
      <c r="E63" s="295"/>
      <c r="F63" s="321"/>
      <c r="M63" s="370"/>
      <c r="N63" s="337" t="str">
        <f t="shared" si="2"/>
        <v/>
      </c>
    </row>
    <row r="64" spans="5:14" ht="14.25">
      <c r="E64" s="295"/>
      <c r="F64" s="321"/>
      <c r="M64" s="370"/>
      <c r="N64" s="337" t="str">
        <f t="shared" si="2"/>
        <v/>
      </c>
    </row>
    <row r="65" spans="5:14" ht="14.25">
      <c r="E65" s="295"/>
      <c r="F65" s="321"/>
      <c r="M65" s="370"/>
      <c r="N65" s="337" t="str">
        <f t="shared" si="2"/>
        <v/>
      </c>
    </row>
    <row r="66" spans="5:14" ht="14.25">
      <c r="E66" s="295"/>
      <c r="F66" s="321"/>
      <c r="M66" s="370"/>
      <c r="N66" s="337" t="str">
        <f t="shared" si="2"/>
        <v/>
      </c>
    </row>
    <row r="67" spans="5:14" ht="14.25">
      <c r="E67" s="295"/>
      <c r="F67" s="321"/>
      <c r="M67" s="370"/>
      <c r="N67" s="337" t="str">
        <f t="shared" si="2"/>
        <v/>
      </c>
    </row>
    <row r="68" spans="5:14" ht="14.25">
      <c r="E68" s="295"/>
      <c r="F68" s="321"/>
      <c r="M68" s="370"/>
      <c r="N68" s="337" t="str">
        <f t="shared" si="2"/>
        <v/>
      </c>
    </row>
    <row r="69" spans="5:14" ht="14.25">
      <c r="E69" s="295"/>
      <c r="F69" s="321"/>
      <c r="M69" s="370"/>
      <c r="N69" s="337" t="str">
        <f t="shared" si="2"/>
        <v/>
      </c>
    </row>
    <row r="70" spans="5:14" ht="14.25">
      <c r="E70" s="295"/>
      <c r="F70" s="321"/>
      <c r="M70" s="370"/>
      <c r="N70" s="337" t="str">
        <f t="shared" si="2"/>
        <v/>
      </c>
    </row>
    <row r="71" spans="5:14" ht="14.25">
      <c r="E71" s="295"/>
      <c r="F71" s="321"/>
      <c r="M71" s="370"/>
      <c r="N71" s="337" t="str">
        <f t="shared" si="2"/>
        <v/>
      </c>
    </row>
    <row r="72" spans="5:14" ht="14.25">
      <c r="E72" s="295"/>
      <c r="F72" s="321"/>
      <c r="M72" s="370"/>
      <c r="N72" s="337" t="str">
        <f t="shared" si="2"/>
        <v/>
      </c>
    </row>
    <row r="73" spans="5:14" ht="14.25">
      <c r="E73" s="295"/>
      <c r="F73" s="321"/>
      <c r="M73" s="370"/>
      <c r="N73" s="337" t="str">
        <f t="shared" ref="N73:N77" si="15">IF(I73=0,"",M73/I73*100)</f>
        <v/>
      </c>
    </row>
    <row r="74" spans="5:14" ht="14.25">
      <c r="E74" s="295"/>
      <c r="F74" s="295"/>
      <c r="M74" s="370"/>
      <c r="N74" s="337" t="str">
        <f t="shared" si="15"/>
        <v/>
      </c>
    </row>
    <row r="75" spans="5:14" ht="14.25">
      <c r="E75" s="295"/>
      <c r="F75" s="295"/>
      <c r="M75" s="370"/>
      <c r="N75" s="337" t="str">
        <f t="shared" si="15"/>
        <v/>
      </c>
    </row>
    <row r="76" spans="5:14" ht="14.25">
      <c r="E76" s="295"/>
      <c r="F76" s="295"/>
      <c r="M76" s="370"/>
      <c r="N76" s="337" t="str">
        <f t="shared" si="15"/>
        <v/>
      </c>
    </row>
    <row r="77" spans="5:14" ht="14.25">
      <c r="E77" s="295"/>
      <c r="F77" s="295"/>
      <c r="M77" s="370"/>
      <c r="N77" s="337" t="str">
        <f t="shared" si="15"/>
        <v/>
      </c>
    </row>
    <row r="78" spans="5:14" ht="14.25">
      <c r="E78" s="295"/>
      <c r="F78" s="295"/>
      <c r="M78" s="370"/>
    </row>
    <row r="79" spans="5:14" ht="14.25">
      <c r="E79" s="295"/>
      <c r="F79" s="295"/>
      <c r="M79" s="370"/>
    </row>
    <row r="80" spans="5:14" ht="14.25">
      <c r="E80" s="295"/>
      <c r="F80" s="295"/>
      <c r="M80" s="370"/>
    </row>
    <row r="81" spans="5:13" ht="14.25">
      <c r="E81" s="295"/>
      <c r="F81" s="295"/>
      <c r="M81" s="370"/>
    </row>
    <row r="82" spans="5:13" ht="14.25">
      <c r="E82" s="295"/>
      <c r="F82" s="295"/>
      <c r="M82" s="370"/>
    </row>
    <row r="83" spans="5:13" ht="14.25">
      <c r="E83" s="295"/>
      <c r="F83" s="295"/>
      <c r="M83" s="370"/>
    </row>
    <row r="84" spans="5:13" ht="14.25">
      <c r="E84" s="295"/>
      <c r="F84" s="295"/>
      <c r="M84" s="370"/>
    </row>
    <row r="85" spans="5:13" ht="14.25">
      <c r="E85" s="295"/>
      <c r="F85" s="295"/>
      <c r="M85" s="370"/>
    </row>
    <row r="86" spans="5:13" ht="14.25">
      <c r="E86" s="295"/>
      <c r="F86" s="295"/>
      <c r="M86" s="370"/>
    </row>
    <row r="87" spans="5:13" ht="14.25">
      <c r="E87" s="295"/>
      <c r="F87" s="295"/>
      <c r="M87" s="370"/>
    </row>
    <row r="88" spans="5:13" ht="14.25">
      <c r="E88" s="295"/>
      <c r="F88" s="295"/>
      <c r="M88" s="370"/>
    </row>
    <row r="89" spans="5:13" ht="14.25">
      <c r="E89" s="295"/>
      <c r="F89" s="295"/>
      <c r="M89" s="370"/>
    </row>
    <row r="90" spans="5:13" ht="14.25">
      <c r="E90" s="295"/>
      <c r="F90" s="295"/>
      <c r="M90" s="370"/>
    </row>
    <row r="91" spans="5:13">
      <c r="F91" s="295"/>
    </row>
    <row r="92" spans="5:13">
      <c r="F92" s="295"/>
    </row>
    <row r="93" spans="5:13">
      <c r="F93" s="295"/>
    </row>
    <row r="94" spans="5:13">
      <c r="F94" s="295"/>
    </row>
    <row r="95" spans="5:13">
      <c r="F95" s="295"/>
    </row>
    <row r="96" spans="5:13">
      <c r="F96" s="295"/>
    </row>
  </sheetData>
  <mergeCells count="12">
    <mergeCell ref="B2:I2"/>
    <mergeCell ref="N4:N5"/>
    <mergeCell ref="G4:G5"/>
    <mergeCell ref="B4:B5"/>
    <mergeCell ref="C4:C5"/>
    <mergeCell ref="D4:D5"/>
    <mergeCell ref="F4:F5"/>
    <mergeCell ref="E4:E5"/>
    <mergeCell ref="K4:M4"/>
    <mergeCell ref="H4:H5"/>
    <mergeCell ref="I4:I5"/>
    <mergeCell ref="J4:J5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45"/>
  <dimension ref="A1:P96"/>
  <sheetViews>
    <sheetView zoomScaleNormal="100" workbookViewId="0">
      <selection activeCell="K10" sqref="K10"/>
    </sheetView>
  </sheetViews>
  <sheetFormatPr defaultRowHeight="12.75"/>
  <cols>
    <col min="1" max="1" width="9.140625" style="272"/>
    <col min="2" max="2" width="4.7109375" style="9" customWidth="1"/>
    <col min="3" max="3" width="5.140625" style="9" customWidth="1"/>
    <col min="4" max="4" width="5" style="9" customWidth="1"/>
    <col min="5" max="5" width="8.7109375" style="17" customWidth="1"/>
    <col min="6" max="6" width="8.7109375" style="277" customWidth="1"/>
    <col min="7" max="7" width="50.7109375" style="9" customWidth="1"/>
    <col min="8" max="8" width="14.7109375" style="519" customWidth="1"/>
    <col min="9" max="9" width="14.7109375" style="54" customWidth="1"/>
    <col min="10" max="10" width="15.7109375" style="519" customWidth="1"/>
    <col min="11" max="12" width="14.7109375" style="54" customWidth="1"/>
    <col min="13" max="13" width="15.7109375" style="54" customWidth="1"/>
    <col min="14" max="14" width="7.7109375" style="337" customWidth="1"/>
    <col min="15" max="16384" width="9.140625" style="9"/>
  </cols>
  <sheetData>
    <row r="1" spans="1:16" ht="13.5" thickBot="1"/>
    <row r="2" spans="1:16" s="93" customFormat="1" ht="20.100000000000001" customHeight="1" thickTop="1" thickBot="1">
      <c r="A2" s="363"/>
      <c r="B2" s="725" t="s">
        <v>196</v>
      </c>
      <c r="C2" s="726"/>
      <c r="D2" s="726"/>
      <c r="E2" s="726"/>
      <c r="F2" s="726"/>
      <c r="G2" s="726"/>
      <c r="H2" s="750"/>
      <c r="I2" s="750"/>
      <c r="J2" s="508"/>
      <c r="K2" s="364"/>
      <c r="L2" s="364"/>
      <c r="M2" s="364"/>
      <c r="N2" s="367"/>
    </row>
    <row r="3" spans="1:16" s="1" customFormat="1" ht="8.1" customHeight="1" thickTop="1" thickBot="1">
      <c r="A3" s="269"/>
      <c r="E3" s="2"/>
      <c r="F3" s="270"/>
      <c r="G3" s="488"/>
      <c r="H3" s="511"/>
      <c r="I3" s="87"/>
      <c r="J3" s="511"/>
      <c r="K3" s="87"/>
      <c r="L3" s="87"/>
      <c r="M3" s="87"/>
      <c r="N3" s="331"/>
    </row>
    <row r="4" spans="1:16" s="1" customFormat="1" ht="39" customHeight="1">
      <c r="A4" s="269"/>
      <c r="B4" s="728" t="s">
        <v>78</v>
      </c>
      <c r="C4" s="746" t="s">
        <v>79</v>
      </c>
      <c r="D4" s="747" t="s">
        <v>110</v>
      </c>
      <c r="E4" s="748" t="s">
        <v>594</v>
      </c>
      <c r="F4" s="733" t="s">
        <v>650</v>
      </c>
      <c r="G4" s="734" t="s">
        <v>80</v>
      </c>
      <c r="H4" s="740" t="s">
        <v>644</v>
      </c>
      <c r="I4" s="742" t="s">
        <v>821</v>
      </c>
      <c r="J4" s="744" t="s">
        <v>822</v>
      </c>
      <c r="K4" s="749" t="s">
        <v>863</v>
      </c>
      <c r="L4" s="738"/>
      <c r="M4" s="739"/>
      <c r="N4" s="735" t="s">
        <v>823</v>
      </c>
    </row>
    <row r="5" spans="1:16" s="269" customFormat="1" ht="27" customHeight="1">
      <c r="B5" s="729"/>
      <c r="C5" s="731"/>
      <c r="D5" s="731"/>
      <c r="E5" s="722"/>
      <c r="F5" s="731"/>
      <c r="G5" s="722"/>
      <c r="H5" s="741"/>
      <c r="I5" s="743"/>
      <c r="J5" s="745"/>
      <c r="K5" s="540" t="s">
        <v>701</v>
      </c>
      <c r="L5" s="359" t="s">
        <v>702</v>
      </c>
      <c r="M5" s="541" t="s">
        <v>413</v>
      </c>
      <c r="N5" s="736"/>
    </row>
    <row r="6" spans="1:16" s="2" customFormat="1" ht="12.95" customHeight="1">
      <c r="A6" s="270"/>
      <c r="B6" s="464">
        <v>1</v>
      </c>
      <c r="C6" s="318">
        <v>2</v>
      </c>
      <c r="D6" s="318">
        <v>3</v>
      </c>
      <c r="E6" s="318">
        <v>4</v>
      </c>
      <c r="F6" s="318">
        <v>5</v>
      </c>
      <c r="G6" s="318">
        <v>6</v>
      </c>
      <c r="H6" s="512">
        <v>7</v>
      </c>
      <c r="I6" s="318">
        <v>8</v>
      </c>
      <c r="J6" s="561">
        <v>9</v>
      </c>
      <c r="K6" s="464">
        <v>10</v>
      </c>
      <c r="L6" s="318">
        <v>11</v>
      </c>
      <c r="M6" s="542" t="s">
        <v>703</v>
      </c>
      <c r="N6" s="465">
        <v>13</v>
      </c>
    </row>
    <row r="7" spans="1:16" s="2" customFormat="1" ht="12.95" customHeight="1">
      <c r="A7" s="270"/>
      <c r="B7" s="6" t="s">
        <v>131</v>
      </c>
      <c r="C7" s="7" t="s">
        <v>197</v>
      </c>
      <c r="D7" s="7" t="s">
        <v>82</v>
      </c>
      <c r="E7" s="5"/>
      <c r="F7" s="271"/>
      <c r="G7" s="5"/>
      <c r="H7" s="520"/>
      <c r="I7" s="81"/>
      <c r="J7" s="562"/>
      <c r="K7" s="543"/>
      <c r="L7" s="81"/>
      <c r="M7" s="544"/>
      <c r="N7" s="332"/>
    </row>
    <row r="8" spans="1:16" s="1" customFormat="1" ht="12.95" customHeight="1">
      <c r="A8" s="269"/>
      <c r="B8" s="12"/>
      <c r="C8" s="8"/>
      <c r="D8" s="8"/>
      <c r="E8" s="292">
        <v>611000</v>
      </c>
      <c r="F8" s="318"/>
      <c r="G8" s="8" t="s">
        <v>163</v>
      </c>
      <c r="H8" s="514">
        <f t="shared" ref="H8:I8" si="0">SUM(H9:H12)</f>
        <v>78910</v>
      </c>
      <c r="I8" s="514">
        <f t="shared" si="0"/>
        <v>78910</v>
      </c>
      <c r="J8" s="563">
        <v>58340</v>
      </c>
      <c r="K8" s="545">
        <f t="shared" ref="K8:M8" si="1">SUM(K9:K12)</f>
        <v>80780</v>
      </c>
      <c r="L8" s="201">
        <f t="shared" si="1"/>
        <v>0</v>
      </c>
      <c r="M8" s="546">
        <f t="shared" si="1"/>
        <v>80780</v>
      </c>
      <c r="N8" s="333">
        <f>IF(I8=0,"",M8/I8*100)</f>
        <v>102.36978836649347</v>
      </c>
    </row>
    <row r="9" spans="1:16" ht="12.95" customHeight="1">
      <c r="B9" s="10"/>
      <c r="C9" s="11"/>
      <c r="D9" s="11"/>
      <c r="E9" s="293">
        <v>611100</v>
      </c>
      <c r="F9" s="319"/>
      <c r="G9" s="18" t="s">
        <v>198</v>
      </c>
      <c r="H9" s="515">
        <v>68070</v>
      </c>
      <c r="I9" s="515">
        <v>68070</v>
      </c>
      <c r="J9" s="564">
        <v>50198</v>
      </c>
      <c r="K9" s="547">
        <f>66930+300+740</f>
        <v>67970</v>
      </c>
      <c r="L9" s="203">
        <v>0</v>
      </c>
      <c r="M9" s="548">
        <f>SUM(K9:L9)</f>
        <v>67970</v>
      </c>
      <c r="N9" s="334">
        <f t="shared" ref="N9:N72" si="2">IF(I9=0,"",M9/I9*100)</f>
        <v>99.85309240487733</v>
      </c>
    </row>
    <row r="10" spans="1:16" ht="12.95" customHeight="1">
      <c r="B10" s="10"/>
      <c r="C10" s="11"/>
      <c r="D10" s="11"/>
      <c r="E10" s="293">
        <v>611200</v>
      </c>
      <c r="F10" s="319"/>
      <c r="G10" s="11" t="s">
        <v>199</v>
      </c>
      <c r="H10" s="515">
        <v>10840</v>
      </c>
      <c r="I10" s="515">
        <v>10840</v>
      </c>
      <c r="J10" s="564">
        <v>8142</v>
      </c>
      <c r="K10" s="547">
        <f>10230+200+1630+3*250</f>
        <v>12810</v>
      </c>
      <c r="L10" s="203">
        <v>0</v>
      </c>
      <c r="M10" s="548">
        <f t="shared" ref="M10:M11" si="3">SUM(K10:L10)</f>
        <v>12810</v>
      </c>
      <c r="N10" s="334">
        <f t="shared" si="2"/>
        <v>118.17343173431733</v>
      </c>
    </row>
    <row r="11" spans="1:16" ht="12.95" customHeight="1">
      <c r="B11" s="10"/>
      <c r="C11" s="11"/>
      <c r="D11" s="11"/>
      <c r="E11" s="293">
        <v>611200</v>
      </c>
      <c r="F11" s="319"/>
      <c r="G11" s="180" t="s">
        <v>534</v>
      </c>
      <c r="H11" s="515">
        <f t="shared" ref="H11:I11" si="4">SUM(F11:G11)</f>
        <v>0</v>
      </c>
      <c r="I11" s="515">
        <f t="shared" si="4"/>
        <v>0</v>
      </c>
      <c r="J11" s="564">
        <v>0</v>
      </c>
      <c r="K11" s="549">
        <v>0</v>
      </c>
      <c r="L11" s="200">
        <v>0</v>
      </c>
      <c r="M11" s="548">
        <f t="shared" si="3"/>
        <v>0</v>
      </c>
      <c r="N11" s="334" t="str">
        <f t="shared" si="2"/>
        <v/>
      </c>
      <c r="P11" s="53"/>
    </row>
    <row r="12" spans="1:16" ht="12.95" customHeight="1">
      <c r="B12" s="10"/>
      <c r="C12" s="11"/>
      <c r="D12" s="11"/>
      <c r="E12" s="293"/>
      <c r="F12" s="319"/>
      <c r="G12" s="18"/>
      <c r="H12" s="515"/>
      <c r="I12" s="515"/>
      <c r="J12" s="564"/>
      <c r="K12" s="547"/>
      <c r="L12" s="203"/>
      <c r="M12" s="548"/>
      <c r="N12" s="334" t="str">
        <f t="shared" si="2"/>
        <v/>
      </c>
    </row>
    <row r="13" spans="1:16" s="1" customFormat="1" ht="12.95" customHeight="1">
      <c r="A13" s="269"/>
      <c r="B13" s="12"/>
      <c r="C13" s="8"/>
      <c r="D13" s="8"/>
      <c r="E13" s="292">
        <v>612000</v>
      </c>
      <c r="F13" s="318"/>
      <c r="G13" s="8" t="s">
        <v>162</v>
      </c>
      <c r="H13" s="514">
        <f t="shared" ref="H13:M13" si="5">H14</f>
        <v>7310</v>
      </c>
      <c r="I13" s="514">
        <f t="shared" si="5"/>
        <v>7310</v>
      </c>
      <c r="J13" s="563">
        <v>5309</v>
      </c>
      <c r="K13" s="545">
        <f t="shared" si="5"/>
        <v>7480</v>
      </c>
      <c r="L13" s="201">
        <f t="shared" si="5"/>
        <v>0</v>
      </c>
      <c r="M13" s="546">
        <f t="shared" si="5"/>
        <v>7480</v>
      </c>
      <c r="N13" s="333">
        <f t="shared" si="2"/>
        <v>102.32558139534885</v>
      </c>
    </row>
    <row r="14" spans="1:16" ht="12.95" customHeight="1">
      <c r="B14" s="10"/>
      <c r="C14" s="11"/>
      <c r="D14" s="11"/>
      <c r="E14" s="293">
        <v>612100</v>
      </c>
      <c r="F14" s="319"/>
      <c r="G14" s="13" t="s">
        <v>83</v>
      </c>
      <c r="H14" s="515">
        <v>7310</v>
      </c>
      <c r="I14" s="515">
        <v>7310</v>
      </c>
      <c r="J14" s="564">
        <v>5309</v>
      </c>
      <c r="K14" s="547">
        <f>7080+150+250</f>
        <v>7480</v>
      </c>
      <c r="L14" s="203">
        <v>0</v>
      </c>
      <c r="M14" s="548">
        <f>SUM(K14:L14)</f>
        <v>7480</v>
      </c>
      <c r="N14" s="334">
        <f t="shared" si="2"/>
        <v>102.32558139534885</v>
      </c>
    </row>
    <row r="15" spans="1:16" ht="12.95" customHeight="1">
      <c r="B15" s="10"/>
      <c r="C15" s="11"/>
      <c r="D15" s="11"/>
      <c r="E15" s="293"/>
      <c r="F15" s="319"/>
      <c r="G15" s="11"/>
      <c r="H15" s="516"/>
      <c r="I15" s="516"/>
      <c r="J15" s="566"/>
      <c r="K15" s="550"/>
      <c r="L15" s="279"/>
      <c r="M15" s="551"/>
      <c r="N15" s="334" t="str">
        <f t="shared" si="2"/>
        <v/>
      </c>
    </row>
    <row r="16" spans="1:16" s="1" customFormat="1" ht="12.95" customHeight="1">
      <c r="A16" s="269"/>
      <c r="B16" s="12"/>
      <c r="C16" s="8"/>
      <c r="D16" s="8"/>
      <c r="E16" s="292">
        <v>613000</v>
      </c>
      <c r="F16" s="318"/>
      <c r="G16" s="8" t="s">
        <v>164</v>
      </c>
      <c r="H16" s="262">
        <f t="shared" ref="H16:I16" si="6">SUM(H17:H26)</f>
        <v>4800</v>
      </c>
      <c r="I16" s="262">
        <f t="shared" si="6"/>
        <v>4800</v>
      </c>
      <c r="J16" s="565">
        <v>2158</v>
      </c>
      <c r="K16" s="552">
        <f t="shared" ref="K16:M16" si="7">SUM(K17:K26)</f>
        <v>4800</v>
      </c>
      <c r="L16" s="281">
        <f t="shared" si="7"/>
        <v>0</v>
      </c>
      <c r="M16" s="553">
        <f t="shared" si="7"/>
        <v>4800</v>
      </c>
      <c r="N16" s="333">
        <f t="shared" si="2"/>
        <v>100</v>
      </c>
    </row>
    <row r="17" spans="1:14" ht="12.95" customHeight="1">
      <c r="B17" s="10"/>
      <c r="C17" s="11"/>
      <c r="D17" s="11"/>
      <c r="E17" s="293">
        <v>613100</v>
      </c>
      <c r="F17" s="319"/>
      <c r="G17" s="11" t="s">
        <v>84</v>
      </c>
      <c r="H17" s="515">
        <v>1000</v>
      </c>
      <c r="I17" s="515">
        <v>1000</v>
      </c>
      <c r="J17" s="564">
        <v>729</v>
      </c>
      <c r="K17" s="554">
        <v>1000</v>
      </c>
      <c r="L17" s="350">
        <v>0</v>
      </c>
      <c r="M17" s="548">
        <f t="shared" ref="M17:M26" si="8">SUM(K17:L17)</f>
        <v>1000</v>
      </c>
      <c r="N17" s="334">
        <f t="shared" si="2"/>
        <v>100</v>
      </c>
    </row>
    <row r="18" spans="1:14" ht="12.95" customHeight="1">
      <c r="B18" s="10"/>
      <c r="C18" s="11"/>
      <c r="D18" s="11"/>
      <c r="E18" s="293">
        <v>613200</v>
      </c>
      <c r="F18" s="319"/>
      <c r="G18" s="11" t="s">
        <v>85</v>
      </c>
      <c r="H18" s="515">
        <f t="shared" ref="H18:I26" si="9">SUM(F18:G18)</f>
        <v>0</v>
      </c>
      <c r="I18" s="515">
        <f t="shared" si="9"/>
        <v>0</v>
      </c>
      <c r="J18" s="564">
        <v>0</v>
      </c>
      <c r="K18" s="554">
        <v>0</v>
      </c>
      <c r="L18" s="350">
        <v>0</v>
      </c>
      <c r="M18" s="548">
        <f t="shared" si="8"/>
        <v>0</v>
      </c>
      <c r="N18" s="334" t="str">
        <f t="shared" si="2"/>
        <v/>
      </c>
    </row>
    <row r="19" spans="1:14" ht="12.95" customHeight="1">
      <c r="B19" s="10"/>
      <c r="C19" s="11"/>
      <c r="D19" s="11"/>
      <c r="E19" s="293">
        <v>613300</v>
      </c>
      <c r="F19" s="319"/>
      <c r="G19" s="18" t="s">
        <v>200</v>
      </c>
      <c r="H19" s="515">
        <v>1400</v>
      </c>
      <c r="I19" s="515">
        <v>1400</v>
      </c>
      <c r="J19" s="564">
        <v>897</v>
      </c>
      <c r="K19" s="554">
        <v>1400</v>
      </c>
      <c r="L19" s="350">
        <v>0</v>
      </c>
      <c r="M19" s="548">
        <f t="shared" si="8"/>
        <v>1400</v>
      </c>
      <c r="N19" s="334">
        <f t="shared" si="2"/>
        <v>100</v>
      </c>
    </row>
    <row r="20" spans="1:14" ht="12.95" customHeight="1">
      <c r="B20" s="10"/>
      <c r="C20" s="11"/>
      <c r="D20" s="11"/>
      <c r="E20" s="293">
        <v>613400</v>
      </c>
      <c r="F20" s="319"/>
      <c r="G20" s="11" t="s">
        <v>165</v>
      </c>
      <c r="H20" s="515">
        <v>1000</v>
      </c>
      <c r="I20" s="515">
        <v>1000</v>
      </c>
      <c r="J20" s="564">
        <v>280</v>
      </c>
      <c r="K20" s="554">
        <v>1000</v>
      </c>
      <c r="L20" s="350">
        <v>0</v>
      </c>
      <c r="M20" s="548">
        <f t="shared" si="8"/>
        <v>1000</v>
      </c>
      <c r="N20" s="334">
        <f t="shared" si="2"/>
        <v>100</v>
      </c>
    </row>
    <row r="21" spans="1:14" ht="12.95" customHeight="1">
      <c r="B21" s="10"/>
      <c r="C21" s="11"/>
      <c r="D21" s="11"/>
      <c r="E21" s="293">
        <v>613500</v>
      </c>
      <c r="F21" s="319"/>
      <c r="G21" s="11" t="s">
        <v>86</v>
      </c>
      <c r="H21" s="515">
        <f t="shared" si="9"/>
        <v>0</v>
      </c>
      <c r="I21" s="515">
        <f t="shared" si="9"/>
        <v>0</v>
      </c>
      <c r="J21" s="564">
        <v>0</v>
      </c>
      <c r="K21" s="554">
        <v>0</v>
      </c>
      <c r="L21" s="350">
        <v>0</v>
      </c>
      <c r="M21" s="548">
        <f t="shared" si="8"/>
        <v>0</v>
      </c>
      <c r="N21" s="334" t="str">
        <f t="shared" si="2"/>
        <v/>
      </c>
    </row>
    <row r="22" spans="1:14" ht="12.95" customHeight="1">
      <c r="B22" s="10"/>
      <c r="C22" s="11"/>
      <c r="D22" s="11"/>
      <c r="E22" s="293">
        <v>613600</v>
      </c>
      <c r="F22" s="319"/>
      <c r="G22" s="18" t="s">
        <v>201</v>
      </c>
      <c r="H22" s="515">
        <f t="shared" si="9"/>
        <v>0</v>
      </c>
      <c r="I22" s="515">
        <f t="shared" si="9"/>
        <v>0</v>
      </c>
      <c r="J22" s="564">
        <v>0</v>
      </c>
      <c r="K22" s="554">
        <v>0</v>
      </c>
      <c r="L22" s="350">
        <v>0</v>
      </c>
      <c r="M22" s="548">
        <f t="shared" si="8"/>
        <v>0</v>
      </c>
      <c r="N22" s="334" t="str">
        <f t="shared" si="2"/>
        <v/>
      </c>
    </row>
    <row r="23" spans="1:14" ht="12.95" customHeight="1">
      <c r="B23" s="10"/>
      <c r="C23" s="11"/>
      <c r="D23" s="11"/>
      <c r="E23" s="293">
        <v>613700</v>
      </c>
      <c r="F23" s="319"/>
      <c r="G23" s="11" t="s">
        <v>87</v>
      </c>
      <c r="H23" s="515">
        <v>200</v>
      </c>
      <c r="I23" s="515">
        <v>200</v>
      </c>
      <c r="J23" s="564">
        <v>0</v>
      </c>
      <c r="K23" s="554">
        <v>200</v>
      </c>
      <c r="L23" s="350">
        <v>0</v>
      </c>
      <c r="M23" s="548">
        <f t="shared" si="8"/>
        <v>200</v>
      </c>
      <c r="N23" s="334">
        <f t="shared" si="2"/>
        <v>100</v>
      </c>
    </row>
    <row r="24" spans="1:14" ht="12.95" customHeight="1">
      <c r="B24" s="10"/>
      <c r="C24" s="11"/>
      <c r="D24" s="11"/>
      <c r="E24" s="293">
        <v>613800</v>
      </c>
      <c r="F24" s="319"/>
      <c r="G24" s="11" t="s">
        <v>166</v>
      </c>
      <c r="H24" s="515">
        <f t="shared" si="9"/>
        <v>0</v>
      </c>
      <c r="I24" s="515">
        <f t="shared" si="9"/>
        <v>0</v>
      </c>
      <c r="J24" s="564">
        <v>0</v>
      </c>
      <c r="K24" s="554">
        <v>0</v>
      </c>
      <c r="L24" s="350">
        <v>0</v>
      </c>
      <c r="M24" s="548">
        <f t="shared" si="8"/>
        <v>0</v>
      </c>
      <c r="N24" s="334" t="str">
        <f t="shared" si="2"/>
        <v/>
      </c>
    </row>
    <row r="25" spans="1:14" ht="12.95" customHeight="1">
      <c r="B25" s="10"/>
      <c r="C25" s="11"/>
      <c r="D25" s="11"/>
      <c r="E25" s="293">
        <v>613900</v>
      </c>
      <c r="F25" s="319"/>
      <c r="G25" s="11" t="s">
        <v>167</v>
      </c>
      <c r="H25" s="515">
        <v>1200</v>
      </c>
      <c r="I25" s="515">
        <v>1200</v>
      </c>
      <c r="J25" s="564">
        <v>252</v>
      </c>
      <c r="K25" s="555">
        <v>1200</v>
      </c>
      <c r="L25" s="352">
        <v>0</v>
      </c>
      <c r="M25" s="548">
        <f t="shared" si="8"/>
        <v>1200</v>
      </c>
      <c r="N25" s="334">
        <f t="shared" si="2"/>
        <v>100</v>
      </c>
    </row>
    <row r="26" spans="1:14" ht="12.95" customHeight="1">
      <c r="B26" s="10"/>
      <c r="C26" s="11"/>
      <c r="D26" s="11"/>
      <c r="E26" s="293">
        <v>613900</v>
      </c>
      <c r="F26" s="319"/>
      <c r="G26" s="180" t="s">
        <v>535</v>
      </c>
      <c r="H26" s="515">
        <f t="shared" si="9"/>
        <v>0</v>
      </c>
      <c r="I26" s="515">
        <f t="shared" si="9"/>
        <v>0</v>
      </c>
      <c r="J26" s="564">
        <v>0</v>
      </c>
      <c r="K26" s="555">
        <v>0</v>
      </c>
      <c r="L26" s="352">
        <v>0</v>
      </c>
      <c r="M26" s="548">
        <f t="shared" si="8"/>
        <v>0</v>
      </c>
      <c r="N26" s="334" t="str">
        <f t="shared" si="2"/>
        <v/>
      </c>
    </row>
    <row r="27" spans="1:14" s="1" customFormat="1" ht="12.95" customHeight="1">
      <c r="A27" s="269"/>
      <c r="B27" s="12"/>
      <c r="C27" s="8"/>
      <c r="D27" s="8"/>
      <c r="E27" s="303"/>
      <c r="F27" s="330"/>
      <c r="G27" s="8"/>
      <c r="H27" s="516"/>
      <c r="I27" s="516"/>
      <c r="J27" s="566"/>
      <c r="K27" s="550"/>
      <c r="L27" s="279"/>
      <c r="M27" s="551"/>
      <c r="N27" s="334" t="str">
        <f t="shared" si="2"/>
        <v/>
      </c>
    </row>
    <row r="28" spans="1:14" s="1" customFormat="1" ht="12.95" customHeight="1">
      <c r="A28" s="269"/>
      <c r="B28" s="12"/>
      <c r="C28" s="8"/>
      <c r="D28" s="8"/>
      <c r="E28" s="292">
        <v>821000</v>
      </c>
      <c r="F28" s="318"/>
      <c r="G28" s="8" t="s">
        <v>90</v>
      </c>
      <c r="H28" s="262">
        <f t="shared" ref="H28:I28" si="10">H29+H30</f>
        <v>500</v>
      </c>
      <c r="I28" s="262">
        <f t="shared" si="10"/>
        <v>500</v>
      </c>
      <c r="J28" s="565">
        <v>0</v>
      </c>
      <c r="K28" s="558">
        <f t="shared" ref="K28:M28" si="11">K29+K30</f>
        <v>500</v>
      </c>
      <c r="L28" s="276">
        <f t="shared" si="11"/>
        <v>0</v>
      </c>
      <c r="M28" s="553">
        <f t="shared" si="11"/>
        <v>500</v>
      </c>
      <c r="N28" s="334">
        <f t="shared" si="2"/>
        <v>100</v>
      </c>
    </row>
    <row r="29" spans="1:14" ht="12.95" customHeight="1">
      <c r="B29" s="10"/>
      <c r="C29" s="11"/>
      <c r="D29" s="11"/>
      <c r="E29" s="293">
        <v>821200</v>
      </c>
      <c r="F29" s="319"/>
      <c r="G29" s="11" t="s">
        <v>91</v>
      </c>
      <c r="H29" s="515">
        <f t="shared" ref="H29:I29" si="12">SUM(F29:G29)</f>
        <v>0</v>
      </c>
      <c r="I29" s="515">
        <f t="shared" si="12"/>
        <v>0</v>
      </c>
      <c r="J29" s="564">
        <v>0</v>
      </c>
      <c r="K29" s="550">
        <v>0</v>
      </c>
      <c r="L29" s="279">
        <v>0</v>
      </c>
      <c r="M29" s="548">
        <f t="shared" ref="M29:M30" si="13">SUM(K29:L29)</f>
        <v>0</v>
      </c>
      <c r="N29" s="334" t="str">
        <f t="shared" si="2"/>
        <v/>
      </c>
    </row>
    <row r="30" spans="1:14" ht="12.95" customHeight="1">
      <c r="B30" s="10"/>
      <c r="C30" s="11"/>
      <c r="D30" s="11"/>
      <c r="E30" s="293">
        <v>821300</v>
      </c>
      <c r="F30" s="319"/>
      <c r="G30" s="11" t="s">
        <v>92</v>
      </c>
      <c r="H30" s="515">
        <v>500</v>
      </c>
      <c r="I30" s="515">
        <v>500</v>
      </c>
      <c r="J30" s="564">
        <v>0</v>
      </c>
      <c r="K30" s="556">
        <v>500</v>
      </c>
      <c r="L30" s="283">
        <v>0</v>
      </c>
      <c r="M30" s="548">
        <f t="shared" si="13"/>
        <v>500</v>
      </c>
      <c r="N30" s="334">
        <f t="shared" si="2"/>
        <v>100</v>
      </c>
    </row>
    <row r="31" spans="1:14" ht="12.95" customHeight="1">
      <c r="B31" s="10"/>
      <c r="C31" s="11"/>
      <c r="D31" s="11"/>
      <c r="E31" s="293"/>
      <c r="F31" s="319"/>
      <c r="G31" s="11"/>
      <c r="H31" s="516"/>
      <c r="I31" s="516"/>
      <c r="J31" s="566"/>
      <c r="K31" s="550"/>
      <c r="L31" s="279"/>
      <c r="M31" s="551"/>
      <c r="N31" s="334" t="str">
        <f t="shared" si="2"/>
        <v/>
      </c>
    </row>
    <row r="32" spans="1:14" s="1" customFormat="1" ht="12.95" customHeight="1">
      <c r="A32" s="269"/>
      <c r="B32" s="12"/>
      <c r="C32" s="8"/>
      <c r="D32" s="8"/>
      <c r="E32" s="292"/>
      <c r="F32" s="318"/>
      <c r="G32" s="8" t="s">
        <v>93</v>
      </c>
      <c r="H32" s="262">
        <v>3</v>
      </c>
      <c r="I32" s="262">
        <v>3</v>
      </c>
      <c r="J32" s="565">
        <v>3</v>
      </c>
      <c r="K32" s="558">
        <v>3</v>
      </c>
      <c r="L32" s="276"/>
      <c r="M32" s="553">
        <v>3</v>
      </c>
      <c r="N32" s="334"/>
    </row>
    <row r="33" spans="1:14" s="1" customFormat="1" ht="12.95" customHeight="1">
      <c r="A33" s="269"/>
      <c r="B33" s="12"/>
      <c r="C33" s="8"/>
      <c r="D33" s="8"/>
      <c r="E33" s="292"/>
      <c r="F33" s="318"/>
      <c r="G33" s="8" t="s">
        <v>113</v>
      </c>
      <c r="H33" s="262">
        <f t="shared" ref="H33:M33" si="14">H8+H13+H16+H28</f>
        <v>91520</v>
      </c>
      <c r="I33" s="276">
        <f t="shared" si="14"/>
        <v>91520</v>
      </c>
      <c r="J33" s="565">
        <f t="shared" si="14"/>
        <v>65807</v>
      </c>
      <c r="K33" s="558">
        <f t="shared" si="14"/>
        <v>93560</v>
      </c>
      <c r="L33" s="276">
        <f t="shared" si="14"/>
        <v>0</v>
      </c>
      <c r="M33" s="553">
        <f t="shared" si="14"/>
        <v>93560</v>
      </c>
      <c r="N33" s="333">
        <f t="shared" si="2"/>
        <v>102.22902097902097</v>
      </c>
    </row>
    <row r="34" spans="1:14" s="1" customFormat="1" ht="12.95" customHeight="1">
      <c r="A34" s="269"/>
      <c r="B34" s="12"/>
      <c r="C34" s="8"/>
      <c r="D34" s="8"/>
      <c r="E34" s="292"/>
      <c r="F34" s="318"/>
      <c r="G34" s="8" t="s">
        <v>94</v>
      </c>
      <c r="H34" s="262">
        <f t="shared" ref="H34:M34" si="15">H33</f>
        <v>91520</v>
      </c>
      <c r="I34" s="276">
        <f t="shared" si="15"/>
        <v>91520</v>
      </c>
      <c r="J34" s="565">
        <f t="shared" si="15"/>
        <v>65807</v>
      </c>
      <c r="K34" s="558">
        <f t="shared" si="15"/>
        <v>93560</v>
      </c>
      <c r="L34" s="276">
        <f t="shared" si="15"/>
        <v>0</v>
      </c>
      <c r="M34" s="553">
        <f t="shared" si="15"/>
        <v>93560</v>
      </c>
      <c r="N34" s="333">
        <f t="shared" si="2"/>
        <v>102.22902097902097</v>
      </c>
    </row>
    <row r="35" spans="1:14" s="1" customFormat="1" ht="12.95" customHeight="1">
      <c r="A35" s="269"/>
      <c r="B35" s="12"/>
      <c r="C35" s="8"/>
      <c r="D35" s="8"/>
      <c r="E35" s="292"/>
      <c r="F35" s="318"/>
      <c r="G35" s="8" t="s">
        <v>95</v>
      </c>
      <c r="H35" s="262">
        <f>H34+'13'!H34+'12'!H34+'11'!H35+'10'!H33</f>
        <v>1977170</v>
      </c>
      <c r="I35" s="276">
        <f>I34+'13'!I34+'12'!I34+'11'!I35+'10'!I33</f>
        <v>1977170</v>
      </c>
      <c r="J35" s="565">
        <f>J34+'13'!J34+'12'!J34+'11'!J35+'10'!J33</f>
        <v>1359337</v>
      </c>
      <c r="K35" s="558">
        <f>K34+'13'!K34+'12'!K34+'11'!K35+'10'!K33</f>
        <v>1907490</v>
      </c>
      <c r="L35" s="276">
        <f>L34+'13'!L34+'12'!L34+'11'!L35+'10'!L33</f>
        <v>0</v>
      </c>
      <c r="M35" s="553">
        <f>M34+'13'!M34+'12'!M34+'11'!M35+'10'!M33</f>
        <v>1907490</v>
      </c>
      <c r="N35" s="333">
        <f t="shared" si="2"/>
        <v>96.475770925110126</v>
      </c>
    </row>
    <row r="36" spans="1:14" ht="12.95" customHeight="1" thickBot="1">
      <c r="B36" s="15"/>
      <c r="C36" s="16"/>
      <c r="D36" s="16"/>
      <c r="E36" s="294"/>
      <c r="F36" s="320"/>
      <c r="G36" s="16"/>
      <c r="H36" s="518"/>
      <c r="I36" s="27"/>
      <c r="J36" s="567"/>
      <c r="K36" s="559"/>
      <c r="L36" s="27"/>
      <c r="M36" s="560"/>
      <c r="N36" s="336" t="str">
        <f t="shared" si="2"/>
        <v/>
      </c>
    </row>
    <row r="37" spans="1:14" ht="12.95" customHeight="1">
      <c r="E37" s="295"/>
      <c r="F37" s="321"/>
      <c r="M37" s="370"/>
      <c r="N37" s="337" t="str">
        <f t="shared" si="2"/>
        <v/>
      </c>
    </row>
    <row r="38" spans="1:14" ht="12.95" customHeight="1">
      <c r="B38" s="48"/>
      <c r="E38" s="295"/>
      <c r="F38" s="321"/>
      <c r="M38" s="370"/>
      <c r="N38" s="337" t="str">
        <f t="shared" si="2"/>
        <v/>
      </c>
    </row>
    <row r="39" spans="1:14" ht="12.95" customHeight="1">
      <c r="B39" s="48"/>
      <c r="E39" s="295"/>
      <c r="F39" s="321"/>
      <c r="M39" s="370"/>
      <c r="N39" s="337" t="str">
        <f t="shared" si="2"/>
        <v/>
      </c>
    </row>
    <row r="40" spans="1:14" ht="12.95" customHeight="1">
      <c r="E40" s="295"/>
      <c r="F40" s="321"/>
      <c r="M40" s="370"/>
      <c r="N40" s="337" t="str">
        <f t="shared" si="2"/>
        <v/>
      </c>
    </row>
    <row r="41" spans="1:14" ht="12.95" customHeight="1">
      <c r="E41" s="295"/>
      <c r="F41" s="321"/>
      <c r="M41" s="370"/>
      <c r="N41" s="337" t="str">
        <f t="shared" si="2"/>
        <v/>
      </c>
    </row>
    <row r="42" spans="1:14" ht="12.95" customHeight="1">
      <c r="E42" s="295"/>
      <c r="F42" s="321"/>
      <c r="M42" s="370"/>
      <c r="N42" s="337" t="str">
        <f t="shared" si="2"/>
        <v/>
      </c>
    </row>
    <row r="43" spans="1:14" ht="12.95" customHeight="1">
      <c r="E43" s="295"/>
      <c r="F43" s="321"/>
      <c r="M43" s="370"/>
      <c r="N43" s="337" t="str">
        <f t="shared" si="2"/>
        <v/>
      </c>
    </row>
    <row r="44" spans="1:14" ht="12.95" customHeight="1">
      <c r="E44" s="295"/>
      <c r="F44" s="321"/>
      <c r="M44" s="370"/>
      <c r="N44" s="337" t="str">
        <f t="shared" si="2"/>
        <v/>
      </c>
    </row>
    <row r="45" spans="1:14" ht="12.95" customHeight="1">
      <c r="E45" s="295"/>
      <c r="F45" s="321"/>
      <c r="M45" s="370"/>
      <c r="N45" s="337" t="str">
        <f t="shared" si="2"/>
        <v/>
      </c>
    </row>
    <row r="46" spans="1:14" ht="12.95" customHeight="1">
      <c r="E46" s="295"/>
      <c r="F46" s="321"/>
      <c r="M46" s="370"/>
      <c r="N46" s="337" t="str">
        <f t="shared" si="2"/>
        <v/>
      </c>
    </row>
    <row r="47" spans="1:14" ht="12.95" customHeight="1">
      <c r="E47" s="295"/>
      <c r="F47" s="321"/>
      <c r="M47" s="370"/>
      <c r="N47" s="337" t="str">
        <f t="shared" si="2"/>
        <v/>
      </c>
    </row>
    <row r="48" spans="1:14" ht="12.95" customHeight="1">
      <c r="E48" s="295"/>
      <c r="F48" s="321"/>
      <c r="M48" s="370"/>
      <c r="N48" s="337" t="str">
        <f t="shared" si="2"/>
        <v/>
      </c>
    </row>
    <row r="49" spans="5:14" ht="12.95" customHeight="1">
      <c r="E49" s="295"/>
      <c r="F49" s="321"/>
      <c r="M49" s="370"/>
      <c r="N49" s="337" t="str">
        <f t="shared" si="2"/>
        <v/>
      </c>
    </row>
    <row r="50" spans="5:14" ht="12.95" customHeight="1">
      <c r="E50" s="295"/>
      <c r="F50" s="321"/>
      <c r="M50" s="370"/>
      <c r="N50" s="337" t="str">
        <f t="shared" si="2"/>
        <v/>
      </c>
    </row>
    <row r="51" spans="5:14" ht="12.95" customHeight="1">
      <c r="E51" s="295"/>
      <c r="F51" s="321"/>
      <c r="M51" s="370"/>
      <c r="N51" s="337" t="str">
        <f t="shared" si="2"/>
        <v/>
      </c>
    </row>
    <row r="52" spans="5:14" ht="12.95" customHeight="1">
      <c r="E52" s="295"/>
      <c r="F52" s="321"/>
      <c r="M52" s="370"/>
      <c r="N52" s="337" t="str">
        <f t="shared" si="2"/>
        <v/>
      </c>
    </row>
    <row r="53" spans="5:14" ht="12.95" customHeight="1">
      <c r="E53" s="295"/>
      <c r="F53" s="321"/>
      <c r="M53" s="370"/>
      <c r="N53" s="337" t="str">
        <f t="shared" si="2"/>
        <v/>
      </c>
    </row>
    <row r="54" spans="5:14" ht="12.95" customHeight="1">
      <c r="E54" s="295"/>
      <c r="F54" s="321"/>
      <c r="M54" s="370"/>
      <c r="N54" s="337" t="str">
        <f t="shared" si="2"/>
        <v/>
      </c>
    </row>
    <row r="55" spans="5:14" ht="12.95" customHeight="1">
      <c r="E55" s="295"/>
      <c r="F55" s="321"/>
      <c r="M55" s="370"/>
      <c r="N55" s="337" t="str">
        <f t="shared" si="2"/>
        <v/>
      </c>
    </row>
    <row r="56" spans="5:14" ht="12.95" customHeight="1">
      <c r="E56" s="295"/>
      <c r="F56" s="321"/>
      <c r="M56" s="370"/>
      <c r="N56" s="337" t="str">
        <f t="shared" si="2"/>
        <v/>
      </c>
    </row>
    <row r="57" spans="5:14" ht="12.95" customHeight="1">
      <c r="E57" s="295"/>
      <c r="F57" s="321"/>
      <c r="M57" s="370"/>
      <c r="N57" s="337" t="str">
        <f t="shared" si="2"/>
        <v/>
      </c>
    </row>
    <row r="58" spans="5:14" ht="12.95" customHeight="1">
      <c r="E58" s="295"/>
      <c r="F58" s="321"/>
      <c r="M58" s="370"/>
      <c r="N58" s="337" t="str">
        <f t="shared" si="2"/>
        <v/>
      </c>
    </row>
    <row r="59" spans="5:14" ht="12.95" customHeight="1">
      <c r="E59" s="295"/>
      <c r="F59" s="321"/>
      <c r="M59" s="370"/>
      <c r="N59" s="337" t="str">
        <f t="shared" si="2"/>
        <v/>
      </c>
    </row>
    <row r="60" spans="5:14" ht="17.100000000000001" customHeight="1">
      <c r="E60" s="295"/>
      <c r="F60" s="321"/>
      <c r="M60" s="370"/>
      <c r="N60" s="337" t="str">
        <f t="shared" si="2"/>
        <v/>
      </c>
    </row>
    <row r="61" spans="5:14" ht="14.25">
      <c r="E61" s="295"/>
      <c r="F61" s="321"/>
      <c r="M61" s="370"/>
      <c r="N61" s="337" t="str">
        <f t="shared" si="2"/>
        <v/>
      </c>
    </row>
    <row r="62" spans="5:14" ht="14.25">
      <c r="E62" s="295"/>
      <c r="F62" s="321"/>
      <c r="M62" s="370"/>
      <c r="N62" s="337" t="str">
        <f t="shared" si="2"/>
        <v/>
      </c>
    </row>
    <row r="63" spans="5:14" ht="14.25">
      <c r="E63" s="295"/>
      <c r="F63" s="321"/>
      <c r="M63" s="370"/>
      <c r="N63" s="337" t="str">
        <f t="shared" si="2"/>
        <v/>
      </c>
    </row>
    <row r="64" spans="5:14" ht="14.25">
      <c r="E64" s="295"/>
      <c r="F64" s="321"/>
      <c r="M64" s="370"/>
      <c r="N64" s="337" t="str">
        <f t="shared" si="2"/>
        <v/>
      </c>
    </row>
    <row r="65" spans="5:14" ht="14.25">
      <c r="E65" s="295"/>
      <c r="F65" s="321"/>
      <c r="M65" s="370"/>
      <c r="N65" s="337" t="str">
        <f t="shared" si="2"/>
        <v/>
      </c>
    </row>
    <row r="66" spans="5:14" ht="14.25">
      <c r="E66" s="295"/>
      <c r="F66" s="321"/>
      <c r="M66" s="370"/>
      <c r="N66" s="337" t="str">
        <f t="shared" si="2"/>
        <v/>
      </c>
    </row>
    <row r="67" spans="5:14" ht="14.25">
      <c r="E67" s="295"/>
      <c r="F67" s="321"/>
      <c r="M67" s="370"/>
      <c r="N67" s="337" t="str">
        <f t="shared" si="2"/>
        <v/>
      </c>
    </row>
    <row r="68" spans="5:14" ht="14.25">
      <c r="E68" s="295"/>
      <c r="F68" s="321"/>
      <c r="M68" s="370"/>
      <c r="N68" s="337" t="str">
        <f t="shared" si="2"/>
        <v/>
      </c>
    </row>
    <row r="69" spans="5:14" ht="14.25">
      <c r="E69" s="295"/>
      <c r="F69" s="321"/>
      <c r="M69" s="370"/>
      <c r="N69" s="337" t="str">
        <f t="shared" si="2"/>
        <v/>
      </c>
    </row>
    <row r="70" spans="5:14" ht="14.25">
      <c r="E70" s="295"/>
      <c r="F70" s="321"/>
      <c r="M70" s="370"/>
      <c r="N70" s="337" t="str">
        <f t="shared" si="2"/>
        <v/>
      </c>
    </row>
    <row r="71" spans="5:14" ht="14.25">
      <c r="E71" s="295"/>
      <c r="F71" s="321"/>
      <c r="M71" s="370"/>
      <c r="N71" s="337" t="str">
        <f t="shared" si="2"/>
        <v/>
      </c>
    </row>
    <row r="72" spans="5:14" ht="14.25">
      <c r="E72" s="295"/>
      <c r="F72" s="321"/>
      <c r="M72" s="370"/>
      <c r="N72" s="337" t="str">
        <f t="shared" si="2"/>
        <v/>
      </c>
    </row>
    <row r="73" spans="5:14" ht="14.25">
      <c r="E73" s="295"/>
      <c r="F73" s="321"/>
      <c r="M73" s="370"/>
      <c r="N73" s="337" t="str">
        <f t="shared" ref="N73:N77" si="16">IF(I73=0,"",M73/I73*100)</f>
        <v/>
      </c>
    </row>
    <row r="74" spans="5:14" ht="14.25">
      <c r="E74" s="295"/>
      <c r="F74" s="295"/>
      <c r="M74" s="370"/>
      <c r="N74" s="337" t="str">
        <f t="shared" si="16"/>
        <v/>
      </c>
    </row>
    <row r="75" spans="5:14" ht="14.25">
      <c r="E75" s="295"/>
      <c r="F75" s="295"/>
      <c r="M75" s="370"/>
      <c r="N75" s="337" t="str">
        <f t="shared" si="16"/>
        <v/>
      </c>
    </row>
    <row r="76" spans="5:14" ht="14.25">
      <c r="E76" s="295"/>
      <c r="F76" s="295"/>
      <c r="M76" s="370"/>
      <c r="N76" s="337" t="str">
        <f t="shared" si="16"/>
        <v/>
      </c>
    </row>
    <row r="77" spans="5:14" ht="14.25">
      <c r="E77" s="295"/>
      <c r="F77" s="295"/>
      <c r="M77" s="370"/>
      <c r="N77" s="337" t="str">
        <f t="shared" si="16"/>
        <v/>
      </c>
    </row>
    <row r="78" spans="5:14" ht="14.25">
      <c r="E78" s="295"/>
      <c r="F78" s="295"/>
      <c r="M78" s="370"/>
    </row>
    <row r="79" spans="5:14" ht="14.25">
      <c r="E79" s="295"/>
      <c r="F79" s="295"/>
      <c r="M79" s="370"/>
    </row>
    <row r="80" spans="5:14" ht="14.25">
      <c r="E80" s="295"/>
      <c r="F80" s="295"/>
      <c r="M80" s="370"/>
    </row>
    <row r="81" spans="5:13" ht="14.25">
      <c r="E81" s="295"/>
      <c r="F81" s="295"/>
      <c r="M81" s="370"/>
    </row>
    <row r="82" spans="5:13" ht="14.25">
      <c r="E82" s="295"/>
      <c r="F82" s="295"/>
      <c r="M82" s="370"/>
    </row>
    <row r="83" spans="5:13" ht="14.25">
      <c r="E83" s="295"/>
      <c r="F83" s="295"/>
      <c r="M83" s="370"/>
    </row>
    <row r="84" spans="5:13" ht="14.25">
      <c r="E84" s="295"/>
      <c r="F84" s="295"/>
      <c r="M84" s="370"/>
    </row>
    <row r="85" spans="5:13" ht="14.25">
      <c r="E85" s="295"/>
      <c r="F85" s="295"/>
      <c r="M85" s="370"/>
    </row>
    <row r="86" spans="5:13" ht="14.25">
      <c r="E86" s="295"/>
      <c r="F86" s="295"/>
      <c r="M86" s="370"/>
    </row>
    <row r="87" spans="5:13" ht="14.25">
      <c r="E87" s="295"/>
      <c r="F87" s="295"/>
      <c r="M87" s="370"/>
    </row>
    <row r="88" spans="5:13" ht="14.25">
      <c r="E88" s="295"/>
      <c r="F88" s="295"/>
      <c r="M88" s="370"/>
    </row>
    <row r="89" spans="5:13" ht="14.25">
      <c r="E89" s="295"/>
      <c r="F89" s="295"/>
      <c r="M89" s="370"/>
    </row>
    <row r="90" spans="5:13" ht="14.25">
      <c r="E90" s="295"/>
      <c r="F90" s="295"/>
      <c r="M90" s="370"/>
    </row>
    <row r="91" spans="5:13">
      <c r="F91" s="295"/>
    </row>
    <row r="92" spans="5:13">
      <c r="F92" s="295"/>
    </row>
    <row r="93" spans="5:13">
      <c r="F93" s="295"/>
    </row>
    <row r="94" spans="5:13">
      <c r="F94" s="295"/>
    </row>
    <row r="95" spans="5:13">
      <c r="F95" s="295"/>
    </row>
    <row r="96" spans="5:13">
      <c r="F96" s="295"/>
    </row>
  </sheetData>
  <mergeCells count="12">
    <mergeCell ref="B2:I2"/>
    <mergeCell ref="N4:N5"/>
    <mergeCell ref="G4:G5"/>
    <mergeCell ref="B4:B5"/>
    <mergeCell ref="C4:C5"/>
    <mergeCell ref="D4:D5"/>
    <mergeCell ref="F4:F5"/>
    <mergeCell ref="E4:E5"/>
    <mergeCell ref="K4:M4"/>
    <mergeCell ref="H4:H5"/>
    <mergeCell ref="I4:I5"/>
    <mergeCell ref="J4:J5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34"/>
  <sheetViews>
    <sheetView zoomScaleNormal="100" workbookViewId="0">
      <selection activeCell="N31" sqref="N31"/>
    </sheetView>
  </sheetViews>
  <sheetFormatPr defaultRowHeight="12.75"/>
  <cols>
    <col min="1" max="1" width="3.28515625" style="33" customWidth="1"/>
    <col min="7" max="7" width="10.7109375" customWidth="1"/>
    <col min="8" max="8" width="0.140625" hidden="1" customWidth="1"/>
    <col min="9" max="9" width="2.7109375" hidden="1" customWidth="1"/>
    <col min="10" max="10" width="8.28515625" style="33" customWidth="1"/>
    <col min="11" max="11" width="2.42578125" customWidth="1"/>
    <col min="12" max="12" width="4.140625" customWidth="1"/>
    <col min="19" max="19" width="3.85546875" customWidth="1"/>
    <col min="20" max="20" width="2.5703125" customWidth="1"/>
    <col min="21" max="21" width="8.5703125" customWidth="1"/>
  </cols>
  <sheetData>
    <row r="1" spans="1:21" ht="15.75">
      <c r="A1" s="689" t="s">
        <v>222</v>
      </c>
      <c r="B1" s="689"/>
      <c r="C1" s="689"/>
      <c r="D1" s="689"/>
      <c r="E1" s="689"/>
      <c r="F1" s="689"/>
      <c r="G1" s="689"/>
      <c r="H1" s="689"/>
      <c r="I1" s="689"/>
    </row>
    <row r="3" spans="1:21" s="39" customFormat="1">
      <c r="A3" s="483" t="s">
        <v>264</v>
      </c>
      <c r="B3" s="686" t="s">
        <v>266</v>
      </c>
      <c r="C3" s="687"/>
      <c r="D3" s="687"/>
      <c r="E3" s="687"/>
      <c r="F3" s="687"/>
      <c r="G3" s="687"/>
      <c r="H3" s="687"/>
      <c r="I3" s="688"/>
      <c r="J3" s="483" t="s">
        <v>248</v>
      </c>
      <c r="L3" s="483" t="s">
        <v>264</v>
      </c>
      <c r="M3" s="686" t="s">
        <v>266</v>
      </c>
      <c r="N3" s="687"/>
      <c r="O3" s="687"/>
      <c r="P3" s="687"/>
      <c r="Q3" s="687"/>
      <c r="R3" s="687"/>
      <c r="S3" s="687"/>
      <c r="T3" s="688"/>
      <c r="U3" s="483" t="s">
        <v>248</v>
      </c>
    </row>
    <row r="4" spans="1:21" s="30" customFormat="1" ht="17.100000000000001" customHeight="1">
      <c r="A4" s="467" t="s">
        <v>223</v>
      </c>
      <c r="B4" s="683" t="s">
        <v>224</v>
      </c>
      <c r="C4" s="684"/>
      <c r="D4" s="684"/>
      <c r="E4" s="684"/>
      <c r="F4" s="684"/>
      <c r="G4" s="684"/>
      <c r="H4" s="684"/>
      <c r="I4" s="685"/>
      <c r="J4" s="467">
        <v>3</v>
      </c>
      <c r="K4" s="468"/>
      <c r="L4" s="469" t="s">
        <v>759</v>
      </c>
      <c r="M4" s="677" t="s">
        <v>254</v>
      </c>
      <c r="N4" s="678"/>
      <c r="O4" s="678"/>
      <c r="P4" s="678"/>
      <c r="Q4" s="678"/>
      <c r="R4" s="678"/>
      <c r="S4" s="678"/>
      <c r="T4" s="679"/>
      <c r="U4" s="469">
        <v>42</v>
      </c>
    </row>
    <row r="5" spans="1:21" s="30" customFormat="1" ht="17.100000000000001" customHeight="1">
      <c r="A5" s="470" t="s">
        <v>225</v>
      </c>
      <c r="B5" s="680" t="s">
        <v>226</v>
      </c>
      <c r="C5" s="681"/>
      <c r="D5" s="681"/>
      <c r="E5" s="681"/>
      <c r="F5" s="681"/>
      <c r="G5" s="681"/>
      <c r="H5" s="681"/>
      <c r="I5" s="682"/>
      <c r="J5" s="470">
        <v>4</v>
      </c>
      <c r="K5" s="468"/>
      <c r="L5" s="470" t="s">
        <v>760</v>
      </c>
      <c r="M5" s="471" t="s">
        <v>255</v>
      </c>
      <c r="N5" s="472"/>
      <c r="O5" s="472"/>
      <c r="P5" s="472"/>
      <c r="Q5" s="472"/>
      <c r="R5" s="472"/>
      <c r="S5" s="472"/>
      <c r="T5" s="473"/>
      <c r="U5" s="470">
        <v>43</v>
      </c>
    </row>
    <row r="6" spans="1:21" s="30" customFormat="1" ht="17.100000000000001" customHeight="1">
      <c r="A6" s="470" t="s">
        <v>227</v>
      </c>
      <c r="B6" s="680" t="s">
        <v>439</v>
      </c>
      <c r="C6" s="681"/>
      <c r="D6" s="681"/>
      <c r="E6" s="681"/>
      <c r="F6" s="681"/>
      <c r="G6" s="681"/>
      <c r="H6" s="681"/>
      <c r="I6" s="682"/>
      <c r="J6" s="470">
        <v>12</v>
      </c>
      <c r="K6" s="468"/>
      <c r="L6" s="470" t="s">
        <v>761</v>
      </c>
      <c r="M6" s="471" t="s">
        <v>256</v>
      </c>
      <c r="N6" s="472"/>
      <c r="O6" s="472"/>
      <c r="P6" s="472"/>
      <c r="Q6" s="472"/>
      <c r="R6" s="472"/>
      <c r="S6" s="472"/>
      <c r="T6" s="473"/>
      <c r="U6" s="470">
        <v>44</v>
      </c>
    </row>
    <row r="7" spans="1:21" s="30" customFormat="1" ht="17.100000000000001" customHeight="1">
      <c r="A7" s="470" t="s">
        <v>228</v>
      </c>
      <c r="B7" s="680" t="s">
        <v>229</v>
      </c>
      <c r="C7" s="681"/>
      <c r="D7" s="681"/>
      <c r="E7" s="681"/>
      <c r="F7" s="681"/>
      <c r="G7" s="681"/>
      <c r="H7" s="681"/>
      <c r="I7" s="682"/>
      <c r="J7" s="470">
        <v>15</v>
      </c>
      <c r="K7" s="468"/>
      <c r="L7" s="470" t="s">
        <v>762</v>
      </c>
      <c r="M7" s="471" t="s">
        <v>257</v>
      </c>
      <c r="N7" s="472"/>
      <c r="O7" s="472"/>
      <c r="P7" s="472"/>
      <c r="Q7" s="472"/>
      <c r="R7" s="472"/>
      <c r="S7" s="472"/>
      <c r="T7" s="473"/>
      <c r="U7" s="470">
        <v>45</v>
      </c>
    </row>
    <row r="8" spans="1:21" s="30" customFormat="1" ht="17.100000000000001" customHeight="1">
      <c r="A8" s="470" t="s">
        <v>265</v>
      </c>
      <c r="B8" s="680" t="s">
        <v>230</v>
      </c>
      <c r="C8" s="681"/>
      <c r="D8" s="681"/>
      <c r="E8" s="681"/>
      <c r="F8" s="681"/>
      <c r="G8" s="681"/>
      <c r="H8" s="681"/>
      <c r="I8" s="682"/>
      <c r="J8" s="470">
        <v>16</v>
      </c>
      <c r="K8" s="468"/>
      <c r="L8" s="470" t="s">
        <v>763</v>
      </c>
      <c r="M8" s="471" t="s">
        <v>258</v>
      </c>
      <c r="N8" s="472"/>
      <c r="O8" s="472"/>
      <c r="P8" s="472"/>
      <c r="Q8" s="472"/>
      <c r="R8" s="472"/>
      <c r="S8" s="472"/>
      <c r="T8" s="473"/>
      <c r="U8" s="470">
        <v>46</v>
      </c>
    </row>
    <row r="9" spans="1:21" s="30" customFormat="1" ht="17.100000000000001" customHeight="1">
      <c r="A9" s="470" t="s">
        <v>734</v>
      </c>
      <c r="B9" s="680" t="s">
        <v>231</v>
      </c>
      <c r="C9" s="681"/>
      <c r="D9" s="681"/>
      <c r="E9" s="681"/>
      <c r="F9" s="681"/>
      <c r="G9" s="681"/>
      <c r="H9" s="681"/>
      <c r="I9" s="682"/>
      <c r="J9" s="470">
        <v>17</v>
      </c>
      <c r="K9" s="468"/>
      <c r="L9" s="470" t="s">
        <v>764</v>
      </c>
      <c r="M9" s="471" t="s">
        <v>259</v>
      </c>
      <c r="N9" s="472"/>
      <c r="O9" s="472"/>
      <c r="P9" s="472"/>
      <c r="Q9" s="472"/>
      <c r="R9" s="472"/>
      <c r="S9" s="472"/>
      <c r="T9" s="473"/>
      <c r="U9" s="470">
        <v>47</v>
      </c>
    </row>
    <row r="10" spans="1:21" s="30" customFormat="1" ht="17.100000000000001" customHeight="1">
      <c r="A10" s="470" t="s">
        <v>735</v>
      </c>
      <c r="B10" s="680" t="s">
        <v>232</v>
      </c>
      <c r="C10" s="681"/>
      <c r="D10" s="681"/>
      <c r="E10" s="681"/>
      <c r="F10" s="681"/>
      <c r="G10" s="681"/>
      <c r="H10" s="681"/>
      <c r="I10" s="682"/>
      <c r="J10" s="470">
        <v>18</v>
      </c>
      <c r="K10" s="468"/>
      <c r="L10" s="470" t="s">
        <v>765</v>
      </c>
      <c r="M10" s="680" t="s">
        <v>260</v>
      </c>
      <c r="N10" s="681"/>
      <c r="O10" s="681"/>
      <c r="P10" s="681"/>
      <c r="Q10" s="681"/>
      <c r="R10" s="681"/>
      <c r="S10" s="681"/>
      <c r="T10" s="682"/>
      <c r="U10" s="470">
        <v>48</v>
      </c>
    </row>
    <row r="11" spans="1:21" s="30" customFormat="1" ht="17.100000000000001" customHeight="1">
      <c r="A11" s="470" t="s">
        <v>736</v>
      </c>
      <c r="B11" s="680" t="s">
        <v>233</v>
      </c>
      <c r="C11" s="681"/>
      <c r="D11" s="681"/>
      <c r="E11" s="681"/>
      <c r="F11" s="681"/>
      <c r="G11" s="681"/>
      <c r="H11" s="681"/>
      <c r="I11" s="682"/>
      <c r="J11" s="470">
        <v>19</v>
      </c>
      <c r="K11" s="468"/>
      <c r="L11" s="470" t="s">
        <v>766</v>
      </c>
      <c r="M11" s="680" t="s">
        <v>261</v>
      </c>
      <c r="N11" s="681"/>
      <c r="O11" s="681"/>
      <c r="P11" s="681"/>
      <c r="Q11" s="681"/>
      <c r="R11" s="681"/>
      <c r="S11" s="681"/>
      <c r="T11" s="682"/>
      <c r="U11" s="470">
        <v>49</v>
      </c>
    </row>
    <row r="12" spans="1:21" s="30" customFormat="1" ht="17.100000000000001" customHeight="1">
      <c r="A12" s="470" t="s">
        <v>737</v>
      </c>
      <c r="B12" s="680" t="s">
        <v>234</v>
      </c>
      <c r="C12" s="681"/>
      <c r="D12" s="681"/>
      <c r="E12" s="681"/>
      <c r="F12" s="681"/>
      <c r="G12" s="681"/>
      <c r="H12" s="681"/>
      <c r="I12" s="682"/>
      <c r="J12" s="470">
        <v>20</v>
      </c>
      <c r="K12" s="468"/>
      <c r="L12" s="470" t="s">
        <v>767</v>
      </c>
      <c r="M12" s="680" t="s">
        <v>262</v>
      </c>
      <c r="N12" s="681"/>
      <c r="O12" s="681"/>
      <c r="P12" s="681"/>
      <c r="Q12" s="681"/>
      <c r="R12" s="681"/>
      <c r="S12" s="681"/>
      <c r="T12" s="682"/>
      <c r="U12" s="470">
        <v>50</v>
      </c>
    </row>
    <row r="13" spans="1:21" s="30" customFormat="1" ht="17.100000000000001" customHeight="1">
      <c r="A13" s="470" t="s">
        <v>738</v>
      </c>
      <c r="B13" s="680" t="s">
        <v>605</v>
      </c>
      <c r="C13" s="681"/>
      <c r="D13" s="681"/>
      <c r="E13" s="681"/>
      <c r="F13" s="681"/>
      <c r="G13" s="681"/>
      <c r="H13" s="681"/>
      <c r="I13" s="682"/>
      <c r="J13" s="470">
        <v>21</v>
      </c>
      <c r="K13" s="468"/>
      <c r="L13" s="470" t="s">
        <v>768</v>
      </c>
      <c r="M13" s="680" t="s">
        <v>263</v>
      </c>
      <c r="N13" s="681"/>
      <c r="O13" s="681"/>
      <c r="P13" s="681"/>
      <c r="Q13" s="681"/>
      <c r="R13" s="681"/>
      <c r="S13" s="681"/>
      <c r="T13" s="682"/>
      <c r="U13" s="470">
        <v>51</v>
      </c>
    </row>
    <row r="14" spans="1:21" s="30" customFormat="1" ht="17.100000000000001" customHeight="1">
      <c r="A14" s="470" t="s">
        <v>739</v>
      </c>
      <c r="B14" s="680" t="s">
        <v>235</v>
      </c>
      <c r="C14" s="681"/>
      <c r="D14" s="681"/>
      <c r="E14" s="681"/>
      <c r="F14" s="681"/>
      <c r="G14" s="681"/>
      <c r="H14" s="681"/>
      <c r="I14" s="682"/>
      <c r="J14" s="470">
        <v>22</v>
      </c>
      <c r="K14" s="468"/>
      <c r="L14" s="470" t="s">
        <v>769</v>
      </c>
      <c r="M14" s="690" t="s">
        <v>859</v>
      </c>
      <c r="N14" s="681"/>
      <c r="O14" s="681"/>
      <c r="P14" s="681"/>
      <c r="Q14" s="681"/>
      <c r="R14" s="681"/>
      <c r="S14" s="681"/>
      <c r="T14" s="682"/>
      <c r="U14" s="470">
        <v>52</v>
      </c>
    </row>
    <row r="15" spans="1:21" s="30" customFormat="1" ht="17.100000000000001" customHeight="1">
      <c r="A15" s="470" t="s">
        <v>740</v>
      </c>
      <c r="B15" s="680" t="s">
        <v>236</v>
      </c>
      <c r="C15" s="681"/>
      <c r="D15" s="681"/>
      <c r="E15" s="681"/>
      <c r="F15" s="681"/>
      <c r="G15" s="681"/>
      <c r="H15" s="681"/>
      <c r="I15" s="682"/>
      <c r="J15" s="470">
        <v>23</v>
      </c>
      <c r="K15" s="468"/>
      <c r="L15" s="470" t="s">
        <v>770</v>
      </c>
      <c r="M15" s="496" t="s">
        <v>804</v>
      </c>
      <c r="N15" s="494"/>
      <c r="O15" s="494"/>
      <c r="P15" s="494"/>
      <c r="Q15" s="494"/>
      <c r="R15" s="494"/>
      <c r="S15" s="494"/>
      <c r="T15" s="495"/>
      <c r="U15" s="470">
        <v>53</v>
      </c>
    </row>
    <row r="16" spans="1:21" s="30" customFormat="1" ht="17.100000000000001" customHeight="1">
      <c r="A16" s="470" t="s">
        <v>741</v>
      </c>
      <c r="B16" s="680" t="s">
        <v>237</v>
      </c>
      <c r="C16" s="681"/>
      <c r="D16" s="681"/>
      <c r="E16" s="681"/>
      <c r="F16" s="681"/>
      <c r="G16" s="681"/>
      <c r="H16" s="681"/>
      <c r="I16" s="682"/>
      <c r="J16" s="470">
        <v>24</v>
      </c>
      <c r="K16" s="468"/>
      <c r="L16" s="470" t="s">
        <v>771</v>
      </c>
      <c r="M16" s="496" t="s">
        <v>805</v>
      </c>
      <c r="N16" s="494"/>
      <c r="O16" s="494"/>
      <c r="P16" s="494"/>
      <c r="Q16" s="494"/>
      <c r="R16" s="494"/>
      <c r="S16" s="494"/>
      <c r="T16" s="495"/>
      <c r="U16" s="470">
        <v>56</v>
      </c>
    </row>
    <row r="17" spans="1:21" s="30" customFormat="1" ht="17.100000000000001" customHeight="1">
      <c r="A17" s="470" t="s">
        <v>742</v>
      </c>
      <c r="B17" s="680" t="s">
        <v>238</v>
      </c>
      <c r="C17" s="681"/>
      <c r="D17" s="681"/>
      <c r="E17" s="681"/>
      <c r="F17" s="681"/>
      <c r="G17" s="681"/>
      <c r="H17" s="681"/>
      <c r="I17" s="682"/>
      <c r="J17" s="470">
        <v>25</v>
      </c>
      <c r="K17" s="468"/>
      <c r="L17" s="474" t="s">
        <v>772</v>
      </c>
      <c r="M17" s="691" t="s">
        <v>806</v>
      </c>
      <c r="N17" s="691"/>
      <c r="O17" s="691"/>
      <c r="P17" s="691"/>
      <c r="Q17" s="691"/>
      <c r="R17" s="691"/>
      <c r="S17" s="691"/>
      <c r="T17" s="691"/>
      <c r="U17" s="474">
        <v>57</v>
      </c>
    </row>
    <row r="18" spans="1:21" s="30" customFormat="1" ht="17.100000000000001" customHeight="1">
      <c r="A18" s="470" t="s">
        <v>743</v>
      </c>
      <c r="B18" s="680" t="s">
        <v>239</v>
      </c>
      <c r="C18" s="681"/>
      <c r="D18" s="681"/>
      <c r="E18" s="681"/>
      <c r="F18" s="681"/>
      <c r="G18" s="681"/>
      <c r="H18" s="681"/>
      <c r="I18" s="682"/>
      <c r="J18" s="470">
        <v>26</v>
      </c>
      <c r="K18" s="468"/>
      <c r="L18" s="468"/>
      <c r="M18" s="468"/>
      <c r="N18" s="468"/>
      <c r="O18" s="468"/>
      <c r="P18" s="468"/>
      <c r="Q18" s="468"/>
      <c r="R18" s="468"/>
      <c r="S18" s="468"/>
      <c r="T18" s="468"/>
      <c r="U18" s="468"/>
    </row>
    <row r="19" spans="1:21" s="30" customFormat="1" ht="17.100000000000001" customHeight="1">
      <c r="A19" s="470" t="s">
        <v>744</v>
      </c>
      <c r="B19" s="680" t="s">
        <v>240</v>
      </c>
      <c r="C19" s="681"/>
      <c r="D19" s="681"/>
      <c r="E19" s="681"/>
      <c r="F19" s="681"/>
      <c r="G19" s="681"/>
      <c r="H19" s="681"/>
      <c r="I19" s="682"/>
      <c r="J19" s="470">
        <v>27</v>
      </c>
      <c r="K19" s="468"/>
      <c r="L19" s="468"/>
      <c r="M19" s="468"/>
      <c r="N19" s="468"/>
      <c r="O19" s="468"/>
      <c r="P19" s="468"/>
      <c r="Q19" s="468"/>
      <c r="R19" s="468"/>
      <c r="S19" s="468"/>
      <c r="T19" s="468"/>
      <c r="U19" s="468"/>
    </row>
    <row r="20" spans="1:21" s="30" customFormat="1" ht="17.100000000000001" customHeight="1">
      <c r="A20" s="470" t="s">
        <v>745</v>
      </c>
      <c r="B20" s="680" t="s">
        <v>241</v>
      </c>
      <c r="C20" s="681"/>
      <c r="D20" s="681"/>
      <c r="E20" s="681"/>
      <c r="F20" s="681"/>
      <c r="G20" s="681"/>
      <c r="H20" s="681"/>
      <c r="I20" s="682"/>
      <c r="J20" s="470">
        <v>28</v>
      </c>
      <c r="K20" s="468"/>
      <c r="L20" s="468"/>
      <c r="M20" s="468"/>
      <c r="N20" s="468"/>
      <c r="O20" s="468"/>
      <c r="P20" s="468"/>
      <c r="Q20" s="468"/>
      <c r="R20" s="468"/>
      <c r="S20" s="468"/>
      <c r="T20" s="468"/>
      <c r="U20" s="468"/>
    </row>
    <row r="21" spans="1:21" s="30" customFormat="1" ht="17.100000000000001" customHeight="1">
      <c r="A21" s="470" t="s">
        <v>746</v>
      </c>
      <c r="B21" s="680" t="s">
        <v>242</v>
      </c>
      <c r="C21" s="681"/>
      <c r="D21" s="681"/>
      <c r="E21" s="681"/>
      <c r="F21" s="681"/>
      <c r="G21" s="681"/>
      <c r="H21" s="681"/>
      <c r="I21" s="682"/>
      <c r="J21" s="470">
        <v>29</v>
      </c>
      <c r="K21" s="468"/>
      <c r="L21" s="468"/>
      <c r="M21" s="468"/>
      <c r="N21" s="468"/>
      <c r="O21" s="468"/>
      <c r="P21" s="468"/>
      <c r="Q21" s="468"/>
      <c r="R21" s="468"/>
      <c r="S21" s="468"/>
      <c r="T21" s="468"/>
      <c r="U21" s="468"/>
    </row>
    <row r="22" spans="1:21" s="30" customFormat="1" ht="17.100000000000001" customHeight="1">
      <c r="A22" s="470" t="s">
        <v>747</v>
      </c>
      <c r="B22" s="680" t="s">
        <v>243</v>
      </c>
      <c r="C22" s="681"/>
      <c r="D22" s="681"/>
      <c r="E22" s="681"/>
      <c r="F22" s="681"/>
      <c r="G22" s="681"/>
      <c r="H22" s="681"/>
      <c r="I22" s="682"/>
      <c r="J22" s="470">
        <v>30</v>
      </c>
      <c r="K22" s="468"/>
      <c r="L22" s="468"/>
      <c r="M22" s="468"/>
      <c r="N22" s="468"/>
      <c r="O22" s="468"/>
      <c r="P22" s="468"/>
      <c r="Q22" s="468"/>
      <c r="R22" s="468"/>
      <c r="S22" s="468"/>
      <c r="T22" s="468"/>
      <c r="U22" s="468"/>
    </row>
    <row r="23" spans="1:21" s="30" customFormat="1" ht="17.100000000000001" customHeight="1">
      <c r="A23" s="470" t="s">
        <v>748</v>
      </c>
      <c r="B23" s="680" t="s">
        <v>244</v>
      </c>
      <c r="C23" s="681"/>
      <c r="D23" s="681"/>
      <c r="E23" s="681"/>
      <c r="F23" s="681"/>
      <c r="G23" s="681"/>
      <c r="H23" s="681"/>
      <c r="I23" s="682"/>
      <c r="J23" s="470">
        <v>31</v>
      </c>
      <c r="K23" s="468"/>
      <c r="L23" s="468"/>
      <c r="M23" s="468"/>
      <c r="N23" s="468"/>
      <c r="O23" s="468"/>
      <c r="P23" s="468"/>
      <c r="Q23" s="468"/>
      <c r="R23" s="468"/>
      <c r="S23" s="468"/>
      <c r="T23" s="468"/>
      <c r="U23" s="468"/>
    </row>
    <row r="24" spans="1:21" s="30" customFormat="1" ht="17.100000000000001" customHeight="1">
      <c r="A24" s="470" t="s">
        <v>749</v>
      </c>
      <c r="B24" s="680" t="s">
        <v>245</v>
      </c>
      <c r="C24" s="681"/>
      <c r="D24" s="681"/>
      <c r="E24" s="681"/>
      <c r="F24" s="681"/>
      <c r="G24" s="681"/>
      <c r="H24" s="681"/>
      <c r="I24" s="682"/>
      <c r="J24" s="470">
        <v>32</v>
      </c>
      <c r="K24" s="468"/>
      <c r="L24" s="468"/>
      <c r="M24" s="468"/>
      <c r="N24" s="468"/>
      <c r="O24" s="468"/>
      <c r="P24" s="468"/>
      <c r="Q24" s="468"/>
      <c r="R24" s="468"/>
      <c r="S24" s="468"/>
      <c r="T24" s="468"/>
      <c r="U24" s="468"/>
    </row>
    <row r="25" spans="1:21" s="30" customFormat="1" ht="17.100000000000001" customHeight="1">
      <c r="A25" s="470" t="s">
        <v>750</v>
      </c>
      <c r="B25" s="680" t="s">
        <v>246</v>
      </c>
      <c r="C25" s="681"/>
      <c r="D25" s="681"/>
      <c r="E25" s="681"/>
      <c r="F25" s="681"/>
      <c r="G25" s="681"/>
      <c r="H25" s="681"/>
      <c r="I25" s="682"/>
      <c r="J25" s="470">
        <v>33</v>
      </c>
      <c r="K25" s="468"/>
      <c r="L25" s="468"/>
      <c r="M25" s="468"/>
      <c r="N25" s="468"/>
      <c r="O25" s="468"/>
      <c r="P25" s="468"/>
      <c r="Q25" s="468"/>
      <c r="R25" s="468"/>
      <c r="S25" s="468"/>
      <c r="T25" s="468"/>
      <c r="U25" s="468"/>
    </row>
    <row r="26" spans="1:21" s="30" customFormat="1" ht="17.100000000000001" customHeight="1">
      <c r="A26" s="470" t="s">
        <v>751</v>
      </c>
      <c r="B26" s="680" t="s">
        <v>247</v>
      </c>
      <c r="C26" s="681"/>
      <c r="D26" s="681"/>
      <c r="E26" s="681"/>
      <c r="F26" s="681"/>
      <c r="G26" s="681"/>
      <c r="H26" s="681"/>
      <c r="I26" s="682"/>
      <c r="J26" s="470">
        <v>34</v>
      </c>
      <c r="K26" s="468"/>
      <c r="L26" s="468"/>
      <c r="M26" s="468"/>
      <c r="N26" s="468"/>
      <c r="O26" s="468"/>
      <c r="P26" s="468"/>
      <c r="Q26" s="468"/>
      <c r="R26" s="468"/>
      <c r="S26" s="468"/>
      <c r="T26" s="468"/>
      <c r="U26" s="468"/>
    </row>
    <row r="27" spans="1:21" s="30" customFormat="1" ht="17.100000000000001" customHeight="1">
      <c r="A27" s="470" t="s">
        <v>752</v>
      </c>
      <c r="B27" s="680" t="s">
        <v>249</v>
      </c>
      <c r="C27" s="681"/>
      <c r="D27" s="681"/>
      <c r="E27" s="681"/>
      <c r="F27" s="681"/>
      <c r="G27" s="681"/>
      <c r="H27" s="681"/>
      <c r="I27" s="682"/>
      <c r="J27" s="470">
        <v>35</v>
      </c>
      <c r="K27" s="468"/>
      <c r="L27" s="468"/>
      <c r="M27" s="468"/>
      <c r="N27" s="468"/>
      <c r="O27" s="468"/>
      <c r="P27" s="468"/>
      <c r="Q27" s="468"/>
      <c r="R27" s="468"/>
      <c r="S27" s="468"/>
      <c r="T27" s="468"/>
      <c r="U27" s="468"/>
    </row>
    <row r="28" spans="1:21" s="30" customFormat="1" ht="17.100000000000001" customHeight="1">
      <c r="A28" s="470" t="s">
        <v>753</v>
      </c>
      <c r="B28" s="680" t="s">
        <v>270</v>
      </c>
      <c r="C28" s="681"/>
      <c r="D28" s="681"/>
      <c r="E28" s="681"/>
      <c r="F28" s="681"/>
      <c r="G28" s="681"/>
      <c r="H28" s="681"/>
      <c r="I28" s="682"/>
      <c r="J28" s="470">
        <v>36</v>
      </c>
      <c r="K28" s="468"/>
      <c r="L28" s="468"/>
      <c r="M28" s="468"/>
      <c r="N28" s="468"/>
      <c r="O28" s="468"/>
      <c r="P28" s="468"/>
      <c r="Q28" s="468"/>
      <c r="R28" s="468"/>
      <c r="S28" s="468"/>
      <c r="T28" s="468"/>
      <c r="U28" s="468"/>
    </row>
    <row r="29" spans="1:21" s="30" customFormat="1" ht="17.100000000000001" customHeight="1">
      <c r="A29" s="470" t="s">
        <v>754</v>
      </c>
      <c r="B29" s="680" t="s">
        <v>271</v>
      </c>
      <c r="C29" s="681"/>
      <c r="D29" s="681"/>
      <c r="E29" s="681"/>
      <c r="F29" s="681"/>
      <c r="G29" s="681"/>
      <c r="H29" s="681"/>
      <c r="I29" s="682"/>
      <c r="J29" s="470">
        <v>37</v>
      </c>
      <c r="K29" s="468"/>
      <c r="L29" s="468"/>
      <c r="M29" s="468"/>
      <c r="N29" s="468"/>
      <c r="O29" s="468"/>
      <c r="P29" s="468"/>
      <c r="Q29" s="468"/>
      <c r="R29" s="468"/>
      <c r="S29" s="468"/>
      <c r="T29" s="468"/>
      <c r="U29" s="468"/>
    </row>
    <row r="30" spans="1:21" ht="17.100000000000001" customHeight="1">
      <c r="A30" s="470" t="s">
        <v>755</v>
      </c>
      <c r="B30" s="680" t="s">
        <v>250</v>
      </c>
      <c r="C30" s="681"/>
      <c r="D30" s="681"/>
      <c r="E30" s="681"/>
      <c r="F30" s="681"/>
      <c r="G30" s="681"/>
      <c r="H30" s="681"/>
      <c r="I30" s="682"/>
      <c r="J30" s="470">
        <v>38</v>
      </c>
      <c r="K30" s="468"/>
      <c r="L30" s="468"/>
      <c r="M30" s="468"/>
      <c r="N30" s="468"/>
      <c r="O30" s="468"/>
      <c r="P30" s="468"/>
      <c r="Q30" s="468"/>
      <c r="R30" s="468"/>
      <c r="S30" s="468"/>
      <c r="T30" s="468"/>
      <c r="U30" s="468"/>
    </row>
    <row r="31" spans="1:21" ht="17.100000000000001" customHeight="1">
      <c r="A31" s="470" t="s">
        <v>756</v>
      </c>
      <c r="B31" s="680" t="s">
        <v>251</v>
      </c>
      <c r="C31" s="681"/>
      <c r="D31" s="681"/>
      <c r="E31" s="681"/>
      <c r="F31" s="681"/>
      <c r="G31" s="681"/>
      <c r="H31" s="681"/>
      <c r="I31" s="682"/>
      <c r="J31" s="470">
        <v>39</v>
      </c>
      <c r="K31" s="468"/>
      <c r="L31" s="468"/>
      <c r="M31" s="468"/>
      <c r="N31" s="468"/>
      <c r="O31" s="468"/>
      <c r="P31" s="468"/>
      <c r="Q31" s="468"/>
      <c r="R31" s="468"/>
      <c r="S31" s="468"/>
      <c r="T31" s="468"/>
      <c r="U31" s="468"/>
    </row>
    <row r="32" spans="1:21" ht="17.100000000000001" customHeight="1">
      <c r="A32" s="470" t="s">
        <v>757</v>
      </c>
      <c r="B32" s="680" t="s">
        <v>252</v>
      </c>
      <c r="C32" s="681"/>
      <c r="D32" s="681"/>
      <c r="E32" s="681"/>
      <c r="F32" s="681"/>
      <c r="G32" s="681"/>
      <c r="H32" s="681"/>
      <c r="I32" s="682"/>
      <c r="J32" s="470">
        <v>40</v>
      </c>
      <c r="K32" s="468"/>
      <c r="L32" s="468"/>
      <c r="M32" s="468"/>
      <c r="N32" s="468"/>
      <c r="O32" s="468"/>
      <c r="P32" s="468"/>
      <c r="Q32" s="468"/>
      <c r="R32" s="468"/>
      <c r="S32" s="468"/>
      <c r="T32" s="468"/>
      <c r="U32" s="468"/>
    </row>
    <row r="33" spans="1:21" ht="17.100000000000001" customHeight="1">
      <c r="A33" s="474" t="s">
        <v>758</v>
      </c>
      <c r="B33" s="674" t="s">
        <v>253</v>
      </c>
      <c r="C33" s="675"/>
      <c r="D33" s="675"/>
      <c r="E33" s="675"/>
      <c r="F33" s="675"/>
      <c r="G33" s="675"/>
      <c r="H33" s="675"/>
      <c r="I33" s="676"/>
      <c r="J33" s="474">
        <v>41</v>
      </c>
      <c r="K33" s="468"/>
      <c r="L33" s="468"/>
      <c r="M33" s="468"/>
      <c r="N33" s="468"/>
      <c r="O33" s="468"/>
      <c r="P33" s="468"/>
      <c r="Q33" s="468"/>
      <c r="R33" s="468"/>
      <c r="S33" s="468"/>
      <c r="T33" s="468"/>
      <c r="U33" s="468"/>
    </row>
    <row r="34" spans="1:21" ht="17.100000000000001" customHeight="1"/>
  </sheetData>
  <mergeCells count="40">
    <mergeCell ref="M14:T14"/>
    <mergeCell ref="M17:T17"/>
    <mergeCell ref="M10:T10"/>
    <mergeCell ref="M11:T11"/>
    <mergeCell ref="M12:T12"/>
    <mergeCell ref="M3:T3"/>
    <mergeCell ref="A1:I1"/>
    <mergeCell ref="B13:I13"/>
    <mergeCell ref="B5:I5"/>
    <mergeCell ref="B3:I3"/>
    <mergeCell ref="M13:T13"/>
    <mergeCell ref="B25:I25"/>
    <mergeCell ref="B24:I24"/>
    <mergeCell ref="B23:I23"/>
    <mergeCell ref="B22:I22"/>
    <mergeCell ref="B20:I20"/>
    <mergeCell ref="B21:I21"/>
    <mergeCell ref="B19:I19"/>
    <mergeCell ref="B16:I16"/>
    <mergeCell ref="B15:I15"/>
    <mergeCell ref="B14:I14"/>
    <mergeCell ref="B12:I12"/>
    <mergeCell ref="B18:I18"/>
    <mergeCell ref="B17:I17"/>
    <mergeCell ref="B33:I33"/>
    <mergeCell ref="M4:T4"/>
    <mergeCell ref="B28:I28"/>
    <mergeCell ref="B29:I29"/>
    <mergeCell ref="B30:I30"/>
    <mergeCell ref="B31:I31"/>
    <mergeCell ref="B32:I32"/>
    <mergeCell ref="B26:I26"/>
    <mergeCell ref="B27:I27"/>
    <mergeCell ref="B8:I8"/>
    <mergeCell ref="B7:I7"/>
    <mergeCell ref="B6:I6"/>
    <mergeCell ref="B11:I11"/>
    <mergeCell ref="B10:I10"/>
    <mergeCell ref="B4:I4"/>
    <mergeCell ref="B9:I9"/>
  </mergeCells>
  <phoneticPr fontId="0" type="noConversion"/>
  <pageMargins left="0.94" right="0.21" top="0.62992125984251968" bottom="0.47244094488188981" header="0.51181102362204722" footer="0.43307086614173229"/>
  <pageSetup paperSize="9" scale="95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8"/>
  <dimension ref="A1:P96"/>
  <sheetViews>
    <sheetView zoomScaleNormal="100" workbookViewId="0">
      <selection activeCell="R26" sqref="R26"/>
    </sheetView>
  </sheetViews>
  <sheetFormatPr defaultRowHeight="12.75"/>
  <cols>
    <col min="1" max="1" width="9.140625" style="272"/>
    <col min="2" max="2" width="4.7109375" style="9" customWidth="1"/>
    <col min="3" max="3" width="5.140625" style="9" customWidth="1"/>
    <col min="4" max="4" width="5" style="9" customWidth="1"/>
    <col min="5" max="5" width="8.7109375" style="17" customWidth="1"/>
    <col min="6" max="6" width="8.7109375" style="277" customWidth="1"/>
    <col min="7" max="7" width="50.7109375" style="9" customWidth="1"/>
    <col min="8" max="8" width="14.7109375" style="519" customWidth="1"/>
    <col min="9" max="9" width="14.7109375" style="54" customWidth="1"/>
    <col min="10" max="10" width="15.7109375" style="519" customWidth="1"/>
    <col min="11" max="12" width="14.7109375" style="54" customWidth="1"/>
    <col min="13" max="13" width="15.7109375" style="54" customWidth="1"/>
    <col min="14" max="14" width="7.7109375" style="337" customWidth="1"/>
    <col min="15" max="16384" width="9.140625" style="9"/>
  </cols>
  <sheetData>
    <row r="1" spans="1:16" ht="13.5" thickBot="1"/>
    <row r="2" spans="1:16" s="363" customFormat="1" ht="20.100000000000001" customHeight="1" thickTop="1" thickBot="1">
      <c r="B2" s="725" t="s">
        <v>177</v>
      </c>
      <c r="C2" s="726"/>
      <c r="D2" s="726"/>
      <c r="E2" s="726"/>
      <c r="F2" s="726"/>
      <c r="G2" s="726"/>
      <c r="H2" s="508"/>
      <c r="I2" s="364"/>
      <c r="J2" s="508"/>
      <c r="K2" s="364"/>
      <c r="L2" s="364"/>
      <c r="M2" s="364"/>
      <c r="N2" s="367"/>
    </row>
    <row r="3" spans="1:16" s="1" customFormat="1" ht="8.1" customHeight="1" thickTop="1" thickBot="1">
      <c r="A3" s="269"/>
      <c r="E3" s="2"/>
      <c r="F3" s="270"/>
      <c r="G3" s="488"/>
      <c r="H3" s="511"/>
      <c r="I3" s="87"/>
      <c r="J3" s="511"/>
      <c r="K3" s="87"/>
      <c r="L3" s="87"/>
      <c r="M3" s="87"/>
      <c r="N3" s="331"/>
    </row>
    <row r="4" spans="1:16" s="1" customFormat="1" ht="39" customHeight="1">
      <c r="A4" s="269"/>
      <c r="B4" s="728" t="s">
        <v>78</v>
      </c>
      <c r="C4" s="746" t="s">
        <v>79</v>
      </c>
      <c r="D4" s="747" t="s">
        <v>110</v>
      </c>
      <c r="E4" s="748" t="s">
        <v>594</v>
      </c>
      <c r="F4" s="733" t="s">
        <v>650</v>
      </c>
      <c r="G4" s="734" t="s">
        <v>80</v>
      </c>
      <c r="H4" s="740" t="s">
        <v>644</v>
      </c>
      <c r="I4" s="742" t="s">
        <v>821</v>
      </c>
      <c r="J4" s="744" t="s">
        <v>822</v>
      </c>
      <c r="K4" s="749" t="s">
        <v>863</v>
      </c>
      <c r="L4" s="738"/>
      <c r="M4" s="739"/>
      <c r="N4" s="735" t="s">
        <v>823</v>
      </c>
    </row>
    <row r="5" spans="1:16" s="269" customFormat="1" ht="27" customHeight="1">
      <c r="B5" s="729"/>
      <c r="C5" s="731"/>
      <c r="D5" s="731"/>
      <c r="E5" s="722"/>
      <c r="F5" s="731"/>
      <c r="G5" s="722"/>
      <c r="H5" s="741"/>
      <c r="I5" s="743"/>
      <c r="J5" s="745"/>
      <c r="K5" s="540" t="s">
        <v>701</v>
      </c>
      <c r="L5" s="359" t="s">
        <v>702</v>
      </c>
      <c r="M5" s="541" t="s">
        <v>413</v>
      </c>
      <c r="N5" s="736"/>
    </row>
    <row r="6" spans="1:16" s="2" customFormat="1" ht="12.95" customHeight="1">
      <c r="A6" s="270"/>
      <c r="B6" s="464">
        <v>1</v>
      </c>
      <c r="C6" s="318">
        <v>2</v>
      </c>
      <c r="D6" s="318">
        <v>3</v>
      </c>
      <c r="E6" s="318">
        <v>4</v>
      </c>
      <c r="F6" s="318">
        <v>5</v>
      </c>
      <c r="G6" s="318">
        <v>6</v>
      </c>
      <c r="H6" s="512">
        <v>7</v>
      </c>
      <c r="I6" s="318">
        <v>8</v>
      </c>
      <c r="J6" s="561">
        <v>9</v>
      </c>
      <c r="K6" s="464">
        <v>10</v>
      </c>
      <c r="L6" s="318">
        <v>11</v>
      </c>
      <c r="M6" s="542" t="s">
        <v>703</v>
      </c>
      <c r="N6" s="465">
        <v>13</v>
      </c>
    </row>
    <row r="7" spans="1:16" s="2" customFormat="1" ht="12.95" customHeight="1">
      <c r="A7" s="270"/>
      <c r="B7" s="6" t="s">
        <v>134</v>
      </c>
      <c r="C7" s="7" t="s">
        <v>81</v>
      </c>
      <c r="D7" s="7" t="s">
        <v>82</v>
      </c>
      <c r="E7" s="5"/>
      <c r="F7" s="271"/>
      <c r="G7" s="5"/>
      <c r="H7" s="520"/>
      <c r="I7" s="81"/>
      <c r="J7" s="562"/>
      <c r="K7" s="543"/>
      <c r="L7" s="81"/>
      <c r="M7" s="544"/>
      <c r="N7" s="332"/>
    </row>
    <row r="8" spans="1:16" s="1" customFormat="1" ht="12.95" customHeight="1">
      <c r="A8" s="269"/>
      <c r="B8" s="12"/>
      <c r="C8" s="8"/>
      <c r="D8" s="8"/>
      <c r="E8" s="292">
        <v>611000</v>
      </c>
      <c r="F8" s="318"/>
      <c r="G8" s="8" t="s">
        <v>163</v>
      </c>
      <c r="H8" s="514">
        <f t="shared" ref="H8:I8" si="0">SUM(H9:H11)</f>
        <v>197840</v>
      </c>
      <c r="I8" s="514">
        <f t="shared" si="0"/>
        <v>197840</v>
      </c>
      <c r="J8" s="563">
        <v>166446</v>
      </c>
      <c r="K8" s="545">
        <f t="shared" ref="K8:M8" si="1">SUM(K9:K11)</f>
        <v>217070</v>
      </c>
      <c r="L8" s="201">
        <f t="shared" si="1"/>
        <v>0</v>
      </c>
      <c r="M8" s="546">
        <f t="shared" si="1"/>
        <v>217070</v>
      </c>
      <c r="N8" s="333">
        <f>IF(I8=0,"",M8/I8*100)</f>
        <v>109.71997573797007</v>
      </c>
    </row>
    <row r="9" spans="1:16" ht="12.95" customHeight="1">
      <c r="B9" s="10"/>
      <c r="C9" s="11"/>
      <c r="D9" s="11"/>
      <c r="E9" s="293">
        <v>611100</v>
      </c>
      <c r="F9" s="319"/>
      <c r="G9" s="18" t="s">
        <v>198</v>
      </c>
      <c r="H9" s="515">
        <v>165200</v>
      </c>
      <c r="I9" s="515">
        <v>165200</v>
      </c>
      <c r="J9" s="564">
        <v>140329</v>
      </c>
      <c r="K9" s="547">
        <f>178680+500</f>
        <v>179180</v>
      </c>
      <c r="L9" s="203">
        <v>0</v>
      </c>
      <c r="M9" s="548">
        <f>SUM(K9:L9)</f>
        <v>179180</v>
      </c>
      <c r="N9" s="334">
        <f t="shared" ref="N9:N72" si="2">IF(I9=0,"",M9/I9*100)</f>
        <v>108.46246973365616</v>
      </c>
    </row>
    <row r="10" spans="1:16" ht="12.95" customHeight="1">
      <c r="B10" s="10"/>
      <c r="C10" s="11"/>
      <c r="D10" s="11"/>
      <c r="E10" s="293">
        <v>611200</v>
      </c>
      <c r="F10" s="319"/>
      <c r="G10" s="11" t="s">
        <v>199</v>
      </c>
      <c r="H10" s="515">
        <v>32640</v>
      </c>
      <c r="I10" s="515">
        <v>32640</v>
      </c>
      <c r="J10" s="564">
        <v>26117</v>
      </c>
      <c r="K10" s="547">
        <f>33100+300+2740+7*250</f>
        <v>37890</v>
      </c>
      <c r="L10" s="203">
        <v>0</v>
      </c>
      <c r="M10" s="548">
        <f t="shared" ref="M10:M11" si="3">SUM(K10:L10)</f>
        <v>37890</v>
      </c>
      <c r="N10" s="334">
        <f t="shared" si="2"/>
        <v>116.08455882352942</v>
      </c>
    </row>
    <row r="11" spans="1:16" ht="12.95" customHeight="1">
      <c r="B11" s="10"/>
      <c r="C11" s="11"/>
      <c r="D11" s="11"/>
      <c r="E11" s="293">
        <v>611200</v>
      </c>
      <c r="F11" s="319"/>
      <c r="G11" s="180" t="s">
        <v>534</v>
      </c>
      <c r="H11" s="515">
        <f t="shared" ref="H11:I11" si="4">SUM(F11:G11)</f>
        <v>0</v>
      </c>
      <c r="I11" s="515">
        <f t="shared" si="4"/>
        <v>0</v>
      </c>
      <c r="J11" s="564">
        <v>0</v>
      </c>
      <c r="K11" s="549">
        <v>0</v>
      </c>
      <c r="L11" s="200">
        <v>0</v>
      </c>
      <c r="M11" s="548">
        <f t="shared" si="3"/>
        <v>0</v>
      </c>
      <c r="N11" s="334" t="str">
        <f t="shared" si="2"/>
        <v/>
      </c>
      <c r="P11" s="53"/>
    </row>
    <row r="12" spans="1:16" ht="12.95" customHeight="1">
      <c r="B12" s="10"/>
      <c r="C12" s="11"/>
      <c r="D12" s="11"/>
      <c r="E12" s="293"/>
      <c r="F12" s="319"/>
      <c r="G12" s="11"/>
      <c r="H12" s="514"/>
      <c r="I12" s="514"/>
      <c r="J12" s="563"/>
      <c r="K12" s="545"/>
      <c r="L12" s="201"/>
      <c r="M12" s="546"/>
      <c r="N12" s="334" t="str">
        <f t="shared" si="2"/>
        <v/>
      </c>
    </row>
    <row r="13" spans="1:16" s="1" customFormat="1" ht="12.95" customHeight="1">
      <c r="A13" s="269"/>
      <c r="B13" s="12"/>
      <c r="C13" s="8"/>
      <c r="D13" s="8"/>
      <c r="E13" s="292">
        <v>612000</v>
      </c>
      <c r="F13" s="318"/>
      <c r="G13" s="8" t="s">
        <v>162</v>
      </c>
      <c r="H13" s="514">
        <f t="shared" ref="H13:M13" si="5">H14</f>
        <v>17730</v>
      </c>
      <c r="I13" s="514">
        <f t="shared" si="5"/>
        <v>17730</v>
      </c>
      <c r="J13" s="563">
        <v>15094</v>
      </c>
      <c r="K13" s="545">
        <f t="shared" si="5"/>
        <v>19300</v>
      </c>
      <c r="L13" s="201">
        <f t="shared" si="5"/>
        <v>0</v>
      </c>
      <c r="M13" s="546">
        <f t="shared" si="5"/>
        <v>19300</v>
      </c>
      <c r="N13" s="333">
        <f t="shared" si="2"/>
        <v>108.85504794134235</v>
      </c>
    </row>
    <row r="14" spans="1:16" ht="12.95" customHeight="1">
      <c r="B14" s="10"/>
      <c r="C14" s="11"/>
      <c r="D14" s="11"/>
      <c r="E14" s="293">
        <v>612100</v>
      </c>
      <c r="F14" s="319"/>
      <c r="G14" s="13" t="s">
        <v>83</v>
      </c>
      <c r="H14" s="515">
        <v>17730</v>
      </c>
      <c r="I14" s="515">
        <v>17730</v>
      </c>
      <c r="J14" s="564">
        <v>15094</v>
      </c>
      <c r="K14" s="547">
        <f>19150+150</f>
        <v>19300</v>
      </c>
      <c r="L14" s="203">
        <v>0</v>
      </c>
      <c r="M14" s="548">
        <f>SUM(K14:L14)</f>
        <v>19300</v>
      </c>
      <c r="N14" s="334">
        <f t="shared" si="2"/>
        <v>108.85504794134235</v>
      </c>
    </row>
    <row r="15" spans="1:16" ht="12.95" customHeight="1">
      <c r="B15" s="10"/>
      <c r="C15" s="11"/>
      <c r="D15" s="11"/>
      <c r="E15" s="293"/>
      <c r="F15" s="319"/>
      <c r="G15" s="11"/>
      <c r="H15" s="262"/>
      <c r="I15" s="262"/>
      <c r="J15" s="565"/>
      <c r="K15" s="558"/>
      <c r="L15" s="276"/>
      <c r="M15" s="553"/>
      <c r="N15" s="334" t="str">
        <f t="shared" si="2"/>
        <v/>
      </c>
    </row>
    <row r="16" spans="1:16" s="1" customFormat="1" ht="12.95" customHeight="1">
      <c r="A16" s="269"/>
      <c r="B16" s="12"/>
      <c r="C16" s="8"/>
      <c r="D16" s="8"/>
      <c r="E16" s="292">
        <v>613000</v>
      </c>
      <c r="F16" s="318"/>
      <c r="G16" s="8" t="s">
        <v>164</v>
      </c>
      <c r="H16" s="262">
        <f t="shared" ref="H16:I16" si="6">SUM(H17:H27)</f>
        <v>79450</v>
      </c>
      <c r="I16" s="262">
        <f t="shared" si="6"/>
        <v>79450</v>
      </c>
      <c r="J16" s="565">
        <v>17805</v>
      </c>
      <c r="K16" s="552">
        <f t="shared" ref="K16:M16" si="7">SUM(K17:K27)</f>
        <v>36450</v>
      </c>
      <c r="L16" s="281">
        <f t="shared" si="7"/>
        <v>50000</v>
      </c>
      <c r="M16" s="553">
        <f t="shared" si="7"/>
        <v>86450</v>
      </c>
      <c r="N16" s="333">
        <f t="shared" si="2"/>
        <v>108.81057268722468</v>
      </c>
    </row>
    <row r="17" spans="1:16" ht="12.95" customHeight="1">
      <c r="B17" s="10"/>
      <c r="C17" s="11"/>
      <c r="D17" s="11"/>
      <c r="E17" s="293">
        <v>613100</v>
      </c>
      <c r="F17" s="319"/>
      <c r="G17" s="11" t="s">
        <v>84</v>
      </c>
      <c r="H17" s="515">
        <v>5000</v>
      </c>
      <c r="I17" s="515">
        <v>5000</v>
      </c>
      <c r="J17" s="564">
        <v>1913</v>
      </c>
      <c r="K17" s="554">
        <v>4000</v>
      </c>
      <c r="L17" s="350">
        <v>0</v>
      </c>
      <c r="M17" s="548">
        <f t="shared" ref="M17:M27" si="8">SUM(K17:L17)</f>
        <v>4000</v>
      </c>
      <c r="N17" s="334">
        <f t="shared" si="2"/>
        <v>80</v>
      </c>
    </row>
    <row r="18" spans="1:16" ht="12.95" customHeight="1">
      <c r="B18" s="10"/>
      <c r="C18" s="11"/>
      <c r="D18" s="11"/>
      <c r="E18" s="293">
        <v>613200</v>
      </c>
      <c r="F18" s="319"/>
      <c r="G18" s="11" t="s">
        <v>85</v>
      </c>
      <c r="H18" s="515">
        <f t="shared" ref="H18:I26" si="9">SUM(F18:G18)</f>
        <v>0</v>
      </c>
      <c r="I18" s="515">
        <f t="shared" si="9"/>
        <v>0</v>
      </c>
      <c r="J18" s="564">
        <v>0</v>
      </c>
      <c r="K18" s="554">
        <v>0</v>
      </c>
      <c r="L18" s="350">
        <v>0</v>
      </c>
      <c r="M18" s="548">
        <f t="shared" si="8"/>
        <v>0</v>
      </c>
      <c r="N18" s="334" t="str">
        <f t="shared" si="2"/>
        <v/>
      </c>
    </row>
    <row r="19" spans="1:16" ht="12.95" customHeight="1">
      <c r="B19" s="10"/>
      <c r="C19" s="11"/>
      <c r="D19" s="11"/>
      <c r="E19" s="293">
        <v>613300</v>
      </c>
      <c r="F19" s="319"/>
      <c r="G19" s="18" t="s">
        <v>200</v>
      </c>
      <c r="H19" s="515">
        <v>3350</v>
      </c>
      <c r="I19" s="515">
        <v>3250</v>
      </c>
      <c r="J19" s="564">
        <v>2070</v>
      </c>
      <c r="K19" s="554">
        <v>3250</v>
      </c>
      <c r="L19" s="350">
        <v>0</v>
      </c>
      <c r="M19" s="548">
        <f t="shared" si="8"/>
        <v>3250</v>
      </c>
      <c r="N19" s="334">
        <f t="shared" si="2"/>
        <v>100</v>
      </c>
    </row>
    <row r="20" spans="1:16" ht="12.95" customHeight="1">
      <c r="B20" s="10"/>
      <c r="C20" s="11"/>
      <c r="D20" s="11"/>
      <c r="E20" s="293">
        <v>613400</v>
      </c>
      <c r="F20" s="319"/>
      <c r="G20" s="11" t="s">
        <v>165</v>
      </c>
      <c r="H20" s="515">
        <v>100</v>
      </c>
      <c r="I20" s="515">
        <v>200</v>
      </c>
      <c r="J20" s="564">
        <v>142</v>
      </c>
      <c r="K20" s="554">
        <v>200</v>
      </c>
      <c r="L20" s="350">
        <v>0</v>
      </c>
      <c r="M20" s="548">
        <f t="shared" si="8"/>
        <v>200</v>
      </c>
      <c r="N20" s="334">
        <f t="shared" si="2"/>
        <v>100</v>
      </c>
    </row>
    <row r="21" spans="1:16" ht="12.95" customHeight="1">
      <c r="B21" s="10"/>
      <c r="C21" s="11"/>
      <c r="D21" s="11"/>
      <c r="E21" s="293">
        <v>613500</v>
      </c>
      <c r="F21" s="319"/>
      <c r="G21" s="11" t="s">
        <v>86</v>
      </c>
      <c r="H21" s="515">
        <f t="shared" si="9"/>
        <v>0</v>
      </c>
      <c r="I21" s="515">
        <f t="shared" si="9"/>
        <v>0</v>
      </c>
      <c r="J21" s="564">
        <v>0</v>
      </c>
      <c r="K21" s="554">
        <v>0</v>
      </c>
      <c r="L21" s="350">
        <v>0</v>
      </c>
      <c r="M21" s="548">
        <f t="shared" si="8"/>
        <v>0</v>
      </c>
      <c r="N21" s="334" t="str">
        <f t="shared" si="2"/>
        <v/>
      </c>
    </row>
    <row r="22" spans="1:16" ht="12.95" customHeight="1">
      <c r="B22" s="10"/>
      <c r="C22" s="11"/>
      <c r="D22" s="11"/>
      <c r="E22" s="293">
        <v>613600</v>
      </c>
      <c r="F22" s="319"/>
      <c r="G22" s="18" t="s">
        <v>201</v>
      </c>
      <c r="H22" s="515">
        <f t="shared" si="9"/>
        <v>0</v>
      </c>
      <c r="I22" s="515">
        <f t="shared" si="9"/>
        <v>0</v>
      </c>
      <c r="J22" s="564">
        <v>0</v>
      </c>
      <c r="K22" s="554">
        <v>0</v>
      </c>
      <c r="L22" s="350">
        <v>0</v>
      </c>
      <c r="M22" s="548">
        <f t="shared" si="8"/>
        <v>0</v>
      </c>
      <c r="N22" s="334" t="str">
        <f t="shared" si="2"/>
        <v/>
      </c>
    </row>
    <row r="23" spans="1:16" ht="12.95" customHeight="1">
      <c r="B23" s="10"/>
      <c r="C23" s="11"/>
      <c r="D23" s="11"/>
      <c r="E23" s="293">
        <v>613700</v>
      </c>
      <c r="F23" s="319"/>
      <c r="G23" s="11" t="s">
        <v>87</v>
      </c>
      <c r="H23" s="515">
        <v>1000</v>
      </c>
      <c r="I23" s="515">
        <v>1000</v>
      </c>
      <c r="J23" s="564">
        <v>109</v>
      </c>
      <c r="K23" s="554">
        <v>1000</v>
      </c>
      <c r="L23" s="350">
        <v>0</v>
      </c>
      <c r="M23" s="548">
        <f t="shared" si="8"/>
        <v>1000</v>
      </c>
      <c r="N23" s="334">
        <f t="shared" si="2"/>
        <v>100</v>
      </c>
    </row>
    <row r="24" spans="1:16" ht="12.95" customHeight="1">
      <c r="B24" s="10"/>
      <c r="C24" s="11"/>
      <c r="D24" s="11"/>
      <c r="E24" s="293">
        <v>613800</v>
      </c>
      <c r="F24" s="319"/>
      <c r="G24" s="11" t="s">
        <v>166</v>
      </c>
      <c r="H24" s="515">
        <f t="shared" si="9"/>
        <v>0</v>
      </c>
      <c r="I24" s="515">
        <f t="shared" si="9"/>
        <v>0</v>
      </c>
      <c r="J24" s="564">
        <v>0</v>
      </c>
      <c r="K24" s="554">
        <v>0</v>
      </c>
      <c r="L24" s="350">
        <v>0</v>
      </c>
      <c r="M24" s="548">
        <f t="shared" si="8"/>
        <v>0</v>
      </c>
      <c r="N24" s="334" t="str">
        <f t="shared" si="2"/>
        <v/>
      </c>
      <c r="P24" s="48"/>
    </row>
    <row r="25" spans="1:16" ht="12.95" customHeight="1">
      <c r="B25" s="10"/>
      <c r="C25" s="11"/>
      <c r="D25" s="11"/>
      <c r="E25" s="293">
        <v>613900</v>
      </c>
      <c r="F25" s="319"/>
      <c r="G25" s="11" t="s">
        <v>167</v>
      </c>
      <c r="H25" s="515">
        <v>20000</v>
      </c>
      <c r="I25" s="515">
        <v>20000</v>
      </c>
      <c r="J25" s="564">
        <v>13571</v>
      </c>
      <c r="K25" s="555">
        <v>28000</v>
      </c>
      <c r="L25" s="352">
        <v>0</v>
      </c>
      <c r="M25" s="548">
        <f t="shared" si="8"/>
        <v>28000</v>
      </c>
      <c r="N25" s="334">
        <f t="shared" si="2"/>
        <v>140</v>
      </c>
      <c r="P25" s="48"/>
    </row>
    <row r="26" spans="1:16" ht="12.95" customHeight="1">
      <c r="B26" s="10"/>
      <c r="C26" s="11"/>
      <c r="D26" s="11"/>
      <c r="E26" s="293">
        <v>613900</v>
      </c>
      <c r="F26" s="319"/>
      <c r="G26" s="180" t="s">
        <v>535</v>
      </c>
      <c r="H26" s="515">
        <f t="shared" si="9"/>
        <v>0</v>
      </c>
      <c r="I26" s="515">
        <f t="shared" si="9"/>
        <v>0</v>
      </c>
      <c r="J26" s="564">
        <v>0</v>
      </c>
      <c r="K26" s="554">
        <v>0</v>
      </c>
      <c r="L26" s="350">
        <v>0</v>
      </c>
      <c r="M26" s="548">
        <f t="shared" si="8"/>
        <v>0</v>
      </c>
      <c r="N26" s="334" t="str">
        <f t="shared" si="2"/>
        <v/>
      </c>
    </row>
    <row r="27" spans="1:16" ht="12.95" customHeight="1">
      <c r="B27" s="10"/>
      <c r="C27" s="11"/>
      <c r="D27" s="11"/>
      <c r="E27" s="293">
        <v>613900</v>
      </c>
      <c r="F27" s="319" t="s">
        <v>664</v>
      </c>
      <c r="G27" s="18" t="s">
        <v>547</v>
      </c>
      <c r="H27" s="515">
        <v>50000</v>
      </c>
      <c r="I27" s="515">
        <v>50000</v>
      </c>
      <c r="J27" s="564">
        <v>0</v>
      </c>
      <c r="K27" s="555">
        <v>0</v>
      </c>
      <c r="L27" s="350">
        <v>50000</v>
      </c>
      <c r="M27" s="548">
        <f t="shared" si="8"/>
        <v>50000</v>
      </c>
      <c r="N27" s="334">
        <f t="shared" si="2"/>
        <v>100</v>
      </c>
    </row>
    <row r="28" spans="1:16" ht="12.95" customHeight="1">
      <c r="B28" s="10"/>
      <c r="C28" s="11"/>
      <c r="D28" s="11"/>
      <c r="E28" s="293"/>
      <c r="F28" s="319"/>
      <c r="G28" s="11"/>
      <c r="H28" s="262"/>
      <c r="I28" s="262"/>
      <c r="J28" s="565"/>
      <c r="K28" s="558"/>
      <c r="L28" s="276"/>
      <c r="M28" s="553"/>
      <c r="N28" s="334" t="str">
        <f t="shared" si="2"/>
        <v/>
      </c>
    </row>
    <row r="29" spans="1:16" s="1" customFormat="1" ht="12.95" customHeight="1">
      <c r="A29" s="269"/>
      <c r="B29" s="12"/>
      <c r="C29" s="8"/>
      <c r="D29" s="8"/>
      <c r="E29" s="292">
        <v>614000</v>
      </c>
      <c r="F29" s="318"/>
      <c r="G29" s="8" t="s">
        <v>202</v>
      </c>
      <c r="H29" s="262">
        <f t="shared" ref="H29:M29" si="10">SUM(H30:H30)</f>
        <v>1000000</v>
      </c>
      <c r="I29" s="262">
        <f t="shared" si="10"/>
        <v>1000000</v>
      </c>
      <c r="J29" s="565">
        <v>218783</v>
      </c>
      <c r="K29" s="558">
        <f t="shared" si="10"/>
        <v>1150000</v>
      </c>
      <c r="L29" s="276">
        <f t="shared" si="10"/>
        <v>0</v>
      </c>
      <c r="M29" s="553">
        <f t="shared" si="10"/>
        <v>1150000</v>
      </c>
      <c r="N29" s="333">
        <f t="shared" si="2"/>
        <v>114.99999999999999</v>
      </c>
    </row>
    <row r="30" spans="1:16" s="1" customFormat="1" ht="12.95" customHeight="1">
      <c r="A30" s="269"/>
      <c r="B30" s="12"/>
      <c r="C30" s="8"/>
      <c r="D30" s="45"/>
      <c r="E30" s="298">
        <v>614500</v>
      </c>
      <c r="F30" s="324" t="s">
        <v>665</v>
      </c>
      <c r="G30" s="69" t="s">
        <v>628</v>
      </c>
      <c r="H30" s="515">
        <v>1000000</v>
      </c>
      <c r="I30" s="515">
        <v>1000000</v>
      </c>
      <c r="J30" s="564">
        <v>218783</v>
      </c>
      <c r="K30" s="556">
        <v>1150000</v>
      </c>
      <c r="L30" s="283">
        <v>0</v>
      </c>
      <c r="M30" s="548">
        <f>SUM(K30:L30)</f>
        <v>1150000</v>
      </c>
      <c r="N30" s="334">
        <f t="shared" si="2"/>
        <v>114.99999999999999</v>
      </c>
    </row>
    <row r="31" spans="1:16" ht="12.95" customHeight="1">
      <c r="B31" s="10"/>
      <c r="C31" s="11"/>
      <c r="D31" s="11"/>
      <c r="E31" s="293"/>
      <c r="F31" s="319"/>
      <c r="G31" s="18"/>
      <c r="H31" s="516"/>
      <c r="I31" s="516"/>
      <c r="J31" s="566"/>
      <c r="K31" s="556"/>
      <c r="L31" s="283"/>
      <c r="M31" s="551"/>
      <c r="N31" s="334" t="str">
        <f t="shared" si="2"/>
        <v/>
      </c>
    </row>
    <row r="32" spans="1:16" ht="12.95" customHeight="1">
      <c r="B32" s="12"/>
      <c r="C32" s="8"/>
      <c r="D32" s="8"/>
      <c r="E32" s="292">
        <v>821000</v>
      </c>
      <c r="F32" s="318"/>
      <c r="G32" s="8" t="s">
        <v>90</v>
      </c>
      <c r="H32" s="262">
        <f t="shared" ref="H32:I32" si="11">SUM(H33:H34)</f>
        <v>1000</v>
      </c>
      <c r="I32" s="262">
        <f t="shared" si="11"/>
        <v>1000</v>
      </c>
      <c r="J32" s="565">
        <v>860</v>
      </c>
      <c r="K32" s="557">
        <f t="shared" ref="K32:M32" si="12">SUM(K33:K34)</f>
        <v>860</v>
      </c>
      <c r="L32" s="282">
        <f t="shared" si="12"/>
        <v>0</v>
      </c>
      <c r="M32" s="553">
        <f t="shared" si="12"/>
        <v>860</v>
      </c>
      <c r="N32" s="333">
        <f t="shared" si="2"/>
        <v>86</v>
      </c>
    </row>
    <row r="33" spans="1:14" ht="12.95" customHeight="1">
      <c r="B33" s="10"/>
      <c r="C33" s="11"/>
      <c r="D33" s="11"/>
      <c r="E33" s="293">
        <v>821200</v>
      </c>
      <c r="F33" s="319"/>
      <c r="G33" s="11" t="s">
        <v>91</v>
      </c>
      <c r="H33" s="516">
        <v>0</v>
      </c>
      <c r="I33" s="516">
        <v>0</v>
      </c>
      <c r="J33" s="564">
        <v>0</v>
      </c>
      <c r="K33" s="556">
        <v>0</v>
      </c>
      <c r="L33" s="283">
        <v>0</v>
      </c>
      <c r="M33" s="548">
        <f t="shared" ref="M33:M34" si="13">SUM(K33:L33)</f>
        <v>0</v>
      </c>
      <c r="N33" s="334" t="str">
        <f t="shared" si="2"/>
        <v/>
      </c>
    </row>
    <row r="34" spans="1:14" ht="12.95" customHeight="1">
      <c r="B34" s="10"/>
      <c r="C34" s="11"/>
      <c r="D34" s="11"/>
      <c r="E34" s="293">
        <v>821300</v>
      </c>
      <c r="F34" s="319"/>
      <c r="G34" s="11" t="s">
        <v>92</v>
      </c>
      <c r="H34" s="516">
        <v>1000</v>
      </c>
      <c r="I34" s="516">
        <v>1000</v>
      </c>
      <c r="J34" s="564">
        <v>860</v>
      </c>
      <c r="K34" s="556">
        <v>860</v>
      </c>
      <c r="L34" s="283">
        <v>0</v>
      </c>
      <c r="M34" s="548">
        <f t="shared" si="13"/>
        <v>860</v>
      </c>
      <c r="N34" s="334">
        <f t="shared" si="2"/>
        <v>86</v>
      </c>
    </row>
    <row r="35" spans="1:14" ht="12.95" customHeight="1">
      <c r="B35" s="10"/>
      <c r="C35" s="11"/>
      <c r="D35" s="11"/>
      <c r="E35" s="293"/>
      <c r="F35" s="319"/>
      <c r="G35" s="11"/>
      <c r="H35" s="516"/>
      <c r="I35" s="516"/>
      <c r="J35" s="566"/>
      <c r="K35" s="550"/>
      <c r="L35" s="279"/>
      <c r="M35" s="551"/>
      <c r="N35" s="334" t="str">
        <f t="shared" si="2"/>
        <v/>
      </c>
    </row>
    <row r="36" spans="1:14" ht="12.95" customHeight="1">
      <c r="B36" s="12"/>
      <c r="C36" s="8"/>
      <c r="D36" s="8"/>
      <c r="E36" s="292"/>
      <c r="F36" s="318"/>
      <c r="G36" s="8" t="s">
        <v>93</v>
      </c>
      <c r="H36" s="262">
        <v>8</v>
      </c>
      <c r="I36" s="262">
        <v>8</v>
      </c>
      <c r="J36" s="565">
        <v>8</v>
      </c>
      <c r="K36" s="557">
        <v>8</v>
      </c>
      <c r="L36" s="282"/>
      <c r="M36" s="553">
        <v>8</v>
      </c>
      <c r="N36" s="334"/>
    </row>
    <row r="37" spans="1:14" ht="12.95" customHeight="1">
      <c r="B37" s="12"/>
      <c r="C37" s="8"/>
      <c r="D37" s="8"/>
      <c r="E37" s="292"/>
      <c r="F37" s="318"/>
      <c r="G37" s="8" t="s">
        <v>113</v>
      </c>
      <c r="H37" s="262">
        <f t="shared" ref="H37:M37" si="14">H8+H13+H16+H29+H32</f>
        <v>1296020</v>
      </c>
      <c r="I37" s="276">
        <f t="shared" si="14"/>
        <v>1296020</v>
      </c>
      <c r="J37" s="565">
        <f t="shared" si="14"/>
        <v>418988</v>
      </c>
      <c r="K37" s="558">
        <f t="shared" si="14"/>
        <v>1423680</v>
      </c>
      <c r="L37" s="276">
        <f t="shared" si="14"/>
        <v>50000</v>
      </c>
      <c r="M37" s="553">
        <f t="shared" si="14"/>
        <v>1473680</v>
      </c>
      <c r="N37" s="333">
        <f t="shared" si="2"/>
        <v>113.70812178824401</v>
      </c>
    </row>
    <row r="38" spans="1:14" ht="12.95" customHeight="1">
      <c r="B38" s="12"/>
      <c r="C38" s="8"/>
      <c r="D38" s="8"/>
      <c r="E38" s="292"/>
      <c r="F38" s="318"/>
      <c r="G38" s="8" t="s">
        <v>94</v>
      </c>
      <c r="H38" s="262">
        <f t="shared" ref="H38:J39" si="15">H37</f>
        <v>1296020</v>
      </c>
      <c r="I38" s="276">
        <f t="shared" si="15"/>
        <v>1296020</v>
      </c>
      <c r="J38" s="565">
        <f t="shared" si="15"/>
        <v>418988</v>
      </c>
      <c r="K38" s="558">
        <f t="shared" ref="K38:M38" si="16">K37</f>
        <v>1423680</v>
      </c>
      <c r="L38" s="276">
        <f t="shared" si="16"/>
        <v>50000</v>
      </c>
      <c r="M38" s="553">
        <f t="shared" si="16"/>
        <v>1473680</v>
      </c>
      <c r="N38" s="333">
        <f t="shared" si="2"/>
        <v>113.70812178824401</v>
      </c>
    </row>
    <row r="39" spans="1:14" s="1" customFormat="1" ht="12.95" customHeight="1">
      <c r="A39" s="269"/>
      <c r="B39" s="12"/>
      <c r="C39" s="8"/>
      <c r="D39" s="8"/>
      <c r="E39" s="292"/>
      <c r="F39" s="318"/>
      <c r="G39" s="8" t="s">
        <v>95</v>
      </c>
      <c r="H39" s="262">
        <f t="shared" si="15"/>
        <v>1296020</v>
      </c>
      <c r="I39" s="276">
        <f t="shared" si="15"/>
        <v>1296020</v>
      </c>
      <c r="J39" s="565">
        <f t="shared" si="15"/>
        <v>418988</v>
      </c>
      <c r="K39" s="558">
        <f t="shared" ref="K39:M39" si="17">K38</f>
        <v>1423680</v>
      </c>
      <c r="L39" s="276">
        <f t="shared" si="17"/>
        <v>50000</v>
      </c>
      <c r="M39" s="553">
        <f t="shared" si="17"/>
        <v>1473680</v>
      </c>
      <c r="N39" s="333">
        <f t="shared" si="2"/>
        <v>113.70812178824401</v>
      </c>
    </row>
    <row r="40" spans="1:14" s="1" customFormat="1" ht="12.95" customHeight="1" thickBot="1">
      <c r="A40" s="269"/>
      <c r="B40" s="15"/>
      <c r="C40" s="16"/>
      <c r="D40" s="16"/>
      <c r="E40" s="294"/>
      <c r="F40" s="320"/>
      <c r="G40" s="16"/>
      <c r="H40" s="518"/>
      <c r="I40" s="27"/>
      <c r="J40" s="567"/>
      <c r="K40" s="559"/>
      <c r="L40" s="27"/>
      <c r="M40" s="560"/>
      <c r="N40" s="336" t="str">
        <f t="shared" si="2"/>
        <v/>
      </c>
    </row>
    <row r="41" spans="1:14" s="1" customFormat="1" ht="12.95" customHeight="1">
      <c r="A41" s="269"/>
      <c r="B41" s="9"/>
      <c r="C41" s="9"/>
      <c r="D41" s="9"/>
      <c r="E41" s="295"/>
      <c r="F41" s="321"/>
      <c r="G41" s="48"/>
      <c r="H41" s="519"/>
      <c r="I41" s="54"/>
      <c r="J41" s="519"/>
      <c r="K41" s="54"/>
      <c r="L41" s="54"/>
      <c r="M41" s="370"/>
      <c r="N41" s="337" t="str">
        <f t="shared" si="2"/>
        <v/>
      </c>
    </row>
    <row r="42" spans="1:14" s="1" customFormat="1" ht="12.95" customHeight="1">
      <c r="A42" s="269"/>
      <c r="B42" s="48"/>
      <c r="C42" s="9"/>
      <c r="D42" s="9"/>
      <c r="E42" s="295"/>
      <c r="F42" s="321"/>
      <c r="G42" s="9"/>
      <c r="H42" s="519"/>
      <c r="I42" s="54"/>
      <c r="J42" s="519"/>
      <c r="K42" s="54"/>
      <c r="L42" s="54"/>
      <c r="M42" s="370"/>
      <c r="N42" s="337" t="str">
        <f t="shared" si="2"/>
        <v/>
      </c>
    </row>
    <row r="43" spans="1:14" ht="12.95" customHeight="1">
      <c r="B43" s="48"/>
      <c r="E43" s="295"/>
      <c r="F43" s="321"/>
      <c r="M43" s="370"/>
      <c r="N43" s="337" t="str">
        <f t="shared" si="2"/>
        <v/>
      </c>
    </row>
    <row r="44" spans="1:14" ht="12.95" customHeight="1">
      <c r="B44" s="48"/>
      <c r="E44" s="295"/>
      <c r="F44" s="321"/>
      <c r="M44" s="370"/>
      <c r="N44" s="337" t="str">
        <f t="shared" si="2"/>
        <v/>
      </c>
    </row>
    <row r="45" spans="1:14" ht="12.95" customHeight="1">
      <c r="B45" s="48"/>
      <c r="E45" s="295"/>
      <c r="F45" s="321"/>
      <c r="M45" s="370"/>
      <c r="N45" s="337" t="str">
        <f t="shared" si="2"/>
        <v/>
      </c>
    </row>
    <row r="46" spans="1:14" ht="12.95" customHeight="1">
      <c r="E46" s="295"/>
      <c r="F46" s="321"/>
      <c r="M46" s="370"/>
      <c r="N46" s="337" t="str">
        <f t="shared" si="2"/>
        <v/>
      </c>
    </row>
    <row r="47" spans="1:14" ht="12.95" customHeight="1">
      <c r="E47" s="295"/>
      <c r="F47" s="321"/>
      <c r="M47" s="370"/>
      <c r="N47" s="337" t="str">
        <f t="shared" si="2"/>
        <v/>
      </c>
    </row>
    <row r="48" spans="1:14" ht="12.95" customHeight="1">
      <c r="E48" s="295"/>
      <c r="F48" s="321"/>
      <c r="M48" s="370"/>
      <c r="N48" s="337" t="str">
        <f t="shared" si="2"/>
        <v/>
      </c>
    </row>
    <row r="49" spans="5:14" ht="12.95" customHeight="1">
      <c r="E49" s="295"/>
      <c r="F49" s="321"/>
      <c r="M49" s="370"/>
      <c r="N49" s="337" t="str">
        <f t="shared" si="2"/>
        <v/>
      </c>
    </row>
    <row r="50" spans="5:14" ht="12.95" customHeight="1">
      <c r="E50" s="295"/>
      <c r="F50" s="321"/>
      <c r="M50" s="370"/>
      <c r="N50" s="337" t="str">
        <f t="shared" si="2"/>
        <v/>
      </c>
    </row>
    <row r="51" spans="5:14" ht="12.95" customHeight="1">
      <c r="E51" s="295"/>
      <c r="F51" s="321"/>
      <c r="M51" s="370"/>
      <c r="N51" s="337" t="str">
        <f t="shared" si="2"/>
        <v/>
      </c>
    </row>
    <row r="52" spans="5:14" ht="12.95" customHeight="1">
      <c r="E52" s="295"/>
      <c r="F52" s="321"/>
      <c r="M52" s="370"/>
      <c r="N52" s="337" t="str">
        <f t="shared" si="2"/>
        <v/>
      </c>
    </row>
    <row r="53" spans="5:14" ht="12.95" customHeight="1">
      <c r="E53" s="295"/>
      <c r="F53" s="321"/>
      <c r="M53" s="370"/>
      <c r="N53" s="337" t="str">
        <f t="shared" si="2"/>
        <v/>
      </c>
    </row>
    <row r="54" spans="5:14" ht="12.95" customHeight="1">
      <c r="E54" s="295"/>
      <c r="F54" s="321"/>
      <c r="M54" s="370"/>
      <c r="N54" s="337" t="str">
        <f t="shared" si="2"/>
        <v/>
      </c>
    </row>
    <row r="55" spans="5:14" ht="12.95" customHeight="1">
      <c r="E55" s="295"/>
      <c r="F55" s="321"/>
      <c r="M55" s="370"/>
      <c r="N55" s="337" t="str">
        <f t="shared" si="2"/>
        <v/>
      </c>
    </row>
    <row r="56" spans="5:14" ht="12.95" customHeight="1">
      <c r="E56" s="295"/>
      <c r="F56" s="321"/>
      <c r="M56" s="370"/>
      <c r="N56" s="337" t="str">
        <f t="shared" si="2"/>
        <v/>
      </c>
    </row>
    <row r="57" spans="5:14" ht="12.95" customHeight="1">
      <c r="E57" s="295"/>
      <c r="F57" s="321"/>
      <c r="M57" s="370"/>
      <c r="N57" s="337" t="str">
        <f t="shared" si="2"/>
        <v/>
      </c>
    </row>
    <row r="58" spans="5:14" ht="12.95" customHeight="1">
      <c r="E58" s="295"/>
      <c r="F58" s="321"/>
      <c r="M58" s="370"/>
      <c r="N58" s="337" t="str">
        <f t="shared" si="2"/>
        <v/>
      </c>
    </row>
    <row r="59" spans="5:14" ht="12.95" customHeight="1">
      <c r="E59" s="295"/>
      <c r="F59" s="321"/>
      <c r="M59" s="370"/>
      <c r="N59" s="337" t="str">
        <f t="shared" si="2"/>
        <v/>
      </c>
    </row>
    <row r="60" spans="5:14" ht="17.100000000000001" customHeight="1">
      <c r="E60" s="295"/>
      <c r="F60" s="321"/>
      <c r="M60" s="370"/>
      <c r="N60" s="337" t="str">
        <f t="shared" si="2"/>
        <v/>
      </c>
    </row>
    <row r="61" spans="5:14" ht="14.25">
      <c r="E61" s="295"/>
      <c r="F61" s="321"/>
      <c r="M61" s="370"/>
      <c r="N61" s="337" t="str">
        <f t="shared" si="2"/>
        <v/>
      </c>
    </row>
    <row r="62" spans="5:14" ht="14.25">
      <c r="E62" s="295"/>
      <c r="F62" s="321"/>
      <c r="M62" s="370"/>
      <c r="N62" s="337" t="str">
        <f t="shared" si="2"/>
        <v/>
      </c>
    </row>
    <row r="63" spans="5:14" ht="14.25">
      <c r="E63" s="295"/>
      <c r="F63" s="321"/>
      <c r="M63" s="370"/>
      <c r="N63" s="337" t="str">
        <f t="shared" si="2"/>
        <v/>
      </c>
    </row>
    <row r="64" spans="5:14" ht="14.25">
      <c r="E64" s="295"/>
      <c r="F64" s="321"/>
      <c r="M64" s="370"/>
      <c r="N64" s="337" t="str">
        <f t="shared" si="2"/>
        <v/>
      </c>
    </row>
    <row r="65" spans="5:14" ht="14.25">
      <c r="E65" s="295"/>
      <c r="F65" s="321"/>
      <c r="M65" s="370"/>
      <c r="N65" s="337" t="str">
        <f t="shared" si="2"/>
        <v/>
      </c>
    </row>
    <row r="66" spans="5:14" ht="14.25">
      <c r="E66" s="295"/>
      <c r="F66" s="321"/>
      <c r="M66" s="370"/>
      <c r="N66" s="337" t="str">
        <f t="shared" si="2"/>
        <v/>
      </c>
    </row>
    <row r="67" spans="5:14" ht="14.25">
      <c r="E67" s="295"/>
      <c r="F67" s="321"/>
      <c r="M67" s="370"/>
      <c r="N67" s="337" t="str">
        <f t="shared" si="2"/>
        <v/>
      </c>
    </row>
    <row r="68" spans="5:14" ht="14.25">
      <c r="E68" s="295"/>
      <c r="F68" s="321"/>
      <c r="M68" s="370"/>
      <c r="N68" s="337" t="str">
        <f t="shared" si="2"/>
        <v/>
      </c>
    </row>
    <row r="69" spans="5:14" ht="14.25">
      <c r="E69" s="295"/>
      <c r="F69" s="321"/>
      <c r="M69" s="370"/>
      <c r="N69" s="337" t="str">
        <f t="shared" si="2"/>
        <v/>
      </c>
    </row>
    <row r="70" spans="5:14" ht="14.25">
      <c r="E70" s="295"/>
      <c r="F70" s="321"/>
      <c r="M70" s="370"/>
      <c r="N70" s="337" t="str">
        <f t="shared" si="2"/>
        <v/>
      </c>
    </row>
    <row r="71" spans="5:14" ht="14.25">
      <c r="E71" s="295"/>
      <c r="F71" s="321"/>
      <c r="M71" s="370"/>
      <c r="N71" s="337" t="str">
        <f t="shared" si="2"/>
        <v/>
      </c>
    </row>
    <row r="72" spans="5:14" ht="14.25">
      <c r="E72" s="295"/>
      <c r="F72" s="321"/>
      <c r="M72" s="370"/>
      <c r="N72" s="337" t="str">
        <f t="shared" si="2"/>
        <v/>
      </c>
    </row>
    <row r="73" spans="5:14" ht="14.25">
      <c r="E73" s="295"/>
      <c r="F73" s="321"/>
      <c r="M73" s="370"/>
      <c r="N73" s="337" t="str">
        <f t="shared" ref="N73:N77" si="18">IF(I73=0,"",M73/I73*100)</f>
        <v/>
      </c>
    </row>
    <row r="74" spans="5:14" ht="14.25">
      <c r="E74" s="295"/>
      <c r="F74" s="295"/>
      <c r="M74" s="370"/>
      <c r="N74" s="337" t="str">
        <f t="shared" si="18"/>
        <v/>
      </c>
    </row>
    <row r="75" spans="5:14" ht="14.25">
      <c r="E75" s="295"/>
      <c r="F75" s="295"/>
      <c r="M75" s="370"/>
      <c r="N75" s="337" t="str">
        <f t="shared" si="18"/>
        <v/>
      </c>
    </row>
    <row r="76" spans="5:14" ht="14.25">
      <c r="E76" s="295"/>
      <c r="F76" s="295"/>
      <c r="M76" s="370"/>
      <c r="N76" s="337" t="str">
        <f t="shared" si="18"/>
        <v/>
      </c>
    </row>
    <row r="77" spans="5:14" ht="14.25">
      <c r="E77" s="295"/>
      <c r="F77" s="295"/>
      <c r="M77" s="370"/>
      <c r="N77" s="337" t="str">
        <f t="shared" si="18"/>
        <v/>
      </c>
    </row>
    <row r="78" spans="5:14" ht="14.25">
      <c r="E78" s="295"/>
      <c r="F78" s="295"/>
      <c r="M78" s="370"/>
    </row>
    <row r="79" spans="5:14" ht="14.25">
      <c r="E79" s="295"/>
      <c r="F79" s="295"/>
      <c r="M79" s="370"/>
    </row>
    <row r="80" spans="5:14" ht="14.25">
      <c r="E80" s="295"/>
      <c r="F80" s="295"/>
      <c r="M80" s="370"/>
    </row>
    <row r="81" spans="5:13" ht="14.25">
      <c r="E81" s="295"/>
      <c r="F81" s="295"/>
      <c r="M81" s="370"/>
    </row>
    <row r="82" spans="5:13" ht="14.25">
      <c r="E82" s="295"/>
      <c r="F82" s="295"/>
      <c r="M82" s="370"/>
    </row>
    <row r="83" spans="5:13" ht="14.25">
      <c r="E83" s="295"/>
      <c r="F83" s="295"/>
      <c r="M83" s="370"/>
    </row>
    <row r="84" spans="5:13" ht="14.25">
      <c r="E84" s="295"/>
      <c r="F84" s="295"/>
      <c r="M84" s="370"/>
    </row>
    <row r="85" spans="5:13" ht="14.25">
      <c r="E85" s="295"/>
      <c r="F85" s="295"/>
      <c r="M85" s="370"/>
    </row>
    <row r="86" spans="5:13" ht="14.25">
      <c r="E86" s="295"/>
      <c r="F86" s="295"/>
      <c r="M86" s="370"/>
    </row>
    <row r="87" spans="5:13" ht="14.25">
      <c r="E87" s="295"/>
      <c r="F87" s="295"/>
      <c r="M87" s="370"/>
    </row>
    <row r="88" spans="5:13" ht="14.25">
      <c r="E88" s="295"/>
      <c r="F88" s="295"/>
      <c r="M88" s="370"/>
    </row>
    <row r="89" spans="5:13" ht="14.25">
      <c r="E89" s="295"/>
      <c r="F89" s="295"/>
      <c r="M89" s="370"/>
    </row>
    <row r="90" spans="5:13" ht="14.25">
      <c r="E90" s="295"/>
      <c r="F90" s="295"/>
      <c r="M90" s="370"/>
    </row>
    <row r="91" spans="5:13">
      <c r="F91" s="295"/>
    </row>
    <row r="92" spans="5:13">
      <c r="F92" s="295"/>
    </row>
    <row r="93" spans="5:13">
      <c r="F93" s="295"/>
    </row>
    <row r="94" spans="5:13">
      <c r="F94" s="295"/>
    </row>
    <row r="95" spans="5:13">
      <c r="F95" s="295"/>
    </row>
    <row r="96" spans="5:13">
      <c r="F96" s="295"/>
    </row>
  </sheetData>
  <mergeCells count="12">
    <mergeCell ref="N4:N5"/>
    <mergeCell ref="G4:G5"/>
    <mergeCell ref="B2:G2"/>
    <mergeCell ref="B4:B5"/>
    <mergeCell ref="C4:C5"/>
    <mergeCell ref="D4:D5"/>
    <mergeCell ref="F4:F5"/>
    <mergeCell ref="E4:E5"/>
    <mergeCell ref="K4:M4"/>
    <mergeCell ref="H4:H5"/>
    <mergeCell ref="I4:I5"/>
    <mergeCell ref="J4:J5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19"/>
  <dimension ref="A1:P96"/>
  <sheetViews>
    <sheetView zoomScaleNormal="100" workbookViewId="0">
      <selection activeCell="K13" sqref="K13"/>
    </sheetView>
  </sheetViews>
  <sheetFormatPr defaultRowHeight="12.75"/>
  <cols>
    <col min="1" max="1" width="9.140625" style="272"/>
    <col min="2" max="2" width="4.7109375" style="9" customWidth="1"/>
    <col min="3" max="3" width="5.140625" style="9" customWidth="1"/>
    <col min="4" max="4" width="5" style="9" customWidth="1"/>
    <col min="5" max="5" width="8.7109375" style="17" customWidth="1"/>
    <col min="6" max="6" width="8.7109375" style="277" customWidth="1"/>
    <col min="7" max="7" width="50.7109375" style="9" customWidth="1"/>
    <col min="8" max="8" width="14.7109375" style="510" customWidth="1"/>
    <col min="9" max="9" width="14.7109375" style="272" customWidth="1"/>
    <col min="10" max="10" width="15.7109375" style="510" customWidth="1"/>
    <col min="11" max="12" width="14.7109375" style="272" customWidth="1"/>
    <col min="13" max="13" width="15.7109375" style="272" customWidth="1"/>
    <col min="14" max="14" width="7.7109375" style="337" customWidth="1"/>
    <col min="15" max="15" width="11" style="9" bestFit="1" customWidth="1"/>
    <col min="16" max="16384" width="9.140625" style="9"/>
  </cols>
  <sheetData>
    <row r="1" spans="1:16" ht="13.5" thickBot="1"/>
    <row r="2" spans="1:16" s="93" customFormat="1" ht="20.100000000000001" customHeight="1" thickTop="1" thickBot="1">
      <c r="B2" s="725" t="s">
        <v>136</v>
      </c>
      <c r="C2" s="726"/>
      <c r="D2" s="726"/>
      <c r="E2" s="726"/>
      <c r="F2" s="726"/>
      <c r="G2" s="726"/>
      <c r="H2" s="726"/>
      <c r="I2" s="726"/>
      <c r="J2" s="726"/>
      <c r="K2" s="487"/>
      <c r="L2" s="487"/>
      <c r="M2" s="487"/>
      <c r="N2" s="366"/>
    </row>
    <row r="3" spans="1:16" s="1" customFormat="1" ht="8.1" customHeight="1" thickTop="1" thickBot="1">
      <c r="A3" s="269"/>
      <c r="E3" s="2"/>
      <c r="F3" s="270"/>
      <c r="G3" s="488"/>
      <c r="H3" s="511"/>
      <c r="I3" s="354"/>
      <c r="J3" s="511"/>
      <c r="K3" s="354"/>
      <c r="L3" s="354"/>
      <c r="M3" s="354"/>
      <c r="N3" s="331"/>
      <c r="O3" s="355"/>
    </row>
    <row r="4" spans="1:16" s="1" customFormat="1" ht="39" customHeight="1">
      <c r="A4" s="269"/>
      <c r="B4" s="728" t="s">
        <v>78</v>
      </c>
      <c r="C4" s="746" t="s">
        <v>79</v>
      </c>
      <c r="D4" s="747" t="s">
        <v>110</v>
      </c>
      <c r="E4" s="748" t="s">
        <v>594</v>
      </c>
      <c r="F4" s="733" t="s">
        <v>650</v>
      </c>
      <c r="G4" s="734" t="s">
        <v>80</v>
      </c>
      <c r="H4" s="740" t="s">
        <v>644</v>
      </c>
      <c r="I4" s="742" t="s">
        <v>821</v>
      </c>
      <c r="J4" s="744" t="s">
        <v>822</v>
      </c>
      <c r="K4" s="749" t="s">
        <v>863</v>
      </c>
      <c r="L4" s="738"/>
      <c r="M4" s="739"/>
      <c r="N4" s="735" t="s">
        <v>823</v>
      </c>
    </row>
    <row r="5" spans="1:16" s="269" customFormat="1" ht="27" customHeight="1">
      <c r="B5" s="729"/>
      <c r="C5" s="731"/>
      <c r="D5" s="731"/>
      <c r="E5" s="722"/>
      <c r="F5" s="731"/>
      <c r="G5" s="722"/>
      <c r="H5" s="741"/>
      <c r="I5" s="743"/>
      <c r="J5" s="745"/>
      <c r="K5" s="540" t="s">
        <v>701</v>
      </c>
      <c r="L5" s="359" t="s">
        <v>702</v>
      </c>
      <c r="M5" s="541" t="s">
        <v>413</v>
      </c>
      <c r="N5" s="736"/>
    </row>
    <row r="6" spans="1:16" s="2" customFormat="1" ht="12.95" customHeight="1">
      <c r="A6" s="270"/>
      <c r="B6" s="464">
        <v>1</v>
      </c>
      <c r="C6" s="318">
        <v>2</v>
      </c>
      <c r="D6" s="318">
        <v>3</v>
      </c>
      <c r="E6" s="318">
        <v>4</v>
      </c>
      <c r="F6" s="318">
        <v>5</v>
      </c>
      <c r="G6" s="318">
        <v>6</v>
      </c>
      <c r="H6" s="512">
        <v>7</v>
      </c>
      <c r="I6" s="318">
        <v>8</v>
      </c>
      <c r="J6" s="561">
        <v>9</v>
      </c>
      <c r="K6" s="464">
        <v>10</v>
      </c>
      <c r="L6" s="318">
        <v>11</v>
      </c>
      <c r="M6" s="542" t="s">
        <v>703</v>
      </c>
      <c r="N6" s="465">
        <v>13</v>
      </c>
    </row>
    <row r="7" spans="1:16" s="2" customFormat="1" ht="12.95" customHeight="1">
      <c r="A7" s="270"/>
      <c r="B7" s="6" t="s">
        <v>135</v>
      </c>
      <c r="C7" s="7" t="s">
        <v>81</v>
      </c>
      <c r="D7" s="7" t="s">
        <v>82</v>
      </c>
      <c r="E7" s="5"/>
      <c r="F7" s="271"/>
      <c r="G7" s="5"/>
      <c r="H7" s="513"/>
      <c r="I7" s="271"/>
      <c r="J7" s="568"/>
      <c r="K7" s="4"/>
      <c r="L7" s="271"/>
      <c r="M7" s="570"/>
      <c r="N7" s="332"/>
    </row>
    <row r="8" spans="1:16" s="2" customFormat="1" ht="12.95" customHeight="1">
      <c r="A8" s="270"/>
      <c r="B8" s="6"/>
      <c r="C8" s="7"/>
      <c r="D8" s="7"/>
      <c r="E8" s="292">
        <v>600000</v>
      </c>
      <c r="F8" s="318"/>
      <c r="G8" s="19" t="s">
        <v>120</v>
      </c>
      <c r="H8" s="517">
        <f t="shared" ref="H8:M8" si="0">H9</f>
        <v>15000</v>
      </c>
      <c r="I8" s="517">
        <f t="shared" si="0"/>
        <v>15000</v>
      </c>
      <c r="J8" s="579">
        <v>6700</v>
      </c>
      <c r="K8" s="580">
        <f t="shared" si="0"/>
        <v>15000</v>
      </c>
      <c r="L8" s="266">
        <f t="shared" si="0"/>
        <v>0</v>
      </c>
      <c r="M8" s="581">
        <f t="shared" si="0"/>
        <v>15000</v>
      </c>
      <c r="N8" s="333">
        <f>IF(I8=0,"",M8/I8*100)</f>
        <v>100</v>
      </c>
    </row>
    <row r="9" spans="1:16" s="2" customFormat="1" ht="12.95" customHeight="1">
      <c r="A9" s="270"/>
      <c r="B9" s="6"/>
      <c r="C9" s="7"/>
      <c r="D9" s="7"/>
      <c r="E9" s="293">
        <v>600000</v>
      </c>
      <c r="F9" s="319"/>
      <c r="G9" s="34" t="s">
        <v>109</v>
      </c>
      <c r="H9" s="516">
        <v>15000</v>
      </c>
      <c r="I9" s="516">
        <v>15000</v>
      </c>
      <c r="J9" s="566">
        <v>6700</v>
      </c>
      <c r="K9" s="573">
        <v>15000</v>
      </c>
      <c r="L9" s="268">
        <v>0</v>
      </c>
      <c r="M9" s="551">
        <f>SUM(K9:L9)</f>
        <v>15000</v>
      </c>
      <c r="N9" s="334">
        <f t="shared" ref="N9:N72" si="1">IF(I9=0,"",M9/I9*100)</f>
        <v>100</v>
      </c>
    </row>
    <row r="10" spans="1:16" s="2" customFormat="1" ht="12.95" customHeight="1">
      <c r="A10" s="270"/>
      <c r="B10" s="6"/>
      <c r="C10" s="7"/>
      <c r="D10" s="7"/>
      <c r="E10" s="292"/>
      <c r="F10" s="318"/>
      <c r="G10" s="5"/>
      <c r="H10" s="516"/>
      <c r="I10" s="516"/>
      <c r="J10" s="566"/>
      <c r="K10" s="573"/>
      <c r="L10" s="268"/>
      <c r="M10" s="551"/>
      <c r="N10" s="334" t="str">
        <f t="shared" si="1"/>
        <v/>
      </c>
    </row>
    <row r="11" spans="1:16" s="1" customFormat="1" ht="12.95" customHeight="1">
      <c r="A11" s="269"/>
      <c r="B11" s="12"/>
      <c r="C11" s="8"/>
      <c r="D11" s="8"/>
      <c r="E11" s="292">
        <v>611000</v>
      </c>
      <c r="F11" s="318"/>
      <c r="G11" s="8" t="s">
        <v>163</v>
      </c>
      <c r="H11" s="514">
        <f t="shared" ref="H11:I11" si="2">SUM(H12:H14)</f>
        <v>384770</v>
      </c>
      <c r="I11" s="514">
        <f t="shared" si="2"/>
        <v>384770</v>
      </c>
      <c r="J11" s="563">
        <v>271720</v>
      </c>
      <c r="K11" s="545">
        <f t="shared" ref="K11:M11" si="3">SUM(K12:K14)</f>
        <v>372230</v>
      </c>
      <c r="L11" s="201">
        <f t="shared" si="3"/>
        <v>0</v>
      </c>
      <c r="M11" s="546">
        <f t="shared" si="3"/>
        <v>372230</v>
      </c>
      <c r="N11" s="333">
        <f t="shared" si="1"/>
        <v>96.740910154118041</v>
      </c>
    </row>
    <row r="12" spans="1:16" ht="12.95" customHeight="1">
      <c r="B12" s="10"/>
      <c r="C12" s="11"/>
      <c r="D12" s="11"/>
      <c r="E12" s="293">
        <v>611100</v>
      </c>
      <c r="F12" s="319"/>
      <c r="G12" s="18" t="s">
        <v>198</v>
      </c>
      <c r="H12" s="516">
        <v>317980</v>
      </c>
      <c r="I12" s="516">
        <v>317980</v>
      </c>
      <c r="J12" s="566">
        <v>225435</v>
      </c>
      <c r="K12" s="547">
        <f>300400+2000</f>
        <v>302400</v>
      </c>
      <c r="L12" s="203">
        <v>0</v>
      </c>
      <c r="M12" s="551">
        <f t="shared" ref="M12:M14" si="4">SUM(K12:L12)</f>
        <v>302400</v>
      </c>
      <c r="N12" s="334">
        <f t="shared" si="1"/>
        <v>95.1003207748915</v>
      </c>
    </row>
    <row r="13" spans="1:16" ht="12.95" customHeight="1">
      <c r="B13" s="10"/>
      <c r="C13" s="11"/>
      <c r="D13" s="11"/>
      <c r="E13" s="293">
        <v>611200</v>
      </c>
      <c r="F13" s="319"/>
      <c r="G13" s="11" t="s">
        <v>199</v>
      </c>
      <c r="H13" s="516">
        <v>66790</v>
      </c>
      <c r="I13" s="516">
        <v>66790</v>
      </c>
      <c r="J13" s="566">
        <v>46285</v>
      </c>
      <c r="K13" s="549">
        <f>61830+3*1500+14*250</f>
        <v>69830</v>
      </c>
      <c r="L13" s="200">
        <v>0</v>
      </c>
      <c r="M13" s="551">
        <f t="shared" si="4"/>
        <v>69830</v>
      </c>
      <c r="N13" s="334">
        <f t="shared" si="1"/>
        <v>104.5515795777811</v>
      </c>
    </row>
    <row r="14" spans="1:16" ht="12.95" customHeight="1">
      <c r="B14" s="10"/>
      <c r="C14" s="11"/>
      <c r="D14" s="11"/>
      <c r="E14" s="293">
        <v>611200</v>
      </c>
      <c r="F14" s="319"/>
      <c r="G14" s="180" t="s">
        <v>534</v>
      </c>
      <c r="H14" s="516">
        <f t="shared" ref="H14:I14" si="5">SUM(F14:G14)</f>
        <v>0</v>
      </c>
      <c r="I14" s="516">
        <f t="shared" si="5"/>
        <v>0</v>
      </c>
      <c r="J14" s="566">
        <v>0</v>
      </c>
      <c r="K14" s="549">
        <v>0</v>
      </c>
      <c r="L14" s="200">
        <v>0</v>
      </c>
      <c r="M14" s="551">
        <f t="shared" si="4"/>
        <v>0</v>
      </c>
      <c r="N14" s="334" t="str">
        <f t="shared" si="1"/>
        <v/>
      </c>
      <c r="P14" s="53"/>
    </row>
    <row r="15" spans="1:16" ht="12.95" customHeight="1">
      <c r="B15" s="10"/>
      <c r="C15" s="11"/>
      <c r="D15" s="11"/>
      <c r="E15" s="293"/>
      <c r="F15" s="319"/>
      <c r="G15" s="18"/>
      <c r="H15" s="515"/>
      <c r="I15" s="515"/>
      <c r="J15" s="564"/>
      <c r="K15" s="549"/>
      <c r="L15" s="200"/>
      <c r="M15" s="548"/>
      <c r="N15" s="334" t="str">
        <f t="shared" si="1"/>
        <v/>
      </c>
    </row>
    <row r="16" spans="1:16" s="1" customFormat="1" ht="12.95" customHeight="1">
      <c r="A16" s="269"/>
      <c r="B16" s="12"/>
      <c r="C16" s="8"/>
      <c r="D16" s="8"/>
      <c r="E16" s="292">
        <v>612000</v>
      </c>
      <c r="F16" s="318"/>
      <c r="G16" s="8" t="s">
        <v>162</v>
      </c>
      <c r="H16" s="514">
        <f t="shared" ref="H16:I16" si="6">H17+H18</f>
        <v>35150</v>
      </c>
      <c r="I16" s="514">
        <f t="shared" si="6"/>
        <v>35150</v>
      </c>
      <c r="J16" s="563">
        <v>24427</v>
      </c>
      <c r="K16" s="545">
        <f t="shared" ref="K16:M16" si="7">K17+K18</f>
        <v>32570</v>
      </c>
      <c r="L16" s="201">
        <f t="shared" si="7"/>
        <v>0</v>
      </c>
      <c r="M16" s="546">
        <f t="shared" si="7"/>
        <v>32570</v>
      </c>
      <c r="N16" s="333">
        <f t="shared" si="1"/>
        <v>92.660028449502136</v>
      </c>
    </row>
    <row r="17" spans="1:14" ht="12.95" customHeight="1">
      <c r="B17" s="10"/>
      <c r="C17" s="11"/>
      <c r="D17" s="11"/>
      <c r="E17" s="293">
        <v>612100</v>
      </c>
      <c r="F17" s="319"/>
      <c r="G17" s="13" t="s">
        <v>83</v>
      </c>
      <c r="H17" s="516">
        <v>35150</v>
      </c>
      <c r="I17" s="516">
        <v>35150</v>
      </c>
      <c r="J17" s="566">
        <v>24427</v>
      </c>
      <c r="K17" s="549">
        <f>32270+300</f>
        <v>32570</v>
      </c>
      <c r="L17" s="200"/>
      <c r="M17" s="551">
        <f>SUM(K17:L17)</f>
        <v>32570</v>
      </c>
      <c r="N17" s="334">
        <f t="shared" si="1"/>
        <v>92.660028449502136</v>
      </c>
    </row>
    <row r="18" spans="1:14" ht="12.95" customHeight="1">
      <c r="B18" s="10"/>
      <c r="C18" s="11"/>
      <c r="D18" s="11"/>
      <c r="E18" s="293"/>
      <c r="F18" s="319"/>
      <c r="G18" s="11"/>
      <c r="H18" s="516"/>
      <c r="I18" s="516"/>
      <c r="J18" s="566"/>
      <c r="K18" s="578"/>
      <c r="L18" s="267"/>
      <c r="M18" s="551"/>
      <c r="N18" s="334" t="str">
        <f t="shared" si="1"/>
        <v/>
      </c>
    </row>
    <row r="19" spans="1:14" s="1" customFormat="1" ht="12.95" customHeight="1">
      <c r="A19" s="269"/>
      <c r="B19" s="12"/>
      <c r="C19" s="8"/>
      <c r="D19" s="8"/>
      <c r="E19" s="292">
        <v>613000</v>
      </c>
      <c r="F19" s="318"/>
      <c r="G19" s="8" t="s">
        <v>164</v>
      </c>
      <c r="H19" s="262">
        <f t="shared" ref="H19:I19" si="8">SUM(H20:H30)</f>
        <v>115600</v>
      </c>
      <c r="I19" s="262">
        <f t="shared" si="8"/>
        <v>115600</v>
      </c>
      <c r="J19" s="565">
        <v>59774</v>
      </c>
      <c r="K19" s="552">
        <f t="shared" ref="K19:M19" si="9">SUM(K20:K30)</f>
        <v>102300</v>
      </c>
      <c r="L19" s="281">
        <f t="shared" si="9"/>
        <v>0</v>
      </c>
      <c r="M19" s="553">
        <f t="shared" si="9"/>
        <v>102300</v>
      </c>
      <c r="N19" s="333">
        <f t="shared" si="1"/>
        <v>88.494809688581313</v>
      </c>
    </row>
    <row r="20" spans="1:14" ht="12.95" customHeight="1">
      <c r="B20" s="10"/>
      <c r="C20" s="11"/>
      <c r="D20" s="11"/>
      <c r="E20" s="293">
        <v>613100</v>
      </c>
      <c r="F20" s="319"/>
      <c r="G20" s="11" t="s">
        <v>84</v>
      </c>
      <c r="H20" s="516">
        <v>5000</v>
      </c>
      <c r="I20" s="516">
        <v>5000</v>
      </c>
      <c r="J20" s="566">
        <v>1642</v>
      </c>
      <c r="K20" s="578">
        <v>3300</v>
      </c>
      <c r="L20" s="267">
        <v>0</v>
      </c>
      <c r="M20" s="551">
        <f t="shared" ref="M20:M30" si="10">SUM(K20:L20)</f>
        <v>3300</v>
      </c>
      <c r="N20" s="334">
        <f t="shared" si="1"/>
        <v>66</v>
      </c>
    </row>
    <row r="21" spans="1:14" ht="12.95" customHeight="1">
      <c r="B21" s="10"/>
      <c r="C21" s="11"/>
      <c r="D21" s="11"/>
      <c r="E21" s="293">
        <v>613200</v>
      </c>
      <c r="F21" s="319"/>
      <c r="G21" s="11" t="s">
        <v>85</v>
      </c>
      <c r="H21" s="516">
        <f t="shared" ref="H21:I30" si="11">SUM(F21:G21)</f>
        <v>0</v>
      </c>
      <c r="I21" s="516">
        <f t="shared" si="11"/>
        <v>0</v>
      </c>
      <c r="J21" s="566">
        <v>0</v>
      </c>
      <c r="K21" s="578">
        <v>0</v>
      </c>
      <c r="L21" s="267">
        <v>0</v>
      </c>
      <c r="M21" s="551">
        <f t="shared" si="10"/>
        <v>0</v>
      </c>
      <c r="N21" s="334" t="str">
        <f t="shared" si="1"/>
        <v/>
      </c>
    </row>
    <row r="22" spans="1:14" ht="12.95" customHeight="1">
      <c r="B22" s="10"/>
      <c r="C22" s="11"/>
      <c r="D22" s="11"/>
      <c r="E22" s="293">
        <v>613300</v>
      </c>
      <c r="F22" s="319"/>
      <c r="G22" s="18" t="s">
        <v>200</v>
      </c>
      <c r="H22" s="516">
        <v>7680</v>
      </c>
      <c r="I22" s="516">
        <v>7680</v>
      </c>
      <c r="J22" s="566">
        <v>5512</v>
      </c>
      <c r="K22" s="578">
        <v>7680</v>
      </c>
      <c r="L22" s="267">
        <v>0</v>
      </c>
      <c r="M22" s="551">
        <f t="shared" si="10"/>
        <v>7680</v>
      </c>
      <c r="N22" s="334">
        <f t="shared" si="1"/>
        <v>100</v>
      </c>
    </row>
    <row r="23" spans="1:14" ht="12.95" customHeight="1">
      <c r="B23" s="10"/>
      <c r="C23" s="11"/>
      <c r="D23" s="11"/>
      <c r="E23" s="293">
        <v>613400</v>
      </c>
      <c r="F23" s="319"/>
      <c r="G23" s="11" t="s">
        <v>165</v>
      </c>
      <c r="H23" s="516">
        <v>3000</v>
      </c>
      <c r="I23" s="516">
        <v>3000</v>
      </c>
      <c r="J23" s="566">
        <v>1849</v>
      </c>
      <c r="K23" s="578">
        <v>2800</v>
      </c>
      <c r="L23" s="267">
        <v>0</v>
      </c>
      <c r="M23" s="551">
        <f t="shared" si="10"/>
        <v>2800</v>
      </c>
      <c r="N23" s="334">
        <f t="shared" si="1"/>
        <v>93.333333333333329</v>
      </c>
    </row>
    <row r="24" spans="1:14" ht="12.95" customHeight="1">
      <c r="B24" s="10"/>
      <c r="C24" s="11"/>
      <c r="D24" s="11"/>
      <c r="E24" s="293">
        <v>613500</v>
      </c>
      <c r="F24" s="319"/>
      <c r="G24" s="11" t="s">
        <v>86</v>
      </c>
      <c r="H24" s="516">
        <f t="shared" si="11"/>
        <v>0</v>
      </c>
      <c r="I24" s="516">
        <f t="shared" si="11"/>
        <v>0</v>
      </c>
      <c r="J24" s="566">
        <v>0</v>
      </c>
      <c r="K24" s="573">
        <v>0</v>
      </c>
      <c r="L24" s="268">
        <v>0</v>
      </c>
      <c r="M24" s="551">
        <f t="shared" si="10"/>
        <v>0</v>
      </c>
      <c r="N24" s="334" t="str">
        <f t="shared" si="1"/>
        <v/>
      </c>
    </row>
    <row r="25" spans="1:14" ht="12.95" customHeight="1">
      <c r="B25" s="10"/>
      <c r="C25" s="11"/>
      <c r="D25" s="11"/>
      <c r="E25" s="293">
        <v>613600</v>
      </c>
      <c r="F25" s="319"/>
      <c r="G25" s="18" t="s">
        <v>201</v>
      </c>
      <c r="H25" s="516">
        <f t="shared" si="11"/>
        <v>0</v>
      </c>
      <c r="I25" s="516">
        <f t="shared" si="11"/>
        <v>0</v>
      </c>
      <c r="J25" s="566">
        <v>0</v>
      </c>
      <c r="K25" s="573">
        <v>0</v>
      </c>
      <c r="L25" s="268">
        <v>0</v>
      </c>
      <c r="M25" s="551">
        <f t="shared" si="10"/>
        <v>0</v>
      </c>
      <c r="N25" s="334" t="str">
        <f t="shared" si="1"/>
        <v/>
      </c>
    </row>
    <row r="26" spans="1:14" ht="12.95" customHeight="1">
      <c r="B26" s="10"/>
      <c r="C26" s="11"/>
      <c r="D26" s="11"/>
      <c r="E26" s="293">
        <v>613700</v>
      </c>
      <c r="F26" s="319"/>
      <c r="G26" s="11" t="s">
        <v>87</v>
      </c>
      <c r="H26" s="516">
        <v>1500</v>
      </c>
      <c r="I26" s="516">
        <v>1500</v>
      </c>
      <c r="J26" s="566">
        <v>1431</v>
      </c>
      <c r="K26" s="556">
        <v>1900</v>
      </c>
      <c r="L26" s="283">
        <v>0</v>
      </c>
      <c r="M26" s="551">
        <f t="shared" si="10"/>
        <v>1900</v>
      </c>
      <c r="N26" s="334">
        <f t="shared" si="1"/>
        <v>126.66666666666666</v>
      </c>
    </row>
    <row r="27" spans="1:14" ht="12.95" customHeight="1">
      <c r="B27" s="10"/>
      <c r="C27" s="11"/>
      <c r="D27" s="11"/>
      <c r="E27" s="293">
        <v>613800</v>
      </c>
      <c r="F27" s="319"/>
      <c r="G27" s="11" t="s">
        <v>166</v>
      </c>
      <c r="H27" s="516">
        <v>6120</v>
      </c>
      <c r="I27" s="516">
        <v>6120</v>
      </c>
      <c r="J27" s="566">
        <v>4038</v>
      </c>
      <c r="K27" s="573">
        <v>6120</v>
      </c>
      <c r="L27" s="268">
        <v>0</v>
      </c>
      <c r="M27" s="551">
        <f t="shared" si="10"/>
        <v>6120</v>
      </c>
      <c r="N27" s="334">
        <f t="shared" si="1"/>
        <v>100</v>
      </c>
    </row>
    <row r="28" spans="1:14" ht="12.95" customHeight="1">
      <c r="B28" s="10"/>
      <c r="C28" s="11"/>
      <c r="D28" s="11"/>
      <c r="E28" s="293">
        <v>613900</v>
      </c>
      <c r="F28" s="319"/>
      <c r="G28" s="11" t="s">
        <v>167</v>
      </c>
      <c r="H28" s="516">
        <v>27600</v>
      </c>
      <c r="I28" s="516">
        <v>27600</v>
      </c>
      <c r="J28" s="566">
        <v>7332</v>
      </c>
      <c r="K28" s="598">
        <v>15800</v>
      </c>
      <c r="L28" s="265">
        <v>0</v>
      </c>
      <c r="M28" s="551">
        <f t="shared" si="10"/>
        <v>15800</v>
      </c>
      <c r="N28" s="334">
        <f t="shared" si="1"/>
        <v>57.246376811594203</v>
      </c>
    </row>
    <row r="29" spans="1:14" ht="12.95" customHeight="1">
      <c r="B29" s="10"/>
      <c r="C29" s="11"/>
      <c r="D29" s="11"/>
      <c r="E29" s="299">
        <v>613900</v>
      </c>
      <c r="F29" s="325" t="s">
        <v>666</v>
      </c>
      <c r="G29" s="18" t="s">
        <v>538</v>
      </c>
      <c r="H29" s="516">
        <v>64700</v>
      </c>
      <c r="I29" s="516">
        <v>64700</v>
      </c>
      <c r="J29" s="566">
        <v>37970</v>
      </c>
      <c r="K29" s="573">
        <v>64700</v>
      </c>
      <c r="L29" s="268">
        <v>0</v>
      </c>
      <c r="M29" s="551">
        <f t="shared" si="10"/>
        <v>64700</v>
      </c>
      <c r="N29" s="334">
        <f t="shared" si="1"/>
        <v>100</v>
      </c>
    </row>
    <row r="30" spans="1:14" ht="12.95" customHeight="1">
      <c r="B30" s="10"/>
      <c r="C30" s="11"/>
      <c r="D30" s="11"/>
      <c r="E30" s="293">
        <v>613900</v>
      </c>
      <c r="F30" s="319"/>
      <c r="G30" s="180" t="s">
        <v>535</v>
      </c>
      <c r="H30" s="516">
        <f t="shared" si="11"/>
        <v>0</v>
      </c>
      <c r="I30" s="516">
        <f t="shared" si="11"/>
        <v>0</v>
      </c>
      <c r="J30" s="566">
        <v>0</v>
      </c>
      <c r="K30" s="573">
        <v>0</v>
      </c>
      <c r="L30" s="268">
        <v>0</v>
      </c>
      <c r="M30" s="551">
        <f t="shared" si="10"/>
        <v>0</v>
      </c>
      <c r="N30" s="334" t="str">
        <f t="shared" si="1"/>
        <v/>
      </c>
    </row>
    <row r="31" spans="1:14" ht="12.95" customHeight="1">
      <c r="B31" s="10"/>
      <c r="C31" s="11"/>
      <c r="D31" s="11"/>
      <c r="E31" s="299"/>
      <c r="F31" s="325"/>
      <c r="G31" s="11"/>
      <c r="H31" s="516"/>
      <c r="I31" s="516"/>
      <c r="J31" s="566"/>
      <c r="K31" s="573"/>
      <c r="L31" s="268"/>
      <c r="M31" s="551"/>
      <c r="N31" s="334" t="str">
        <f t="shared" si="1"/>
        <v/>
      </c>
    </row>
    <row r="32" spans="1:14" s="1" customFormat="1" ht="12.95" customHeight="1">
      <c r="A32" s="269"/>
      <c r="B32" s="12"/>
      <c r="C32" s="8"/>
      <c r="D32" s="23"/>
      <c r="E32" s="292">
        <v>614000</v>
      </c>
      <c r="F32" s="318"/>
      <c r="G32" s="8" t="s">
        <v>202</v>
      </c>
      <c r="H32" s="262">
        <f t="shared" ref="H32:I32" si="12">SUM(H33:H35)</f>
        <v>280000</v>
      </c>
      <c r="I32" s="262">
        <f t="shared" si="12"/>
        <v>280000</v>
      </c>
      <c r="J32" s="565">
        <v>201335</v>
      </c>
      <c r="K32" s="557">
        <f t="shared" ref="K32:M32" si="13">SUM(K33:K35)</f>
        <v>338300</v>
      </c>
      <c r="L32" s="282">
        <f t="shared" si="13"/>
        <v>0</v>
      </c>
      <c r="M32" s="553">
        <f t="shared" si="13"/>
        <v>338300</v>
      </c>
      <c r="N32" s="333">
        <f t="shared" si="1"/>
        <v>120.82142857142857</v>
      </c>
    </row>
    <row r="33" spans="1:16" ht="12.95" customHeight="1">
      <c r="B33" s="10"/>
      <c r="C33" s="11"/>
      <c r="D33" s="22"/>
      <c r="E33" s="293">
        <v>614100</v>
      </c>
      <c r="F33" s="316" t="s">
        <v>667</v>
      </c>
      <c r="G33" s="35" t="s">
        <v>274</v>
      </c>
      <c r="H33" s="516">
        <v>200000</v>
      </c>
      <c r="I33" s="516">
        <v>200000</v>
      </c>
      <c r="J33" s="566">
        <v>123500</v>
      </c>
      <c r="K33" s="573">
        <v>230000</v>
      </c>
      <c r="L33" s="268">
        <v>0</v>
      </c>
      <c r="M33" s="551">
        <f t="shared" ref="M33:M35" si="14">SUM(K33:L33)</f>
        <v>230000</v>
      </c>
      <c r="N33" s="334">
        <f t="shared" si="1"/>
        <v>114.99999999999999</v>
      </c>
      <c r="O33" s="63"/>
      <c r="P33" s="48"/>
    </row>
    <row r="34" spans="1:16" ht="12.95" customHeight="1">
      <c r="B34" s="10"/>
      <c r="C34" s="11"/>
      <c r="D34" s="22"/>
      <c r="E34" s="341">
        <v>614800</v>
      </c>
      <c r="F34" s="327" t="s">
        <v>668</v>
      </c>
      <c r="G34" s="35" t="s">
        <v>111</v>
      </c>
      <c r="H34" s="516">
        <v>60000</v>
      </c>
      <c r="I34" s="516">
        <v>66000</v>
      </c>
      <c r="J34" s="566">
        <v>63840</v>
      </c>
      <c r="K34" s="573">
        <v>68000</v>
      </c>
      <c r="L34" s="268">
        <v>0</v>
      </c>
      <c r="M34" s="551">
        <f t="shared" si="14"/>
        <v>68000</v>
      </c>
      <c r="N34" s="334">
        <f t="shared" si="1"/>
        <v>103.03030303030303</v>
      </c>
      <c r="O34" s="48"/>
    </row>
    <row r="35" spans="1:16" ht="24.75" customHeight="1">
      <c r="B35" s="10"/>
      <c r="C35" s="11"/>
      <c r="D35" s="22"/>
      <c r="E35" s="341">
        <v>614800</v>
      </c>
      <c r="F35" s="327" t="s">
        <v>669</v>
      </c>
      <c r="G35" s="241" t="s">
        <v>595</v>
      </c>
      <c r="H35" s="516">
        <v>20000</v>
      </c>
      <c r="I35" s="516">
        <v>14000</v>
      </c>
      <c r="J35" s="566">
        <v>13995</v>
      </c>
      <c r="K35" s="573">
        <f>14000+26300</f>
        <v>40300</v>
      </c>
      <c r="L35" s="268">
        <v>0</v>
      </c>
      <c r="M35" s="551">
        <f t="shared" si="14"/>
        <v>40300</v>
      </c>
      <c r="N35" s="334">
        <f t="shared" si="1"/>
        <v>287.85714285714283</v>
      </c>
      <c r="O35" s="48"/>
    </row>
    <row r="36" spans="1:16" ht="12.95" customHeight="1">
      <c r="B36" s="10"/>
      <c r="C36" s="11"/>
      <c r="D36" s="22"/>
      <c r="E36" s="342"/>
      <c r="F36" s="328"/>
      <c r="G36" s="35"/>
      <c r="H36" s="516"/>
      <c r="I36" s="516"/>
      <c r="J36" s="566"/>
      <c r="K36" s="573"/>
      <c r="L36" s="268"/>
      <c r="M36" s="551"/>
      <c r="N36" s="334" t="str">
        <f t="shared" si="1"/>
        <v/>
      </c>
    </row>
    <row r="37" spans="1:16" ht="12.95" customHeight="1">
      <c r="B37" s="10"/>
      <c r="C37" s="11"/>
      <c r="D37" s="11"/>
      <c r="E37" s="302">
        <v>616000</v>
      </c>
      <c r="F37" s="329"/>
      <c r="G37" s="24" t="s">
        <v>205</v>
      </c>
      <c r="H37" s="262">
        <f t="shared" ref="H37:M37" si="15">SUM(H38:H39)</f>
        <v>56300</v>
      </c>
      <c r="I37" s="262">
        <f t="shared" ref="I37" si="16">SUM(I38:I39)</f>
        <v>56300</v>
      </c>
      <c r="J37" s="565">
        <v>42726</v>
      </c>
      <c r="K37" s="599">
        <f t="shared" si="15"/>
        <v>49580</v>
      </c>
      <c r="L37" s="262">
        <f t="shared" si="15"/>
        <v>0</v>
      </c>
      <c r="M37" s="553">
        <f t="shared" si="15"/>
        <v>49580</v>
      </c>
      <c r="N37" s="333">
        <f t="shared" si="1"/>
        <v>88.0639431616341</v>
      </c>
    </row>
    <row r="38" spans="1:16" ht="12.95" customHeight="1">
      <c r="B38" s="10"/>
      <c r="C38" s="11"/>
      <c r="D38" s="11"/>
      <c r="E38" s="300">
        <v>616300</v>
      </c>
      <c r="F38" s="316" t="s">
        <v>670</v>
      </c>
      <c r="G38" s="38" t="s">
        <v>210</v>
      </c>
      <c r="H38" s="516">
        <v>23400</v>
      </c>
      <c r="I38" s="516">
        <v>23400</v>
      </c>
      <c r="J38" s="566">
        <v>21130</v>
      </c>
      <c r="K38" s="573">
        <v>21130</v>
      </c>
      <c r="L38" s="268">
        <v>0</v>
      </c>
      <c r="M38" s="551">
        <f t="shared" ref="M38:M39" si="17">SUM(K38:L38)</f>
        <v>21130</v>
      </c>
      <c r="N38" s="334">
        <f t="shared" si="1"/>
        <v>90.299145299145295</v>
      </c>
    </row>
    <row r="39" spans="1:16" ht="12.95" customHeight="1">
      <c r="B39" s="10"/>
      <c r="C39" s="11"/>
      <c r="D39" s="11"/>
      <c r="E39" s="300">
        <v>616300</v>
      </c>
      <c r="F39" s="316" t="s">
        <v>671</v>
      </c>
      <c r="G39" s="38" t="s">
        <v>214</v>
      </c>
      <c r="H39" s="516">
        <v>32900</v>
      </c>
      <c r="I39" s="516">
        <v>32900</v>
      </c>
      <c r="J39" s="566">
        <v>21596</v>
      </c>
      <c r="K39" s="573">
        <f>6850+21600</f>
        <v>28450</v>
      </c>
      <c r="L39" s="268">
        <v>0</v>
      </c>
      <c r="M39" s="551">
        <f t="shared" si="17"/>
        <v>28450</v>
      </c>
      <c r="N39" s="334">
        <f t="shared" si="1"/>
        <v>86.474164133738611</v>
      </c>
    </row>
    <row r="40" spans="1:16" ht="12.95" customHeight="1">
      <c r="B40" s="10"/>
      <c r="C40" s="11"/>
      <c r="D40" s="11"/>
      <c r="E40" s="293"/>
      <c r="F40" s="319"/>
      <c r="G40" s="11"/>
      <c r="H40" s="262"/>
      <c r="I40" s="262"/>
      <c r="J40" s="565"/>
      <c r="K40" s="557"/>
      <c r="L40" s="282"/>
      <c r="M40" s="553"/>
      <c r="N40" s="334" t="str">
        <f t="shared" si="1"/>
        <v/>
      </c>
    </row>
    <row r="41" spans="1:16" ht="12.95" customHeight="1">
      <c r="B41" s="12"/>
      <c r="C41" s="8"/>
      <c r="D41" s="8"/>
      <c r="E41" s="292">
        <v>821000</v>
      </c>
      <c r="F41" s="318"/>
      <c r="G41" s="8" t="s">
        <v>90</v>
      </c>
      <c r="H41" s="262">
        <f t="shared" ref="H41:M41" si="18">SUM(H42:H43)</f>
        <v>1500</v>
      </c>
      <c r="I41" s="262">
        <f t="shared" ref="I41" si="19">SUM(I42:I43)</f>
        <v>1500</v>
      </c>
      <c r="J41" s="565">
        <v>1377</v>
      </c>
      <c r="K41" s="557">
        <f t="shared" si="18"/>
        <v>1380</v>
      </c>
      <c r="L41" s="282">
        <f t="shared" si="18"/>
        <v>0</v>
      </c>
      <c r="M41" s="553">
        <f t="shared" si="18"/>
        <v>1380</v>
      </c>
      <c r="N41" s="333">
        <f t="shared" si="1"/>
        <v>92</v>
      </c>
    </row>
    <row r="42" spans="1:16" ht="12.95" customHeight="1">
      <c r="B42" s="10"/>
      <c r="C42" s="11"/>
      <c r="D42" s="11"/>
      <c r="E42" s="293">
        <v>821200</v>
      </c>
      <c r="F42" s="319"/>
      <c r="G42" s="11" t="s">
        <v>91</v>
      </c>
      <c r="H42" s="516">
        <v>0</v>
      </c>
      <c r="I42" s="516">
        <v>0</v>
      </c>
      <c r="J42" s="566">
        <v>0</v>
      </c>
      <c r="K42" s="556">
        <v>0</v>
      </c>
      <c r="L42" s="283">
        <v>0</v>
      </c>
      <c r="M42" s="551">
        <f t="shared" ref="M42:M43" si="20">SUM(K42:L42)</f>
        <v>0</v>
      </c>
      <c r="N42" s="334" t="str">
        <f t="shared" si="1"/>
        <v/>
      </c>
    </row>
    <row r="43" spans="1:16" s="1" customFormat="1" ht="12.95" customHeight="1">
      <c r="A43" s="269"/>
      <c r="B43" s="10"/>
      <c r="C43" s="11"/>
      <c r="D43" s="11"/>
      <c r="E43" s="293">
        <v>821300</v>
      </c>
      <c r="F43" s="319"/>
      <c r="G43" s="11" t="s">
        <v>92</v>
      </c>
      <c r="H43" s="516">
        <v>1500</v>
      </c>
      <c r="I43" s="516">
        <v>1500</v>
      </c>
      <c r="J43" s="566">
        <v>1377</v>
      </c>
      <c r="K43" s="556">
        <v>1380</v>
      </c>
      <c r="L43" s="283">
        <v>0</v>
      </c>
      <c r="M43" s="551">
        <f t="shared" si="20"/>
        <v>1380</v>
      </c>
      <c r="N43" s="334">
        <f t="shared" si="1"/>
        <v>92</v>
      </c>
    </row>
    <row r="44" spans="1:16" ht="12.95" customHeight="1">
      <c r="B44" s="10"/>
      <c r="C44" s="11"/>
      <c r="D44" s="11"/>
      <c r="E44" s="293"/>
      <c r="F44" s="319"/>
      <c r="G44" s="11"/>
      <c r="H44" s="516"/>
      <c r="I44" s="516"/>
      <c r="J44" s="566"/>
      <c r="K44" s="573"/>
      <c r="L44" s="268"/>
      <c r="M44" s="551"/>
      <c r="N44" s="334" t="str">
        <f t="shared" si="1"/>
        <v/>
      </c>
    </row>
    <row r="45" spans="1:16" ht="12.95" customHeight="1">
      <c r="B45" s="12"/>
      <c r="C45" s="8"/>
      <c r="D45" s="8"/>
      <c r="E45" s="292">
        <v>823000</v>
      </c>
      <c r="F45" s="318"/>
      <c r="G45" s="8" t="s">
        <v>211</v>
      </c>
      <c r="H45" s="262">
        <f t="shared" ref="H45:M45" si="21">SUM(H46:H47)</f>
        <v>523890</v>
      </c>
      <c r="I45" s="262">
        <f t="shared" ref="I45" si="22">SUM(I46:I47)</f>
        <v>523890</v>
      </c>
      <c r="J45" s="565">
        <v>519698</v>
      </c>
      <c r="K45" s="557">
        <f t="shared" si="21"/>
        <v>519710</v>
      </c>
      <c r="L45" s="282">
        <f t="shared" si="21"/>
        <v>0</v>
      </c>
      <c r="M45" s="553">
        <f t="shared" si="21"/>
        <v>519710</v>
      </c>
      <c r="N45" s="333">
        <f t="shared" si="1"/>
        <v>99.20212258298497</v>
      </c>
    </row>
    <row r="46" spans="1:16" ht="12.95" customHeight="1">
      <c r="B46" s="10"/>
      <c r="C46" s="11"/>
      <c r="D46" s="11"/>
      <c r="E46" s="293">
        <v>823300</v>
      </c>
      <c r="F46" s="319" t="s">
        <v>670</v>
      </c>
      <c r="G46" s="18" t="s">
        <v>599</v>
      </c>
      <c r="H46" s="516">
        <v>93600</v>
      </c>
      <c r="I46" s="516">
        <v>93600</v>
      </c>
      <c r="J46" s="566">
        <v>89415</v>
      </c>
      <c r="K46" s="556">
        <v>89420</v>
      </c>
      <c r="L46" s="283">
        <v>0</v>
      </c>
      <c r="M46" s="551">
        <f t="shared" ref="M46:M47" si="23">SUM(K46:L46)</f>
        <v>89420</v>
      </c>
      <c r="N46" s="334">
        <f t="shared" si="1"/>
        <v>95.534188034188034</v>
      </c>
    </row>
    <row r="47" spans="1:16" ht="12.95" customHeight="1">
      <c r="B47" s="10"/>
      <c r="C47" s="11"/>
      <c r="D47" s="11"/>
      <c r="E47" s="293">
        <v>823300</v>
      </c>
      <c r="F47" s="319" t="s">
        <v>671</v>
      </c>
      <c r="G47" s="18" t="s">
        <v>598</v>
      </c>
      <c r="H47" s="516">
        <v>430290</v>
      </c>
      <c r="I47" s="516">
        <v>430290</v>
      </c>
      <c r="J47" s="566">
        <v>430283</v>
      </c>
      <c r="K47" s="556">
        <v>430290</v>
      </c>
      <c r="L47" s="283">
        <v>0</v>
      </c>
      <c r="M47" s="551">
        <f t="shared" si="23"/>
        <v>430290</v>
      </c>
      <c r="N47" s="334">
        <f t="shared" si="1"/>
        <v>100</v>
      </c>
    </row>
    <row r="48" spans="1:16" ht="12.95" customHeight="1">
      <c r="B48" s="10"/>
      <c r="C48" s="11"/>
      <c r="D48" s="11"/>
      <c r="E48" s="293"/>
      <c r="F48" s="319"/>
      <c r="G48" s="11"/>
      <c r="H48" s="525"/>
      <c r="I48" s="525"/>
      <c r="J48" s="589"/>
      <c r="K48" s="273"/>
      <c r="L48" s="274"/>
      <c r="M48" s="595"/>
      <c r="N48" s="334" t="str">
        <f t="shared" si="1"/>
        <v/>
      </c>
    </row>
    <row r="49" spans="1:14" ht="12.95" customHeight="1">
      <c r="B49" s="12"/>
      <c r="C49" s="8"/>
      <c r="D49" s="8"/>
      <c r="E49" s="292"/>
      <c r="F49" s="318"/>
      <c r="G49" s="8" t="s">
        <v>93</v>
      </c>
      <c r="H49" s="526">
        <v>16</v>
      </c>
      <c r="I49" s="526">
        <v>16</v>
      </c>
      <c r="J49" s="597">
        <v>14</v>
      </c>
      <c r="K49" s="640">
        <v>15</v>
      </c>
      <c r="L49" s="641"/>
      <c r="M49" s="642">
        <v>15</v>
      </c>
      <c r="N49" s="334"/>
    </row>
    <row r="50" spans="1:14" ht="12.95" customHeight="1">
      <c r="B50" s="12"/>
      <c r="C50" s="8"/>
      <c r="D50" s="8"/>
      <c r="E50" s="292"/>
      <c r="F50" s="318"/>
      <c r="G50" s="8" t="s">
        <v>113</v>
      </c>
      <c r="H50" s="262">
        <f t="shared" ref="H50:J50" si="24">H8+H11+H16+H19+H32+H37+H41+H45</f>
        <v>1412210</v>
      </c>
      <c r="I50" s="276">
        <f t="shared" si="24"/>
        <v>1412210</v>
      </c>
      <c r="J50" s="565">
        <f t="shared" si="24"/>
        <v>1127757</v>
      </c>
      <c r="K50" s="558">
        <f t="shared" ref="K50:M50" si="25">K8+K11+K16+K19+K32+K37+K41+K45</f>
        <v>1431070</v>
      </c>
      <c r="L50" s="276">
        <f t="shared" si="25"/>
        <v>0</v>
      </c>
      <c r="M50" s="553">
        <f t="shared" si="25"/>
        <v>1431070</v>
      </c>
      <c r="N50" s="333">
        <f t="shared" si="1"/>
        <v>101.33549542915006</v>
      </c>
    </row>
    <row r="51" spans="1:14" s="1" customFormat="1" ht="12.95" customHeight="1">
      <c r="A51" s="269"/>
      <c r="B51" s="12"/>
      <c r="C51" s="8"/>
      <c r="D51" s="8"/>
      <c r="E51" s="292"/>
      <c r="F51" s="318"/>
      <c r="G51" s="8" t="s">
        <v>94</v>
      </c>
      <c r="H51" s="262">
        <f t="shared" ref="H51:J52" si="26">H50</f>
        <v>1412210</v>
      </c>
      <c r="I51" s="276">
        <f t="shared" si="26"/>
        <v>1412210</v>
      </c>
      <c r="J51" s="565">
        <f t="shared" si="26"/>
        <v>1127757</v>
      </c>
      <c r="K51" s="558">
        <f t="shared" ref="K51:M51" si="27">K50</f>
        <v>1431070</v>
      </c>
      <c r="L51" s="276">
        <f t="shared" si="27"/>
        <v>0</v>
      </c>
      <c r="M51" s="553">
        <f t="shared" si="27"/>
        <v>1431070</v>
      </c>
      <c r="N51" s="333">
        <f t="shared" si="1"/>
        <v>101.33549542915006</v>
      </c>
    </row>
    <row r="52" spans="1:14" s="1" customFormat="1" ht="12.95" customHeight="1">
      <c r="A52" s="269"/>
      <c r="B52" s="12"/>
      <c r="C52" s="8"/>
      <c r="D52" s="8"/>
      <c r="E52" s="292"/>
      <c r="F52" s="318"/>
      <c r="G52" s="8" t="s">
        <v>95</v>
      </c>
      <c r="H52" s="262">
        <f t="shared" si="26"/>
        <v>1412210</v>
      </c>
      <c r="I52" s="276">
        <f t="shared" si="26"/>
        <v>1412210</v>
      </c>
      <c r="J52" s="565">
        <f t="shared" si="26"/>
        <v>1127757</v>
      </c>
      <c r="K52" s="558">
        <f t="shared" ref="K52:M52" si="28">K51</f>
        <v>1431070</v>
      </c>
      <c r="L52" s="276">
        <f t="shared" si="28"/>
        <v>0</v>
      </c>
      <c r="M52" s="553">
        <f t="shared" si="28"/>
        <v>1431070</v>
      </c>
      <c r="N52" s="333">
        <f t="shared" si="1"/>
        <v>101.33549542915006</v>
      </c>
    </row>
    <row r="53" spans="1:14" s="1" customFormat="1" ht="12.95" customHeight="1" thickBot="1">
      <c r="A53" s="269"/>
      <c r="B53" s="15"/>
      <c r="C53" s="16"/>
      <c r="D53" s="16"/>
      <c r="E53" s="294"/>
      <c r="F53" s="320"/>
      <c r="G53" s="16"/>
      <c r="H53" s="521"/>
      <c r="I53" s="16"/>
      <c r="J53" s="569"/>
      <c r="K53" s="15"/>
      <c r="L53" s="16"/>
      <c r="M53" s="574"/>
      <c r="N53" s="336" t="str">
        <f t="shared" si="1"/>
        <v/>
      </c>
    </row>
    <row r="54" spans="1:14" s="1" customFormat="1" ht="12.95" customHeight="1">
      <c r="A54" s="269"/>
      <c r="B54" s="9"/>
      <c r="C54" s="9"/>
      <c r="D54" s="9"/>
      <c r="E54" s="295"/>
      <c r="F54" s="321"/>
      <c r="G54" s="9"/>
      <c r="H54" s="510"/>
      <c r="I54" s="272"/>
      <c r="J54" s="510"/>
      <c r="K54" s="272"/>
      <c r="L54" s="272"/>
      <c r="M54" s="369"/>
      <c r="N54" s="337" t="str">
        <f t="shared" si="1"/>
        <v/>
      </c>
    </row>
    <row r="55" spans="1:14" ht="12.95" customHeight="1">
      <c r="E55" s="295"/>
      <c r="F55" s="321"/>
      <c r="M55" s="369"/>
      <c r="N55" s="337" t="str">
        <f t="shared" si="1"/>
        <v/>
      </c>
    </row>
    <row r="56" spans="1:14" ht="12.95" customHeight="1">
      <c r="E56" s="295"/>
      <c r="F56" s="321"/>
      <c r="M56" s="369"/>
      <c r="N56" s="337" t="str">
        <f t="shared" si="1"/>
        <v/>
      </c>
    </row>
    <row r="57" spans="1:14" ht="12.95" customHeight="1">
      <c r="E57" s="295"/>
      <c r="F57" s="321"/>
      <c r="M57" s="369"/>
      <c r="N57" s="337" t="str">
        <f t="shared" si="1"/>
        <v/>
      </c>
    </row>
    <row r="58" spans="1:14" ht="12.95" customHeight="1">
      <c r="E58" s="295"/>
      <c r="F58" s="321"/>
      <c r="M58" s="369"/>
      <c r="N58" s="337" t="str">
        <f t="shared" si="1"/>
        <v/>
      </c>
    </row>
    <row r="59" spans="1:14" ht="12.95" customHeight="1">
      <c r="E59" s="295"/>
      <c r="F59" s="321"/>
      <c r="M59" s="369"/>
      <c r="N59" s="337" t="str">
        <f t="shared" si="1"/>
        <v/>
      </c>
    </row>
    <row r="60" spans="1:14" ht="17.100000000000001" customHeight="1">
      <c r="E60" s="295"/>
      <c r="F60" s="321"/>
      <c r="M60" s="369"/>
      <c r="N60" s="337" t="str">
        <f t="shared" si="1"/>
        <v/>
      </c>
    </row>
    <row r="61" spans="1:14" ht="14.25">
      <c r="E61" s="295"/>
      <c r="F61" s="321"/>
      <c r="M61" s="369"/>
      <c r="N61" s="337" t="str">
        <f t="shared" si="1"/>
        <v/>
      </c>
    </row>
    <row r="62" spans="1:14" ht="14.25">
      <c r="E62" s="295"/>
      <c r="F62" s="321"/>
      <c r="M62" s="369"/>
      <c r="N62" s="337" t="str">
        <f t="shared" si="1"/>
        <v/>
      </c>
    </row>
    <row r="63" spans="1:14" ht="14.25">
      <c r="E63" s="295"/>
      <c r="F63" s="321"/>
      <c r="M63" s="369"/>
      <c r="N63" s="337" t="str">
        <f t="shared" si="1"/>
        <v/>
      </c>
    </row>
    <row r="64" spans="1:14" ht="14.25">
      <c r="E64" s="295"/>
      <c r="F64" s="321"/>
      <c r="M64" s="369"/>
      <c r="N64" s="337" t="str">
        <f t="shared" si="1"/>
        <v/>
      </c>
    </row>
    <row r="65" spans="5:14" ht="14.25">
      <c r="E65" s="295"/>
      <c r="F65" s="321"/>
      <c r="M65" s="369"/>
      <c r="N65" s="337" t="str">
        <f t="shared" si="1"/>
        <v/>
      </c>
    </row>
    <row r="66" spans="5:14" ht="14.25">
      <c r="E66" s="295"/>
      <c r="F66" s="321"/>
      <c r="M66" s="369"/>
      <c r="N66" s="337" t="str">
        <f t="shared" si="1"/>
        <v/>
      </c>
    </row>
    <row r="67" spans="5:14" ht="14.25">
      <c r="E67" s="295"/>
      <c r="F67" s="321"/>
      <c r="M67" s="369"/>
      <c r="N67" s="337" t="str">
        <f t="shared" si="1"/>
        <v/>
      </c>
    </row>
    <row r="68" spans="5:14" ht="14.25">
      <c r="E68" s="295"/>
      <c r="F68" s="321"/>
      <c r="M68" s="369"/>
      <c r="N68" s="337" t="str">
        <f t="shared" si="1"/>
        <v/>
      </c>
    </row>
    <row r="69" spans="5:14" ht="14.25">
      <c r="E69" s="295"/>
      <c r="F69" s="321"/>
      <c r="M69" s="369"/>
      <c r="N69" s="337" t="str">
        <f t="shared" si="1"/>
        <v/>
      </c>
    </row>
    <row r="70" spans="5:14" ht="14.25">
      <c r="E70" s="295"/>
      <c r="F70" s="321"/>
      <c r="M70" s="369"/>
      <c r="N70" s="337" t="str">
        <f t="shared" si="1"/>
        <v/>
      </c>
    </row>
    <row r="71" spans="5:14" ht="14.25">
      <c r="E71" s="295"/>
      <c r="F71" s="321"/>
      <c r="M71" s="369"/>
      <c r="N71" s="337" t="str">
        <f t="shared" si="1"/>
        <v/>
      </c>
    </row>
    <row r="72" spans="5:14" ht="14.25">
      <c r="E72" s="295"/>
      <c r="F72" s="321"/>
      <c r="M72" s="369"/>
      <c r="N72" s="337" t="str">
        <f t="shared" si="1"/>
        <v/>
      </c>
    </row>
    <row r="73" spans="5:14" ht="14.25">
      <c r="E73" s="295"/>
      <c r="F73" s="321"/>
      <c r="M73" s="369"/>
      <c r="N73" s="337" t="str">
        <f t="shared" ref="N73:N77" si="29">IF(I73=0,"",M73/I73*100)</f>
        <v/>
      </c>
    </row>
    <row r="74" spans="5:14" ht="14.25">
      <c r="E74" s="295"/>
      <c r="F74" s="295"/>
      <c r="M74" s="369"/>
      <c r="N74" s="337" t="str">
        <f t="shared" si="29"/>
        <v/>
      </c>
    </row>
    <row r="75" spans="5:14" ht="14.25">
      <c r="E75" s="295"/>
      <c r="F75" s="295"/>
      <c r="M75" s="369"/>
      <c r="N75" s="337" t="str">
        <f t="shared" si="29"/>
        <v/>
      </c>
    </row>
    <row r="76" spans="5:14" ht="14.25">
      <c r="E76" s="295"/>
      <c r="F76" s="295"/>
      <c r="M76" s="369"/>
      <c r="N76" s="337" t="str">
        <f t="shared" si="29"/>
        <v/>
      </c>
    </row>
    <row r="77" spans="5:14" ht="14.25">
      <c r="E77" s="295"/>
      <c r="F77" s="295"/>
      <c r="M77" s="369"/>
      <c r="N77" s="337" t="str">
        <f t="shared" si="29"/>
        <v/>
      </c>
    </row>
    <row r="78" spans="5:14" ht="14.25">
      <c r="E78" s="295"/>
      <c r="F78" s="295"/>
      <c r="M78" s="369"/>
    </row>
    <row r="79" spans="5:14" ht="14.25">
      <c r="E79" s="295"/>
      <c r="F79" s="295"/>
      <c r="M79" s="369"/>
    </row>
    <row r="80" spans="5:14" ht="14.25">
      <c r="E80" s="295"/>
      <c r="F80" s="295"/>
      <c r="M80" s="369"/>
    </row>
    <row r="81" spans="5:13" ht="14.25">
      <c r="E81" s="295"/>
      <c r="F81" s="295"/>
      <c r="M81" s="369"/>
    </row>
    <row r="82" spans="5:13" ht="14.25">
      <c r="E82" s="295"/>
      <c r="F82" s="295"/>
      <c r="M82" s="369"/>
    </row>
    <row r="83" spans="5:13" ht="14.25">
      <c r="E83" s="295"/>
      <c r="F83" s="295"/>
      <c r="M83" s="369"/>
    </row>
    <row r="84" spans="5:13" ht="14.25">
      <c r="E84" s="295"/>
      <c r="F84" s="295"/>
      <c r="M84" s="369"/>
    </row>
    <row r="85" spans="5:13" ht="14.25">
      <c r="E85" s="295"/>
      <c r="F85" s="295"/>
      <c r="M85" s="369"/>
    </row>
    <row r="86" spans="5:13" ht="14.25">
      <c r="E86" s="295"/>
      <c r="F86" s="295"/>
      <c r="M86" s="369"/>
    </row>
    <row r="87" spans="5:13" ht="14.25">
      <c r="E87" s="295"/>
      <c r="F87" s="295"/>
      <c r="M87" s="369"/>
    </row>
    <row r="88" spans="5:13" ht="14.25">
      <c r="E88" s="295"/>
      <c r="F88" s="295"/>
      <c r="M88" s="369"/>
    </row>
    <row r="89" spans="5:13" ht="14.25">
      <c r="E89" s="295"/>
      <c r="F89" s="295"/>
      <c r="M89" s="369"/>
    </row>
    <row r="90" spans="5:13" ht="14.25">
      <c r="E90" s="295"/>
      <c r="F90" s="295"/>
      <c r="M90" s="369"/>
    </row>
    <row r="91" spans="5:13">
      <c r="F91" s="295"/>
    </row>
    <row r="92" spans="5:13">
      <c r="F92" s="295"/>
    </row>
    <row r="93" spans="5:13">
      <c r="F93" s="295"/>
    </row>
    <row r="94" spans="5:13">
      <c r="F94" s="295"/>
    </row>
    <row r="95" spans="5:13">
      <c r="F95" s="295"/>
    </row>
    <row r="96" spans="5:13">
      <c r="F96" s="295"/>
    </row>
  </sheetData>
  <mergeCells count="12">
    <mergeCell ref="N4:N5"/>
    <mergeCell ref="G4:G5"/>
    <mergeCell ref="B2:J2"/>
    <mergeCell ref="B4:B5"/>
    <mergeCell ref="C4:C5"/>
    <mergeCell ref="D4:D5"/>
    <mergeCell ref="F4:F5"/>
    <mergeCell ref="E4:E5"/>
    <mergeCell ref="K4:M4"/>
    <mergeCell ref="H4:H5"/>
    <mergeCell ref="I4:I5"/>
    <mergeCell ref="J4:J5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  <colBreaks count="1" manualBreakCount="1">
    <brk id="14" max="104857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0"/>
  <dimension ref="A1:P96"/>
  <sheetViews>
    <sheetView zoomScaleNormal="100" zoomScaleSheetLayoutView="130" workbookViewId="0">
      <selection activeCell="G43" sqref="G43"/>
    </sheetView>
  </sheetViews>
  <sheetFormatPr defaultRowHeight="12.75"/>
  <cols>
    <col min="1" max="1" width="9.140625" style="272"/>
    <col min="2" max="2" width="4.7109375" style="9" customWidth="1"/>
    <col min="3" max="3" width="5.140625" style="9" customWidth="1"/>
    <col min="4" max="4" width="5" style="9" customWidth="1"/>
    <col min="5" max="5" width="8.7109375" style="17" customWidth="1"/>
    <col min="6" max="6" width="8.7109375" style="277" customWidth="1"/>
    <col min="7" max="7" width="50.7109375" style="9" customWidth="1"/>
    <col min="8" max="8" width="14.7109375" style="510" customWidth="1"/>
    <col min="9" max="9" width="14.7109375" style="272" customWidth="1"/>
    <col min="10" max="10" width="15.7109375" style="510" customWidth="1"/>
    <col min="11" max="12" width="14.7109375" style="272" customWidth="1"/>
    <col min="13" max="13" width="15.7109375" style="272" customWidth="1"/>
    <col min="14" max="14" width="7.7109375" style="337" customWidth="1"/>
    <col min="15" max="16384" width="9.140625" style="9"/>
  </cols>
  <sheetData>
    <row r="1" spans="1:16" ht="13.5" thickBot="1"/>
    <row r="2" spans="1:16" s="93" customFormat="1" ht="20.100000000000001" customHeight="1" thickTop="1" thickBot="1">
      <c r="A2" s="363"/>
      <c r="B2" s="725" t="s">
        <v>137</v>
      </c>
      <c r="C2" s="726"/>
      <c r="D2" s="726"/>
      <c r="E2" s="726"/>
      <c r="F2" s="726"/>
      <c r="G2" s="726"/>
      <c r="H2" s="726"/>
      <c r="I2" s="726"/>
      <c r="J2" s="726"/>
      <c r="K2" s="487"/>
      <c r="L2" s="487"/>
      <c r="M2" s="487"/>
      <c r="N2" s="366"/>
    </row>
    <row r="3" spans="1:16" s="1" customFormat="1" ht="8.1" customHeight="1" thickTop="1" thickBot="1">
      <c r="A3" s="269"/>
      <c r="E3" s="2"/>
      <c r="F3" s="270"/>
      <c r="G3" s="488"/>
      <c r="H3" s="511"/>
      <c r="I3" s="87"/>
      <c r="J3" s="511"/>
      <c r="K3" s="87"/>
      <c r="L3" s="87"/>
      <c r="M3" s="87"/>
      <c r="N3" s="331"/>
    </row>
    <row r="4" spans="1:16" s="1" customFormat="1" ht="39" customHeight="1">
      <c r="A4" s="269"/>
      <c r="B4" s="728" t="s">
        <v>78</v>
      </c>
      <c r="C4" s="746" t="s">
        <v>79</v>
      </c>
      <c r="D4" s="747" t="s">
        <v>110</v>
      </c>
      <c r="E4" s="748" t="s">
        <v>594</v>
      </c>
      <c r="F4" s="733" t="s">
        <v>650</v>
      </c>
      <c r="G4" s="734" t="s">
        <v>80</v>
      </c>
      <c r="H4" s="740" t="s">
        <v>644</v>
      </c>
      <c r="I4" s="742" t="s">
        <v>821</v>
      </c>
      <c r="J4" s="744" t="s">
        <v>822</v>
      </c>
      <c r="K4" s="749" t="s">
        <v>863</v>
      </c>
      <c r="L4" s="738"/>
      <c r="M4" s="739"/>
      <c r="N4" s="735" t="s">
        <v>823</v>
      </c>
    </row>
    <row r="5" spans="1:16" s="269" customFormat="1" ht="27" customHeight="1">
      <c r="B5" s="729"/>
      <c r="C5" s="731"/>
      <c r="D5" s="731"/>
      <c r="E5" s="722"/>
      <c r="F5" s="731"/>
      <c r="G5" s="722"/>
      <c r="H5" s="741"/>
      <c r="I5" s="743"/>
      <c r="J5" s="745"/>
      <c r="K5" s="540" t="s">
        <v>701</v>
      </c>
      <c r="L5" s="359" t="s">
        <v>702</v>
      </c>
      <c r="M5" s="541" t="s">
        <v>413</v>
      </c>
      <c r="N5" s="736"/>
    </row>
    <row r="6" spans="1:16" s="2" customFormat="1" ht="12.95" customHeight="1">
      <c r="A6" s="270"/>
      <c r="B6" s="464">
        <v>1</v>
      </c>
      <c r="C6" s="318">
        <v>2</v>
      </c>
      <c r="D6" s="318">
        <v>3</v>
      </c>
      <c r="E6" s="318">
        <v>4</v>
      </c>
      <c r="F6" s="318">
        <v>5</v>
      </c>
      <c r="G6" s="318">
        <v>6</v>
      </c>
      <c r="H6" s="512">
        <v>7</v>
      </c>
      <c r="I6" s="318">
        <v>8</v>
      </c>
      <c r="J6" s="561">
        <v>9</v>
      </c>
      <c r="K6" s="464">
        <v>10</v>
      </c>
      <c r="L6" s="318">
        <v>11</v>
      </c>
      <c r="M6" s="542" t="s">
        <v>703</v>
      </c>
      <c r="N6" s="465">
        <v>13</v>
      </c>
    </row>
    <row r="7" spans="1:16" s="2" customFormat="1" ht="12.95" customHeight="1">
      <c r="A7" s="270"/>
      <c r="B7" s="6" t="s">
        <v>138</v>
      </c>
      <c r="C7" s="7" t="s">
        <v>81</v>
      </c>
      <c r="D7" s="7" t="s">
        <v>82</v>
      </c>
      <c r="E7" s="5"/>
      <c r="F7" s="271"/>
      <c r="G7" s="5"/>
      <c r="H7" s="513"/>
      <c r="I7" s="271"/>
      <c r="J7" s="568"/>
      <c r="K7" s="4"/>
      <c r="L7" s="271"/>
      <c r="M7" s="570"/>
      <c r="N7" s="332"/>
    </row>
    <row r="8" spans="1:16" s="1" customFormat="1" ht="12.95" customHeight="1">
      <c r="A8" s="269"/>
      <c r="B8" s="12"/>
      <c r="C8" s="8"/>
      <c r="D8" s="8"/>
      <c r="E8" s="292">
        <v>611000</v>
      </c>
      <c r="F8" s="318"/>
      <c r="G8" s="8" t="s">
        <v>163</v>
      </c>
      <c r="H8" s="514">
        <f t="shared" ref="H8:I8" si="0">SUM(H9:H12)</f>
        <v>255980</v>
      </c>
      <c r="I8" s="514">
        <f t="shared" si="0"/>
        <v>255980</v>
      </c>
      <c r="J8" s="563">
        <v>191534</v>
      </c>
      <c r="K8" s="545">
        <f t="shared" ref="K8:M8" si="1">SUM(K9:K12)</f>
        <v>260850</v>
      </c>
      <c r="L8" s="201">
        <f t="shared" si="1"/>
        <v>0</v>
      </c>
      <c r="M8" s="546">
        <f t="shared" si="1"/>
        <v>260850</v>
      </c>
      <c r="N8" s="333">
        <f>IF(I8=0,"",M8/I8*100)</f>
        <v>101.90249238221736</v>
      </c>
    </row>
    <row r="9" spans="1:16" ht="12.95" customHeight="1">
      <c r="B9" s="10"/>
      <c r="C9" s="11"/>
      <c r="D9" s="11"/>
      <c r="E9" s="293">
        <v>611100</v>
      </c>
      <c r="F9" s="319"/>
      <c r="G9" s="18" t="s">
        <v>198</v>
      </c>
      <c r="H9" s="515">
        <v>212750</v>
      </c>
      <c r="I9" s="515">
        <v>212750</v>
      </c>
      <c r="J9" s="564">
        <v>161009</v>
      </c>
      <c r="K9" s="549">
        <f>216370+1000</f>
        <v>217370</v>
      </c>
      <c r="L9" s="200">
        <v>0</v>
      </c>
      <c r="M9" s="548">
        <f>SUM(K9:L9)</f>
        <v>217370</v>
      </c>
      <c r="N9" s="334">
        <f t="shared" ref="N9:N72" si="2">IF(I9=0,"",M9/I9*100)</f>
        <v>102.17156286721504</v>
      </c>
    </row>
    <row r="10" spans="1:16" ht="12.95" customHeight="1">
      <c r="B10" s="10"/>
      <c r="C10" s="11"/>
      <c r="D10" s="11"/>
      <c r="E10" s="293">
        <v>611200</v>
      </c>
      <c r="F10" s="319"/>
      <c r="G10" s="11" t="s">
        <v>199</v>
      </c>
      <c r="H10" s="515">
        <v>43230</v>
      </c>
      <c r="I10" s="515">
        <v>43230</v>
      </c>
      <c r="J10" s="564">
        <v>30525</v>
      </c>
      <c r="K10" s="549">
        <f>40380+600+10*250</f>
        <v>43480</v>
      </c>
      <c r="L10" s="200">
        <v>0</v>
      </c>
      <c r="M10" s="548">
        <f t="shared" ref="M10:M11" si="3">SUM(K10:L10)</f>
        <v>43480</v>
      </c>
      <c r="N10" s="334">
        <f t="shared" si="2"/>
        <v>100.57830210501966</v>
      </c>
    </row>
    <row r="11" spans="1:16" ht="12.95" customHeight="1">
      <c r="B11" s="10"/>
      <c r="C11" s="11"/>
      <c r="D11" s="11"/>
      <c r="E11" s="293">
        <v>611200</v>
      </c>
      <c r="F11" s="319"/>
      <c r="G11" s="180" t="s">
        <v>534</v>
      </c>
      <c r="H11" s="515">
        <f t="shared" ref="H11:I11" si="4">SUM(F11:G11)</f>
        <v>0</v>
      </c>
      <c r="I11" s="515">
        <f t="shared" si="4"/>
        <v>0</v>
      </c>
      <c r="J11" s="564">
        <v>0</v>
      </c>
      <c r="K11" s="549">
        <v>0</v>
      </c>
      <c r="L11" s="200">
        <v>0</v>
      </c>
      <c r="M11" s="548">
        <f t="shared" si="3"/>
        <v>0</v>
      </c>
      <c r="N11" s="334" t="str">
        <f t="shared" si="2"/>
        <v/>
      </c>
      <c r="P11" s="53"/>
    </row>
    <row r="12" spans="1:16" ht="12.95" customHeight="1">
      <c r="B12" s="10"/>
      <c r="C12" s="11"/>
      <c r="D12" s="11"/>
      <c r="E12" s="293"/>
      <c r="F12" s="319"/>
      <c r="G12" s="18"/>
      <c r="H12" s="515"/>
      <c r="I12" s="515"/>
      <c r="J12" s="564"/>
      <c r="K12" s="549"/>
      <c r="L12" s="200"/>
      <c r="M12" s="548"/>
      <c r="N12" s="334" t="str">
        <f t="shared" si="2"/>
        <v/>
      </c>
    </row>
    <row r="13" spans="1:16" s="1" customFormat="1" ht="12.95" customHeight="1">
      <c r="A13" s="269"/>
      <c r="B13" s="12"/>
      <c r="C13" s="8"/>
      <c r="D13" s="8"/>
      <c r="E13" s="292">
        <v>612000</v>
      </c>
      <c r="F13" s="318"/>
      <c r="G13" s="8" t="s">
        <v>162</v>
      </c>
      <c r="H13" s="514">
        <f t="shared" ref="H13:M13" si="5">H14</f>
        <v>22720</v>
      </c>
      <c r="I13" s="514">
        <f t="shared" si="5"/>
        <v>22720</v>
      </c>
      <c r="J13" s="563">
        <v>17371</v>
      </c>
      <c r="K13" s="545">
        <f t="shared" si="5"/>
        <v>23530</v>
      </c>
      <c r="L13" s="201">
        <f t="shared" si="5"/>
        <v>0</v>
      </c>
      <c r="M13" s="546">
        <f t="shared" si="5"/>
        <v>23530</v>
      </c>
      <c r="N13" s="333">
        <f t="shared" si="2"/>
        <v>103.56514084507043</v>
      </c>
    </row>
    <row r="14" spans="1:16" ht="12.95" customHeight="1">
      <c r="B14" s="10"/>
      <c r="C14" s="11"/>
      <c r="D14" s="11"/>
      <c r="E14" s="293">
        <v>612100</v>
      </c>
      <c r="F14" s="319"/>
      <c r="G14" s="13" t="s">
        <v>83</v>
      </c>
      <c r="H14" s="515">
        <v>22720</v>
      </c>
      <c r="I14" s="515">
        <v>22720</v>
      </c>
      <c r="J14" s="564">
        <v>17371</v>
      </c>
      <c r="K14" s="549">
        <f>23230+300</f>
        <v>23530</v>
      </c>
      <c r="L14" s="200"/>
      <c r="M14" s="548">
        <f>SUM(K14:L14)</f>
        <v>23530</v>
      </c>
      <c r="N14" s="334">
        <f t="shared" si="2"/>
        <v>103.56514084507043</v>
      </c>
    </row>
    <row r="15" spans="1:16" ht="12.95" customHeight="1">
      <c r="B15" s="10"/>
      <c r="C15" s="11"/>
      <c r="D15" s="11"/>
      <c r="E15" s="293"/>
      <c r="F15" s="319"/>
      <c r="G15" s="11"/>
      <c r="H15" s="516"/>
      <c r="I15" s="516"/>
      <c r="J15" s="566"/>
      <c r="K15" s="578"/>
      <c r="L15" s="267"/>
      <c r="M15" s="551"/>
      <c r="N15" s="334" t="str">
        <f t="shared" si="2"/>
        <v/>
      </c>
    </row>
    <row r="16" spans="1:16" s="1" customFormat="1" ht="12.95" customHeight="1">
      <c r="A16" s="269"/>
      <c r="B16" s="12"/>
      <c r="C16" s="8"/>
      <c r="D16" s="8"/>
      <c r="E16" s="292">
        <v>613000</v>
      </c>
      <c r="F16" s="318"/>
      <c r="G16" s="8" t="s">
        <v>164</v>
      </c>
      <c r="H16" s="262">
        <f t="shared" ref="H16:I16" si="6">SUM(H17:H26)</f>
        <v>80100</v>
      </c>
      <c r="I16" s="262">
        <f t="shared" si="6"/>
        <v>80100</v>
      </c>
      <c r="J16" s="565">
        <v>47481</v>
      </c>
      <c r="K16" s="552">
        <f t="shared" ref="K16:M16" si="7">SUM(K17:K26)</f>
        <v>75110</v>
      </c>
      <c r="L16" s="281">
        <f t="shared" si="7"/>
        <v>0</v>
      </c>
      <c r="M16" s="553">
        <f t="shared" si="7"/>
        <v>75110</v>
      </c>
      <c r="N16" s="333">
        <f t="shared" si="2"/>
        <v>93.770287141073666</v>
      </c>
      <c r="P16" s="55"/>
    </row>
    <row r="17" spans="1:14" ht="12.95" customHeight="1">
      <c r="B17" s="10"/>
      <c r="C17" s="11"/>
      <c r="D17" s="11"/>
      <c r="E17" s="293">
        <v>613100</v>
      </c>
      <c r="F17" s="319"/>
      <c r="G17" s="11" t="s">
        <v>84</v>
      </c>
      <c r="H17" s="515">
        <v>3500</v>
      </c>
      <c r="I17" s="515">
        <v>3500</v>
      </c>
      <c r="J17" s="564">
        <v>1985</v>
      </c>
      <c r="K17" s="571">
        <v>3500</v>
      </c>
      <c r="L17" s="349">
        <v>0</v>
      </c>
      <c r="M17" s="548">
        <f t="shared" ref="M17:M26" si="8">SUM(K17:L17)</f>
        <v>3500</v>
      </c>
      <c r="N17" s="334">
        <f t="shared" si="2"/>
        <v>100</v>
      </c>
    </row>
    <row r="18" spans="1:14" ht="12.95" customHeight="1">
      <c r="B18" s="10"/>
      <c r="C18" s="11"/>
      <c r="D18" s="11"/>
      <c r="E18" s="293">
        <v>613200</v>
      </c>
      <c r="F18" s="319"/>
      <c r="G18" s="11" t="s">
        <v>85</v>
      </c>
      <c r="H18" s="515">
        <f t="shared" ref="H18:I26" si="9">SUM(F18:G18)</f>
        <v>0</v>
      </c>
      <c r="I18" s="515">
        <f t="shared" si="9"/>
        <v>0</v>
      </c>
      <c r="J18" s="564">
        <v>0</v>
      </c>
      <c r="K18" s="571">
        <v>0</v>
      </c>
      <c r="L18" s="349">
        <v>0</v>
      </c>
      <c r="M18" s="548">
        <f t="shared" si="8"/>
        <v>0</v>
      </c>
      <c r="N18" s="334" t="str">
        <f t="shared" si="2"/>
        <v/>
      </c>
    </row>
    <row r="19" spans="1:14" ht="12.95" customHeight="1">
      <c r="B19" s="10"/>
      <c r="C19" s="11"/>
      <c r="D19" s="11"/>
      <c r="E19" s="293">
        <v>613300</v>
      </c>
      <c r="F19" s="319"/>
      <c r="G19" s="18" t="s">
        <v>200</v>
      </c>
      <c r="H19" s="515">
        <v>16000</v>
      </c>
      <c r="I19" s="515">
        <v>16000</v>
      </c>
      <c r="J19" s="564">
        <v>11092</v>
      </c>
      <c r="K19" s="571">
        <v>16000</v>
      </c>
      <c r="L19" s="349">
        <v>0</v>
      </c>
      <c r="M19" s="548">
        <f t="shared" si="8"/>
        <v>16000</v>
      </c>
      <c r="N19" s="334">
        <f t="shared" si="2"/>
        <v>100</v>
      </c>
    </row>
    <row r="20" spans="1:14" ht="12.95" customHeight="1">
      <c r="B20" s="10"/>
      <c r="C20" s="11"/>
      <c r="D20" s="11"/>
      <c r="E20" s="293">
        <v>613400</v>
      </c>
      <c r="F20" s="319"/>
      <c r="G20" s="11" t="s">
        <v>165</v>
      </c>
      <c r="H20" s="515">
        <v>300</v>
      </c>
      <c r="I20" s="515">
        <v>300</v>
      </c>
      <c r="J20" s="564">
        <v>300</v>
      </c>
      <c r="K20" s="572">
        <v>430</v>
      </c>
      <c r="L20" s="351">
        <v>0</v>
      </c>
      <c r="M20" s="548">
        <f t="shared" si="8"/>
        <v>430</v>
      </c>
      <c r="N20" s="334">
        <f t="shared" si="2"/>
        <v>143.33333333333334</v>
      </c>
    </row>
    <row r="21" spans="1:14" ht="12.95" customHeight="1">
      <c r="B21" s="10"/>
      <c r="C21" s="11"/>
      <c r="D21" s="11"/>
      <c r="E21" s="293">
        <v>613500</v>
      </c>
      <c r="F21" s="319"/>
      <c r="G21" s="11" t="s">
        <v>86</v>
      </c>
      <c r="H21" s="515">
        <f t="shared" si="9"/>
        <v>0</v>
      </c>
      <c r="I21" s="515">
        <f t="shared" si="9"/>
        <v>0</v>
      </c>
      <c r="J21" s="564">
        <v>0</v>
      </c>
      <c r="K21" s="572">
        <v>0</v>
      </c>
      <c r="L21" s="351">
        <v>0</v>
      </c>
      <c r="M21" s="548">
        <f t="shared" si="8"/>
        <v>0</v>
      </c>
      <c r="N21" s="334" t="str">
        <f t="shared" si="2"/>
        <v/>
      </c>
    </row>
    <row r="22" spans="1:14" ht="12.95" customHeight="1">
      <c r="B22" s="10"/>
      <c r="C22" s="11"/>
      <c r="D22" s="11"/>
      <c r="E22" s="293">
        <v>613600</v>
      </c>
      <c r="F22" s="319"/>
      <c r="G22" s="18" t="s">
        <v>201</v>
      </c>
      <c r="H22" s="515">
        <f t="shared" si="9"/>
        <v>0</v>
      </c>
      <c r="I22" s="515">
        <f t="shared" si="9"/>
        <v>0</v>
      </c>
      <c r="J22" s="564">
        <v>0</v>
      </c>
      <c r="K22" s="572">
        <v>0</v>
      </c>
      <c r="L22" s="351">
        <v>0</v>
      </c>
      <c r="M22" s="548">
        <f t="shared" si="8"/>
        <v>0</v>
      </c>
      <c r="N22" s="334" t="str">
        <f t="shared" si="2"/>
        <v/>
      </c>
    </row>
    <row r="23" spans="1:14" ht="12.95" customHeight="1">
      <c r="B23" s="10"/>
      <c r="C23" s="11"/>
      <c r="D23" s="11"/>
      <c r="E23" s="293">
        <v>613700</v>
      </c>
      <c r="F23" s="319"/>
      <c r="G23" s="11" t="s">
        <v>87</v>
      </c>
      <c r="H23" s="515">
        <v>300</v>
      </c>
      <c r="I23" s="515">
        <v>300</v>
      </c>
      <c r="J23" s="564">
        <v>177</v>
      </c>
      <c r="K23" s="572">
        <v>180</v>
      </c>
      <c r="L23" s="351">
        <v>0</v>
      </c>
      <c r="M23" s="548">
        <f t="shared" si="8"/>
        <v>180</v>
      </c>
      <c r="N23" s="334">
        <f t="shared" si="2"/>
        <v>60</v>
      </c>
    </row>
    <row r="24" spans="1:14" ht="12.95" customHeight="1">
      <c r="B24" s="10"/>
      <c r="C24" s="11"/>
      <c r="D24" s="11"/>
      <c r="E24" s="293">
        <v>613800</v>
      </c>
      <c r="F24" s="319"/>
      <c r="G24" s="11" t="s">
        <v>166</v>
      </c>
      <c r="H24" s="515">
        <f t="shared" si="9"/>
        <v>0</v>
      </c>
      <c r="I24" s="515">
        <f t="shared" si="9"/>
        <v>0</v>
      </c>
      <c r="J24" s="564">
        <v>0</v>
      </c>
      <c r="K24" s="572">
        <v>0</v>
      </c>
      <c r="L24" s="351">
        <v>0</v>
      </c>
      <c r="M24" s="548">
        <f t="shared" si="8"/>
        <v>0</v>
      </c>
      <c r="N24" s="334" t="str">
        <f t="shared" si="2"/>
        <v/>
      </c>
    </row>
    <row r="25" spans="1:14" ht="12.95" customHeight="1">
      <c r="B25" s="10"/>
      <c r="C25" s="11"/>
      <c r="D25" s="11"/>
      <c r="E25" s="293">
        <v>613900</v>
      </c>
      <c r="F25" s="319"/>
      <c r="G25" s="11" t="s">
        <v>167</v>
      </c>
      <c r="H25" s="515">
        <v>60000</v>
      </c>
      <c r="I25" s="515">
        <v>60000</v>
      </c>
      <c r="J25" s="564">
        <v>33927</v>
      </c>
      <c r="K25" s="555">
        <v>55000</v>
      </c>
      <c r="L25" s="352">
        <v>0</v>
      </c>
      <c r="M25" s="548">
        <f t="shared" si="8"/>
        <v>55000</v>
      </c>
      <c r="N25" s="334">
        <f t="shared" si="2"/>
        <v>91.666666666666657</v>
      </c>
    </row>
    <row r="26" spans="1:14" ht="12.95" customHeight="1">
      <c r="B26" s="10"/>
      <c r="C26" s="11"/>
      <c r="D26" s="11"/>
      <c r="E26" s="293">
        <v>613900</v>
      </c>
      <c r="F26" s="319"/>
      <c r="G26" s="180" t="s">
        <v>535</v>
      </c>
      <c r="H26" s="515">
        <f t="shared" si="9"/>
        <v>0</v>
      </c>
      <c r="I26" s="515">
        <f t="shared" si="9"/>
        <v>0</v>
      </c>
      <c r="J26" s="564">
        <v>0</v>
      </c>
      <c r="K26" s="572">
        <v>0</v>
      </c>
      <c r="L26" s="351">
        <v>0</v>
      </c>
      <c r="M26" s="548">
        <f t="shared" si="8"/>
        <v>0</v>
      </c>
      <c r="N26" s="334" t="str">
        <f t="shared" si="2"/>
        <v/>
      </c>
    </row>
    <row r="27" spans="1:14" ht="12.95" customHeight="1">
      <c r="B27" s="10"/>
      <c r="C27" s="11"/>
      <c r="D27" s="11"/>
      <c r="E27" s="293"/>
      <c r="F27" s="319"/>
      <c r="G27" s="11"/>
      <c r="H27" s="262"/>
      <c r="I27" s="262"/>
      <c r="J27" s="565"/>
      <c r="K27" s="557"/>
      <c r="L27" s="282"/>
      <c r="M27" s="553"/>
      <c r="N27" s="334" t="str">
        <f t="shared" si="2"/>
        <v/>
      </c>
    </row>
    <row r="28" spans="1:14" s="1" customFormat="1" ht="12.95" customHeight="1">
      <c r="A28" s="269"/>
      <c r="B28" s="12"/>
      <c r="C28" s="8"/>
      <c r="D28" s="8"/>
      <c r="E28" s="292">
        <v>614000</v>
      </c>
      <c r="F28" s="318"/>
      <c r="G28" s="8" t="s">
        <v>202</v>
      </c>
      <c r="H28" s="262">
        <f t="shared" ref="H28:I28" si="10">SUM(H29:H32)</f>
        <v>4000000</v>
      </c>
      <c r="I28" s="262">
        <f t="shared" si="10"/>
        <v>4000000</v>
      </c>
      <c r="J28" s="565">
        <v>2654836</v>
      </c>
      <c r="K28" s="557">
        <f t="shared" ref="K28:L28" si="11">SUM(K29:K32)</f>
        <v>4038180</v>
      </c>
      <c r="L28" s="282">
        <f t="shared" si="11"/>
        <v>261820</v>
      </c>
      <c r="M28" s="553">
        <f t="shared" ref="M28" si="12">SUM(M29:M32)</f>
        <v>4300000</v>
      </c>
      <c r="N28" s="333">
        <f t="shared" si="2"/>
        <v>107.5</v>
      </c>
    </row>
    <row r="29" spans="1:14" ht="12.95" customHeight="1">
      <c r="B29" s="10"/>
      <c r="C29" s="11"/>
      <c r="D29" s="22"/>
      <c r="E29" s="293">
        <v>614100</v>
      </c>
      <c r="F29" s="319" t="s">
        <v>672</v>
      </c>
      <c r="G29" s="484" t="s">
        <v>783</v>
      </c>
      <c r="H29" s="515">
        <v>420000</v>
      </c>
      <c r="I29" s="515">
        <v>420000</v>
      </c>
      <c r="J29" s="564">
        <v>270000</v>
      </c>
      <c r="K29" s="556">
        <v>720000</v>
      </c>
      <c r="L29" s="283">
        <v>0</v>
      </c>
      <c r="M29" s="548">
        <f t="shared" ref="M29" si="13">SUM(K29:L29)</f>
        <v>720000</v>
      </c>
      <c r="N29" s="334">
        <f t="shared" si="2"/>
        <v>171.42857142857142</v>
      </c>
    </row>
    <row r="30" spans="1:14" ht="12.95" customHeight="1">
      <c r="B30" s="10"/>
      <c r="C30" s="11"/>
      <c r="D30" s="11"/>
      <c r="E30" s="293">
        <v>614200</v>
      </c>
      <c r="F30" s="319"/>
      <c r="G30" s="18" t="s">
        <v>105</v>
      </c>
      <c r="H30" s="515">
        <f>SUM(F30:G30)</f>
        <v>0</v>
      </c>
      <c r="I30" s="515">
        <f>SUM(G30:H30)</f>
        <v>0</v>
      </c>
      <c r="J30" s="564">
        <v>0</v>
      </c>
      <c r="K30" s="556">
        <v>0</v>
      </c>
      <c r="L30" s="283">
        <v>0</v>
      </c>
      <c r="M30" s="548">
        <f>SUM(K30:L30)</f>
        <v>0</v>
      </c>
      <c r="N30" s="334" t="str">
        <f t="shared" si="2"/>
        <v/>
      </c>
    </row>
    <row r="31" spans="1:14" s="272" customFormat="1" ht="12.95" customHeight="1">
      <c r="B31" s="273"/>
      <c r="C31" s="274"/>
      <c r="D31" s="274"/>
      <c r="E31" s="293">
        <v>614200</v>
      </c>
      <c r="F31" s="322" t="s">
        <v>789</v>
      </c>
      <c r="G31" s="278" t="s">
        <v>693</v>
      </c>
      <c r="H31" s="515">
        <v>60000</v>
      </c>
      <c r="I31" s="515">
        <v>60000</v>
      </c>
      <c r="J31" s="564">
        <v>45200</v>
      </c>
      <c r="K31" s="556">
        <v>60000</v>
      </c>
      <c r="L31" s="283">
        <v>0</v>
      </c>
      <c r="M31" s="548">
        <f t="shared" ref="M31:M32" si="14">SUM(K31:L31)</f>
        <v>60000</v>
      </c>
      <c r="N31" s="334">
        <f t="shared" si="2"/>
        <v>100</v>
      </c>
    </row>
    <row r="32" spans="1:14" s="272" customFormat="1" ht="12.95" customHeight="1">
      <c r="B32" s="273"/>
      <c r="C32" s="274"/>
      <c r="D32" s="274"/>
      <c r="E32" s="293">
        <v>614200</v>
      </c>
      <c r="F32" s="322" t="s">
        <v>790</v>
      </c>
      <c r="G32" s="278" t="s">
        <v>694</v>
      </c>
      <c r="H32" s="515">
        <v>3520000</v>
      </c>
      <c r="I32" s="515">
        <v>3520000</v>
      </c>
      <c r="J32" s="564">
        <v>2339636</v>
      </c>
      <c r="K32" s="556">
        <f>3520000-261820</f>
        <v>3258180</v>
      </c>
      <c r="L32" s="283">
        <v>261820</v>
      </c>
      <c r="M32" s="548">
        <f t="shared" si="14"/>
        <v>3520000</v>
      </c>
      <c r="N32" s="334">
        <f t="shared" si="2"/>
        <v>100</v>
      </c>
    </row>
    <row r="33" spans="1:15" ht="12.95" customHeight="1">
      <c r="B33" s="10"/>
      <c r="C33" s="11"/>
      <c r="D33" s="11"/>
      <c r="E33" s="293"/>
      <c r="F33" s="319"/>
      <c r="G33" s="11"/>
      <c r="H33" s="516"/>
      <c r="I33" s="516"/>
      <c r="J33" s="566"/>
      <c r="K33" s="573"/>
      <c r="L33" s="268"/>
      <c r="M33" s="551"/>
      <c r="N33" s="334" t="str">
        <f t="shared" si="2"/>
        <v/>
      </c>
    </row>
    <row r="34" spans="1:15" ht="12.95" customHeight="1">
      <c r="B34" s="12"/>
      <c r="C34" s="8"/>
      <c r="D34" s="8"/>
      <c r="E34" s="292">
        <v>821000</v>
      </c>
      <c r="F34" s="318"/>
      <c r="G34" s="8" t="s">
        <v>90</v>
      </c>
      <c r="H34" s="262">
        <f t="shared" ref="H34:M34" si="15">H35+H36</f>
        <v>1500</v>
      </c>
      <c r="I34" s="262">
        <f t="shared" ref="I34" si="16">I35+I36</f>
        <v>1500</v>
      </c>
      <c r="J34" s="565">
        <v>1180</v>
      </c>
      <c r="K34" s="557">
        <f t="shared" si="15"/>
        <v>1500</v>
      </c>
      <c r="L34" s="282">
        <f t="shared" si="15"/>
        <v>0</v>
      </c>
      <c r="M34" s="553">
        <f t="shared" si="15"/>
        <v>1500</v>
      </c>
      <c r="N34" s="333">
        <f t="shared" si="2"/>
        <v>100</v>
      </c>
    </row>
    <row r="35" spans="1:15" s="1" customFormat="1" ht="12.95" customHeight="1">
      <c r="A35" s="269"/>
      <c r="B35" s="10"/>
      <c r="C35" s="11"/>
      <c r="D35" s="11"/>
      <c r="E35" s="293">
        <v>821200</v>
      </c>
      <c r="F35" s="319"/>
      <c r="G35" s="11" t="s">
        <v>91</v>
      </c>
      <c r="H35" s="516">
        <v>0</v>
      </c>
      <c r="I35" s="516">
        <v>0</v>
      </c>
      <c r="J35" s="564">
        <v>0</v>
      </c>
      <c r="K35" s="573">
        <v>0</v>
      </c>
      <c r="L35" s="268">
        <v>0</v>
      </c>
      <c r="M35" s="548">
        <f t="shared" ref="M35:M36" si="17">SUM(K35:L35)</f>
        <v>0</v>
      </c>
      <c r="N35" s="334" t="str">
        <f t="shared" si="2"/>
        <v/>
      </c>
      <c r="O35" s="1" t="s">
        <v>175</v>
      </c>
    </row>
    <row r="36" spans="1:15" ht="12.95" customHeight="1">
      <c r="B36" s="10"/>
      <c r="C36" s="11"/>
      <c r="D36" s="11"/>
      <c r="E36" s="293">
        <v>821300</v>
      </c>
      <c r="F36" s="319"/>
      <c r="G36" s="11" t="s">
        <v>92</v>
      </c>
      <c r="H36" s="516">
        <v>1500</v>
      </c>
      <c r="I36" s="516">
        <v>1500</v>
      </c>
      <c r="J36" s="564">
        <v>1180</v>
      </c>
      <c r="K36" s="573">
        <v>1500</v>
      </c>
      <c r="L36" s="268">
        <v>0</v>
      </c>
      <c r="M36" s="548">
        <f t="shared" si="17"/>
        <v>1500</v>
      </c>
      <c r="N36" s="334">
        <f t="shared" si="2"/>
        <v>100</v>
      </c>
    </row>
    <row r="37" spans="1:15" ht="12.95" customHeight="1">
      <c r="B37" s="10"/>
      <c r="C37" s="11"/>
      <c r="D37" s="11"/>
      <c r="E37" s="293"/>
      <c r="F37" s="319"/>
      <c r="G37" s="11"/>
      <c r="H37" s="516"/>
      <c r="I37" s="516"/>
      <c r="J37" s="566"/>
      <c r="K37" s="573"/>
      <c r="L37" s="268"/>
      <c r="M37" s="551"/>
      <c r="N37" s="334" t="str">
        <f t="shared" si="2"/>
        <v/>
      </c>
    </row>
    <row r="38" spans="1:15" ht="12.95" customHeight="1">
      <c r="B38" s="12"/>
      <c r="C38" s="8"/>
      <c r="D38" s="8"/>
      <c r="E38" s="292"/>
      <c r="F38" s="318"/>
      <c r="G38" s="8" t="s">
        <v>93</v>
      </c>
      <c r="H38" s="262">
        <v>10</v>
      </c>
      <c r="I38" s="262">
        <v>10</v>
      </c>
      <c r="J38" s="565">
        <v>10</v>
      </c>
      <c r="K38" s="557">
        <v>10</v>
      </c>
      <c r="L38" s="282"/>
      <c r="M38" s="553">
        <v>10</v>
      </c>
      <c r="N38" s="334"/>
    </row>
    <row r="39" spans="1:15" s="1" customFormat="1" ht="12.95" customHeight="1">
      <c r="A39" s="269"/>
      <c r="B39" s="12"/>
      <c r="C39" s="8"/>
      <c r="D39" s="8"/>
      <c r="E39" s="292"/>
      <c r="F39" s="318"/>
      <c r="G39" s="8" t="s">
        <v>113</v>
      </c>
      <c r="H39" s="262">
        <f t="shared" ref="H39:M39" si="18">H8+H13+H16+H28+H34</f>
        <v>4360300</v>
      </c>
      <c r="I39" s="276">
        <f t="shared" si="18"/>
        <v>4360300</v>
      </c>
      <c r="J39" s="565">
        <f t="shared" si="18"/>
        <v>2912402</v>
      </c>
      <c r="K39" s="558">
        <f t="shared" si="18"/>
        <v>4399170</v>
      </c>
      <c r="L39" s="276">
        <f t="shared" si="18"/>
        <v>261820</v>
      </c>
      <c r="M39" s="553">
        <f t="shared" si="18"/>
        <v>4660990</v>
      </c>
      <c r="N39" s="333">
        <f t="shared" si="2"/>
        <v>106.89608513175699</v>
      </c>
    </row>
    <row r="40" spans="1:15" s="1" customFormat="1" ht="12.95" customHeight="1">
      <c r="A40" s="269"/>
      <c r="B40" s="12"/>
      <c r="C40" s="8"/>
      <c r="D40" s="8"/>
      <c r="E40" s="292"/>
      <c r="F40" s="318"/>
      <c r="G40" s="8" t="s">
        <v>94</v>
      </c>
      <c r="H40" s="262">
        <f t="shared" ref="H40:J41" si="19">H39</f>
        <v>4360300</v>
      </c>
      <c r="I40" s="276">
        <f t="shared" si="19"/>
        <v>4360300</v>
      </c>
      <c r="J40" s="565">
        <f t="shared" si="19"/>
        <v>2912402</v>
      </c>
      <c r="K40" s="558">
        <f t="shared" ref="K40:M40" si="20">K39</f>
        <v>4399170</v>
      </c>
      <c r="L40" s="276">
        <f t="shared" si="20"/>
        <v>261820</v>
      </c>
      <c r="M40" s="553">
        <f t="shared" si="20"/>
        <v>4660990</v>
      </c>
      <c r="N40" s="333">
        <f t="shared" si="2"/>
        <v>106.89608513175699</v>
      </c>
    </row>
    <row r="41" spans="1:15" s="1" customFormat="1" ht="12.95" customHeight="1">
      <c r="A41" s="269"/>
      <c r="B41" s="12"/>
      <c r="C41" s="8"/>
      <c r="D41" s="8"/>
      <c r="E41" s="292"/>
      <c r="F41" s="318"/>
      <c r="G41" s="8" t="s">
        <v>95</v>
      </c>
      <c r="H41" s="262">
        <f t="shared" si="19"/>
        <v>4360300</v>
      </c>
      <c r="I41" s="276">
        <f t="shared" si="19"/>
        <v>4360300</v>
      </c>
      <c r="J41" s="565">
        <f t="shared" si="19"/>
        <v>2912402</v>
      </c>
      <c r="K41" s="558">
        <f t="shared" ref="K41:M41" si="21">K40</f>
        <v>4399170</v>
      </c>
      <c r="L41" s="276">
        <f t="shared" si="21"/>
        <v>261820</v>
      </c>
      <c r="M41" s="553">
        <f t="shared" si="21"/>
        <v>4660990</v>
      </c>
      <c r="N41" s="333">
        <f t="shared" si="2"/>
        <v>106.89608513175699</v>
      </c>
    </row>
    <row r="42" spans="1:15" s="1" customFormat="1" ht="12.95" customHeight="1" thickBot="1">
      <c r="A42" s="269"/>
      <c r="B42" s="15"/>
      <c r="C42" s="16"/>
      <c r="D42" s="16"/>
      <c r="E42" s="294"/>
      <c r="F42" s="320"/>
      <c r="G42" s="16"/>
      <c r="H42" s="521"/>
      <c r="I42" s="16"/>
      <c r="J42" s="569"/>
      <c r="K42" s="15"/>
      <c r="L42" s="16"/>
      <c r="M42" s="574"/>
      <c r="N42" s="336" t="str">
        <f t="shared" si="2"/>
        <v/>
      </c>
    </row>
    <row r="43" spans="1:15" ht="12.95" customHeight="1">
      <c r="E43" s="295"/>
      <c r="F43" s="321"/>
      <c r="M43" s="369"/>
      <c r="N43" s="337" t="str">
        <f t="shared" si="2"/>
        <v/>
      </c>
    </row>
    <row r="44" spans="1:15" ht="12.95" customHeight="1">
      <c r="E44" s="295"/>
      <c r="F44" s="321"/>
      <c r="M44" s="369"/>
      <c r="N44" s="337" t="str">
        <f t="shared" si="2"/>
        <v/>
      </c>
    </row>
    <row r="45" spans="1:15" ht="12.95" customHeight="1">
      <c r="B45" s="48"/>
      <c r="E45" s="295"/>
      <c r="F45" s="321"/>
      <c r="M45" s="369"/>
      <c r="N45" s="337" t="str">
        <f t="shared" si="2"/>
        <v/>
      </c>
    </row>
    <row r="46" spans="1:15" ht="12.95" customHeight="1">
      <c r="B46" s="48"/>
      <c r="E46" s="295"/>
      <c r="F46" s="321"/>
      <c r="M46" s="369"/>
      <c r="N46" s="337" t="str">
        <f t="shared" si="2"/>
        <v/>
      </c>
    </row>
    <row r="47" spans="1:15" ht="12.95" customHeight="1">
      <c r="B47" s="48"/>
      <c r="E47" s="295"/>
      <c r="F47" s="321"/>
      <c r="M47" s="369"/>
      <c r="N47" s="337" t="str">
        <f t="shared" si="2"/>
        <v/>
      </c>
    </row>
    <row r="48" spans="1:15" ht="12.95" customHeight="1">
      <c r="B48" s="48"/>
      <c r="E48" s="295"/>
      <c r="F48" s="321"/>
      <c r="M48" s="369"/>
      <c r="N48" s="337" t="str">
        <f t="shared" si="2"/>
        <v/>
      </c>
    </row>
    <row r="49" spans="2:14" ht="12.95" customHeight="1">
      <c r="B49" s="48"/>
      <c r="E49" s="295"/>
      <c r="F49" s="321"/>
      <c r="M49" s="369"/>
      <c r="N49" s="337" t="str">
        <f t="shared" si="2"/>
        <v/>
      </c>
    </row>
    <row r="50" spans="2:14" ht="12.95" customHeight="1">
      <c r="E50" s="295"/>
      <c r="F50" s="321"/>
      <c r="M50" s="369"/>
      <c r="N50" s="337" t="str">
        <f t="shared" si="2"/>
        <v/>
      </c>
    </row>
    <row r="51" spans="2:14" ht="12.95" customHeight="1">
      <c r="E51" s="295"/>
      <c r="F51" s="321"/>
      <c r="M51" s="369"/>
      <c r="N51" s="337" t="str">
        <f t="shared" si="2"/>
        <v/>
      </c>
    </row>
    <row r="52" spans="2:14" ht="12.95" customHeight="1">
      <c r="E52" s="295"/>
      <c r="F52" s="321"/>
      <c r="M52" s="369"/>
      <c r="N52" s="337" t="str">
        <f t="shared" si="2"/>
        <v/>
      </c>
    </row>
    <row r="53" spans="2:14" ht="12.95" customHeight="1">
      <c r="E53" s="295"/>
      <c r="F53" s="321"/>
      <c r="M53" s="369"/>
      <c r="N53" s="337" t="str">
        <f t="shared" si="2"/>
        <v/>
      </c>
    </row>
    <row r="54" spans="2:14" ht="12.95" customHeight="1">
      <c r="E54" s="295"/>
      <c r="F54" s="321"/>
      <c r="M54" s="369"/>
      <c r="N54" s="337" t="str">
        <f t="shared" si="2"/>
        <v/>
      </c>
    </row>
    <row r="55" spans="2:14" ht="12.95" customHeight="1">
      <c r="E55" s="295"/>
      <c r="F55" s="321"/>
      <c r="M55" s="369"/>
      <c r="N55" s="337" t="str">
        <f t="shared" si="2"/>
        <v/>
      </c>
    </row>
    <row r="56" spans="2:14" ht="12.95" customHeight="1">
      <c r="E56" s="295"/>
      <c r="F56" s="321"/>
      <c r="M56" s="369"/>
      <c r="N56" s="337" t="str">
        <f t="shared" si="2"/>
        <v/>
      </c>
    </row>
    <row r="57" spans="2:14" ht="12.95" customHeight="1">
      <c r="E57" s="295"/>
      <c r="F57" s="321"/>
      <c r="M57" s="369"/>
      <c r="N57" s="337" t="str">
        <f t="shared" si="2"/>
        <v/>
      </c>
    </row>
    <row r="58" spans="2:14" ht="12.95" customHeight="1">
      <c r="E58" s="295"/>
      <c r="F58" s="321"/>
      <c r="M58" s="369"/>
      <c r="N58" s="337" t="str">
        <f t="shared" si="2"/>
        <v/>
      </c>
    </row>
    <row r="59" spans="2:14" ht="12.95" customHeight="1">
      <c r="E59" s="295"/>
      <c r="F59" s="321"/>
      <c r="M59" s="369"/>
      <c r="N59" s="337" t="str">
        <f t="shared" si="2"/>
        <v/>
      </c>
    </row>
    <row r="60" spans="2:14" ht="17.100000000000001" customHeight="1">
      <c r="E60" s="295"/>
      <c r="F60" s="321"/>
      <c r="M60" s="369"/>
      <c r="N60" s="337" t="str">
        <f t="shared" si="2"/>
        <v/>
      </c>
    </row>
    <row r="61" spans="2:14" ht="17.100000000000001" customHeight="1">
      <c r="E61" s="295"/>
      <c r="F61" s="321"/>
      <c r="M61" s="369"/>
      <c r="N61" s="337" t="str">
        <f t="shared" si="2"/>
        <v/>
      </c>
    </row>
    <row r="62" spans="2:14" ht="17.100000000000001" customHeight="1">
      <c r="E62" s="295"/>
      <c r="F62" s="321"/>
      <c r="M62" s="369"/>
      <c r="N62" s="337" t="str">
        <f t="shared" si="2"/>
        <v/>
      </c>
    </row>
    <row r="63" spans="2:14" ht="14.25">
      <c r="E63" s="295"/>
      <c r="F63" s="321"/>
      <c r="M63" s="369"/>
      <c r="N63" s="337" t="str">
        <f t="shared" si="2"/>
        <v/>
      </c>
    </row>
    <row r="64" spans="2:14" ht="14.25">
      <c r="E64" s="295"/>
      <c r="F64" s="321"/>
      <c r="M64" s="369"/>
      <c r="N64" s="337" t="str">
        <f t="shared" si="2"/>
        <v/>
      </c>
    </row>
    <row r="65" spans="5:14" ht="14.25">
      <c r="E65" s="295"/>
      <c r="F65" s="321"/>
      <c r="M65" s="369"/>
      <c r="N65" s="337" t="str">
        <f t="shared" si="2"/>
        <v/>
      </c>
    </row>
    <row r="66" spans="5:14" ht="14.25">
      <c r="E66" s="295"/>
      <c r="F66" s="321"/>
      <c r="M66" s="369"/>
      <c r="N66" s="337" t="str">
        <f t="shared" si="2"/>
        <v/>
      </c>
    </row>
    <row r="67" spans="5:14" ht="14.25">
      <c r="E67" s="295"/>
      <c r="F67" s="321"/>
      <c r="M67" s="369"/>
      <c r="N67" s="337" t="str">
        <f t="shared" si="2"/>
        <v/>
      </c>
    </row>
    <row r="68" spans="5:14" ht="14.25">
      <c r="E68" s="295"/>
      <c r="F68" s="321"/>
      <c r="M68" s="369"/>
      <c r="N68" s="337" t="str">
        <f t="shared" si="2"/>
        <v/>
      </c>
    </row>
    <row r="69" spans="5:14" ht="14.25">
      <c r="E69" s="295"/>
      <c r="F69" s="321"/>
      <c r="M69" s="369"/>
      <c r="N69" s="337" t="str">
        <f t="shared" si="2"/>
        <v/>
      </c>
    </row>
    <row r="70" spans="5:14" ht="14.25">
      <c r="E70" s="295"/>
      <c r="F70" s="321"/>
      <c r="M70" s="369"/>
      <c r="N70" s="337" t="str">
        <f t="shared" si="2"/>
        <v/>
      </c>
    </row>
    <row r="71" spans="5:14" ht="14.25">
      <c r="E71" s="295"/>
      <c r="F71" s="321"/>
      <c r="M71" s="369"/>
      <c r="N71" s="337" t="str">
        <f t="shared" si="2"/>
        <v/>
      </c>
    </row>
    <row r="72" spans="5:14" ht="14.25">
      <c r="E72" s="295"/>
      <c r="F72" s="321"/>
      <c r="M72" s="369"/>
      <c r="N72" s="337" t="str">
        <f t="shared" si="2"/>
        <v/>
      </c>
    </row>
    <row r="73" spans="5:14" ht="14.25">
      <c r="E73" s="295"/>
      <c r="F73" s="321"/>
      <c r="M73" s="369"/>
      <c r="N73" s="337" t="str">
        <f t="shared" ref="N73:N77" si="22">IF(I73=0,"",M73/I73*100)</f>
        <v/>
      </c>
    </row>
    <row r="74" spans="5:14" ht="14.25">
      <c r="E74" s="295"/>
      <c r="F74" s="295"/>
      <c r="M74" s="369"/>
      <c r="N74" s="337" t="str">
        <f t="shared" si="22"/>
        <v/>
      </c>
    </row>
    <row r="75" spans="5:14" ht="14.25">
      <c r="E75" s="295"/>
      <c r="F75" s="295"/>
      <c r="M75" s="369"/>
      <c r="N75" s="337" t="str">
        <f t="shared" si="22"/>
        <v/>
      </c>
    </row>
    <row r="76" spans="5:14" ht="14.25">
      <c r="E76" s="295"/>
      <c r="F76" s="295"/>
      <c r="M76" s="369"/>
      <c r="N76" s="337" t="str">
        <f t="shared" si="22"/>
        <v/>
      </c>
    </row>
    <row r="77" spans="5:14" ht="14.25">
      <c r="E77" s="295"/>
      <c r="F77" s="295"/>
      <c r="M77" s="369"/>
      <c r="N77" s="337" t="str">
        <f t="shared" si="22"/>
        <v/>
      </c>
    </row>
    <row r="78" spans="5:14" ht="14.25">
      <c r="E78" s="295"/>
      <c r="F78" s="295"/>
      <c r="M78" s="369"/>
    </row>
    <row r="79" spans="5:14" ht="14.25">
      <c r="E79" s="295"/>
      <c r="F79" s="295"/>
      <c r="M79" s="369"/>
    </row>
    <row r="80" spans="5:14" ht="14.25">
      <c r="E80" s="295"/>
      <c r="F80" s="295"/>
      <c r="M80" s="369"/>
    </row>
    <row r="81" spans="5:13" ht="14.25">
      <c r="E81" s="295"/>
      <c r="F81" s="295"/>
      <c r="M81" s="369"/>
    </row>
    <row r="82" spans="5:13" ht="14.25">
      <c r="E82" s="295"/>
      <c r="F82" s="295"/>
      <c r="M82" s="369"/>
    </row>
    <row r="83" spans="5:13" ht="14.25">
      <c r="E83" s="295"/>
      <c r="F83" s="295"/>
      <c r="M83" s="369"/>
    </row>
    <row r="84" spans="5:13" ht="14.25">
      <c r="E84" s="295"/>
      <c r="F84" s="295"/>
      <c r="M84" s="369"/>
    </row>
    <row r="85" spans="5:13" ht="14.25">
      <c r="E85" s="295"/>
      <c r="F85" s="295"/>
      <c r="M85" s="369"/>
    </row>
    <row r="86" spans="5:13" ht="14.25">
      <c r="E86" s="295"/>
      <c r="F86" s="295"/>
      <c r="M86" s="369"/>
    </row>
    <row r="87" spans="5:13" ht="14.25">
      <c r="E87" s="295"/>
      <c r="F87" s="295"/>
      <c r="M87" s="369"/>
    </row>
    <row r="88" spans="5:13" ht="14.25">
      <c r="E88" s="295"/>
      <c r="F88" s="295"/>
      <c r="M88" s="369"/>
    </row>
    <row r="89" spans="5:13" ht="14.25">
      <c r="E89" s="295"/>
      <c r="F89" s="295"/>
      <c r="M89" s="369"/>
    </row>
    <row r="90" spans="5:13" ht="14.25">
      <c r="E90" s="295"/>
      <c r="F90" s="295"/>
      <c r="M90" s="369"/>
    </row>
    <row r="91" spans="5:13">
      <c r="F91" s="295"/>
    </row>
    <row r="92" spans="5:13">
      <c r="F92" s="295"/>
    </row>
    <row r="93" spans="5:13">
      <c r="F93" s="295"/>
    </row>
    <row r="94" spans="5:13">
      <c r="F94" s="295"/>
    </row>
    <row r="95" spans="5:13">
      <c r="F95" s="295"/>
    </row>
    <row r="96" spans="5:13">
      <c r="F96" s="295"/>
    </row>
  </sheetData>
  <mergeCells count="12">
    <mergeCell ref="N4:N5"/>
    <mergeCell ref="G4:G5"/>
    <mergeCell ref="B2:J2"/>
    <mergeCell ref="B4:B5"/>
    <mergeCell ref="C4:C5"/>
    <mergeCell ref="D4:D5"/>
    <mergeCell ref="F4:F5"/>
    <mergeCell ref="E4:E5"/>
    <mergeCell ref="K4:M4"/>
    <mergeCell ref="H4:H5"/>
    <mergeCell ref="I4:I5"/>
    <mergeCell ref="J4:J5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1"/>
  <dimension ref="A1:P96"/>
  <sheetViews>
    <sheetView zoomScaleNormal="100" zoomScaleSheetLayoutView="100" workbookViewId="0">
      <selection activeCell="K10" sqref="K10"/>
    </sheetView>
  </sheetViews>
  <sheetFormatPr defaultRowHeight="12.75"/>
  <cols>
    <col min="1" max="1" width="9.140625" style="272"/>
    <col min="2" max="2" width="4.7109375" style="9" customWidth="1"/>
    <col min="3" max="3" width="5.140625" style="9" customWidth="1"/>
    <col min="4" max="4" width="5" style="9" customWidth="1"/>
    <col min="5" max="5" width="8.7109375" style="17" customWidth="1"/>
    <col min="6" max="6" width="8.7109375" style="277" customWidth="1"/>
    <col min="7" max="7" width="50.7109375" style="9" customWidth="1"/>
    <col min="8" max="8" width="14.7109375" style="519" customWidth="1"/>
    <col min="9" max="9" width="14.7109375" style="54" customWidth="1"/>
    <col min="10" max="10" width="15.7109375" style="519" customWidth="1"/>
    <col min="11" max="12" width="14.7109375" style="54" customWidth="1"/>
    <col min="13" max="13" width="15.7109375" style="54" customWidth="1"/>
    <col min="14" max="14" width="7.7109375" style="337" customWidth="1"/>
    <col min="15" max="16384" width="9.140625" style="9"/>
  </cols>
  <sheetData>
    <row r="1" spans="1:16" ht="13.5" thickBot="1"/>
    <row r="2" spans="1:16" s="93" customFormat="1" ht="20.100000000000001" customHeight="1" thickTop="1" thickBot="1">
      <c r="A2" s="363"/>
      <c r="B2" s="725" t="s">
        <v>178</v>
      </c>
      <c r="C2" s="726"/>
      <c r="D2" s="726"/>
      <c r="E2" s="726"/>
      <c r="F2" s="726"/>
      <c r="G2" s="726"/>
      <c r="H2" s="508"/>
      <c r="I2" s="364"/>
      <c r="J2" s="508"/>
      <c r="K2" s="364"/>
      <c r="L2" s="364"/>
      <c r="M2" s="364"/>
      <c r="N2" s="367"/>
    </row>
    <row r="3" spans="1:16" s="1" customFormat="1" ht="8.1" customHeight="1" thickTop="1" thickBot="1">
      <c r="A3" s="269"/>
      <c r="E3" s="2"/>
      <c r="F3" s="270"/>
      <c r="G3" s="488"/>
      <c r="H3" s="511"/>
      <c r="I3" s="87"/>
      <c r="J3" s="511"/>
      <c r="K3" s="87"/>
      <c r="L3" s="87"/>
      <c r="M3" s="87"/>
      <c r="N3" s="331"/>
    </row>
    <row r="4" spans="1:16" s="1" customFormat="1" ht="39" customHeight="1">
      <c r="A4" s="269"/>
      <c r="B4" s="728" t="s">
        <v>78</v>
      </c>
      <c r="C4" s="746" t="s">
        <v>79</v>
      </c>
      <c r="D4" s="747" t="s">
        <v>110</v>
      </c>
      <c r="E4" s="748" t="s">
        <v>594</v>
      </c>
      <c r="F4" s="733" t="s">
        <v>650</v>
      </c>
      <c r="G4" s="734" t="s">
        <v>80</v>
      </c>
      <c r="H4" s="740" t="s">
        <v>644</v>
      </c>
      <c r="I4" s="742" t="s">
        <v>821</v>
      </c>
      <c r="J4" s="744" t="s">
        <v>822</v>
      </c>
      <c r="K4" s="749" t="s">
        <v>863</v>
      </c>
      <c r="L4" s="738"/>
      <c r="M4" s="739"/>
      <c r="N4" s="735" t="s">
        <v>823</v>
      </c>
    </row>
    <row r="5" spans="1:16" s="269" customFormat="1" ht="27" customHeight="1">
      <c r="B5" s="729"/>
      <c r="C5" s="731"/>
      <c r="D5" s="731"/>
      <c r="E5" s="722"/>
      <c r="F5" s="731"/>
      <c r="G5" s="722"/>
      <c r="H5" s="741"/>
      <c r="I5" s="743"/>
      <c r="J5" s="745"/>
      <c r="K5" s="540" t="s">
        <v>701</v>
      </c>
      <c r="L5" s="359" t="s">
        <v>702</v>
      </c>
      <c r="M5" s="541" t="s">
        <v>413</v>
      </c>
      <c r="N5" s="736"/>
    </row>
    <row r="6" spans="1:16" s="2" customFormat="1" ht="12.95" customHeight="1">
      <c r="A6" s="270"/>
      <c r="B6" s="464">
        <v>1</v>
      </c>
      <c r="C6" s="318">
        <v>2</v>
      </c>
      <c r="D6" s="318">
        <v>3</v>
      </c>
      <c r="E6" s="318">
        <v>4</v>
      </c>
      <c r="F6" s="318">
        <v>5</v>
      </c>
      <c r="G6" s="318">
        <v>6</v>
      </c>
      <c r="H6" s="512">
        <v>7</v>
      </c>
      <c r="I6" s="318">
        <v>8</v>
      </c>
      <c r="J6" s="561">
        <v>9</v>
      </c>
      <c r="K6" s="464">
        <v>10</v>
      </c>
      <c r="L6" s="318">
        <v>11</v>
      </c>
      <c r="M6" s="542" t="s">
        <v>703</v>
      </c>
      <c r="N6" s="465">
        <v>13</v>
      </c>
    </row>
    <row r="7" spans="1:16" s="2" customFormat="1" ht="12.95" customHeight="1">
      <c r="A7" s="270"/>
      <c r="B7" s="6" t="s">
        <v>139</v>
      </c>
      <c r="C7" s="7" t="s">
        <v>81</v>
      </c>
      <c r="D7" s="7" t="s">
        <v>82</v>
      </c>
      <c r="E7" s="5"/>
      <c r="F7" s="271"/>
      <c r="G7" s="5"/>
      <c r="H7" s="520"/>
      <c r="I7" s="81"/>
      <c r="J7" s="562"/>
      <c r="K7" s="543"/>
      <c r="L7" s="81"/>
      <c r="M7" s="544"/>
      <c r="N7" s="332"/>
    </row>
    <row r="8" spans="1:16" s="1" customFormat="1" ht="12.95" customHeight="1">
      <c r="A8" s="269"/>
      <c r="B8" s="12"/>
      <c r="C8" s="8"/>
      <c r="D8" s="8"/>
      <c r="E8" s="292">
        <v>611000</v>
      </c>
      <c r="F8" s="318"/>
      <c r="G8" s="8" t="s">
        <v>163</v>
      </c>
      <c r="H8" s="514">
        <f t="shared" ref="H8:I8" si="0">SUM(H9:H12)</f>
        <v>247350</v>
      </c>
      <c r="I8" s="514">
        <f t="shared" si="0"/>
        <v>247350</v>
      </c>
      <c r="J8" s="563">
        <v>187394</v>
      </c>
      <c r="K8" s="545">
        <f t="shared" ref="K8:M8" si="1">SUM(K9:K12)</f>
        <v>255800</v>
      </c>
      <c r="L8" s="201">
        <f t="shared" si="1"/>
        <v>0</v>
      </c>
      <c r="M8" s="546">
        <f t="shared" si="1"/>
        <v>255800</v>
      </c>
      <c r="N8" s="333">
        <f>IF(I8=0,"",M8/I8*100)</f>
        <v>103.41621184556298</v>
      </c>
    </row>
    <row r="9" spans="1:16" ht="12.95" customHeight="1">
      <c r="B9" s="10"/>
      <c r="C9" s="11"/>
      <c r="D9" s="11"/>
      <c r="E9" s="293">
        <v>611100</v>
      </c>
      <c r="F9" s="319"/>
      <c r="G9" s="18" t="s">
        <v>198</v>
      </c>
      <c r="H9" s="515">
        <v>207100</v>
      </c>
      <c r="I9" s="515">
        <v>207100</v>
      </c>
      <c r="J9" s="564">
        <v>152817</v>
      </c>
      <c r="K9" s="547">
        <f>204420+1000+740</f>
        <v>206160</v>
      </c>
      <c r="L9" s="203">
        <v>0</v>
      </c>
      <c r="M9" s="548">
        <f>SUM(K9:L9)</f>
        <v>206160</v>
      </c>
      <c r="N9" s="334">
        <f t="shared" ref="N9:N72" si="2">IF(I9=0,"",M9/I9*100)</f>
        <v>99.546112988894251</v>
      </c>
    </row>
    <row r="10" spans="1:16" ht="12.95" customHeight="1">
      <c r="B10" s="10"/>
      <c r="C10" s="11"/>
      <c r="D10" s="11"/>
      <c r="E10" s="293">
        <v>611200</v>
      </c>
      <c r="F10" s="319"/>
      <c r="G10" s="11" t="s">
        <v>199</v>
      </c>
      <c r="H10" s="515">
        <v>40250</v>
      </c>
      <c r="I10" s="515">
        <v>40250</v>
      </c>
      <c r="J10" s="564">
        <v>34577</v>
      </c>
      <c r="K10" s="547">
        <f>44910+600+1630+10*250</f>
        <v>49640</v>
      </c>
      <c r="L10" s="203">
        <v>0</v>
      </c>
      <c r="M10" s="548">
        <f t="shared" ref="M10:M11" si="3">SUM(K10:L10)</f>
        <v>49640</v>
      </c>
      <c r="N10" s="334">
        <f t="shared" si="2"/>
        <v>123.32919254658385</v>
      </c>
    </row>
    <row r="11" spans="1:16" ht="12.95" customHeight="1">
      <c r="B11" s="10"/>
      <c r="C11" s="11"/>
      <c r="D11" s="11"/>
      <c r="E11" s="293">
        <v>611200</v>
      </c>
      <c r="F11" s="319"/>
      <c r="G11" s="180" t="s">
        <v>534</v>
      </c>
      <c r="H11" s="515">
        <f t="shared" ref="H11:I11" si="4">SUM(F11:G11)</f>
        <v>0</v>
      </c>
      <c r="I11" s="515">
        <f t="shared" si="4"/>
        <v>0</v>
      </c>
      <c r="J11" s="564">
        <v>0</v>
      </c>
      <c r="K11" s="549">
        <v>0</v>
      </c>
      <c r="L11" s="200">
        <v>0</v>
      </c>
      <c r="M11" s="548">
        <f t="shared" si="3"/>
        <v>0</v>
      </c>
      <c r="N11" s="334" t="str">
        <f t="shared" si="2"/>
        <v/>
      </c>
      <c r="P11" s="53"/>
    </row>
    <row r="12" spans="1:16" ht="12.95" customHeight="1">
      <c r="B12" s="10"/>
      <c r="C12" s="11"/>
      <c r="D12" s="11"/>
      <c r="E12" s="293"/>
      <c r="F12" s="319"/>
      <c r="G12" s="18"/>
      <c r="H12" s="515"/>
      <c r="I12" s="515"/>
      <c r="J12" s="564"/>
      <c r="K12" s="547"/>
      <c r="L12" s="203"/>
      <c r="M12" s="548"/>
      <c r="N12" s="334" t="str">
        <f t="shared" si="2"/>
        <v/>
      </c>
    </row>
    <row r="13" spans="1:16" s="1" customFormat="1" ht="12.95" customHeight="1">
      <c r="A13" s="269"/>
      <c r="B13" s="12"/>
      <c r="C13" s="8"/>
      <c r="D13" s="8"/>
      <c r="E13" s="292">
        <v>612000</v>
      </c>
      <c r="F13" s="318"/>
      <c r="G13" s="8" t="s">
        <v>162</v>
      </c>
      <c r="H13" s="514">
        <f t="shared" ref="H13:M13" si="5">H14</f>
        <v>21930</v>
      </c>
      <c r="I13" s="514">
        <f t="shared" si="5"/>
        <v>21930</v>
      </c>
      <c r="J13" s="563">
        <v>16175</v>
      </c>
      <c r="K13" s="545">
        <f t="shared" si="5"/>
        <v>22180</v>
      </c>
      <c r="L13" s="201">
        <f t="shared" si="5"/>
        <v>0</v>
      </c>
      <c r="M13" s="546">
        <f t="shared" si="5"/>
        <v>22180</v>
      </c>
      <c r="N13" s="333">
        <f t="shared" si="2"/>
        <v>101.13999088007294</v>
      </c>
    </row>
    <row r="14" spans="1:16" ht="12.95" customHeight="1">
      <c r="B14" s="10"/>
      <c r="C14" s="11"/>
      <c r="D14" s="11"/>
      <c r="E14" s="293">
        <v>612100</v>
      </c>
      <c r="F14" s="319"/>
      <c r="G14" s="13" t="s">
        <v>83</v>
      </c>
      <c r="H14" s="515">
        <v>21930</v>
      </c>
      <c r="I14" s="515">
        <v>21930</v>
      </c>
      <c r="J14" s="564">
        <v>16175</v>
      </c>
      <c r="K14" s="547">
        <f>21630+300+250</f>
        <v>22180</v>
      </c>
      <c r="L14" s="203">
        <v>0</v>
      </c>
      <c r="M14" s="548">
        <f>SUM(K14:L14)</f>
        <v>22180</v>
      </c>
      <c r="N14" s="334">
        <f t="shared" si="2"/>
        <v>101.13999088007294</v>
      </c>
    </row>
    <row r="15" spans="1:16" ht="12.95" customHeight="1">
      <c r="B15" s="10"/>
      <c r="C15" s="11"/>
      <c r="D15" s="11"/>
      <c r="E15" s="293"/>
      <c r="F15" s="319"/>
      <c r="G15" s="11"/>
      <c r="H15" s="516"/>
      <c r="I15" s="516"/>
      <c r="J15" s="566"/>
      <c r="K15" s="550"/>
      <c r="L15" s="279"/>
      <c r="M15" s="551"/>
      <c r="N15" s="334" t="str">
        <f t="shared" si="2"/>
        <v/>
      </c>
    </row>
    <row r="16" spans="1:16" s="1" customFormat="1" ht="12.95" customHeight="1">
      <c r="A16" s="269"/>
      <c r="B16" s="12"/>
      <c r="C16" s="8"/>
      <c r="D16" s="8"/>
      <c r="E16" s="292">
        <v>613000</v>
      </c>
      <c r="F16" s="318"/>
      <c r="G16" s="8" t="s">
        <v>164</v>
      </c>
      <c r="H16" s="262">
        <f t="shared" ref="H16:I16" si="6">SUM(H17:H27)</f>
        <v>219600</v>
      </c>
      <c r="I16" s="262">
        <f t="shared" si="6"/>
        <v>219600</v>
      </c>
      <c r="J16" s="565">
        <v>140333</v>
      </c>
      <c r="K16" s="552">
        <f t="shared" ref="K16:M16" si="7">SUM(K17:K27)</f>
        <v>25800</v>
      </c>
      <c r="L16" s="281">
        <f t="shared" si="7"/>
        <v>195000</v>
      </c>
      <c r="M16" s="553">
        <f t="shared" si="7"/>
        <v>220800</v>
      </c>
      <c r="N16" s="333">
        <f t="shared" si="2"/>
        <v>100.5464480874317</v>
      </c>
    </row>
    <row r="17" spans="1:15" ht="12.95" customHeight="1">
      <c r="B17" s="10"/>
      <c r="C17" s="11"/>
      <c r="D17" s="11"/>
      <c r="E17" s="293">
        <v>613100</v>
      </c>
      <c r="F17" s="319"/>
      <c r="G17" s="11" t="s">
        <v>84</v>
      </c>
      <c r="H17" s="515">
        <v>1800</v>
      </c>
      <c r="I17" s="515">
        <v>1800</v>
      </c>
      <c r="J17" s="564">
        <v>1416</v>
      </c>
      <c r="K17" s="550">
        <v>2500</v>
      </c>
      <c r="L17" s="279">
        <v>0</v>
      </c>
      <c r="M17" s="548">
        <f t="shared" ref="M17:M27" si="8">SUM(K17:L17)</f>
        <v>2500</v>
      </c>
      <c r="N17" s="334">
        <f t="shared" si="2"/>
        <v>138.88888888888889</v>
      </c>
    </row>
    <row r="18" spans="1:15" ht="12.95" customHeight="1">
      <c r="B18" s="10"/>
      <c r="C18" s="11"/>
      <c r="D18" s="11"/>
      <c r="E18" s="293">
        <v>613200</v>
      </c>
      <c r="F18" s="319"/>
      <c r="G18" s="11" t="s">
        <v>85</v>
      </c>
      <c r="H18" s="515">
        <f t="shared" ref="H18:I27" si="9">SUM(F18:G18)</f>
        <v>0</v>
      </c>
      <c r="I18" s="515">
        <f t="shared" si="9"/>
        <v>0</v>
      </c>
      <c r="J18" s="564">
        <v>0</v>
      </c>
      <c r="K18" s="550">
        <v>0</v>
      </c>
      <c r="L18" s="279">
        <v>0</v>
      </c>
      <c r="M18" s="548">
        <f t="shared" si="8"/>
        <v>0</v>
      </c>
      <c r="N18" s="334" t="str">
        <f t="shared" si="2"/>
        <v/>
      </c>
    </row>
    <row r="19" spans="1:15" ht="12.95" customHeight="1">
      <c r="B19" s="10"/>
      <c r="C19" s="11"/>
      <c r="D19" s="11"/>
      <c r="E19" s="293">
        <v>613300</v>
      </c>
      <c r="F19" s="319"/>
      <c r="G19" s="18" t="s">
        <v>200</v>
      </c>
      <c r="H19" s="515">
        <v>6800</v>
      </c>
      <c r="I19" s="515">
        <v>6800</v>
      </c>
      <c r="J19" s="564">
        <v>5148</v>
      </c>
      <c r="K19" s="554">
        <v>6800</v>
      </c>
      <c r="L19" s="350">
        <v>0</v>
      </c>
      <c r="M19" s="548">
        <f t="shared" si="8"/>
        <v>6800</v>
      </c>
      <c r="N19" s="334">
        <f t="shared" si="2"/>
        <v>100</v>
      </c>
    </row>
    <row r="20" spans="1:15" ht="12.95" customHeight="1">
      <c r="B20" s="10"/>
      <c r="C20" s="11"/>
      <c r="D20" s="11"/>
      <c r="E20" s="293">
        <v>613400</v>
      </c>
      <c r="F20" s="319"/>
      <c r="G20" s="11" t="s">
        <v>165</v>
      </c>
      <c r="H20" s="515">
        <f t="shared" si="9"/>
        <v>0</v>
      </c>
      <c r="I20" s="515">
        <f t="shared" si="9"/>
        <v>0</v>
      </c>
      <c r="J20" s="564">
        <v>0</v>
      </c>
      <c r="K20" s="554">
        <v>0</v>
      </c>
      <c r="L20" s="350">
        <v>0</v>
      </c>
      <c r="M20" s="548">
        <f t="shared" si="8"/>
        <v>0</v>
      </c>
      <c r="N20" s="334" t="str">
        <f t="shared" si="2"/>
        <v/>
      </c>
    </row>
    <row r="21" spans="1:15" ht="12.95" customHeight="1">
      <c r="B21" s="10"/>
      <c r="C21" s="11"/>
      <c r="D21" s="11"/>
      <c r="E21" s="293">
        <v>613500</v>
      </c>
      <c r="F21" s="319"/>
      <c r="G21" s="11" t="s">
        <v>86</v>
      </c>
      <c r="H21" s="515">
        <f t="shared" si="9"/>
        <v>0</v>
      </c>
      <c r="I21" s="515">
        <f t="shared" si="9"/>
        <v>0</v>
      </c>
      <c r="J21" s="564">
        <v>0</v>
      </c>
      <c r="K21" s="555">
        <v>0</v>
      </c>
      <c r="L21" s="352">
        <v>0</v>
      </c>
      <c r="M21" s="548">
        <f t="shared" si="8"/>
        <v>0</v>
      </c>
      <c r="N21" s="334" t="str">
        <f t="shared" si="2"/>
        <v/>
      </c>
    </row>
    <row r="22" spans="1:15" ht="12.95" customHeight="1">
      <c r="B22" s="10"/>
      <c r="C22" s="11"/>
      <c r="D22" s="11"/>
      <c r="E22" s="293">
        <v>613600</v>
      </c>
      <c r="F22" s="319"/>
      <c r="G22" s="18" t="s">
        <v>201</v>
      </c>
      <c r="H22" s="515">
        <f t="shared" si="9"/>
        <v>0</v>
      </c>
      <c r="I22" s="515">
        <f t="shared" si="9"/>
        <v>0</v>
      </c>
      <c r="J22" s="564">
        <v>0</v>
      </c>
      <c r="K22" s="555">
        <v>0</v>
      </c>
      <c r="L22" s="352">
        <v>0</v>
      </c>
      <c r="M22" s="548">
        <f t="shared" si="8"/>
        <v>0</v>
      </c>
      <c r="N22" s="334" t="str">
        <f t="shared" si="2"/>
        <v/>
      </c>
    </row>
    <row r="23" spans="1:15" ht="12.95" customHeight="1">
      <c r="B23" s="10"/>
      <c r="C23" s="11"/>
      <c r="D23" s="11"/>
      <c r="E23" s="299">
        <v>613700</v>
      </c>
      <c r="F23" s="325"/>
      <c r="G23" s="11" t="s">
        <v>87</v>
      </c>
      <c r="H23" s="515">
        <v>1000</v>
      </c>
      <c r="I23" s="515">
        <v>1000</v>
      </c>
      <c r="J23" s="564">
        <v>309</v>
      </c>
      <c r="K23" s="555">
        <v>1000</v>
      </c>
      <c r="L23" s="352">
        <v>0</v>
      </c>
      <c r="M23" s="548">
        <f t="shared" si="8"/>
        <v>1000</v>
      </c>
      <c r="N23" s="334">
        <f t="shared" si="2"/>
        <v>100</v>
      </c>
    </row>
    <row r="24" spans="1:15" ht="12.95" customHeight="1">
      <c r="B24" s="10"/>
      <c r="C24" s="11"/>
      <c r="D24" s="22"/>
      <c r="E24" s="293">
        <v>613700</v>
      </c>
      <c r="F24" s="316" t="s">
        <v>673</v>
      </c>
      <c r="G24" s="36" t="s">
        <v>88</v>
      </c>
      <c r="H24" s="515">
        <v>200000</v>
      </c>
      <c r="I24" s="515">
        <v>200000</v>
      </c>
      <c r="J24" s="564">
        <v>126947</v>
      </c>
      <c r="K24" s="555">
        <v>0</v>
      </c>
      <c r="L24" s="352">
        <v>195000</v>
      </c>
      <c r="M24" s="548">
        <f t="shared" si="8"/>
        <v>195000</v>
      </c>
      <c r="N24" s="334">
        <f t="shared" si="2"/>
        <v>97.5</v>
      </c>
    </row>
    <row r="25" spans="1:15" ht="12.95" customHeight="1">
      <c r="B25" s="10"/>
      <c r="C25" s="11"/>
      <c r="D25" s="11"/>
      <c r="E25" s="301">
        <v>613800</v>
      </c>
      <c r="F25" s="326"/>
      <c r="G25" s="11" t="s">
        <v>166</v>
      </c>
      <c r="H25" s="515">
        <f t="shared" si="9"/>
        <v>0</v>
      </c>
      <c r="I25" s="515">
        <f t="shared" si="9"/>
        <v>0</v>
      </c>
      <c r="J25" s="564">
        <v>0</v>
      </c>
      <c r="K25" s="555">
        <v>0</v>
      </c>
      <c r="L25" s="352">
        <v>0</v>
      </c>
      <c r="M25" s="548">
        <f t="shared" si="8"/>
        <v>0</v>
      </c>
      <c r="N25" s="334" t="str">
        <f t="shared" si="2"/>
        <v/>
      </c>
    </row>
    <row r="26" spans="1:15" ht="12.95" customHeight="1">
      <c r="B26" s="10"/>
      <c r="C26" s="11"/>
      <c r="D26" s="11"/>
      <c r="E26" s="293">
        <v>613900</v>
      </c>
      <c r="F26" s="319"/>
      <c r="G26" s="11" t="s">
        <v>167</v>
      </c>
      <c r="H26" s="515">
        <v>10000</v>
      </c>
      <c r="I26" s="515">
        <v>10000</v>
      </c>
      <c r="J26" s="564">
        <v>6513</v>
      </c>
      <c r="K26" s="555">
        <f>13500+2000</f>
        <v>15500</v>
      </c>
      <c r="L26" s="352">
        <v>0</v>
      </c>
      <c r="M26" s="548">
        <f t="shared" si="8"/>
        <v>15500</v>
      </c>
      <c r="N26" s="334">
        <f t="shared" si="2"/>
        <v>155</v>
      </c>
      <c r="O26" s="63"/>
    </row>
    <row r="27" spans="1:15" ht="12.95" customHeight="1">
      <c r="B27" s="10"/>
      <c r="C27" s="11"/>
      <c r="D27" s="11"/>
      <c r="E27" s="293">
        <v>613900</v>
      </c>
      <c r="F27" s="319"/>
      <c r="G27" s="180" t="s">
        <v>535</v>
      </c>
      <c r="H27" s="515">
        <f t="shared" si="9"/>
        <v>0</v>
      </c>
      <c r="I27" s="515">
        <f t="shared" si="9"/>
        <v>0</v>
      </c>
      <c r="J27" s="564">
        <v>0</v>
      </c>
      <c r="K27" s="555"/>
      <c r="L27" s="352"/>
      <c r="M27" s="548">
        <f t="shared" si="8"/>
        <v>0</v>
      </c>
      <c r="N27" s="334" t="str">
        <f t="shared" si="2"/>
        <v/>
      </c>
    </row>
    <row r="28" spans="1:15" ht="12.95" customHeight="1">
      <c r="B28" s="10"/>
      <c r="C28" s="11"/>
      <c r="D28" s="11"/>
      <c r="E28" s="293"/>
      <c r="F28" s="319"/>
      <c r="G28" s="11"/>
      <c r="H28" s="516"/>
      <c r="I28" s="516"/>
      <c r="J28" s="566"/>
      <c r="K28" s="556"/>
      <c r="L28" s="283"/>
      <c r="M28" s="551"/>
      <c r="N28" s="334" t="str">
        <f t="shared" si="2"/>
        <v/>
      </c>
    </row>
    <row r="29" spans="1:15" s="1" customFormat="1" ht="12.95" customHeight="1">
      <c r="A29" s="269"/>
      <c r="B29" s="12"/>
      <c r="C29" s="8"/>
      <c r="D29" s="8"/>
      <c r="E29" s="292">
        <v>614000</v>
      </c>
      <c r="F29" s="318"/>
      <c r="G29" s="8" t="s">
        <v>202</v>
      </c>
      <c r="H29" s="262">
        <f t="shared" ref="H29:I29" si="10">SUM(H30:H31)</f>
        <v>210000</v>
      </c>
      <c r="I29" s="262">
        <f t="shared" si="10"/>
        <v>210000</v>
      </c>
      <c r="J29" s="565">
        <v>17500</v>
      </c>
      <c r="K29" s="557">
        <f t="shared" ref="K29:M29" si="11">SUM(K30:K31)</f>
        <v>0</v>
      </c>
      <c r="L29" s="282">
        <f t="shared" si="11"/>
        <v>180000</v>
      </c>
      <c r="M29" s="553">
        <f t="shared" si="11"/>
        <v>180000</v>
      </c>
      <c r="N29" s="333">
        <f t="shared" si="2"/>
        <v>85.714285714285708</v>
      </c>
    </row>
    <row r="30" spans="1:15" ht="12.95" customHeight="1">
      <c r="B30" s="10"/>
      <c r="C30" s="11"/>
      <c r="D30" s="22"/>
      <c r="E30" s="301">
        <v>614100</v>
      </c>
      <c r="F30" s="326" t="s">
        <v>674</v>
      </c>
      <c r="G30" s="40" t="s">
        <v>176</v>
      </c>
      <c r="H30" s="515">
        <v>180000</v>
      </c>
      <c r="I30" s="515">
        <v>180000</v>
      </c>
      <c r="J30" s="564">
        <v>17500</v>
      </c>
      <c r="K30" s="556">
        <v>0</v>
      </c>
      <c r="L30" s="283">
        <v>180000</v>
      </c>
      <c r="M30" s="548">
        <f t="shared" ref="M30:M31" si="12">SUM(K30:L30)</f>
        <v>180000</v>
      </c>
      <c r="N30" s="334">
        <f t="shared" si="2"/>
        <v>100</v>
      </c>
    </row>
    <row r="31" spans="1:15" ht="12.95" customHeight="1">
      <c r="B31" s="10"/>
      <c r="C31" s="11"/>
      <c r="D31" s="11"/>
      <c r="E31" s="293">
        <v>614100</v>
      </c>
      <c r="F31" s="319" t="s">
        <v>675</v>
      </c>
      <c r="G31" s="18" t="s">
        <v>215</v>
      </c>
      <c r="H31" s="515">
        <v>30000</v>
      </c>
      <c r="I31" s="515">
        <v>30000</v>
      </c>
      <c r="J31" s="564">
        <v>0</v>
      </c>
      <c r="K31" s="556">
        <v>0</v>
      </c>
      <c r="L31" s="283">
        <v>0</v>
      </c>
      <c r="M31" s="548">
        <f t="shared" si="12"/>
        <v>0</v>
      </c>
      <c r="N31" s="334">
        <f t="shared" si="2"/>
        <v>0</v>
      </c>
    </row>
    <row r="32" spans="1:15" ht="12.95" customHeight="1">
      <c r="B32" s="10"/>
      <c r="C32" s="11"/>
      <c r="D32" s="11"/>
      <c r="E32" s="293"/>
      <c r="F32" s="319"/>
      <c r="G32" s="11"/>
      <c r="H32" s="516"/>
      <c r="I32" s="516"/>
      <c r="J32" s="566"/>
      <c r="K32" s="556"/>
      <c r="L32" s="283"/>
      <c r="M32" s="551"/>
      <c r="N32" s="334" t="str">
        <f t="shared" si="2"/>
        <v/>
      </c>
    </row>
    <row r="33" spans="1:16" s="1" customFormat="1" ht="12.95" customHeight="1">
      <c r="A33" s="269"/>
      <c r="B33" s="12"/>
      <c r="C33" s="8"/>
      <c r="D33" s="8"/>
      <c r="E33" s="292">
        <v>821000</v>
      </c>
      <c r="F33" s="318"/>
      <c r="G33" s="8" t="s">
        <v>90</v>
      </c>
      <c r="H33" s="262">
        <f t="shared" ref="H33:M33" si="13">SUM(H34:H36)</f>
        <v>894000</v>
      </c>
      <c r="I33" s="262">
        <f t="shared" ref="I33" si="14">SUM(I34:I36)</f>
        <v>894000</v>
      </c>
      <c r="J33" s="565">
        <v>8529</v>
      </c>
      <c r="K33" s="557">
        <f t="shared" si="13"/>
        <v>2600</v>
      </c>
      <c r="L33" s="282">
        <f t="shared" si="13"/>
        <v>892000</v>
      </c>
      <c r="M33" s="553">
        <f t="shared" si="13"/>
        <v>894600</v>
      </c>
      <c r="N33" s="333">
        <f t="shared" si="2"/>
        <v>100.06711409395974</v>
      </c>
    </row>
    <row r="34" spans="1:16" ht="12.95" customHeight="1">
      <c r="B34" s="10"/>
      <c r="C34" s="11"/>
      <c r="D34" s="11"/>
      <c r="E34" s="293">
        <v>821200</v>
      </c>
      <c r="F34" s="319"/>
      <c r="G34" s="11" t="s">
        <v>91</v>
      </c>
      <c r="H34" s="516">
        <v>0</v>
      </c>
      <c r="I34" s="516">
        <v>0</v>
      </c>
      <c r="J34" s="564">
        <v>0</v>
      </c>
      <c r="K34" s="556">
        <v>0</v>
      </c>
      <c r="L34" s="283">
        <v>0</v>
      </c>
      <c r="M34" s="548">
        <f t="shared" ref="M34:M36" si="15">SUM(K34:L34)</f>
        <v>0</v>
      </c>
      <c r="N34" s="334" t="str">
        <f t="shared" si="2"/>
        <v/>
      </c>
    </row>
    <row r="35" spans="1:16" ht="12.95" customHeight="1">
      <c r="B35" s="10"/>
      <c r="C35" s="11"/>
      <c r="D35" s="11"/>
      <c r="E35" s="293">
        <v>821300</v>
      </c>
      <c r="F35" s="319"/>
      <c r="G35" s="11" t="s">
        <v>92</v>
      </c>
      <c r="H35" s="516">
        <v>2000</v>
      </c>
      <c r="I35" s="516">
        <v>2000</v>
      </c>
      <c r="J35" s="564">
        <v>1551</v>
      </c>
      <c r="K35" s="556">
        <v>2600</v>
      </c>
      <c r="L35" s="283">
        <v>0</v>
      </c>
      <c r="M35" s="548">
        <f t="shared" si="15"/>
        <v>2600</v>
      </c>
      <c r="N35" s="334">
        <f t="shared" si="2"/>
        <v>130</v>
      </c>
    </row>
    <row r="36" spans="1:16" ht="12.95" customHeight="1">
      <c r="B36" s="10"/>
      <c r="C36" s="11"/>
      <c r="D36" s="11"/>
      <c r="E36" s="296">
        <v>821600</v>
      </c>
      <c r="F36" s="322"/>
      <c r="G36" s="64" t="s">
        <v>104</v>
      </c>
      <c r="H36" s="516">
        <v>892000</v>
      </c>
      <c r="I36" s="516">
        <v>892000</v>
      </c>
      <c r="J36" s="564">
        <v>6978</v>
      </c>
      <c r="K36" s="556">
        <v>0</v>
      </c>
      <c r="L36" s="283">
        <v>892000</v>
      </c>
      <c r="M36" s="548">
        <f t="shared" si="15"/>
        <v>892000</v>
      </c>
      <c r="N36" s="334">
        <f t="shared" si="2"/>
        <v>100</v>
      </c>
      <c r="P36" s="54"/>
    </row>
    <row r="37" spans="1:16" ht="12.95" customHeight="1">
      <c r="B37" s="10"/>
      <c r="C37" s="11"/>
      <c r="D37" s="11"/>
      <c r="E37" s="293"/>
      <c r="F37" s="319"/>
      <c r="G37" s="11"/>
      <c r="H37" s="262"/>
      <c r="I37" s="262"/>
      <c r="J37" s="565"/>
      <c r="K37" s="557"/>
      <c r="L37" s="282"/>
      <c r="M37" s="553"/>
      <c r="N37" s="334" t="str">
        <f t="shared" si="2"/>
        <v/>
      </c>
    </row>
    <row r="38" spans="1:16" s="1" customFormat="1" ht="12.95" customHeight="1">
      <c r="A38" s="269"/>
      <c r="B38" s="12"/>
      <c r="C38" s="8"/>
      <c r="D38" s="8"/>
      <c r="E38" s="292"/>
      <c r="F38" s="318"/>
      <c r="G38" s="8" t="s">
        <v>93</v>
      </c>
      <c r="H38" s="262">
        <v>10</v>
      </c>
      <c r="I38" s="262">
        <v>10</v>
      </c>
      <c r="J38" s="565">
        <v>10</v>
      </c>
      <c r="K38" s="557">
        <v>10</v>
      </c>
      <c r="L38" s="282"/>
      <c r="M38" s="553">
        <v>10</v>
      </c>
      <c r="N38" s="334"/>
    </row>
    <row r="39" spans="1:16" s="1" customFormat="1" ht="12.95" customHeight="1">
      <c r="A39" s="269"/>
      <c r="B39" s="12"/>
      <c r="C39" s="8"/>
      <c r="D39" s="8"/>
      <c r="E39" s="292"/>
      <c r="F39" s="318"/>
      <c r="G39" s="8" t="s">
        <v>113</v>
      </c>
      <c r="H39" s="262">
        <f t="shared" ref="H39:M39" si="16">H8+H13+H16+H29+H33</f>
        <v>1592880</v>
      </c>
      <c r="I39" s="276">
        <f t="shared" si="16"/>
        <v>1592880</v>
      </c>
      <c r="J39" s="565">
        <f t="shared" si="16"/>
        <v>369931</v>
      </c>
      <c r="K39" s="558">
        <f t="shared" si="16"/>
        <v>306380</v>
      </c>
      <c r="L39" s="276">
        <f t="shared" si="16"/>
        <v>1267000</v>
      </c>
      <c r="M39" s="553">
        <f t="shared" si="16"/>
        <v>1573380</v>
      </c>
      <c r="N39" s="333">
        <f t="shared" si="2"/>
        <v>98.77580232032544</v>
      </c>
    </row>
    <row r="40" spans="1:16" s="1" customFormat="1" ht="12.95" customHeight="1">
      <c r="A40" s="269"/>
      <c r="B40" s="12"/>
      <c r="C40" s="8"/>
      <c r="D40" s="8"/>
      <c r="E40" s="292"/>
      <c r="F40" s="318"/>
      <c r="G40" s="8" t="s">
        <v>94</v>
      </c>
      <c r="H40" s="262">
        <f t="shared" ref="H40:J41" si="17">H39</f>
        <v>1592880</v>
      </c>
      <c r="I40" s="276">
        <f t="shared" si="17"/>
        <v>1592880</v>
      </c>
      <c r="J40" s="565">
        <f t="shared" si="17"/>
        <v>369931</v>
      </c>
      <c r="K40" s="558">
        <f t="shared" ref="K40:M40" si="18">K39</f>
        <v>306380</v>
      </c>
      <c r="L40" s="276">
        <f t="shared" si="18"/>
        <v>1267000</v>
      </c>
      <c r="M40" s="553">
        <f t="shared" si="18"/>
        <v>1573380</v>
      </c>
      <c r="N40" s="333">
        <f t="shared" si="2"/>
        <v>98.77580232032544</v>
      </c>
    </row>
    <row r="41" spans="1:16" s="1" customFormat="1" ht="12.95" customHeight="1">
      <c r="A41" s="269"/>
      <c r="B41" s="12"/>
      <c r="C41" s="8"/>
      <c r="D41" s="8"/>
      <c r="E41" s="292"/>
      <c r="F41" s="318"/>
      <c r="G41" s="8" t="s">
        <v>95</v>
      </c>
      <c r="H41" s="262">
        <f t="shared" si="17"/>
        <v>1592880</v>
      </c>
      <c r="I41" s="276">
        <f t="shared" si="17"/>
        <v>1592880</v>
      </c>
      <c r="J41" s="565">
        <f t="shared" si="17"/>
        <v>369931</v>
      </c>
      <c r="K41" s="558">
        <f t="shared" ref="K41:M41" si="19">K40</f>
        <v>306380</v>
      </c>
      <c r="L41" s="276">
        <f t="shared" si="19"/>
        <v>1267000</v>
      </c>
      <c r="M41" s="553">
        <f t="shared" si="19"/>
        <v>1573380</v>
      </c>
      <c r="N41" s="333">
        <f t="shared" si="2"/>
        <v>98.77580232032544</v>
      </c>
    </row>
    <row r="42" spans="1:16" ht="12.95" customHeight="1" thickBot="1">
      <c r="B42" s="15"/>
      <c r="C42" s="16"/>
      <c r="D42" s="16"/>
      <c r="E42" s="294"/>
      <c r="F42" s="320"/>
      <c r="G42" s="16"/>
      <c r="H42" s="518"/>
      <c r="I42" s="27"/>
      <c r="J42" s="567"/>
      <c r="K42" s="559"/>
      <c r="L42" s="27"/>
      <c r="M42" s="560"/>
      <c r="N42" s="336" t="str">
        <f t="shared" si="2"/>
        <v/>
      </c>
    </row>
    <row r="43" spans="1:16" ht="12.95" customHeight="1">
      <c r="E43" s="295"/>
      <c r="F43" s="321"/>
      <c r="M43" s="370"/>
      <c r="N43" s="337" t="str">
        <f t="shared" si="2"/>
        <v/>
      </c>
    </row>
    <row r="44" spans="1:16" ht="12.95" customHeight="1">
      <c r="B44" s="48"/>
      <c r="E44" s="295"/>
      <c r="F44" s="321"/>
      <c r="M44" s="370"/>
      <c r="N44" s="337" t="str">
        <f t="shared" si="2"/>
        <v/>
      </c>
    </row>
    <row r="45" spans="1:16" ht="12.95" customHeight="1">
      <c r="B45" s="48"/>
      <c r="E45" s="295"/>
      <c r="F45" s="321"/>
      <c r="M45" s="370"/>
      <c r="N45" s="337" t="str">
        <f t="shared" si="2"/>
        <v/>
      </c>
    </row>
    <row r="46" spans="1:16" ht="12.95" customHeight="1">
      <c r="B46" s="48"/>
      <c r="E46" s="295"/>
      <c r="F46" s="321"/>
      <c r="M46" s="370"/>
      <c r="N46" s="337" t="str">
        <f t="shared" si="2"/>
        <v/>
      </c>
    </row>
    <row r="47" spans="1:16" ht="12.95" customHeight="1">
      <c r="E47" s="295"/>
      <c r="F47" s="321"/>
      <c r="M47" s="370"/>
      <c r="N47" s="337" t="str">
        <f t="shared" si="2"/>
        <v/>
      </c>
    </row>
    <row r="48" spans="1:16" ht="12.95" customHeight="1">
      <c r="E48" s="295"/>
      <c r="F48" s="321"/>
      <c r="M48" s="370"/>
      <c r="N48" s="337" t="str">
        <f t="shared" si="2"/>
        <v/>
      </c>
    </row>
    <row r="49" spans="5:14" ht="12.95" customHeight="1">
      <c r="E49" s="295"/>
      <c r="F49" s="321"/>
      <c r="M49" s="370"/>
      <c r="N49" s="337" t="str">
        <f t="shared" si="2"/>
        <v/>
      </c>
    </row>
    <row r="50" spans="5:14" ht="12.95" customHeight="1">
      <c r="E50" s="295"/>
      <c r="F50" s="321"/>
      <c r="M50" s="370"/>
      <c r="N50" s="337" t="str">
        <f t="shared" si="2"/>
        <v/>
      </c>
    </row>
    <row r="51" spans="5:14" ht="12.95" customHeight="1">
      <c r="E51" s="295"/>
      <c r="F51" s="321"/>
      <c r="M51" s="370"/>
      <c r="N51" s="337" t="str">
        <f t="shared" si="2"/>
        <v/>
      </c>
    </row>
    <row r="52" spans="5:14" ht="12.95" customHeight="1">
      <c r="E52" s="295"/>
      <c r="F52" s="321"/>
      <c r="M52" s="370"/>
      <c r="N52" s="337" t="str">
        <f t="shared" si="2"/>
        <v/>
      </c>
    </row>
    <row r="53" spans="5:14" ht="12.95" customHeight="1">
      <c r="E53" s="295"/>
      <c r="F53" s="321"/>
      <c r="M53" s="370"/>
      <c r="N53" s="337" t="str">
        <f t="shared" si="2"/>
        <v/>
      </c>
    </row>
    <row r="54" spans="5:14" ht="12.95" customHeight="1">
      <c r="E54" s="295"/>
      <c r="F54" s="321"/>
      <c r="M54" s="370"/>
      <c r="N54" s="337" t="str">
        <f t="shared" si="2"/>
        <v/>
      </c>
    </row>
    <row r="55" spans="5:14" ht="12.95" customHeight="1">
      <c r="E55" s="295"/>
      <c r="F55" s="321"/>
      <c r="M55" s="370"/>
      <c r="N55" s="337" t="str">
        <f t="shared" si="2"/>
        <v/>
      </c>
    </row>
    <row r="56" spans="5:14" ht="12.95" customHeight="1">
      <c r="E56" s="295"/>
      <c r="F56" s="321"/>
      <c r="M56" s="370"/>
      <c r="N56" s="337" t="str">
        <f t="shared" si="2"/>
        <v/>
      </c>
    </row>
    <row r="57" spans="5:14" ht="12.95" customHeight="1">
      <c r="E57" s="295"/>
      <c r="F57" s="321"/>
      <c r="M57" s="370"/>
      <c r="N57" s="337" t="str">
        <f t="shared" si="2"/>
        <v/>
      </c>
    </row>
    <row r="58" spans="5:14" ht="12.95" customHeight="1">
      <c r="E58" s="295"/>
      <c r="F58" s="321"/>
      <c r="M58" s="370"/>
      <c r="N58" s="337" t="str">
        <f t="shared" si="2"/>
        <v/>
      </c>
    </row>
    <row r="59" spans="5:14" ht="12.95" customHeight="1">
      <c r="E59" s="295"/>
      <c r="F59" s="321"/>
      <c r="M59" s="370"/>
      <c r="N59" s="337" t="str">
        <f t="shared" si="2"/>
        <v/>
      </c>
    </row>
    <row r="60" spans="5:14" ht="17.100000000000001" customHeight="1">
      <c r="E60" s="295"/>
      <c r="F60" s="321"/>
      <c r="M60" s="370"/>
      <c r="N60" s="337" t="str">
        <f t="shared" si="2"/>
        <v/>
      </c>
    </row>
    <row r="61" spans="5:14" ht="14.25">
      <c r="E61" s="295"/>
      <c r="F61" s="321"/>
      <c r="M61" s="370"/>
      <c r="N61" s="337" t="str">
        <f t="shared" si="2"/>
        <v/>
      </c>
    </row>
    <row r="62" spans="5:14" ht="14.25">
      <c r="E62" s="295"/>
      <c r="F62" s="321"/>
      <c r="M62" s="370"/>
      <c r="N62" s="337" t="str">
        <f t="shared" si="2"/>
        <v/>
      </c>
    </row>
    <row r="63" spans="5:14" ht="14.25">
      <c r="E63" s="295"/>
      <c r="F63" s="321"/>
      <c r="M63" s="370"/>
      <c r="N63" s="337" t="str">
        <f t="shared" si="2"/>
        <v/>
      </c>
    </row>
    <row r="64" spans="5:14" ht="14.25">
      <c r="E64" s="295"/>
      <c r="F64" s="321"/>
      <c r="M64" s="370"/>
      <c r="N64" s="337" t="str">
        <f t="shared" si="2"/>
        <v/>
      </c>
    </row>
    <row r="65" spans="5:14" ht="14.25">
      <c r="E65" s="295"/>
      <c r="F65" s="321"/>
      <c r="M65" s="370"/>
      <c r="N65" s="337" t="str">
        <f t="shared" si="2"/>
        <v/>
      </c>
    </row>
    <row r="66" spans="5:14" ht="14.25">
      <c r="E66" s="295"/>
      <c r="F66" s="321"/>
      <c r="M66" s="370"/>
      <c r="N66" s="337" t="str">
        <f t="shared" si="2"/>
        <v/>
      </c>
    </row>
    <row r="67" spans="5:14" ht="14.25">
      <c r="E67" s="295"/>
      <c r="F67" s="321"/>
      <c r="M67" s="370"/>
      <c r="N67" s="337" t="str">
        <f t="shared" si="2"/>
        <v/>
      </c>
    </row>
    <row r="68" spans="5:14" ht="14.25">
      <c r="E68" s="295"/>
      <c r="F68" s="321"/>
      <c r="M68" s="370"/>
      <c r="N68" s="337" t="str">
        <f t="shared" si="2"/>
        <v/>
      </c>
    </row>
    <row r="69" spans="5:14" ht="14.25">
      <c r="E69" s="295"/>
      <c r="F69" s="321"/>
      <c r="M69" s="370"/>
      <c r="N69" s="337" t="str">
        <f t="shared" si="2"/>
        <v/>
      </c>
    </row>
    <row r="70" spans="5:14" ht="14.25">
      <c r="E70" s="295"/>
      <c r="F70" s="321"/>
      <c r="M70" s="370"/>
      <c r="N70" s="337" t="str">
        <f t="shared" si="2"/>
        <v/>
      </c>
    </row>
    <row r="71" spans="5:14" ht="14.25">
      <c r="E71" s="295"/>
      <c r="F71" s="321"/>
      <c r="M71" s="370"/>
      <c r="N71" s="337" t="str">
        <f t="shared" si="2"/>
        <v/>
      </c>
    </row>
    <row r="72" spans="5:14" ht="14.25">
      <c r="E72" s="295"/>
      <c r="F72" s="321"/>
      <c r="M72" s="370"/>
      <c r="N72" s="337" t="str">
        <f t="shared" si="2"/>
        <v/>
      </c>
    </row>
    <row r="73" spans="5:14" ht="14.25">
      <c r="E73" s="295"/>
      <c r="F73" s="321"/>
      <c r="M73" s="370"/>
      <c r="N73" s="337" t="str">
        <f t="shared" ref="N73:N77" si="20">IF(I73=0,"",M73/I73*100)</f>
        <v/>
      </c>
    </row>
    <row r="74" spans="5:14" ht="14.25">
      <c r="E74" s="295"/>
      <c r="F74" s="295"/>
      <c r="M74" s="370"/>
      <c r="N74" s="337" t="str">
        <f t="shared" si="20"/>
        <v/>
      </c>
    </row>
    <row r="75" spans="5:14" ht="14.25">
      <c r="E75" s="295"/>
      <c r="F75" s="295"/>
      <c r="M75" s="370"/>
      <c r="N75" s="337" t="str">
        <f t="shared" si="20"/>
        <v/>
      </c>
    </row>
    <row r="76" spans="5:14" ht="14.25">
      <c r="E76" s="295"/>
      <c r="F76" s="295"/>
      <c r="M76" s="370"/>
      <c r="N76" s="337" t="str">
        <f t="shared" si="20"/>
        <v/>
      </c>
    </row>
    <row r="77" spans="5:14" ht="14.25">
      <c r="E77" s="295"/>
      <c r="F77" s="295"/>
      <c r="M77" s="370"/>
      <c r="N77" s="337" t="str">
        <f t="shared" si="20"/>
        <v/>
      </c>
    </row>
    <row r="78" spans="5:14" ht="14.25">
      <c r="E78" s="295"/>
      <c r="F78" s="295"/>
      <c r="M78" s="370"/>
    </row>
    <row r="79" spans="5:14" ht="14.25">
      <c r="E79" s="295"/>
      <c r="F79" s="295"/>
      <c r="M79" s="370"/>
    </row>
    <row r="80" spans="5:14" ht="14.25">
      <c r="E80" s="295"/>
      <c r="F80" s="295"/>
      <c r="M80" s="370"/>
    </row>
    <row r="81" spans="5:13" ht="14.25">
      <c r="E81" s="295"/>
      <c r="F81" s="295"/>
      <c r="M81" s="370"/>
    </row>
    <row r="82" spans="5:13" ht="14.25">
      <c r="E82" s="295"/>
      <c r="F82" s="295"/>
      <c r="M82" s="370"/>
    </row>
    <row r="83" spans="5:13" ht="14.25">
      <c r="E83" s="295"/>
      <c r="F83" s="295"/>
      <c r="M83" s="370"/>
    </row>
    <row r="84" spans="5:13" ht="14.25">
      <c r="E84" s="295"/>
      <c r="F84" s="295"/>
      <c r="M84" s="370"/>
    </row>
    <row r="85" spans="5:13" ht="14.25">
      <c r="E85" s="295"/>
      <c r="F85" s="295"/>
      <c r="M85" s="370"/>
    </row>
    <row r="86" spans="5:13" ht="14.25">
      <c r="E86" s="295"/>
      <c r="F86" s="295"/>
      <c r="M86" s="370"/>
    </row>
    <row r="87" spans="5:13" ht="14.25">
      <c r="E87" s="295"/>
      <c r="F87" s="295"/>
      <c r="M87" s="370"/>
    </row>
    <row r="88" spans="5:13" ht="14.25">
      <c r="E88" s="295"/>
      <c r="F88" s="295"/>
      <c r="M88" s="370"/>
    </row>
    <row r="89" spans="5:13" ht="14.25">
      <c r="E89" s="295"/>
      <c r="F89" s="295"/>
      <c r="M89" s="370"/>
    </row>
    <row r="90" spans="5:13" ht="14.25">
      <c r="E90" s="295"/>
      <c r="F90" s="295"/>
      <c r="M90" s="370"/>
    </row>
    <row r="91" spans="5:13">
      <c r="F91" s="295"/>
    </row>
    <row r="92" spans="5:13">
      <c r="F92" s="295"/>
    </row>
    <row r="93" spans="5:13">
      <c r="F93" s="295"/>
    </row>
    <row r="94" spans="5:13">
      <c r="F94" s="295"/>
    </row>
    <row r="95" spans="5:13">
      <c r="F95" s="295"/>
    </row>
    <row r="96" spans="5:13">
      <c r="F96" s="295"/>
    </row>
  </sheetData>
  <mergeCells count="12">
    <mergeCell ref="N4:N5"/>
    <mergeCell ref="G4:G5"/>
    <mergeCell ref="B2:G2"/>
    <mergeCell ref="B4:B5"/>
    <mergeCell ref="C4:C5"/>
    <mergeCell ref="D4:D5"/>
    <mergeCell ref="F4:F5"/>
    <mergeCell ref="E4:E5"/>
    <mergeCell ref="K4:M4"/>
    <mergeCell ref="H4:H5"/>
    <mergeCell ref="I4:I5"/>
    <mergeCell ref="J4:J5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2"/>
  <dimension ref="A1:P96"/>
  <sheetViews>
    <sheetView zoomScaleNormal="100" zoomScaleSheetLayoutView="100" workbookViewId="0">
      <selection activeCell="K10" sqref="K10"/>
    </sheetView>
  </sheetViews>
  <sheetFormatPr defaultRowHeight="12.75"/>
  <cols>
    <col min="1" max="1" width="9.140625" style="272"/>
    <col min="2" max="2" width="4.7109375" style="9" customWidth="1"/>
    <col min="3" max="3" width="5.140625" style="9" customWidth="1"/>
    <col min="4" max="4" width="5" style="9" customWidth="1"/>
    <col min="5" max="5" width="8.7109375" style="17" customWidth="1"/>
    <col min="6" max="6" width="8.7109375" style="277" customWidth="1"/>
    <col min="7" max="7" width="50.7109375" style="9" customWidth="1"/>
    <col min="8" max="8" width="14.7109375" style="510" customWidth="1"/>
    <col min="9" max="9" width="14.7109375" style="272" customWidth="1"/>
    <col min="10" max="10" width="15.7109375" style="510" customWidth="1"/>
    <col min="11" max="12" width="14.7109375" style="272" customWidth="1"/>
    <col min="13" max="13" width="15.7109375" style="272" customWidth="1"/>
    <col min="14" max="14" width="7.7109375" style="337" customWidth="1"/>
    <col min="15" max="16384" width="9.140625" style="9"/>
  </cols>
  <sheetData>
    <row r="1" spans="1:16" ht="13.5" thickBot="1"/>
    <row r="2" spans="1:16" s="93" customFormat="1" ht="20.100000000000001" customHeight="1" thickTop="1" thickBot="1">
      <c r="A2" s="363"/>
      <c r="B2" s="725" t="s">
        <v>140</v>
      </c>
      <c r="C2" s="726"/>
      <c r="D2" s="726"/>
      <c r="E2" s="726"/>
      <c r="F2" s="726"/>
      <c r="G2" s="726"/>
      <c r="H2" s="726"/>
      <c r="I2" s="726"/>
      <c r="J2" s="726"/>
      <c r="K2" s="487"/>
      <c r="L2" s="487"/>
      <c r="M2" s="487"/>
      <c r="N2" s="366"/>
    </row>
    <row r="3" spans="1:16" s="1" customFormat="1" ht="8.1" customHeight="1" thickTop="1" thickBot="1">
      <c r="A3" s="269"/>
      <c r="E3" s="2"/>
      <c r="F3" s="270"/>
      <c r="G3" s="488"/>
      <c r="H3" s="511"/>
      <c r="I3" s="87"/>
      <c r="J3" s="511"/>
      <c r="K3" s="87"/>
      <c r="L3" s="87"/>
      <c r="M3" s="87"/>
      <c r="N3" s="331"/>
    </row>
    <row r="4" spans="1:16" s="1" customFormat="1" ht="39" customHeight="1">
      <c r="A4" s="269"/>
      <c r="B4" s="728" t="s">
        <v>78</v>
      </c>
      <c r="C4" s="746" t="s">
        <v>79</v>
      </c>
      <c r="D4" s="747" t="s">
        <v>110</v>
      </c>
      <c r="E4" s="748" t="s">
        <v>594</v>
      </c>
      <c r="F4" s="733" t="s">
        <v>650</v>
      </c>
      <c r="G4" s="734" t="s">
        <v>80</v>
      </c>
      <c r="H4" s="740" t="s">
        <v>644</v>
      </c>
      <c r="I4" s="742" t="s">
        <v>821</v>
      </c>
      <c r="J4" s="744" t="s">
        <v>822</v>
      </c>
      <c r="K4" s="749" t="s">
        <v>863</v>
      </c>
      <c r="L4" s="738"/>
      <c r="M4" s="739"/>
      <c r="N4" s="735" t="s">
        <v>823</v>
      </c>
    </row>
    <row r="5" spans="1:16" s="269" customFormat="1" ht="27" customHeight="1">
      <c r="B5" s="729"/>
      <c r="C5" s="731"/>
      <c r="D5" s="731"/>
      <c r="E5" s="722"/>
      <c r="F5" s="731"/>
      <c r="G5" s="722"/>
      <c r="H5" s="741"/>
      <c r="I5" s="743"/>
      <c r="J5" s="745"/>
      <c r="K5" s="540" t="s">
        <v>701</v>
      </c>
      <c r="L5" s="359" t="s">
        <v>702</v>
      </c>
      <c r="M5" s="541" t="s">
        <v>413</v>
      </c>
      <c r="N5" s="736"/>
    </row>
    <row r="6" spans="1:16" s="2" customFormat="1" ht="12.95" customHeight="1">
      <c r="A6" s="270"/>
      <c r="B6" s="464">
        <v>1</v>
      </c>
      <c r="C6" s="318">
        <v>2</v>
      </c>
      <c r="D6" s="318">
        <v>3</v>
      </c>
      <c r="E6" s="318">
        <v>4</v>
      </c>
      <c r="F6" s="318">
        <v>5</v>
      </c>
      <c r="G6" s="318">
        <v>6</v>
      </c>
      <c r="H6" s="512">
        <v>7</v>
      </c>
      <c r="I6" s="318">
        <v>8</v>
      </c>
      <c r="J6" s="561">
        <v>9</v>
      </c>
      <c r="K6" s="464">
        <v>10</v>
      </c>
      <c r="L6" s="318">
        <v>11</v>
      </c>
      <c r="M6" s="542" t="s">
        <v>703</v>
      </c>
      <c r="N6" s="465">
        <v>13</v>
      </c>
    </row>
    <row r="7" spans="1:16" s="2" customFormat="1" ht="12.95" customHeight="1">
      <c r="A7" s="270"/>
      <c r="B7" s="6" t="s">
        <v>141</v>
      </c>
      <c r="C7" s="7" t="s">
        <v>81</v>
      </c>
      <c r="D7" s="7" t="s">
        <v>82</v>
      </c>
      <c r="E7" s="5"/>
      <c r="F7" s="271"/>
      <c r="G7" s="5"/>
      <c r="H7" s="513"/>
      <c r="I7" s="271"/>
      <c r="J7" s="568"/>
      <c r="K7" s="4"/>
      <c r="L7" s="271"/>
      <c r="M7" s="570"/>
      <c r="N7" s="332"/>
    </row>
    <row r="8" spans="1:16" s="1" customFormat="1" ht="12.95" customHeight="1">
      <c r="A8" s="269"/>
      <c r="B8" s="12"/>
      <c r="C8" s="8"/>
      <c r="D8" s="8"/>
      <c r="E8" s="292">
        <v>611000</v>
      </c>
      <c r="F8" s="318"/>
      <c r="G8" s="8" t="s">
        <v>163</v>
      </c>
      <c r="H8" s="514">
        <f t="shared" ref="H8:I8" si="0">SUM(H9:H12)</f>
        <v>608050</v>
      </c>
      <c r="I8" s="514">
        <f t="shared" si="0"/>
        <v>608050</v>
      </c>
      <c r="J8" s="563">
        <v>441334</v>
      </c>
      <c r="K8" s="545">
        <f t="shared" ref="K8:M8" si="1">SUM(K9:K12)</f>
        <v>604590</v>
      </c>
      <c r="L8" s="201">
        <f t="shared" si="1"/>
        <v>0</v>
      </c>
      <c r="M8" s="546">
        <f t="shared" si="1"/>
        <v>604590</v>
      </c>
      <c r="N8" s="333">
        <f>IF(I8=0,"",M8/I8*100)</f>
        <v>99.430967848038804</v>
      </c>
    </row>
    <row r="9" spans="1:16" ht="12.95" customHeight="1">
      <c r="B9" s="10"/>
      <c r="C9" s="11"/>
      <c r="D9" s="11"/>
      <c r="E9" s="293">
        <v>611100</v>
      </c>
      <c r="F9" s="319"/>
      <c r="G9" s="18" t="s">
        <v>198</v>
      </c>
      <c r="H9" s="515">
        <v>512370</v>
      </c>
      <c r="I9" s="515">
        <v>512370</v>
      </c>
      <c r="J9" s="564">
        <v>365207</v>
      </c>
      <c r="K9" s="549">
        <f>493190+2500</f>
        <v>495690</v>
      </c>
      <c r="L9" s="200">
        <v>0</v>
      </c>
      <c r="M9" s="548">
        <f>SUM(K9:L9)</f>
        <v>495690</v>
      </c>
      <c r="N9" s="334">
        <f t="shared" ref="N9:N72" si="2">IF(I9=0,"",M9/I9*100)</f>
        <v>96.744540078458925</v>
      </c>
    </row>
    <row r="10" spans="1:16" ht="12.95" customHeight="1">
      <c r="B10" s="10"/>
      <c r="C10" s="11"/>
      <c r="D10" s="11"/>
      <c r="E10" s="293">
        <v>611200</v>
      </c>
      <c r="F10" s="319"/>
      <c r="G10" s="11" t="s">
        <v>199</v>
      </c>
      <c r="H10" s="515">
        <v>95680</v>
      </c>
      <c r="I10" s="515">
        <v>95680</v>
      </c>
      <c r="J10" s="564">
        <v>76127</v>
      </c>
      <c r="K10" s="596">
        <f>101700+1200+24*250</f>
        <v>108900</v>
      </c>
      <c r="L10" s="204">
        <v>0</v>
      </c>
      <c r="M10" s="548">
        <f t="shared" ref="M10:M11" si="3">SUM(K10:L10)</f>
        <v>108900</v>
      </c>
      <c r="N10" s="334">
        <f t="shared" si="2"/>
        <v>113.81688963210703</v>
      </c>
    </row>
    <row r="11" spans="1:16" ht="12.95" customHeight="1">
      <c r="B11" s="10"/>
      <c r="C11" s="11"/>
      <c r="D11" s="11"/>
      <c r="E11" s="293">
        <v>611200</v>
      </c>
      <c r="F11" s="319"/>
      <c r="G11" s="180" t="s">
        <v>534</v>
      </c>
      <c r="H11" s="515">
        <f t="shared" ref="H11:I11" si="4">SUM(F11:G11)</f>
        <v>0</v>
      </c>
      <c r="I11" s="515">
        <f t="shared" si="4"/>
        <v>0</v>
      </c>
      <c r="J11" s="564">
        <v>0</v>
      </c>
      <c r="K11" s="549">
        <v>0</v>
      </c>
      <c r="L11" s="200">
        <v>0</v>
      </c>
      <c r="M11" s="548">
        <f t="shared" si="3"/>
        <v>0</v>
      </c>
      <c r="N11" s="334" t="str">
        <f t="shared" si="2"/>
        <v/>
      </c>
      <c r="P11" s="53"/>
    </row>
    <row r="12" spans="1:16" ht="12.95" customHeight="1">
      <c r="B12" s="10"/>
      <c r="C12" s="11"/>
      <c r="D12" s="11"/>
      <c r="E12" s="293"/>
      <c r="F12" s="319"/>
      <c r="G12" s="18"/>
      <c r="H12" s="515"/>
      <c r="I12" s="515"/>
      <c r="J12" s="564"/>
      <c r="K12" s="549"/>
      <c r="L12" s="200"/>
      <c r="M12" s="548"/>
      <c r="N12" s="334" t="str">
        <f t="shared" si="2"/>
        <v/>
      </c>
    </row>
    <row r="13" spans="1:16" s="1" customFormat="1" ht="12.95" customHeight="1">
      <c r="A13" s="269"/>
      <c r="B13" s="12"/>
      <c r="C13" s="8"/>
      <c r="D13" s="8"/>
      <c r="E13" s="292">
        <v>612000</v>
      </c>
      <c r="F13" s="318"/>
      <c r="G13" s="8" t="s">
        <v>162</v>
      </c>
      <c r="H13" s="514">
        <f t="shared" ref="H13:M13" si="5">H14</f>
        <v>54570</v>
      </c>
      <c r="I13" s="514">
        <f t="shared" si="5"/>
        <v>54570</v>
      </c>
      <c r="J13" s="563">
        <v>39904</v>
      </c>
      <c r="K13" s="545">
        <f t="shared" si="5"/>
        <v>53930</v>
      </c>
      <c r="L13" s="201">
        <f t="shared" si="5"/>
        <v>0</v>
      </c>
      <c r="M13" s="546">
        <f t="shared" si="5"/>
        <v>53930</v>
      </c>
      <c r="N13" s="333">
        <f t="shared" si="2"/>
        <v>98.827194429173531</v>
      </c>
    </row>
    <row r="14" spans="1:16" ht="12.95" customHeight="1">
      <c r="B14" s="10"/>
      <c r="C14" s="11"/>
      <c r="D14" s="11"/>
      <c r="E14" s="293">
        <v>612100</v>
      </c>
      <c r="F14" s="319"/>
      <c r="G14" s="13" t="s">
        <v>83</v>
      </c>
      <c r="H14" s="515">
        <v>54570</v>
      </c>
      <c r="I14" s="515">
        <v>54570</v>
      </c>
      <c r="J14" s="564">
        <v>39904</v>
      </c>
      <c r="K14" s="549">
        <f>53430+500</f>
        <v>53930</v>
      </c>
      <c r="L14" s="200"/>
      <c r="M14" s="548">
        <f>SUM(K14:L14)</f>
        <v>53930</v>
      </c>
      <c r="N14" s="334">
        <f t="shared" si="2"/>
        <v>98.827194429173531</v>
      </c>
    </row>
    <row r="15" spans="1:16" ht="12.95" customHeight="1">
      <c r="B15" s="10"/>
      <c r="C15" s="11"/>
      <c r="D15" s="11"/>
      <c r="E15" s="293"/>
      <c r="F15" s="319"/>
      <c r="G15" s="11"/>
      <c r="H15" s="516"/>
      <c r="I15" s="516"/>
      <c r="J15" s="566"/>
      <c r="K15" s="578"/>
      <c r="L15" s="267"/>
      <c r="M15" s="551"/>
      <c r="N15" s="334" t="str">
        <f t="shared" si="2"/>
        <v/>
      </c>
    </row>
    <row r="16" spans="1:16" s="1" customFormat="1" ht="12.95" customHeight="1">
      <c r="A16" s="269"/>
      <c r="B16" s="12"/>
      <c r="C16" s="8"/>
      <c r="D16" s="8"/>
      <c r="E16" s="292">
        <v>613000</v>
      </c>
      <c r="F16" s="318"/>
      <c r="G16" s="8" t="s">
        <v>164</v>
      </c>
      <c r="H16" s="262">
        <f t="shared" ref="H16:I16" si="6">SUM(H17:H26)</f>
        <v>82610</v>
      </c>
      <c r="I16" s="262">
        <f t="shared" si="6"/>
        <v>82610</v>
      </c>
      <c r="J16" s="565">
        <v>56881</v>
      </c>
      <c r="K16" s="552">
        <f t="shared" ref="K16:M16" si="7">SUM(K17:K26)</f>
        <v>82760</v>
      </c>
      <c r="L16" s="281">
        <f t="shared" si="7"/>
        <v>0</v>
      </c>
      <c r="M16" s="553">
        <f t="shared" si="7"/>
        <v>82760</v>
      </c>
      <c r="N16" s="333">
        <f t="shared" si="2"/>
        <v>100.18157608037768</v>
      </c>
    </row>
    <row r="17" spans="1:16" ht="12.95" customHeight="1">
      <c r="B17" s="10"/>
      <c r="C17" s="11"/>
      <c r="D17" s="11"/>
      <c r="E17" s="293">
        <v>613100</v>
      </c>
      <c r="F17" s="319"/>
      <c r="G17" s="11" t="s">
        <v>84</v>
      </c>
      <c r="H17" s="515">
        <v>10500</v>
      </c>
      <c r="I17" s="515">
        <v>10500</v>
      </c>
      <c r="J17" s="564">
        <v>5821</v>
      </c>
      <c r="K17" s="572">
        <v>10500</v>
      </c>
      <c r="L17" s="351">
        <v>0</v>
      </c>
      <c r="M17" s="548">
        <f t="shared" ref="M17:M26" si="8">SUM(K17:L17)</f>
        <v>10500</v>
      </c>
      <c r="N17" s="334">
        <f t="shared" si="2"/>
        <v>100</v>
      </c>
    </row>
    <row r="18" spans="1:16" ht="12.95" customHeight="1">
      <c r="B18" s="10"/>
      <c r="C18" s="11"/>
      <c r="D18" s="11"/>
      <c r="E18" s="293">
        <v>613200</v>
      </c>
      <c r="F18" s="319"/>
      <c r="G18" s="11" t="s">
        <v>85</v>
      </c>
      <c r="H18" s="515">
        <f t="shared" ref="H18:I26" si="9">SUM(F18:G18)</f>
        <v>0</v>
      </c>
      <c r="I18" s="515">
        <f t="shared" si="9"/>
        <v>0</v>
      </c>
      <c r="J18" s="564">
        <v>0</v>
      </c>
      <c r="K18" s="572">
        <v>0</v>
      </c>
      <c r="L18" s="351">
        <v>0</v>
      </c>
      <c r="M18" s="548">
        <f t="shared" si="8"/>
        <v>0</v>
      </c>
      <c r="N18" s="334" t="str">
        <f t="shared" si="2"/>
        <v/>
      </c>
    </row>
    <row r="19" spans="1:16" ht="12.95" customHeight="1">
      <c r="B19" s="10"/>
      <c r="C19" s="11"/>
      <c r="D19" s="11"/>
      <c r="E19" s="293">
        <v>613300</v>
      </c>
      <c r="F19" s="319"/>
      <c r="G19" s="18" t="s">
        <v>200</v>
      </c>
      <c r="H19" s="515">
        <v>5800</v>
      </c>
      <c r="I19" s="515">
        <v>5800</v>
      </c>
      <c r="J19" s="564">
        <v>3642</v>
      </c>
      <c r="K19" s="572">
        <v>5500</v>
      </c>
      <c r="L19" s="351">
        <v>0</v>
      </c>
      <c r="M19" s="548">
        <f t="shared" si="8"/>
        <v>5500</v>
      </c>
      <c r="N19" s="334">
        <f t="shared" si="2"/>
        <v>94.827586206896555</v>
      </c>
    </row>
    <row r="20" spans="1:16" ht="12.95" customHeight="1">
      <c r="B20" s="10"/>
      <c r="C20" s="11"/>
      <c r="D20" s="11"/>
      <c r="E20" s="293">
        <v>613400</v>
      </c>
      <c r="F20" s="319"/>
      <c r="G20" s="11" t="s">
        <v>165</v>
      </c>
      <c r="H20" s="515">
        <v>2100</v>
      </c>
      <c r="I20" s="515">
        <v>2100</v>
      </c>
      <c r="J20" s="564">
        <v>1591</v>
      </c>
      <c r="K20" s="572">
        <v>2500</v>
      </c>
      <c r="L20" s="351">
        <v>0</v>
      </c>
      <c r="M20" s="548">
        <f t="shared" si="8"/>
        <v>2500</v>
      </c>
      <c r="N20" s="334">
        <f t="shared" si="2"/>
        <v>119.04761904761905</v>
      </c>
    </row>
    <row r="21" spans="1:16" ht="12.95" customHeight="1">
      <c r="B21" s="10"/>
      <c r="C21" s="11"/>
      <c r="D21" s="11"/>
      <c r="E21" s="293">
        <v>613500</v>
      </c>
      <c r="F21" s="319"/>
      <c r="G21" s="11" t="s">
        <v>86</v>
      </c>
      <c r="H21" s="515">
        <v>500</v>
      </c>
      <c r="I21" s="515">
        <v>500</v>
      </c>
      <c r="J21" s="564">
        <v>94</v>
      </c>
      <c r="K21" s="572">
        <v>500</v>
      </c>
      <c r="L21" s="351">
        <v>0</v>
      </c>
      <c r="M21" s="548">
        <f t="shared" si="8"/>
        <v>500</v>
      </c>
      <c r="N21" s="334">
        <f t="shared" si="2"/>
        <v>100</v>
      </c>
    </row>
    <row r="22" spans="1:16" ht="12.95" customHeight="1">
      <c r="B22" s="10"/>
      <c r="C22" s="11"/>
      <c r="D22" s="11"/>
      <c r="E22" s="293">
        <v>613600</v>
      </c>
      <c r="F22" s="319"/>
      <c r="G22" s="18" t="s">
        <v>201</v>
      </c>
      <c r="H22" s="515">
        <v>5500</v>
      </c>
      <c r="I22" s="515">
        <v>5500</v>
      </c>
      <c r="J22" s="564">
        <v>3336</v>
      </c>
      <c r="K22" s="572">
        <v>5050</v>
      </c>
      <c r="L22" s="351">
        <v>0</v>
      </c>
      <c r="M22" s="548">
        <f t="shared" si="8"/>
        <v>5050</v>
      </c>
      <c r="N22" s="334">
        <f t="shared" si="2"/>
        <v>91.818181818181827</v>
      </c>
    </row>
    <row r="23" spans="1:16" ht="12.95" customHeight="1">
      <c r="B23" s="10"/>
      <c r="C23" s="11"/>
      <c r="D23" s="11"/>
      <c r="E23" s="293">
        <v>613700</v>
      </c>
      <c r="F23" s="319"/>
      <c r="G23" s="11" t="s">
        <v>87</v>
      </c>
      <c r="H23" s="515">
        <v>7500</v>
      </c>
      <c r="I23" s="515">
        <v>7500</v>
      </c>
      <c r="J23" s="564">
        <v>6191</v>
      </c>
      <c r="K23" s="572">
        <v>8000</v>
      </c>
      <c r="L23" s="351">
        <v>0</v>
      </c>
      <c r="M23" s="548">
        <f t="shared" si="8"/>
        <v>8000</v>
      </c>
      <c r="N23" s="334">
        <f t="shared" si="2"/>
        <v>106.66666666666667</v>
      </c>
    </row>
    <row r="24" spans="1:16" ht="12.95" customHeight="1">
      <c r="B24" s="10"/>
      <c r="C24" s="11"/>
      <c r="D24" s="11"/>
      <c r="E24" s="293">
        <v>613800</v>
      </c>
      <c r="F24" s="319"/>
      <c r="G24" s="11" t="s">
        <v>166</v>
      </c>
      <c r="H24" s="515">
        <v>710</v>
      </c>
      <c r="I24" s="515">
        <v>710</v>
      </c>
      <c r="J24" s="564">
        <v>0</v>
      </c>
      <c r="K24" s="572">
        <v>710</v>
      </c>
      <c r="L24" s="351">
        <v>0</v>
      </c>
      <c r="M24" s="548">
        <f t="shared" si="8"/>
        <v>710</v>
      </c>
      <c r="N24" s="334">
        <f t="shared" si="2"/>
        <v>100</v>
      </c>
    </row>
    <row r="25" spans="1:16" ht="12.95" customHeight="1">
      <c r="B25" s="10"/>
      <c r="C25" s="11"/>
      <c r="D25" s="11"/>
      <c r="E25" s="293">
        <v>613900</v>
      </c>
      <c r="F25" s="319"/>
      <c r="G25" s="11" t="s">
        <v>167</v>
      </c>
      <c r="H25" s="515">
        <v>50000</v>
      </c>
      <c r="I25" s="515">
        <v>50000</v>
      </c>
      <c r="J25" s="564">
        <v>36206</v>
      </c>
      <c r="K25" s="572">
        <v>50000</v>
      </c>
      <c r="L25" s="351">
        <v>0</v>
      </c>
      <c r="M25" s="548">
        <f t="shared" si="8"/>
        <v>50000</v>
      </c>
      <c r="N25" s="334">
        <f t="shared" si="2"/>
        <v>100</v>
      </c>
      <c r="O25" s="63"/>
    </row>
    <row r="26" spans="1:16" ht="12.95" customHeight="1">
      <c r="B26" s="10"/>
      <c r="C26" s="11"/>
      <c r="D26" s="11"/>
      <c r="E26" s="293">
        <v>613900</v>
      </c>
      <c r="F26" s="319"/>
      <c r="G26" s="180" t="s">
        <v>535</v>
      </c>
      <c r="H26" s="515">
        <f t="shared" si="9"/>
        <v>0</v>
      </c>
      <c r="I26" s="515">
        <f t="shared" si="9"/>
        <v>0</v>
      </c>
      <c r="J26" s="564">
        <v>0</v>
      </c>
      <c r="K26" s="572">
        <v>0</v>
      </c>
      <c r="L26" s="351">
        <v>0</v>
      </c>
      <c r="M26" s="548">
        <f t="shared" si="8"/>
        <v>0</v>
      </c>
      <c r="N26" s="334" t="str">
        <f t="shared" si="2"/>
        <v/>
      </c>
    </row>
    <row r="27" spans="1:16" ht="12.95" customHeight="1">
      <c r="B27" s="10"/>
      <c r="C27" s="11"/>
      <c r="D27" s="11"/>
      <c r="E27" s="293"/>
      <c r="F27" s="319"/>
      <c r="G27" s="11"/>
      <c r="H27" s="262"/>
      <c r="I27" s="262"/>
      <c r="J27" s="565"/>
      <c r="K27" s="557"/>
      <c r="L27" s="282"/>
      <c r="M27" s="553"/>
      <c r="N27" s="334" t="str">
        <f t="shared" si="2"/>
        <v/>
      </c>
    </row>
    <row r="28" spans="1:16" s="1" customFormat="1" ht="12.95" customHeight="1">
      <c r="A28" s="269"/>
      <c r="B28" s="12"/>
      <c r="C28" s="8"/>
      <c r="D28" s="8"/>
      <c r="E28" s="292">
        <v>614000</v>
      </c>
      <c r="F28" s="318"/>
      <c r="G28" s="8" t="s">
        <v>202</v>
      </c>
      <c r="H28" s="262">
        <f t="shared" ref="H28:I28" si="10">SUM(H29:H32)</f>
        <v>1750000</v>
      </c>
      <c r="I28" s="262">
        <f t="shared" si="10"/>
        <v>1750000</v>
      </c>
      <c r="J28" s="565">
        <v>900823</v>
      </c>
      <c r="K28" s="557">
        <f t="shared" ref="K28" si="11">SUM(K29:K32)</f>
        <v>1186320</v>
      </c>
      <c r="L28" s="282">
        <f t="shared" ref="L28:M28" si="12">SUM(L29:L32)</f>
        <v>683680</v>
      </c>
      <c r="M28" s="553">
        <f t="shared" si="12"/>
        <v>1870000</v>
      </c>
      <c r="N28" s="333">
        <f t="shared" si="2"/>
        <v>106.85714285714285</v>
      </c>
    </row>
    <row r="29" spans="1:16" s="1" customFormat="1" ht="12.95" customHeight="1">
      <c r="A29" s="269"/>
      <c r="B29" s="12"/>
      <c r="C29" s="8"/>
      <c r="D29" s="23"/>
      <c r="E29" s="293">
        <v>614100</v>
      </c>
      <c r="F29" s="319" t="s">
        <v>677</v>
      </c>
      <c r="G29" s="13" t="s">
        <v>161</v>
      </c>
      <c r="H29" s="515">
        <v>150000</v>
      </c>
      <c r="I29" s="515">
        <v>150000</v>
      </c>
      <c r="J29" s="564">
        <v>12029</v>
      </c>
      <c r="K29" s="556">
        <v>0</v>
      </c>
      <c r="L29" s="283">
        <v>150000</v>
      </c>
      <c r="M29" s="548">
        <f t="shared" ref="M29:M32" si="13">SUM(K29:L29)</f>
        <v>150000</v>
      </c>
      <c r="N29" s="334">
        <f t="shared" si="2"/>
        <v>100</v>
      </c>
    </row>
    <row r="30" spans="1:16" ht="12.95" customHeight="1">
      <c r="B30" s="10"/>
      <c r="C30" s="11"/>
      <c r="D30" s="11"/>
      <c r="E30" s="293">
        <v>614500</v>
      </c>
      <c r="F30" s="319" t="s">
        <v>676</v>
      </c>
      <c r="G30" s="21" t="s">
        <v>391</v>
      </c>
      <c r="H30" s="515">
        <v>1100000</v>
      </c>
      <c r="I30" s="515">
        <v>1100000</v>
      </c>
      <c r="J30" s="564">
        <v>805304</v>
      </c>
      <c r="K30" s="556">
        <v>1100000</v>
      </c>
      <c r="L30" s="283">
        <v>0</v>
      </c>
      <c r="M30" s="548">
        <f t="shared" si="13"/>
        <v>1100000</v>
      </c>
      <c r="N30" s="334">
        <f t="shared" si="2"/>
        <v>100</v>
      </c>
    </row>
    <row r="31" spans="1:16" ht="12.95" customHeight="1">
      <c r="B31" s="10"/>
      <c r="C31" s="11"/>
      <c r="D31" s="11"/>
      <c r="E31" s="293">
        <v>614500</v>
      </c>
      <c r="F31" s="319" t="s">
        <v>678</v>
      </c>
      <c r="G31" s="21" t="s">
        <v>392</v>
      </c>
      <c r="H31" s="515">
        <v>300000</v>
      </c>
      <c r="I31" s="515">
        <v>300000</v>
      </c>
      <c r="J31" s="564">
        <v>83490</v>
      </c>
      <c r="K31" s="556">
        <f>400000-339820</f>
        <v>60180</v>
      </c>
      <c r="L31" s="283">
        <v>339820</v>
      </c>
      <c r="M31" s="548">
        <f t="shared" si="13"/>
        <v>400000</v>
      </c>
      <c r="N31" s="334">
        <f t="shared" si="2"/>
        <v>133.33333333333331</v>
      </c>
      <c r="P31" s="54"/>
    </row>
    <row r="32" spans="1:16" ht="12.95" customHeight="1">
      <c r="B32" s="10"/>
      <c r="C32" s="11"/>
      <c r="D32" s="11"/>
      <c r="E32" s="293">
        <v>614500</v>
      </c>
      <c r="F32" s="319" t="s">
        <v>679</v>
      </c>
      <c r="G32" s="21" t="s">
        <v>393</v>
      </c>
      <c r="H32" s="515">
        <v>200000</v>
      </c>
      <c r="I32" s="515">
        <v>200000</v>
      </c>
      <c r="J32" s="564">
        <v>0</v>
      </c>
      <c r="K32" s="556">
        <f>250000-193860-30000</f>
        <v>26140</v>
      </c>
      <c r="L32" s="283">
        <v>193860</v>
      </c>
      <c r="M32" s="548">
        <f t="shared" si="13"/>
        <v>220000</v>
      </c>
      <c r="N32" s="334">
        <f t="shared" si="2"/>
        <v>110.00000000000001</v>
      </c>
    </row>
    <row r="33" spans="1:14" ht="12.95" customHeight="1">
      <c r="B33" s="10"/>
      <c r="C33" s="11"/>
      <c r="D33" s="11"/>
      <c r="E33" s="293"/>
      <c r="F33" s="319"/>
      <c r="G33" s="18"/>
      <c r="H33" s="516"/>
      <c r="I33" s="516"/>
      <c r="J33" s="566"/>
      <c r="K33" s="573"/>
      <c r="L33" s="268"/>
      <c r="M33" s="551"/>
      <c r="N33" s="334" t="str">
        <f t="shared" si="2"/>
        <v/>
      </c>
    </row>
    <row r="34" spans="1:14" s="1" customFormat="1" ht="12.95" customHeight="1">
      <c r="A34" s="269"/>
      <c r="B34" s="12"/>
      <c r="C34" s="8"/>
      <c r="D34" s="8"/>
      <c r="E34" s="292">
        <v>821000</v>
      </c>
      <c r="F34" s="318"/>
      <c r="G34" s="8" t="s">
        <v>90</v>
      </c>
      <c r="H34" s="262">
        <f t="shared" ref="H34:M34" si="14">SUM(H35:H37)</f>
        <v>40000</v>
      </c>
      <c r="I34" s="262">
        <f t="shared" ref="I34" si="15">SUM(I35:I37)</f>
        <v>40000</v>
      </c>
      <c r="J34" s="565">
        <v>39169</v>
      </c>
      <c r="K34" s="557">
        <f t="shared" si="14"/>
        <v>10000</v>
      </c>
      <c r="L34" s="282">
        <f t="shared" si="14"/>
        <v>30000</v>
      </c>
      <c r="M34" s="553">
        <f t="shared" si="14"/>
        <v>40000</v>
      </c>
      <c r="N34" s="333">
        <f t="shared" si="2"/>
        <v>100</v>
      </c>
    </row>
    <row r="35" spans="1:14" ht="12.95" customHeight="1">
      <c r="B35" s="10"/>
      <c r="C35" s="11"/>
      <c r="D35" s="11"/>
      <c r="E35" s="293">
        <v>821200</v>
      </c>
      <c r="F35" s="319"/>
      <c r="G35" s="11" t="s">
        <v>91</v>
      </c>
      <c r="H35" s="516">
        <v>0</v>
      </c>
      <c r="I35" s="516">
        <v>0</v>
      </c>
      <c r="J35" s="564">
        <v>0</v>
      </c>
      <c r="K35" s="573">
        <v>0</v>
      </c>
      <c r="L35" s="268">
        <v>0</v>
      </c>
      <c r="M35" s="548">
        <f t="shared" ref="M35:M36" si="16">SUM(K35:L35)</f>
        <v>0</v>
      </c>
      <c r="N35" s="334" t="str">
        <f t="shared" si="2"/>
        <v/>
      </c>
    </row>
    <row r="36" spans="1:14" ht="12.95" customHeight="1">
      <c r="B36" s="10"/>
      <c r="C36" s="11"/>
      <c r="D36" s="11"/>
      <c r="E36" s="293">
        <v>821300</v>
      </c>
      <c r="F36" s="319"/>
      <c r="G36" s="11" t="s">
        <v>92</v>
      </c>
      <c r="H36" s="516">
        <v>40000</v>
      </c>
      <c r="I36" s="516">
        <v>40000</v>
      </c>
      <c r="J36" s="564">
        <v>39169</v>
      </c>
      <c r="K36" s="573">
        <v>10000</v>
      </c>
      <c r="L36" s="268">
        <v>30000</v>
      </c>
      <c r="M36" s="548">
        <f t="shared" si="16"/>
        <v>40000</v>
      </c>
      <c r="N36" s="334">
        <f t="shared" si="2"/>
        <v>100</v>
      </c>
    </row>
    <row r="37" spans="1:14" ht="12.95" customHeight="1">
      <c r="B37" s="10"/>
      <c r="C37" s="11"/>
      <c r="D37" s="11"/>
      <c r="E37" s="293"/>
      <c r="F37" s="319"/>
      <c r="G37" s="18"/>
      <c r="H37" s="516"/>
      <c r="I37" s="516"/>
      <c r="J37" s="566"/>
      <c r="K37" s="573"/>
      <c r="L37" s="268"/>
      <c r="M37" s="551"/>
      <c r="N37" s="334" t="str">
        <f t="shared" si="2"/>
        <v/>
      </c>
    </row>
    <row r="38" spans="1:14" s="1" customFormat="1" ht="12.95" customHeight="1">
      <c r="A38" s="269"/>
      <c r="B38" s="12"/>
      <c r="C38" s="8"/>
      <c r="D38" s="8"/>
      <c r="E38" s="292"/>
      <c r="F38" s="318"/>
      <c r="G38" s="8" t="s">
        <v>93</v>
      </c>
      <c r="H38" s="262">
        <v>24</v>
      </c>
      <c r="I38" s="262">
        <v>24</v>
      </c>
      <c r="J38" s="565">
        <v>24</v>
      </c>
      <c r="K38" s="580">
        <v>25</v>
      </c>
      <c r="L38" s="276"/>
      <c r="M38" s="553">
        <v>25</v>
      </c>
      <c r="N38" s="334"/>
    </row>
    <row r="39" spans="1:14" s="1" customFormat="1" ht="12.95" customHeight="1">
      <c r="A39" s="269"/>
      <c r="B39" s="12"/>
      <c r="C39" s="8"/>
      <c r="D39" s="8"/>
      <c r="E39" s="292"/>
      <c r="F39" s="318"/>
      <c r="G39" s="8" t="s">
        <v>113</v>
      </c>
      <c r="H39" s="262">
        <f t="shared" ref="H39:M39" si="17">H8+H13+H16+H28+H34</f>
        <v>2535230</v>
      </c>
      <c r="I39" s="276">
        <f t="shared" si="17"/>
        <v>2535230</v>
      </c>
      <c r="J39" s="565">
        <f t="shared" si="17"/>
        <v>1478111</v>
      </c>
      <c r="K39" s="558">
        <f t="shared" si="17"/>
        <v>1937600</v>
      </c>
      <c r="L39" s="276">
        <f t="shared" si="17"/>
        <v>713680</v>
      </c>
      <c r="M39" s="553">
        <f t="shared" si="17"/>
        <v>2651280</v>
      </c>
      <c r="N39" s="333">
        <f t="shared" si="2"/>
        <v>104.57749395518354</v>
      </c>
    </row>
    <row r="40" spans="1:14" s="1" customFormat="1" ht="12.95" customHeight="1">
      <c r="A40" s="269"/>
      <c r="B40" s="12"/>
      <c r="C40" s="8"/>
      <c r="D40" s="8"/>
      <c r="E40" s="292"/>
      <c r="F40" s="318"/>
      <c r="G40" s="8" t="s">
        <v>94</v>
      </c>
      <c r="H40" s="262">
        <f t="shared" ref="H40:J41" si="18">H39</f>
        <v>2535230</v>
      </c>
      <c r="I40" s="276">
        <f t="shared" si="18"/>
        <v>2535230</v>
      </c>
      <c r="J40" s="565">
        <f t="shared" si="18"/>
        <v>1478111</v>
      </c>
      <c r="K40" s="558">
        <f t="shared" ref="K40:M40" si="19">K39</f>
        <v>1937600</v>
      </c>
      <c r="L40" s="276">
        <f t="shared" si="19"/>
        <v>713680</v>
      </c>
      <c r="M40" s="553">
        <f t="shared" si="19"/>
        <v>2651280</v>
      </c>
      <c r="N40" s="333">
        <f t="shared" si="2"/>
        <v>104.57749395518354</v>
      </c>
    </row>
    <row r="41" spans="1:14" s="1" customFormat="1" ht="12.95" customHeight="1">
      <c r="A41" s="269"/>
      <c r="B41" s="12"/>
      <c r="C41" s="8"/>
      <c r="D41" s="8"/>
      <c r="E41" s="292"/>
      <c r="F41" s="318"/>
      <c r="G41" s="8" t="s">
        <v>95</v>
      </c>
      <c r="H41" s="262">
        <f t="shared" si="18"/>
        <v>2535230</v>
      </c>
      <c r="I41" s="276">
        <f t="shared" si="18"/>
        <v>2535230</v>
      </c>
      <c r="J41" s="565">
        <f t="shared" si="18"/>
        <v>1478111</v>
      </c>
      <c r="K41" s="558">
        <f t="shared" ref="K41:M41" si="20">K40</f>
        <v>1937600</v>
      </c>
      <c r="L41" s="276">
        <f t="shared" si="20"/>
        <v>713680</v>
      </c>
      <c r="M41" s="553">
        <f t="shared" si="20"/>
        <v>2651280</v>
      </c>
      <c r="N41" s="333">
        <f t="shared" si="2"/>
        <v>104.57749395518354</v>
      </c>
    </row>
    <row r="42" spans="1:14" ht="12.95" customHeight="1" thickBot="1">
      <c r="B42" s="15"/>
      <c r="C42" s="16"/>
      <c r="D42" s="16"/>
      <c r="E42" s="294"/>
      <c r="F42" s="320"/>
      <c r="G42" s="16"/>
      <c r="H42" s="518"/>
      <c r="I42" s="27"/>
      <c r="J42" s="567"/>
      <c r="K42" s="559"/>
      <c r="L42" s="27"/>
      <c r="M42" s="560"/>
      <c r="N42" s="336" t="str">
        <f t="shared" si="2"/>
        <v/>
      </c>
    </row>
    <row r="43" spans="1:14" ht="12.95" customHeight="1">
      <c r="E43" s="295"/>
      <c r="F43" s="321"/>
      <c r="M43" s="369"/>
      <c r="N43" s="337" t="str">
        <f t="shared" si="2"/>
        <v/>
      </c>
    </row>
    <row r="44" spans="1:14" ht="12.95" customHeight="1">
      <c r="B44" s="48"/>
      <c r="E44" s="295"/>
      <c r="F44" s="321"/>
      <c r="M44" s="369"/>
      <c r="N44" s="337" t="str">
        <f t="shared" si="2"/>
        <v/>
      </c>
    </row>
    <row r="45" spans="1:14" ht="12.95" customHeight="1">
      <c r="B45" s="48"/>
      <c r="E45" s="295"/>
      <c r="F45" s="321"/>
      <c r="M45" s="369"/>
      <c r="N45" s="337" t="str">
        <f t="shared" si="2"/>
        <v/>
      </c>
    </row>
    <row r="46" spans="1:14" ht="12.95" customHeight="1">
      <c r="B46" s="48"/>
      <c r="E46" s="295"/>
      <c r="F46" s="321"/>
      <c r="M46" s="369"/>
      <c r="N46" s="337" t="str">
        <f t="shared" si="2"/>
        <v/>
      </c>
    </row>
    <row r="47" spans="1:14" ht="12.95" customHeight="1">
      <c r="E47" s="295"/>
      <c r="F47" s="321"/>
      <c r="M47" s="369"/>
      <c r="N47" s="337" t="str">
        <f t="shared" si="2"/>
        <v/>
      </c>
    </row>
    <row r="48" spans="1:14" ht="12.95" customHeight="1">
      <c r="E48" s="295"/>
      <c r="F48" s="321"/>
      <c r="M48" s="369"/>
      <c r="N48" s="337" t="str">
        <f t="shared" si="2"/>
        <v/>
      </c>
    </row>
    <row r="49" spans="5:14" ht="12.95" customHeight="1">
      <c r="E49" s="295"/>
      <c r="F49" s="321"/>
      <c r="M49" s="369"/>
      <c r="N49" s="337" t="str">
        <f t="shared" si="2"/>
        <v/>
      </c>
    </row>
    <row r="50" spans="5:14" ht="12.95" customHeight="1">
      <c r="E50" s="295"/>
      <c r="F50" s="321"/>
      <c r="M50" s="369"/>
      <c r="N50" s="337" t="str">
        <f t="shared" si="2"/>
        <v/>
      </c>
    </row>
    <row r="51" spans="5:14" ht="12.95" customHeight="1">
      <c r="E51" s="295"/>
      <c r="F51" s="321"/>
      <c r="M51" s="369"/>
      <c r="N51" s="337" t="str">
        <f t="shared" si="2"/>
        <v/>
      </c>
    </row>
    <row r="52" spans="5:14" ht="12.95" customHeight="1">
      <c r="E52" s="295"/>
      <c r="F52" s="321"/>
      <c r="M52" s="369"/>
      <c r="N52" s="337" t="str">
        <f t="shared" si="2"/>
        <v/>
      </c>
    </row>
    <row r="53" spans="5:14" ht="12.95" customHeight="1">
      <c r="E53" s="295"/>
      <c r="F53" s="321"/>
      <c r="M53" s="369"/>
      <c r="N53" s="337" t="str">
        <f t="shared" si="2"/>
        <v/>
      </c>
    </row>
    <row r="54" spans="5:14" ht="12.95" customHeight="1">
      <c r="E54" s="295"/>
      <c r="F54" s="321"/>
      <c r="M54" s="369"/>
      <c r="N54" s="337" t="str">
        <f t="shared" si="2"/>
        <v/>
      </c>
    </row>
    <row r="55" spans="5:14" ht="12.95" customHeight="1">
      <c r="E55" s="295"/>
      <c r="F55" s="321"/>
      <c r="M55" s="369"/>
      <c r="N55" s="337" t="str">
        <f t="shared" si="2"/>
        <v/>
      </c>
    </row>
    <row r="56" spans="5:14" ht="12.95" customHeight="1">
      <c r="E56" s="295"/>
      <c r="F56" s="321"/>
      <c r="M56" s="369"/>
      <c r="N56" s="337" t="str">
        <f t="shared" si="2"/>
        <v/>
      </c>
    </row>
    <row r="57" spans="5:14" ht="12.95" customHeight="1">
      <c r="E57" s="295"/>
      <c r="F57" s="321"/>
      <c r="M57" s="369"/>
      <c r="N57" s="337" t="str">
        <f t="shared" si="2"/>
        <v/>
      </c>
    </row>
    <row r="58" spans="5:14" ht="12.95" customHeight="1">
      <c r="E58" s="295"/>
      <c r="F58" s="321"/>
      <c r="M58" s="369"/>
      <c r="N58" s="337" t="str">
        <f t="shared" si="2"/>
        <v/>
      </c>
    </row>
    <row r="59" spans="5:14" ht="12.95" customHeight="1">
      <c r="E59" s="295"/>
      <c r="F59" s="321"/>
      <c r="M59" s="369"/>
      <c r="N59" s="337" t="str">
        <f t="shared" si="2"/>
        <v/>
      </c>
    </row>
    <row r="60" spans="5:14" ht="17.100000000000001" customHeight="1">
      <c r="E60" s="295"/>
      <c r="F60" s="321"/>
      <c r="M60" s="369"/>
      <c r="N60" s="337" t="str">
        <f t="shared" si="2"/>
        <v/>
      </c>
    </row>
    <row r="61" spans="5:14" ht="14.25">
      <c r="E61" s="295"/>
      <c r="F61" s="321"/>
      <c r="M61" s="369"/>
      <c r="N61" s="337" t="str">
        <f t="shared" si="2"/>
        <v/>
      </c>
    </row>
    <row r="62" spans="5:14" ht="14.25">
      <c r="E62" s="295"/>
      <c r="F62" s="321"/>
      <c r="M62" s="369"/>
      <c r="N62" s="337" t="str">
        <f t="shared" si="2"/>
        <v/>
      </c>
    </row>
    <row r="63" spans="5:14" ht="14.25">
      <c r="E63" s="295"/>
      <c r="F63" s="321"/>
      <c r="M63" s="369"/>
      <c r="N63" s="337" t="str">
        <f t="shared" si="2"/>
        <v/>
      </c>
    </row>
    <row r="64" spans="5:14" ht="14.25">
      <c r="E64" s="295"/>
      <c r="F64" s="321"/>
      <c r="M64" s="369"/>
      <c r="N64" s="337" t="str">
        <f t="shared" si="2"/>
        <v/>
      </c>
    </row>
    <row r="65" spans="5:14" ht="14.25">
      <c r="E65" s="295"/>
      <c r="F65" s="321"/>
      <c r="M65" s="369"/>
      <c r="N65" s="337" t="str">
        <f t="shared" si="2"/>
        <v/>
      </c>
    </row>
    <row r="66" spans="5:14" ht="14.25">
      <c r="E66" s="295"/>
      <c r="F66" s="321"/>
      <c r="M66" s="369"/>
      <c r="N66" s="337" t="str">
        <f t="shared" si="2"/>
        <v/>
      </c>
    </row>
    <row r="67" spans="5:14" ht="14.25">
      <c r="E67" s="295"/>
      <c r="F67" s="321"/>
      <c r="M67" s="369"/>
      <c r="N67" s="337" t="str">
        <f t="shared" si="2"/>
        <v/>
      </c>
    </row>
    <row r="68" spans="5:14" ht="14.25">
      <c r="E68" s="295"/>
      <c r="F68" s="321"/>
      <c r="M68" s="369"/>
      <c r="N68" s="337" t="str">
        <f t="shared" si="2"/>
        <v/>
      </c>
    </row>
    <row r="69" spans="5:14" ht="14.25">
      <c r="E69" s="295"/>
      <c r="F69" s="321"/>
      <c r="M69" s="369"/>
      <c r="N69" s="337" t="str">
        <f t="shared" si="2"/>
        <v/>
      </c>
    </row>
    <row r="70" spans="5:14" ht="14.25">
      <c r="E70" s="295"/>
      <c r="F70" s="321"/>
      <c r="M70" s="369"/>
      <c r="N70" s="337" t="str">
        <f t="shared" si="2"/>
        <v/>
      </c>
    </row>
    <row r="71" spans="5:14" ht="14.25">
      <c r="E71" s="295"/>
      <c r="F71" s="321"/>
      <c r="M71" s="369"/>
      <c r="N71" s="337" t="str">
        <f t="shared" si="2"/>
        <v/>
      </c>
    </row>
    <row r="72" spans="5:14" ht="14.25">
      <c r="E72" s="295"/>
      <c r="F72" s="321"/>
      <c r="M72" s="369"/>
      <c r="N72" s="337" t="str">
        <f t="shared" si="2"/>
        <v/>
      </c>
    </row>
    <row r="73" spans="5:14" ht="14.25">
      <c r="E73" s="295"/>
      <c r="F73" s="321"/>
      <c r="M73" s="369"/>
      <c r="N73" s="337" t="str">
        <f t="shared" ref="N73:N77" si="21">IF(I73=0,"",M73/I73*100)</f>
        <v/>
      </c>
    </row>
    <row r="74" spans="5:14" ht="14.25">
      <c r="E74" s="295"/>
      <c r="F74" s="295"/>
      <c r="M74" s="369"/>
      <c r="N74" s="337" t="str">
        <f t="shared" si="21"/>
        <v/>
      </c>
    </row>
    <row r="75" spans="5:14" ht="14.25">
      <c r="E75" s="295"/>
      <c r="F75" s="295"/>
      <c r="M75" s="369"/>
      <c r="N75" s="337" t="str">
        <f t="shared" si="21"/>
        <v/>
      </c>
    </row>
    <row r="76" spans="5:14" ht="14.25">
      <c r="E76" s="295"/>
      <c r="F76" s="295"/>
      <c r="M76" s="369"/>
      <c r="N76" s="337" t="str">
        <f t="shared" si="21"/>
        <v/>
      </c>
    </row>
    <row r="77" spans="5:14" ht="14.25">
      <c r="E77" s="295"/>
      <c r="F77" s="295"/>
      <c r="M77" s="369"/>
      <c r="N77" s="337" t="str">
        <f t="shared" si="21"/>
        <v/>
      </c>
    </row>
    <row r="78" spans="5:14" ht="14.25">
      <c r="E78" s="295"/>
      <c r="F78" s="295"/>
      <c r="M78" s="369"/>
    </row>
    <row r="79" spans="5:14" ht="14.25">
      <c r="E79" s="295"/>
      <c r="F79" s="295"/>
      <c r="M79" s="369"/>
    </row>
    <row r="80" spans="5:14" ht="14.25">
      <c r="E80" s="295"/>
      <c r="F80" s="295"/>
      <c r="M80" s="369"/>
    </row>
    <row r="81" spans="5:13" ht="14.25">
      <c r="E81" s="295"/>
      <c r="F81" s="295"/>
      <c r="M81" s="369"/>
    </row>
    <row r="82" spans="5:13" ht="14.25">
      <c r="E82" s="295"/>
      <c r="F82" s="295"/>
      <c r="M82" s="369"/>
    </row>
    <row r="83" spans="5:13" ht="14.25">
      <c r="E83" s="295"/>
      <c r="F83" s="295"/>
      <c r="M83" s="369"/>
    </row>
    <row r="84" spans="5:13" ht="14.25">
      <c r="E84" s="295"/>
      <c r="F84" s="295"/>
      <c r="M84" s="369"/>
    </row>
    <row r="85" spans="5:13" ht="14.25">
      <c r="E85" s="295"/>
      <c r="F85" s="295"/>
      <c r="M85" s="369"/>
    </row>
    <row r="86" spans="5:13" ht="14.25">
      <c r="E86" s="295"/>
      <c r="F86" s="295"/>
      <c r="M86" s="369"/>
    </row>
    <row r="87" spans="5:13" ht="14.25">
      <c r="E87" s="295"/>
      <c r="F87" s="295"/>
      <c r="M87" s="369"/>
    </row>
    <row r="88" spans="5:13" ht="14.25">
      <c r="E88" s="295"/>
      <c r="F88" s="295"/>
      <c r="M88" s="369"/>
    </row>
    <row r="89" spans="5:13" ht="14.25">
      <c r="E89" s="295"/>
      <c r="F89" s="295"/>
      <c r="M89" s="369"/>
    </row>
    <row r="90" spans="5:13" ht="14.25">
      <c r="E90" s="295"/>
      <c r="F90" s="295"/>
      <c r="M90" s="369"/>
    </row>
    <row r="91" spans="5:13">
      <c r="F91" s="295"/>
    </row>
    <row r="92" spans="5:13">
      <c r="F92" s="295"/>
    </row>
    <row r="93" spans="5:13">
      <c r="F93" s="295"/>
    </row>
    <row r="94" spans="5:13">
      <c r="F94" s="295"/>
    </row>
    <row r="95" spans="5:13">
      <c r="F95" s="295"/>
    </row>
    <row r="96" spans="5:13">
      <c r="F96" s="295"/>
    </row>
  </sheetData>
  <mergeCells count="12">
    <mergeCell ref="N4:N5"/>
    <mergeCell ref="G4:G5"/>
    <mergeCell ref="B2:J2"/>
    <mergeCell ref="B4:B5"/>
    <mergeCell ref="C4:C5"/>
    <mergeCell ref="D4:D5"/>
    <mergeCell ref="F4:F5"/>
    <mergeCell ref="E4:E5"/>
    <mergeCell ref="K4:M4"/>
    <mergeCell ref="H4:H5"/>
    <mergeCell ref="I4:I5"/>
    <mergeCell ref="J4:J5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3"/>
  <dimension ref="A1:P93"/>
  <sheetViews>
    <sheetView topLeftCell="A10" zoomScaleNormal="100" zoomScaleSheetLayoutView="100" workbookViewId="0">
      <selection activeCell="Q37" sqref="Q37"/>
    </sheetView>
  </sheetViews>
  <sheetFormatPr defaultRowHeight="12.75"/>
  <cols>
    <col min="1" max="1" width="9.140625" style="272"/>
    <col min="2" max="2" width="4.7109375" style="9" customWidth="1"/>
    <col min="3" max="3" width="5.140625" style="9" customWidth="1"/>
    <col min="4" max="4" width="5" style="9" customWidth="1"/>
    <col min="5" max="5" width="8.7109375" style="17" customWidth="1"/>
    <col min="6" max="6" width="8.7109375" style="277" customWidth="1"/>
    <col min="7" max="7" width="50.7109375" style="9" customWidth="1"/>
    <col min="8" max="8" width="14.7109375" style="510" customWidth="1"/>
    <col min="9" max="9" width="14.7109375" style="272" customWidth="1"/>
    <col min="10" max="10" width="15.7109375" style="510" customWidth="1"/>
    <col min="11" max="12" width="14.7109375" style="272" customWidth="1"/>
    <col min="13" max="13" width="15.7109375" style="272" customWidth="1"/>
    <col min="14" max="14" width="7.7109375" style="337" customWidth="1"/>
    <col min="15" max="16384" width="9.140625" style="9"/>
  </cols>
  <sheetData>
    <row r="1" spans="1:16" ht="13.5" thickBot="1"/>
    <row r="2" spans="1:16" s="93" customFormat="1" ht="20.100000000000001" customHeight="1" thickTop="1" thickBot="1">
      <c r="A2" s="363"/>
      <c r="B2" s="725" t="s">
        <v>142</v>
      </c>
      <c r="C2" s="726"/>
      <c r="D2" s="726"/>
      <c r="E2" s="726"/>
      <c r="F2" s="726"/>
      <c r="G2" s="726"/>
      <c r="H2" s="509"/>
      <c r="I2" s="365"/>
      <c r="J2" s="509"/>
      <c r="K2" s="365"/>
      <c r="L2" s="365"/>
      <c r="M2" s="365"/>
      <c r="N2" s="367"/>
    </row>
    <row r="3" spans="1:16" s="1" customFormat="1" ht="8.1" customHeight="1" thickTop="1" thickBot="1">
      <c r="A3" s="269"/>
      <c r="E3" s="2"/>
      <c r="F3" s="270"/>
      <c r="G3" s="488"/>
      <c r="H3" s="511"/>
      <c r="I3" s="87"/>
      <c r="J3" s="511"/>
      <c r="K3" s="87"/>
      <c r="L3" s="87"/>
      <c r="M3" s="87"/>
      <c r="N3" s="331"/>
    </row>
    <row r="4" spans="1:16" s="1" customFormat="1" ht="39" customHeight="1">
      <c r="A4" s="269"/>
      <c r="B4" s="728" t="s">
        <v>78</v>
      </c>
      <c r="C4" s="746" t="s">
        <v>79</v>
      </c>
      <c r="D4" s="747" t="s">
        <v>110</v>
      </c>
      <c r="E4" s="748" t="s">
        <v>594</v>
      </c>
      <c r="F4" s="733" t="s">
        <v>650</v>
      </c>
      <c r="G4" s="734" t="s">
        <v>80</v>
      </c>
      <c r="H4" s="740" t="s">
        <v>644</v>
      </c>
      <c r="I4" s="742" t="s">
        <v>821</v>
      </c>
      <c r="J4" s="744" t="s">
        <v>822</v>
      </c>
      <c r="K4" s="749" t="s">
        <v>863</v>
      </c>
      <c r="L4" s="738"/>
      <c r="M4" s="739"/>
      <c r="N4" s="735" t="s">
        <v>823</v>
      </c>
    </row>
    <row r="5" spans="1:16" s="269" customFormat="1" ht="27" customHeight="1">
      <c r="B5" s="729"/>
      <c r="C5" s="731"/>
      <c r="D5" s="731"/>
      <c r="E5" s="722"/>
      <c r="F5" s="731"/>
      <c r="G5" s="722"/>
      <c r="H5" s="741"/>
      <c r="I5" s="743"/>
      <c r="J5" s="745"/>
      <c r="K5" s="540" t="s">
        <v>701</v>
      </c>
      <c r="L5" s="359" t="s">
        <v>702</v>
      </c>
      <c r="M5" s="541" t="s">
        <v>413</v>
      </c>
      <c r="N5" s="736"/>
    </row>
    <row r="6" spans="1:16" s="482" customFormat="1" ht="11.1" customHeight="1">
      <c r="B6" s="464">
        <v>1</v>
      </c>
      <c r="C6" s="318">
        <v>2</v>
      </c>
      <c r="D6" s="318">
        <v>3</v>
      </c>
      <c r="E6" s="318">
        <v>4</v>
      </c>
      <c r="F6" s="318">
        <v>5</v>
      </c>
      <c r="G6" s="318">
        <v>6</v>
      </c>
      <c r="H6" s="512">
        <v>7</v>
      </c>
      <c r="I6" s="318">
        <v>8</v>
      </c>
      <c r="J6" s="561">
        <v>9</v>
      </c>
      <c r="K6" s="464">
        <v>10</v>
      </c>
      <c r="L6" s="318">
        <v>11</v>
      </c>
      <c r="M6" s="542" t="s">
        <v>703</v>
      </c>
      <c r="N6" s="465">
        <v>13</v>
      </c>
    </row>
    <row r="7" spans="1:16" s="2" customFormat="1" ht="12.95" customHeight="1">
      <c r="A7" s="270"/>
      <c r="B7" s="6" t="s">
        <v>143</v>
      </c>
      <c r="C7" s="7" t="s">
        <v>81</v>
      </c>
      <c r="D7" s="7" t="s">
        <v>82</v>
      </c>
      <c r="E7" s="5"/>
      <c r="F7" s="271"/>
      <c r="G7" s="5"/>
      <c r="H7" s="513"/>
      <c r="I7" s="271"/>
      <c r="J7" s="568"/>
      <c r="K7" s="4"/>
      <c r="L7" s="271"/>
      <c r="M7" s="570"/>
      <c r="N7" s="332"/>
    </row>
    <row r="8" spans="1:16" s="1" customFormat="1" ht="12.95" customHeight="1">
      <c r="A8" s="269"/>
      <c r="B8" s="12"/>
      <c r="C8" s="8"/>
      <c r="D8" s="8"/>
      <c r="E8" s="292">
        <v>611000</v>
      </c>
      <c r="F8" s="318"/>
      <c r="G8" s="8" t="s">
        <v>163</v>
      </c>
      <c r="H8" s="514">
        <f t="shared" ref="H8:I8" si="0">SUM(H9:H12)</f>
        <v>301600</v>
      </c>
      <c r="I8" s="514">
        <f t="shared" si="0"/>
        <v>301600</v>
      </c>
      <c r="J8" s="563">
        <v>227188</v>
      </c>
      <c r="K8" s="590">
        <f t="shared" ref="K8:M8" si="1">SUM(K9:K12)</f>
        <v>306640</v>
      </c>
      <c r="L8" s="212">
        <f t="shared" si="1"/>
        <v>0</v>
      </c>
      <c r="M8" s="546">
        <f t="shared" si="1"/>
        <v>306640</v>
      </c>
      <c r="N8" s="333">
        <f>IF(I8=0,"",M8/I8*100)</f>
        <v>101.67108753315649</v>
      </c>
    </row>
    <row r="9" spans="1:16" ht="12.95" customHeight="1">
      <c r="B9" s="10"/>
      <c r="C9" s="11"/>
      <c r="D9" s="11"/>
      <c r="E9" s="293">
        <v>611100</v>
      </c>
      <c r="F9" s="319"/>
      <c r="G9" s="18" t="s">
        <v>198</v>
      </c>
      <c r="H9" s="515">
        <v>259500</v>
      </c>
      <c r="I9" s="515">
        <v>259500</v>
      </c>
      <c r="J9" s="564">
        <v>195306</v>
      </c>
      <c r="K9" s="591">
        <f>260760+1000</f>
        <v>261760</v>
      </c>
      <c r="L9" s="214">
        <v>0</v>
      </c>
      <c r="M9" s="548">
        <f>SUM(K9:L9)</f>
        <v>261760</v>
      </c>
      <c r="N9" s="334">
        <f t="shared" ref="N9:N72" si="2">IF(I9=0,"",M9/I9*100)</f>
        <v>100.8709055876686</v>
      </c>
    </row>
    <row r="10" spans="1:16" ht="12.95" customHeight="1">
      <c r="B10" s="10"/>
      <c r="C10" s="11"/>
      <c r="D10" s="11"/>
      <c r="E10" s="293">
        <v>611200</v>
      </c>
      <c r="F10" s="319"/>
      <c r="G10" s="11" t="s">
        <v>199</v>
      </c>
      <c r="H10" s="515">
        <v>42100</v>
      </c>
      <c r="I10" s="515">
        <v>42100</v>
      </c>
      <c r="J10" s="564">
        <v>31882</v>
      </c>
      <c r="K10" s="591">
        <f>41530+600+11*250</f>
        <v>44880</v>
      </c>
      <c r="L10" s="214">
        <v>0</v>
      </c>
      <c r="M10" s="548">
        <f t="shared" ref="M10:M11" si="3">SUM(K10:L10)</f>
        <v>44880</v>
      </c>
      <c r="N10" s="334">
        <f t="shared" si="2"/>
        <v>106.60332541567696</v>
      </c>
      <c r="P10" s="54"/>
    </row>
    <row r="11" spans="1:16" ht="12.95" customHeight="1">
      <c r="B11" s="10"/>
      <c r="C11" s="11"/>
      <c r="D11" s="11"/>
      <c r="E11" s="293">
        <v>611200</v>
      </c>
      <c r="F11" s="319"/>
      <c r="G11" s="180" t="s">
        <v>534</v>
      </c>
      <c r="H11" s="515">
        <f t="shared" ref="H11:I11" si="4">SUM(F11:G11)</f>
        <v>0</v>
      </c>
      <c r="I11" s="515">
        <f t="shared" si="4"/>
        <v>0</v>
      </c>
      <c r="J11" s="564">
        <v>0</v>
      </c>
      <c r="K11" s="592">
        <v>0</v>
      </c>
      <c r="L11" s="213">
        <v>0</v>
      </c>
      <c r="M11" s="548">
        <f t="shared" si="3"/>
        <v>0</v>
      </c>
      <c r="N11" s="334" t="str">
        <f t="shared" si="2"/>
        <v/>
      </c>
      <c r="P11" s="53"/>
    </row>
    <row r="12" spans="1:16" ht="8.1" customHeight="1">
      <c r="B12" s="10"/>
      <c r="C12" s="11"/>
      <c r="D12" s="11"/>
      <c r="E12" s="293"/>
      <c r="F12" s="319"/>
      <c r="G12" s="18"/>
      <c r="H12" s="515"/>
      <c r="I12" s="515"/>
      <c r="J12" s="564"/>
      <c r="K12" s="591"/>
      <c r="L12" s="214"/>
      <c r="M12" s="548"/>
      <c r="N12" s="334" t="str">
        <f t="shared" si="2"/>
        <v/>
      </c>
    </row>
    <row r="13" spans="1:16" s="1" customFormat="1" ht="12.95" customHeight="1">
      <c r="A13" s="269"/>
      <c r="B13" s="12"/>
      <c r="C13" s="8"/>
      <c r="D13" s="8"/>
      <c r="E13" s="292">
        <v>612000</v>
      </c>
      <c r="F13" s="318"/>
      <c r="G13" s="8" t="s">
        <v>162</v>
      </c>
      <c r="H13" s="514">
        <f t="shared" ref="H13:M13" si="5">H14</f>
        <v>27660</v>
      </c>
      <c r="I13" s="514">
        <f t="shared" si="5"/>
        <v>27660</v>
      </c>
      <c r="J13" s="563">
        <v>20831</v>
      </c>
      <c r="K13" s="590">
        <f t="shared" si="5"/>
        <v>28050</v>
      </c>
      <c r="L13" s="212">
        <f t="shared" si="5"/>
        <v>0</v>
      </c>
      <c r="M13" s="546">
        <f t="shared" si="5"/>
        <v>28050</v>
      </c>
      <c r="N13" s="333">
        <f t="shared" si="2"/>
        <v>101.40997830802603</v>
      </c>
    </row>
    <row r="14" spans="1:16" ht="12.95" customHeight="1">
      <c r="B14" s="10"/>
      <c r="C14" s="11"/>
      <c r="D14" s="11"/>
      <c r="E14" s="293">
        <v>612100</v>
      </c>
      <c r="F14" s="319"/>
      <c r="G14" s="13" t="s">
        <v>83</v>
      </c>
      <c r="H14" s="515">
        <v>27660</v>
      </c>
      <c r="I14" s="515">
        <v>27660</v>
      </c>
      <c r="J14" s="564">
        <v>20831</v>
      </c>
      <c r="K14" s="591">
        <f>27750+300</f>
        <v>28050</v>
      </c>
      <c r="L14" s="214">
        <v>0</v>
      </c>
      <c r="M14" s="548">
        <f>SUM(K14:L14)</f>
        <v>28050</v>
      </c>
      <c r="N14" s="334">
        <f t="shared" si="2"/>
        <v>101.40997830802603</v>
      </c>
    </row>
    <row r="15" spans="1:16" ht="8.1" customHeight="1">
      <c r="B15" s="10"/>
      <c r="C15" s="11"/>
      <c r="D15" s="11"/>
      <c r="E15" s="293"/>
      <c r="F15" s="319"/>
      <c r="G15" s="11"/>
      <c r="H15" s="516"/>
      <c r="I15" s="516"/>
      <c r="J15" s="566"/>
      <c r="K15" s="556"/>
      <c r="L15" s="283"/>
      <c r="M15" s="551"/>
      <c r="N15" s="334" t="str">
        <f t="shared" si="2"/>
        <v/>
      </c>
    </row>
    <row r="16" spans="1:16" s="1" customFormat="1" ht="12.95" customHeight="1">
      <c r="A16" s="269"/>
      <c r="B16" s="12"/>
      <c r="C16" s="8"/>
      <c r="D16" s="8"/>
      <c r="E16" s="292">
        <v>613000</v>
      </c>
      <c r="F16" s="318"/>
      <c r="G16" s="8" t="s">
        <v>164</v>
      </c>
      <c r="H16" s="262">
        <f t="shared" ref="H16:I16" si="6">SUM(H17:H28)</f>
        <v>87900</v>
      </c>
      <c r="I16" s="262">
        <f t="shared" si="6"/>
        <v>96060</v>
      </c>
      <c r="J16" s="565">
        <v>55994</v>
      </c>
      <c r="K16" s="557">
        <f t="shared" ref="K16:M16" si="7">SUM(K17:K28)</f>
        <v>80000</v>
      </c>
      <c r="L16" s="282">
        <f t="shared" si="7"/>
        <v>8160</v>
      </c>
      <c r="M16" s="553">
        <f t="shared" si="7"/>
        <v>88160</v>
      </c>
      <c r="N16" s="333">
        <f t="shared" si="2"/>
        <v>91.775973349989599</v>
      </c>
    </row>
    <row r="17" spans="1:15" ht="12.95" customHeight="1">
      <c r="B17" s="10"/>
      <c r="C17" s="11"/>
      <c r="D17" s="11"/>
      <c r="E17" s="293">
        <v>613100</v>
      </c>
      <c r="F17" s="319"/>
      <c r="G17" s="11" t="s">
        <v>84</v>
      </c>
      <c r="H17" s="515">
        <v>4500</v>
      </c>
      <c r="I17" s="515">
        <v>4500</v>
      </c>
      <c r="J17" s="564">
        <v>3539</v>
      </c>
      <c r="K17" s="555">
        <v>4800</v>
      </c>
      <c r="L17" s="352">
        <v>0</v>
      </c>
      <c r="M17" s="548">
        <f t="shared" ref="M17:M28" si="8">SUM(K17:L17)</f>
        <v>4800</v>
      </c>
      <c r="N17" s="334">
        <f t="shared" si="2"/>
        <v>106.66666666666667</v>
      </c>
    </row>
    <row r="18" spans="1:15" ht="12.95" customHeight="1">
      <c r="B18" s="10"/>
      <c r="C18" s="11"/>
      <c r="D18" s="11"/>
      <c r="E18" s="293">
        <v>613200</v>
      </c>
      <c r="F18" s="319"/>
      <c r="G18" s="11" t="s">
        <v>85</v>
      </c>
      <c r="H18" s="515">
        <f t="shared" ref="H18:I28" si="9">SUM(F18:G18)</f>
        <v>0</v>
      </c>
      <c r="I18" s="515">
        <f t="shared" si="9"/>
        <v>0</v>
      </c>
      <c r="J18" s="564">
        <v>0</v>
      </c>
      <c r="K18" s="555">
        <v>0</v>
      </c>
      <c r="L18" s="352">
        <v>0</v>
      </c>
      <c r="M18" s="548">
        <f t="shared" si="8"/>
        <v>0</v>
      </c>
      <c r="N18" s="334" t="str">
        <f t="shared" si="2"/>
        <v/>
      </c>
    </row>
    <row r="19" spans="1:15" ht="12.95" customHeight="1">
      <c r="B19" s="10"/>
      <c r="C19" s="11"/>
      <c r="D19" s="11"/>
      <c r="E19" s="293">
        <v>613300</v>
      </c>
      <c r="F19" s="319"/>
      <c r="G19" s="18" t="s">
        <v>200</v>
      </c>
      <c r="H19" s="515">
        <v>3700</v>
      </c>
      <c r="I19" s="515">
        <v>3700</v>
      </c>
      <c r="J19" s="564">
        <v>2547</v>
      </c>
      <c r="K19" s="555">
        <v>3500</v>
      </c>
      <c r="L19" s="352">
        <v>0</v>
      </c>
      <c r="M19" s="548">
        <f t="shared" si="8"/>
        <v>3500</v>
      </c>
      <c r="N19" s="334">
        <f t="shared" si="2"/>
        <v>94.594594594594597</v>
      </c>
    </row>
    <row r="20" spans="1:15" ht="12.95" customHeight="1">
      <c r="B20" s="10"/>
      <c r="C20" s="11"/>
      <c r="D20" s="11"/>
      <c r="E20" s="293">
        <v>613400</v>
      </c>
      <c r="F20" s="319"/>
      <c r="G20" s="11" t="s">
        <v>165</v>
      </c>
      <c r="H20" s="515">
        <v>7700</v>
      </c>
      <c r="I20" s="515">
        <v>15860</v>
      </c>
      <c r="J20" s="564">
        <v>6749</v>
      </c>
      <c r="K20" s="555">
        <v>7200</v>
      </c>
      <c r="L20" s="352">
        <v>8160</v>
      </c>
      <c r="M20" s="548">
        <f t="shared" si="8"/>
        <v>15360</v>
      </c>
      <c r="N20" s="334">
        <f t="shared" si="2"/>
        <v>96.847414880201768</v>
      </c>
    </row>
    <row r="21" spans="1:15" ht="12.95" customHeight="1">
      <c r="B21" s="10"/>
      <c r="C21" s="11"/>
      <c r="D21" s="11"/>
      <c r="E21" s="293">
        <v>613500</v>
      </c>
      <c r="F21" s="319"/>
      <c r="G21" s="11" t="s">
        <v>86</v>
      </c>
      <c r="H21" s="515">
        <f t="shared" si="9"/>
        <v>0</v>
      </c>
      <c r="I21" s="515">
        <f t="shared" si="9"/>
        <v>0</v>
      </c>
      <c r="J21" s="564">
        <v>0</v>
      </c>
      <c r="K21" s="555">
        <v>0</v>
      </c>
      <c r="L21" s="352">
        <v>0</v>
      </c>
      <c r="M21" s="548">
        <f t="shared" si="8"/>
        <v>0</v>
      </c>
      <c r="N21" s="334" t="str">
        <f t="shared" si="2"/>
        <v/>
      </c>
    </row>
    <row r="22" spans="1:15" ht="12.95" customHeight="1">
      <c r="B22" s="10"/>
      <c r="C22" s="11"/>
      <c r="D22" s="11"/>
      <c r="E22" s="293">
        <v>613600</v>
      </c>
      <c r="F22" s="319"/>
      <c r="G22" s="18" t="s">
        <v>201</v>
      </c>
      <c r="H22" s="515">
        <f t="shared" si="9"/>
        <v>0</v>
      </c>
      <c r="I22" s="515">
        <f t="shared" si="9"/>
        <v>0</v>
      </c>
      <c r="J22" s="564">
        <v>0</v>
      </c>
      <c r="K22" s="555">
        <v>0</v>
      </c>
      <c r="L22" s="352">
        <v>0</v>
      </c>
      <c r="M22" s="548">
        <f t="shared" si="8"/>
        <v>0</v>
      </c>
      <c r="N22" s="334" t="str">
        <f t="shared" si="2"/>
        <v/>
      </c>
    </row>
    <row r="23" spans="1:15" ht="12.95" customHeight="1">
      <c r="B23" s="10"/>
      <c r="C23" s="11"/>
      <c r="D23" s="11"/>
      <c r="E23" s="293">
        <v>613700</v>
      </c>
      <c r="F23" s="319"/>
      <c r="G23" s="11" t="s">
        <v>87</v>
      </c>
      <c r="H23" s="515">
        <v>1000</v>
      </c>
      <c r="I23" s="515">
        <v>1000</v>
      </c>
      <c r="J23" s="564">
        <v>811</v>
      </c>
      <c r="K23" s="555">
        <v>1000</v>
      </c>
      <c r="L23" s="352">
        <v>0</v>
      </c>
      <c r="M23" s="548">
        <f t="shared" si="8"/>
        <v>1000</v>
      </c>
      <c r="N23" s="334">
        <f t="shared" si="2"/>
        <v>100</v>
      </c>
    </row>
    <row r="24" spans="1:15" ht="12.95" customHeight="1">
      <c r="B24" s="10"/>
      <c r="C24" s="11"/>
      <c r="D24" s="11"/>
      <c r="E24" s="293">
        <v>613800</v>
      </c>
      <c r="F24" s="319"/>
      <c r="G24" s="11" t="s">
        <v>166</v>
      </c>
      <c r="H24" s="515">
        <f t="shared" si="9"/>
        <v>0</v>
      </c>
      <c r="I24" s="515">
        <f t="shared" si="9"/>
        <v>0</v>
      </c>
      <c r="J24" s="564">
        <v>0</v>
      </c>
      <c r="K24" s="555">
        <v>0</v>
      </c>
      <c r="L24" s="352">
        <v>0</v>
      </c>
      <c r="M24" s="548">
        <f t="shared" si="8"/>
        <v>0</v>
      </c>
      <c r="N24" s="334" t="str">
        <f t="shared" si="2"/>
        <v/>
      </c>
    </row>
    <row r="25" spans="1:15" ht="12.95" customHeight="1">
      <c r="B25" s="10"/>
      <c r="C25" s="11"/>
      <c r="D25" s="11"/>
      <c r="E25" s="293">
        <v>613800</v>
      </c>
      <c r="F25" s="319"/>
      <c r="G25" s="18" t="s">
        <v>186</v>
      </c>
      <c r="H25" s="515">
        <f t="shared" si="9"/>
        <v>0</v>
      </c>
      <c r="I25" s="515">
        <f t="shared" si="9"/>
        <v>0</v>
      </c>
      <c r="J25" s="564">
        <v>0</v>
      </c>
      <c r="K25" s="555">
        <v>0</v>
      </c>
      <c r="L25" s="352">
        <v>0</v>
      </c>
      <c r="M25" s="548">
        <f t="shared" si="8"/>
        <v>0</v>
      </c>
      <c r="N25" s="334" t="str">
        <f t="shared" si="2"/>
        <v/>
      </c>
    </row>
    <row r="26" spans="1:15" ht="12.95" customHeight="1">
      <c r="B26" s="10"/>
      <c r="C26" s="11"/>
      <c r="D26" s="11"/>
      <c r="E26" s="293">
        <v>613900</v>
      </c>
      <c r="F26" s="319"/>
      <c r="G26" s="18" t="s">
        <v>167</v>
      </c>
      <c r="H26" s="515">
        <v>11000</v>
      </c>
      <c r="I26" s="515">
        <v>11000</v>
      </c>
      <c r="J26" s="564">
        <v>9834</v>
      </c>
      <c r="K26" s="555">
        <v>14500</v>
      </c>
      <c r="L26" s="352">
        <v>0</v>
      </c>
      <c r="M26" s="548">
        <f t="shared" si="8"/>
        <v>14500</v>
      </c>
      <c r="N26" s="334">
        <f t="shared" si="2"/>
        <v>131.81818181818181</v>
      </c>
    </row>
    <row r="27" spans="1:15" ht="12.95" customHeight="1">
      <c r="B27" s="10"/>
      <c r="C27" s="11"/>
      <c r="D27" s="11"/>
      <c r="E27" s="293">
        <v>613900</v>
      </c>
      <c r="F27" s="319" t="s">
        <v>680</v>
      </c>
      <c r="G27" s="18" t="s">
        <v>180</v>
      </c>
      <c r="H27" s="515">
        <v>60000</v>
      </c>
      <c r="I27" s="515">
        <v>60000</v>
      </c>
      <c r="J27" s="564">
        <v>32514</v>
      </c>
      <c r="K27" s="555">
        <v>49000</v>
      </c>
      <c r="L27" s="352">
        <v>0</v>
      </c>
      <c r="M27" s="548">
        <f t="shared" si="8"/>
        <v>49000</v>
      </c>
      <c r="N27" s="334">
        <f t="shared" si="2"/>
        <v>81.666666666666671</v>
      </c>
    </row>
    <row r="28" spans="1:15" ht="12.95" customHeight="1">
      <c r="B28" s="10"/>
      <c r="C28" s="11"/>
      <c r="D28" s="11"/>
      <c r="E28" s="293">
        <v>613900</v>
      </c>
      <c r="F28" s="319"/>
      <c r="G28" s="180" t="s">
        <v>535</v>
      </c>
      <c r="H28" s="515">
        <f t="shared" si="9"/>
        <v>0</v>
      </c>
      <c r="I28" s="515">
        <f t="shared" si="9"/>
        <v>0</v>
      </c>
      <c r="J28" s="564">
        <v>0</v>
      </c>
      <c r="K28" s="555">
        <v>0</v>
      </c>
      <c r="L28" s="352">
        <v>0</v>
      </c>
      <c r="M28" s="548">
        <f t="shared" si="8"/>
        <v>0</v>
      </c>
      <c r="N28" s="334" t="str">
        <f t="shared" si="2"/>
        <v/>
      </c>
    </row>
    <row r="29" spans="1:15" ht="8.1" customHeight="1">
      <c r="B29" s="10"/>
      <c r="C29" s="11"/>
      <c r="D29" s="11"/>
      <c r="E29" s="293"/>
      <c r="F29" s="319"/>
      <c r="G29" s="11"/>
      <c r="H29" s="516"/>
      <c r="I29" s="516"/>
      <c r="J29" s="566"/>
      <c r="K29" s="556"/>
      <c r="L29" s="283"/>
      <c r="M29" s="551"/>
      <c r="N29" s="334" t="str">
        <f t="shared" si="2"/>
        <v/>
      </c>
    </row>
    <row r="30" spans="1:15" s="1" customFormat="1" ht="12.95" customHeight="1">
      <c r="A30" s="269"/>
      <c r="B30" s="12"/>
      <c r="C30" s="8"/>
      <c r="D30" s="8"/>
      <c r="E30" s="292">
        <v>614000</v>
      </c>
      <c r="F30" s="318"/>
      <c r="G30" s="8" t="s">
        <v>202</v>
      </c>
      <c r="H30" s="262">
        <f t="shared" ref="H30:I30" si="10">SUM(H31:H39)</f>
        <v>1180000</v>
      </c>
      <c r="I30" s="262">
        <f t="shared" si="10"/>
        <v>1180000</v>
      </c>
      <c r="J30" s="565">
        <v>886160</v>
      </c>
      <c r="K30" s="557">
        <f t="shared" ref="K30:M30" si="11">SUM(K31:K39)</f>
        <v>1250500</v>
      </c>
      <c r="L30" s="282">
        <f t="shared" si="11"/>
        <v>0</v>
      </c>
      <c r="M30" s="553">
        <f t="shared" si="11"/>
        <v>1250500</v>
      </c>
      <c r="N30" s="333">
        <f t="shared" si="2"/>
        <v>105.97457627118645</v>
      </c>
    </row>
    <row r="31" spans="1:15" s="93" customFormat="1" ht="28.5" customHeight="1">
      <c r="B31" s="88"/>
      <c r="C31" s="89"/>
      <c r="D31" s="90"/>
      <c r="E31" s="297">
        <v>614100</v>
      </c>
      <c r="F31" s="323" t="s">
        <v>681</v>
      </c>
      <c r="G31" s="91" t="s">
        <v>218</v>
      </c>
      <c r="H31" s="524">
        <v>150000</v>
      </c>
      <c r="I31" s="524">
        <v>150000</v>
      </c>
      <c r="J31" s="588">
        <v>101750</v>
      </c>
      <c r="K31" s="593">
        <v>129000</v>
      </c>
      <c r="L31" s="263">
        <v>0</v>
      </c>
      <c r="M31" s="594">
        <f t="shared" ref="M31:M39" si="12">SUM(K31:L31)</f>
        <v>129000</v>
      </c>
      <c r="N31" s="334">
        <f t="shared" si="2"/>
        <v>86</v>
      </c>
      <c r="O31" s="92"/>
    </row>
    <row r="32" spans="1:15" ht="12.95" customHeight="1">
      <c r="B32" s="10"/>
      <c r="C32" s="11"/>
      <c r="D32" s="11"/>
      <c r="E32" s="298">
        <v>614100</v>
      </c>
      <c r="F32" s="324"/>
      <c r="G32" s="69" t="s">
        <v>100</v>
      </c>
      <c r="H32" s="524">
        <f t="shared" ref="H32:I32" si="13">SUM(F32:G32)</f>
        <v>0</v>
      </c>
      <c r="I32" s="524">
        <f t="shared" si="13"/>
        <v>0</v>
      </c>
      <c r="J32" s="588">
        <v>0</v>
      </c>
      <c r="K32" s="593">
        <v>0</v>
      </c>
      <c r="L32" s="263"/>
      <c r="M32" s="594">
        <f t="shared" si="12"/>
        <v>0</v>
      </c>
      <c r="N32" s="334" t="str">
        <f t="shared" si="2"/>
        <v/>
      </c>
    </row>
    <row r="33" spans="1:15" s="272" customFormat="1" ht="12.95" customHeight="1">
      <c r="B33" s="273"/>
      <c r="C33" s="274"/>
      <c r="D33" s="274"/>
      <c r="E33" s="298">
        <v>614100</v>
      </c>
      <c r="F33" s="324" t="s">
        <v>787</v>
      </c>
      <c r="G33" s="225" t="s">
        <v>682</v>
      </c>
      <c r="H33" s="516">
        <v>280000</v>
      </c>
      <c r="I33" s="516">
        <v>280000</v>
      </c>
      <c r="J33" s="588">
        <v>270400</v>
      </c>
      <c r="K33" s="593">
        <v>280000</v>
      </c>
      <c r="L33" s="263">
        <v>0</v>
      </c>
      <c r="M33" s="594">
        <f t="shared" si="12"/>
        <v>280000</v>
      </c>
      <c r="N33" s="334">
        <f t="shared" si="2"/>
        <v>100</v>
      </c>
    </row>
    <row r="34" spans="1:15" s="272" customFormat="1" ht="12.95" customHeight="1">
      <c r="B34" s="273"/>
      <c r="C34" s="274"/>
      <c r="D34" s="274"/>
      <c r="E34" s="298">
        <v>614100</v>
      </c>
      <c r="F34" s="324" t="s">
        <v>788</v>
      </c>
      <c r="G34" s="225" t="s">
        <v>683</v>
      </c>
      <c r="H34" s="516">
        <v>60000</v>
      </c>
      <c r="I34" s="516">
        <v>60000</v>
      </c>
      <c r="J34" s="588">
        <v>51100</v>
      </c>
      <c r="K34" s="593">
        <v>70000</v>
      </c>
      <c r="L34" s="263">
        <v>0</v>
      </c>
      <c r="M34" s="594">
        <f t="shared" si="12"/>
        <v>70000</v>
      </c>
      <c r="N34" s="334">
        <f t="shared" si="2"/>
        <v>116.66666666666667</v>
      </c>
    </row>
    <row r="35" spans="1:15" ht="12.95" customHeight="1">
      <c r="B35" s="10"/>
      <c r="C35" s="11"/>
      <c r="D35" s="11"/>
      <c r="E35" s="298">
        <v>614100</v>
      </c>
      <c r="F35" s="324" t="s">
        <v>684</v>
      </c>
      <c r="G35" s="69" t="s">
        <v>394</v>
      </c>
      <c r="H35" s="516">
        <v>335000</v>
      </c>
      <c r="I35" s="516">
        <v>335000</v>
      </c>
      <c r="J35" s="588">
        <v>193810</v>
      </c>
      <c r="K35" s="593">
        <v>346500</v>
      </c>
      <c r="L35" s="263">
        <v>0</v>
      </c>
      <c r="M35" s="594">
        <f t="shared" si="12"/>
        <v>346500</v>
      </c>
      <c r="N35" s="334">
        <f t="shared" si="2"/>
        <v>103.43283582089553</v>
      </c>
    </row>
    <row r="36" spans="1:15" ht="12.95" customHeight="1">
      <c r="B36" s="10"/>
      <c r="C36" s="11"/>
      <c r="D36" s="11"/>
      <c r="E36" s="293">
        <v>614200</v>
      </c>
      <c r="F36" s="319" t="s">
        <v>685</v>
      </c>
      <c r="G36" s="21" t="s">
        <v>112</v>
      </c>
      <c r="H36" s="516">
        <v>150000</v>
      </c>
      <c r="I36" s="516">
        <v>150000</v>
      </c>
      <c r="J36" s="588">
        <v>114000</v>
      </c>
      <c r="K36" s="593">
        <v>150000</v>
      </c>
      <c r="L36" s="263">
        <v>0</v>
      </c>
      <c r="M36" s="594">
        <f t="shared" si="12"/>
        <v>150000</v>
      </c>
      <c r="N36" s="334">
        <f t="shared" si="2"/>
        <v>100</v>
      </c>
    </row>
    <row r="37" spans="1:15" s="93" customFormat="1" ht="27.75" customHeight="1">
      <c r="B37" s="88"/>
      <c r="C37" s="89"/>
      <c r="D37" s="89"/>
      <c r="E37" s="297">
        <v>614200</v>
      </c>
      <c r="F37" s="323" t="s">
        <v>686</v>
      </c>
      <c r="G37" s="94" t="s">
        <v>773</v>
      </c>
      <c r="H37" s="631">
        <v>15000</v>
      </c>
      <c r="I37" s="631">
        <v>15000</v>
      </c>
      <c r="J37" s="588">
        <v>0</v>
      </c>
      <c r="K37" s="593">
        <v>15000</v>
      </c>
      <c r="L37" s="263">
        <v>0</v>
      </c>
      <c r="M37" s="594">
        <f t="shared" si="12"/>
        <v>15000</v>
      </c>
      <c r="N37" s="334">
        <f t="shared" si="2"/>
        <v>100</v>
      </c>
    </row>
    <row r="38" spans="1:15" ht="12.95" customHeight="1">
      <c r="B38" s="10"/>
      <c r="C38" s="11"/>
      <c r="D38" s="11"/>
      <c r="E38" s="293">
        <v>614300</v>
      </c>
      <c r="F38" s="319" t="s">
        <v>687</v>
      </c>
      <c r="G38" s="21" t="s">
        <v>101</v>
      </c>
      <c r="H38" s="516">
        <v>40000</v>
      </c>
      <c r="I38" s="516">
        <v>40000</v>
      </c>
      <c r="J38" s="588">
        <v>23100</v>
      </c>
      <c r="K38" s="593">
        <v>40000</v>
      </c>
      <c r="L38" s="263">
        <v>0</v>
      </c>
      <c r="M38" s="594">
        <f t="shared" si="12"/>
        <v>40000</v>
      </c>
      <c r="N38" s="334">
        <f t="shared" si="2"/>
        <v>100</v>
      </c>
    </row>
    <row r="39" spans="1:15" ht="12.95" customHeight="1">
      <c r="B39" s="10"/>
      <c r="C39" s="11"/>
      <c r="D39" s="11"/>
      <c r="E39" s="293">
        <v>614300</v>
      </c>
      <c r="F39" s="319" t="s">
        <v>688</v>
      </c>
      <c r="G39" s="21" t="s">
        <v>102</v>
      </c>
      <c r="H39" s="516">
        <v>150000</v>
      </c>
      <c r="I39" s="516">
        <v>150000</v>
      </c>
      <c r="J39" s="588">
        <v>132000</v>
      </c>
      <c r="K39" s="593">
        <v>220000</v>
      </c>
      <c r="L39" s="263">
        <v>0</v>
      </c>
      <c r="M39" s="594">
        <f t="shared" si="12"/>
        <v>220000</v>
      </c>
      <c r="N39" s="334">
        <f t="shared" si="2"/>
        <v>146.66666666666666</v>
      </c>
      <c r="O39" s="63"/>
    </row>
    <row r="40" spans="1:15" ht="8.1" customHeight="1">
      <c r="B40" s="10"/>
      <c r="C40" s="11"/>
      <c r="D40" s="11"/>
      <c r="E40" s="293"/>
      <c r="F40" s="319"/>
      <c r="G40" s="21"/>
      <c r="H40" s="516"/>
      <c r="I40" s="516"/>
      <c r="J40" s="566"/>
      <c r="K40" s="556"/>
      <c r="L40" s="283"/>
      <c r="M40" s="551"/>
      <c r="N40" s="334" t="str">
        <f t="shared" si="2"/>
        <v/>
      </c>
      <c r="O40" s="63"/>
    </row>
    <row r="41" spans="1:15" ht="12.95" customHeight="1">
      <c r="B41" s="10"/>
      <c r="C41" s="11"/>
      <c r="D41" s="11"/>
      <c r="E41" s="292">
        <v>616000</v>
      </c>
      <c r="F41" s="318"/>
      <c r="G41" s="24" t="s">
        <v>203</v>
      </c>
      <c r="H41" s="262">
        <f t="shared" ref="H41:M41" si="14">H42</f>
        <v>2560</v>
      </c>
      <c r="I41" s="262">
        <f t="shared" si="14"/>
        <v>2560</v>
      </c>
      <c r="J41" s="565">
        <v>2415</v>
      </c>
      <c r="K41" s="557">
        <f t="shared" si="14"/>
        <v>2420</v>
      </c>
      <c r="L41" s="282">
        <f t="shared" si="14"/>
        <v>0</v>
      </c>
      <c r="M41" s="553">
        <f t="shared" si="14"/>
        <v>2420</v>
      </c>
      <c r="N41" s="333">
        <f t="shared" si="2"/>
        <v>94.53125</v>
      </c>
    </row>
    <row r="42" spans="1:15" ht="12.95" customHeight="1">
      <c r="B42" s="10"/>
      <c r="C42" s="11"/>
      <c r="D42" s="11"/>
      <c r="E42" s="293">
        <v>616300</v>
      </c>
      <c r="F42" s="319"/>
      <c r="G42" s="38" t="s">
        <v>212</v>
      </c>
      <c r="H42" s="516">
        <v>2560</v>
      </c>
      <c r="I42" s="516">
        <v>2560</v>
      </c>
      <c r="J42" s="564">
        <v>2415</v>
      </c>
      <c r="K42" s="556">
        <v>2420</v>
      </c>
      <c r="L42" s="283">
        <v>0</v>
      </c>
      <c r="M42" s="548">
        <f>SUM(K42:L42)</f>
        <v>2420</v>
      </c>
      <c r="N42" s="334">
        <f t="shared" si="2"/>
        <v>94.53125</v>
      </c>
    </row>
    <row r="43" spans="1:15" ht="8.1" customHeight="1">
      <c r="B43" s="10"/>
      <c r="C43" s="11"/>
      <c r="D43" s="11"/>
      <c r="E43" s="293"/>
      <c r="F43" s="319"/>
      <c r="G43" s="11"/>
      <c r="H43" s="516"/>
      <c r="I43" s="516"/>
      <c r="J43" s="566"/>
      <c r="K43" s="573"/>
      <c r="L43" s="268"/>
      <c r="M43" s="551"/>
      <c r="N43" s="334" t="str">
        <f t="shared" si="2"/>
        <v/>
      </c>
    </row>
    <row r="44" spans="1:15" s="1" customFormat="1" ht="12.95" customHeight="1">
      <c r="A44" s="269"/>
      <c r="B44" s="12"/>
      <c r="C44" s="8"/>
      <c r="D44" s="8"/>
      <c r="E44" s="292">
        <v>821000</v>
      </c>
      <c r="F44" s="318"/>
      <c r="G44" s="8" t="s">
        <v>90</v>
      </c>
      <c r="H44" s="262">
        <f t="shared" ref="H44:M44" si="15">SUM(H45:H46)</f>
        <v>2500</v>
      </c>
      <c r="I44" s="262">
        <f t="shared" ref="I44" si="16">SUM(I45:I46)</f>
        <v>2500</v>
      </c>
      <c r="J44" s="565">
        <v>2388</v>
      </c>
      <c r="K44" s="557">
        <f t="shared" si="15"/>
        <v>68600</v>
      </c>
      <c r="L44" s="282">
        <f t="shared" si="15"/>
        <v>114190</v>
      </c>
      <c r="M44" s="553">
        <f t="shared" si="15"/>
        <v>182790</v>
      </c>
      <c r="N44" s="333">
        <f t="shared" si="2"/>
        <v>7311.6</v>
      </c>
    </row>
    <row r="45" spans="1:15" ht="12.95" customHeight="1">
      <c r="B45" s="10"/>
      <c r="C45" s="11"/>
      <c r="D45" s="11"/>
      <c r="E45" s="293">
        <v>821200</v>
      </c>
      <c r="F45" s="319"/>
      <c r="G45" s="11" t="s">
        <v>91</v>
      </c>
      <c r="H45" s="516">
        <v>0</v>
      </c>
      <c r="I45" s="516">
        <v>0</v>
      </c>
      <c r="J45" s="564">
        <v>0</v>
      </c>
      <c r="K45" s="573">
        <v>65000</v>
      </c>
      <c r="L45" s="268">
        <v>102330</v>
      </c>
      <c r="M45" s="548">
        <f t="shared" ref="M45:M46" si="17">SUM(K45:L45)</f>
        <v>167330</v>
      </c>
      <c r="N45" s="334" t="str">
        <f t="shared" si="2"/>
        <v/>
      </c>
    </row>
    <row r="46" spans="1:15" ht="12.95" customHeight="1">
      <c r="B46" s="10"/>
      <c r="C46" s="11"/>
      <c r="D46" s="11"/>
      <c r="E46" s="293">
        <v>821300</v>
      </c>
      <c r="F46" s="319"/>
      <c r="G46" s="11" t="s">
        <v>92</v>
      </c>
      <c r="H46" s="516">
        <v>2500</v>
      </c>
      <c r="I46" s="516">
        <v>2500</v>
      </c>
      <c r="J46" s="564">
        <v>2388</v>
      </c>
      <c r="K46" s="556">
        <v>3600</v>
      </c>
      <c r="L46" s="283">
        <v>11860</v>
      </c>
      <c r="M46" s="548">
        <f t="shared" si="17"/>
        <v>15460</v>
      </c>
      <c r="N46" s="334">
        <f t="shared" si="2"/>
        <v>618.4</v>
      </c>
    </row>
    <row r="47" spans="1:15" ht="8.1" customHeight="1">
      <c r="B47" s="10"/>
      <c r="C47" s="11"/>
      <c r="D47" s="11"/>
      <c r="E47" s="293"/>
      <c r="F47" s="319"/>
      <c r="G47" s="11"/>
      <c r="H47" s="516"/>
      <c r="I47" s="516"/>
      <c r="J47" s="566"/>
      <c r="K47" s="573"/>
      <c r="L47" s="268"/>
      <c r="M47" s="551"/>
      <c r="N47" s="334" t="str">
        <f t="shared" si="2"/>
        <v/>
      </c>
    </row>
    <row r="48" spans="1:15" ht="12.95" customHeight="1">
      <c r="B48" s="10"/>
      <c r="C48" s="11"/>
      <c r="D48" s="11"/>
      <c r="E48" s="292">
        <v>823000</v>
      </c>
      <c r="F48" s="318"/>
      <c r="G48" s="8" t="s">
        <v>204</v>
      </c>
      <c r="H48" s="262">
        <f t="shared" ref="H48:M48" si="18">H49</f>
        <v>75000</v>
      </c>
      <c r="I48" s="262">
        <f t="shared" si="18"/>
        <v>75000</v>
      </c>
      <c r="J48" s="565">
        <v>71436</v>
      </c>
      <c r="K48" s="557">
        <f t="shared" si="18"/>
        <v>71440</v>
      </c>
      <c r="L48" s="282">
        <f t="shared" si="18"/>
        <v>0</v>
      </c>
      <c r="M48" s="553">
        <f t="shared" si="18"/>
        <v>71440</v>
      </c>
      <c r="N48" s="333">
        <f t="shared" si="2"/>
        <v>95.25333333333333</v>
      </c>
    </row>
    <row r="49" spans="1:14" ht="12.95" customHeight="1">
      <c r="B49" s="10"/>
      <c r="C49" s="11"/>
      <c r="D49" s="11"/>
      <c r="E49" s="293">
        <v>823300</v>
      </c>
      <c r="F49" s="319"/>
      <c r="G49" s="18" t="s">
        <v>185</v>
      </c>
      <c r="H49" s="516">
        <v>75000</v>
      </c>
      <c r="I49" s="516">
        <v>75000</v>
      </c>
      <c r="J49" s="564">
        <v>71436</v>
      </c>
      <c r="K49" s="556">
        <v>71440</v>
      </c>
      <c r="L49" s="283">
        <v>0</v>
      </c>
      <c r="M49" s="548">
        <f>SUM(K49:L49)</f>
        <v>71440</v>
      </c>
      <c r="N49" s="334">
        <f t="shared" si="2"/>
        <v>95.25333333333333</v>
      </c>
    </row>
    <row r="50" spans="1:14" ht="8.1" customHeight="1">
      <c r="B50" s="10"/>
      <c r="C50" s="11"/>
      <c r="D50" s="11"/>
      <c r="E50" s="293"/>
      <c r="F50" s="319"/>
      <c r="G50" s="18"/>
      <c r="H50" s="516"/>
      <c r="I50" s="516"/>
      <c r="J50" s="566"/>
      <c r="K50" s="573"/>
      <c r="L50" s="268"/>
      <c r="M50" s="551"/>
      <c r="N50" s="334" t="str">
        <f t="shared" si="2"/>
        <v/>
      </c>
    </row>
    <row r="51" spans="1:14" s="1" customFormat="1" ht="12.95" customHeight="1">
      <c r="A51" s="269"/>
      <c r="B51" s="12"/>
      <c r="C51" s="8"/>
      <c r="D51" s="8"/>
      <c r="E51" s="292"/>
      <c r="F51" s="318"/>
      <c r="G51" s="8" t="s">
        <v>93</v>
      </c>
      <c r="H51" s="262">
        <v>11</v>
      </c>
      <c r="I51" s="262">
        <v>11</v>
      </c>
      <c r="J51" s="565">
        <v>11</v>
      </c>
      <c r="K51" s="558">
        <v>11</v>
      </c>
      <c r="L51" s="276"/>
      <c r="M51" s="553">
        <v>11</v>
      </c>
      <c r="N51" s="334"/>
    </row>
    <row r="52" spans="1:14" s="1" customFormat="1" ht="12.95" customHeight="1">
      <c r="A52" s="269"/>
      <c r="B52" s="12"/>
      <c r="C52" s="8"/>
      <c r="D52" s="8"/>
      <c r="E52" s="292"/>
      <c r="F52" s="318"/>
      <c r="G52" s="8" t="s">
        <v>113</v>
      </c>
      <c r="H52" s="262">
        <f t="shared" ref="H52:I52" si="19">H8+H13+H16+H30+H41+H44+H48</f>
        <v>1677220</v>
      </c>
      <c r="I52" s="276">
        <f t="shared" si="19"/>
        <v>1685380</v>
      </c>
      <c r="J52" s="565">
        <f>J8+J13+J16+J30+J41+J44+J48</f>
        <v>1266412</v>
      </c>
      <c r="K52" s="558">
        <f t="shared" ref="K52:L52" si="20">K8+K13+K16+K30+K41+K44+K48</f>
        <v>1807650</v>
      </c>
      <c r="L52" s="276">
        <f t="shared" si="20"/>
        <v>122350</v>
      </c>
      <c r="M52" s="553">
        <f>M8+M13+M16+M30+M41+M44+M48</f>
        <v>1930000</v>
      </c>
      <c r="N52" s="333">
        <f t="shared" si="2"/>
        <v>114.51423417864221</v>
      </c>
    </row>
    <row r="53" spans="1:14" s="1" customFormat="1" ht="12.95" customHeight="1">
      <c r="A53" s="269"/>
      <c r="B53" s="12"/>
      <c r="C53" s="8"/>
      <c r="D53" s="8"/>
      <c r="E53" s="292"/>
      <c r="F53" s="318"/>
      <c r="G53" s="8" t="s">
        <v>94</v>
      </c>
      <c r="H53" s="525"/>
      <c r="I53" s="274"/>
      <c r="J53" s="589"/>
      <c r="K53" s="273"/>
      <c r="L53" s="274"/>
      <c r="M53" s="595"/>
      <c r="N53" s="335" t="str">
        <f t="shared" si="2"/>
        <v/>
      </c>
    </row>
    <row r="54" spans="1:14" s="1" customFormat="1" ht="12.95" customHeight="1">
      <c r="A54" s="269"/>
      <c r="B54" s="12"/>
      <c r="C54" s="8"/>
      <c r="D54" s="8"/>
      <c r="E54" s="292"/>
      <c r="F54" s="318"/>
      <c r="G54" s="8" t="s">
        <v>95</v>
      </c>
      <c r="H54" s="525"/>
      <c r="I54" s="274"/>
      <c r="J54" s="589"/>
      <c r="K54" s="273"/>
      <c r="L54" s="274"/>
      <c r="M54" s="595"/>
      <c r="N54" s="335" t="str">
        <f t="shared" si="2"/>
        <v/>
      </c>
    </row>
    <row r="55" spans="1:14" ht="8.1" customHeight="1" thickBot="1">
      <c r="B55" s="15"/>
      <c r="C55" s="16"/>
      <c r="D55" s="16"/>
      <c r="E55" s="294"/>
      <c r="F55" s="320"/>
      <c r="G55" s="16"/>
      <c r="H55" s="521"/>
      <c r="I55" s="16"/>
      <c r="J55" s="569"/>
      <c r="K55" s="15"/>
      <c r="L55" s="16"/>
      <c r="M55" s="574"/>
      <c r="N55" s="336" t="str">
        <f t="shared" si="2"/>
        <v/>
      </c>
    </row>
    <row r="56" spans="1:14" ht="12.95" customHeight="1">
      <c r="E56" s="295"/>
      <c r="F56" s="321"/>
      <c r="M56" s="369"/>
      <c r="N56" s="337" t="str">
        <f t="shared" si="2"/>
        <v/>
      </c>
    </row>
    <row r="57" spans="1:14" ht="17.100000000000001" customHeight="1">
      <c r="E57" s="295"/>
      <c r="F57" s="321"/>
      <c r="M57" s="369"/>
      <c r="N57" s="337" t="str">
        <f t="shared" si="2"/>
        <v/>
      </c>
    </row>
    <row r="58" spans="1:14" ht="17.100000000000001" customHeight="1">
      <c r="B58" s="48"/>
      <c r="E58" s="295"/>
      <c r="F58" s="321"/>
      <c r="M58" s="369"/>
      <c r="N58" s="337" t="str">
        <f t="shared" si="2"/>
        <v/>
      </c>
    </row>
    <row r="59" spans="1:14" ht="17.100000000000001" customHeight="1">
      <c r="B59" s="48"/>
      <c r="E59" s="295"/>
      <c r="F59" s="321"/>
      <c r="M59" s="369"/>
      <c r="N59" s="337" t="str">
        <f t="shared" si="2"/>
        <v/>
      </c>
    </row>
    <row r="60" spans="1:14" ht="14.25">
      <c r="B60" s="48"/>
      <c r="E60" s="295"/>
      <c r="F60" s="321"/>
      <c r="M60" s="369"/>
      <c r="N60" s="337" t="str">
        <f t="shared" si="2"/>
        <v/>
      </c>
    </row>
    <row r="61" spans="1:14" ht="14.25">
      <c r="B61" s="48"/>
      <c r="E61" s="295"/>
      <c r="F61" s="321"/>
      <c r="M61" s="369"/>
      <c r="N61" s="337" t="str">
        <f t="shared" si="2"/>
        <v/>
      </c>
    </row>
    <row r="62" spans="1:14" ht="14.25">
      <c r="E62" s="295"/>
      <c r="F62" s="321"/>
      <c r="M62" s="369"/>
      <c r="N62" s="337" t="str">
        <f t="shared" si="2"/>
        <v/>
      </c>
    </row>
    <row r="63" spans="1:14" ht="14.25">
      <c r="E63" s="295"/>
      <c r="F63" s="321"/>
      <c r="M63" s="369"/>
      <c r="N63" s="337" t="str">
        <f t="shared" si="2"/>
        <v/>
      </c>
    </row>
    <row r="64" spans="1:14" ht="14.25">
      <c r="E64" s="295"/>
      <c r="F64" s="321"/>
      <c r="M64" s="369"/>
      <c r="N64" s="337" t="str">
        <f t="shared" si="2"/>
        <v/>
      </c>
    </row>
    <row r="65" spans="5:14" ht="14.25">
      <c r="E65" s="295"/>
      <c r="F65" s="321"/>
      <c r="M65" s="369"/>
      <c r="N65" s="337" t="str">
        <f t="shared" si="2"/>
        <v/>
      </c>
    </row>
    <row r="66" spans="5:14" ht="14.25">
      <c r="E66" s="295"/>
      <c r="F66" s="321"/>
      <c r="M66" s="369"/>
      <c r="N66" s="337" t="str">
        <f t="shared" si="2"/>
        <v/>
      </c>
    </row>
    <row r="67" spans="5:14" ht="14.25">
      <c r="E67" s="295"/>
      <c r="F67" s="321"/>
      <c r="M67" s="369"/>
      <c r="N67" s="337" t="str">
        <f t="shared" si="2"/>
        <v/>
      </c>
    </row>
    <row r="68" spans="5:14" ht="14.25">
      <c r="E68" s="295"/>
      <c r="F68" s="321"/>
      <c r="M68" s="369"/>
      <c r="N68" s="337" t="str">
        <f t="shared" si="2"/>
        <v/>
      </c>
    </row>
    <row r="69" spans="5:14" ht="14.25">
      <c r="E69" s="295"/>
      <c r="F69" s="321"/>
      <c r="M69" s="369"/>
      <c r="N69" s="337" t="str">
        <f t="shared" si="2"/>
        <v/>
      </c>
    </row>
    <row r="70" spans="5:14" ht="14.25">
      <c r="E70" s="295"/>
      <c r="F70" s="321"/>
      <c r="M70" s="369"/>
      <c r="N70" s="337" t="str">
        <f t="shared" si="2"/>
        <v/>
      </c>
    </row>
    <row r="71" spans="5:14" ht="14.25">
      <c r="E71" s="295"/>
      <c r="F71" s="295"/>
      <c r="M71" s="369"/>
      <c r="N71" s="337" t="str">
        <f t="shared" si="2"/>
        <v/>
      </c>
    </row>
    <row r="72" spans="5:14" ht="14.25">
      <c r="E72" s="295"/>
      <c r="F72" s="295"/>
      <c r="M72" s="369"/>
      <c r="N72" s="337" t="str">
        <f t="shared" si="2"/>
        <v/>
      </c>
    </row>
    <row r="73" spans="5:14" ht="14.25">
      <c r="E73" s="295"/>
      <c r="F73" s="295"/>
      <c r="M73" s="369"/>
      <c r="N73" s="337" t="str">
        <f t="shared" ref="N73:N77" si="21">IF(I73=0,"",M73/I73*100)</f>
        <v/>
      </c>
    </row>
    <row r="74" spans="5:14" ht="14.25">
      <c r="E74" s="295"/>
      <c r="F74" s="295"/>
      <c r="M74" s="369"/>
      <c r="N74" s="337" t="str">
        <f t="shared" si="21"/>
        <v/>
      </c>
    </row>
    <row r="75" spans="5:14" ht="14.25">
      <c r="E75" s="295"/>
      <c r="F75" s="295"/>
      <c r="M75" s="369"/>
      <c r="N75" s="337" t="str">
        <f t="shared" si="21"/>
        <v/>
      </c>
    </row>
    <row r="76" spans="5:14" ht="14.25">
      <c r="E76" s="295"/>
      <c r="F76" s="295"/>
      <c r="M76" s="369"/>
      <c r="N76" s="337" t="str">
        <f t="shared" si="21"/>
        <v/>
      </c>
    </row>
    <row r="77" spans="5:14" ht="14.25">
      <c r="E77" s="295"/>
      <c r="F77" s="295"/>
      <c r="M77" s="369"/>
      <c r="N77" s="337" t="str">
        <f t="shared" si="21"/>
        <v/>
      </c>
    </row>
    <row r="78" spans="5:14" ht="14.25">
      <c r="E78" s="295"/>
      <c r="F78" s="295"/>
      <c r="M78" s="369"/>
    </row>
    <row r="79" spans="5:14" ht="14.25">
      <c r="E79" s="295"/>
      <c r="F79" s="295"/>
      <c r="M79" s="369"/>
    </row>
    <row r="80" spans="5:14" ht="14.25">
      <c r="E80" s="295"/>
      <c r="F80" s="295"/>
      <c r="M80" s="369"/>
    </row>
    <row r="81" spans="5:13" ht="14.25">
      <c r="E81" s="295"/>
      <c r="F81" s="295"/>
      <c r="M81" s="369"/>
    </row>
    <row r="82" spans="5:13" ht="14.25">
      <c r="E82" s="295"/>
      <c r="F82" s="295"/>
      <c r="M82" s="369"/>
    </row>
    <row r="83" spans="5:13" ht="14.25">
      <c r="E83" s="295"/>
      <c r="F83" s="295"/>
      <c r="M83" s="369"/>
    </row>
    <row r="84" spans="5:13" ht="14.25">
      <c r="E84" s="295"/>
      <c r="F84" s="295"/>
      <c r="M84" s="369"/>
    </row>
    <row r="85" spans="5:13" ht="14.25">
      <c r="E85" s="295"/>
      <c r="F85" s="295"/>
      <c r="M85" s="369"/>
    </row>
    <row r="86" spans="5:13" ht="14.25">
      <c r="E86" s="295"/>
      <c r="F86" s="295"/>
      <c r="M86" s="369"/>
    </row>
    <row r="87" spans="5:13" ht="14.25">
      <c r="E87" s="295"/>
      <c r="F87" s="295"/>
      <c r="M87" s="369"/>
    </row>
    <row r="88" spans="5:13">
      <c r="F88" s="295"/>
    </row>
    <row r="89" spans="5:13">
      <c r="F89" s="295"/>
    </row>
    <row r="90" spans="5:13">
      <c r="F90" s="295"/>
    </row>
    <row r="91" spans="5:13">
      <c r="F91" s="295"/>
    </row>
    <row r="92" spans="5:13">
      <c r="F92" s="295"/>
    </row>
    <row r="93" spans="5:13">
      <c r="F93" s="295"/>
    </row>
  </sheetData>
  <mergeCells count="12">
    <mergeCell ref="N4:N5"/>
    <mergeCell ref="G4:G5"/>
    <mergeCell ref="B2:G2"/>
    <mergeCell ref="B4:B5"/>
    <mergeCell ref="C4:C5"/>
    <mergeCell ref="D4:D5"/>
    <mergeCell ref="F4:F5"/>
    <mergeCell ref="E4:E5"/>
    <mergeCell ref="K4:M4"/>
    <mergeCell ref="H4:H5"/>
    <mergeCell ref="I4:I5"/>
    <mergeCell ref="J4:J5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5"/>
  <dimension ref="A1:Q96"/>
  <sheetViews>
    <sheetView zoomScaleNormal="100" zoomScaleSheetLayoutView="100" workbookViewId="0">
      <selection activeCell="K10" sqref="K10"/>
    </sheetView>
  </sheetViews>
  <sheetFormatPr defaultRowHeight="12.75"/>
  <cols>
    <col min="1" max="1" width="9.140625" style="272"/>
    <col min="2" max="2" width="4.7109375" style="9" customWidth="1"/>
    <col min="3" max="3" width="5.140625" style="9" customWidth="1"/>
    <col min="4" max="4" width="5" style="9" customWidth="1"/>
    <col min="5" max="5" width="8.7109375" style="17" customWidth="1"/>
    <col min="6" max="6" width="8.7109375" style="277" customWidth="1"/>
    <col min="7" max="7" width="50.7109375" style="9" customWidth="1"/>
    <col min="8" max="8" width="14.7109375" style="519" customWidth="1"/>
    <col min="9" max="9" width="14.7109375" style="54" customWidth="1"/>
    <col min="10" max="10" width="15.7109375" style="519" customWidth="1"/>
    <col min="11" max="12" width="14.7109375" style="54" customWidth="1"/>
    <col min="13" max="13" width="15.7109375" style="54" customWidth="1"/>
    <col min="14" max="14" width="7.7109375" style="337" customWidth="1"/>
    <col min="15" max="15" width="9.140625" style="9"/>
    <col min="16" max="16" width="10.140625" style="9" bestFit="1" customWidth="1"/>
    <col min="17" max="16384" width="9.140625" style="9"/>
  </cols>
  <sheetData>
    <row r="1" spans="1:17" ht="13.5" thickBot="1"/>
    <row r="2" spans="1:17" s="93" customFormat="1" ht="20.100000000000001" customHeight="1" thickTop="1" thickBot="1">
      <c r="B2" s="725" t="s">
        <v>168</v>
      </c>
      <c r="C2" s="726"/>
      <c r="D2" s="726"/>
      <c r="E2" s="726"/>
      <c r="F2" s="726"/>
      <c r="G2" s="726"/>
      <c r="H2" s="508"/>
      <c r="I2" s="364"/>
      <c r="J2" s="508"/>
      <c r="K2" s="364"/>
      <c r="L2" s="364"/>
      <c r="M2" s="364"/>
      <c r="N2" s="367"/>
    </row>
    <row r="3" spans="1:17" s="1" customFormat="1" ht="8.1" customHeight="1" thickTop="1" thickBot="1">
      <c r="A3" s="269"/>
      <c r="E3" s="2"/>
      <c r="F3" s="270"/>
      <c r="G3" s="488"/>
      <c r="H3" s="511"/>
      <c r="I3" s="87"/>
      <c r="J3" s="511"/>
      <c r="K3" s="87"/>
      <c r="L3" s="87"/>
      <c r="M3" s="87"/>
      <c r="N3" s="331"/>
    </row>
    <row r="4" spans="1:17" s="1" customFormat="1" ht="39" customHeight="1">
      <c r="A4" s="269"/>
      <c r="B4" s="728" t="s">
        <v>78</v>
      </c>
      <c r="C4" s="746" t="s">
        <v>79</v>
      </c>
      <c r="D4" s="747" t="s">
        <v>110</v>
      </c>
      <c r="E4" s="748" t="s">
        <v>594</v>
      </c>
      <c r="F4" s="733" t="s">
        <v>650</v>
      </c>
      <c r="G4" s="734" t="s">
        <v>80</v>
      </c>
      <c r="H4" s="740" t="s">
        <v>644</v>
      </c>
      <c r="I4" s="742" t="s">
        <v>821</v>
      </c>
      <c r="J4" s="744" t="s">
        <v>822</v>
      </c>
      <c r="K4" s="749" t="s">
        <v>863</v>
      </c>
      <c r="L4" s="738"/>
      <c r="M4" s="739"/>
      <c r="N4" s="735" t="s">
        <v>823</v>
      </c>
    </row>
    <row r="5" spans="1:17" s="269" customFormat="1" ht="27" customHeight="1">
      <c r="B5" s="729"/>
      <c r="C5" s="731"/>
      <c r="D5" s="731"/>
      <c r="E5" s="722"/>
      <c r="F5" s="731"/>
      <c r="G5" s="722"/>
      <c r="H5" s="741"/>
      <c r="I5" s="743"/>
      <c r="J5" s="745"/>
      <c r="K5" s="540" t="s">
        <v>701</v>
      </c>
      <c r="L5" s="359" t="s">
        <v>702</v>
      </c>
      <c r="M5" s="541" t="s">
        <v>413</v>
      </c>
      <c r="N5" s="736"/>
    </row>
    <row r="6" spans="1:17" s="2" customFormat="1" ht="12.95" customHeight="1">
      <c r="A6" s="270"/>
      <c r="B6" s="464">
        <v>1</v>
      </c>
      <c r="C6" s="318">
        <v>2</v>
      </c>
      <c r="D6" s="318">
        <v>3</v>
      </c>
      <c r="E6" s="318">
        <v>4</v>
      </c>
      <c r="F6" s="318">
        <v>5</v>
      </c>
      <c r="G6" s="318">
        <v>6</v>
      </c>
      <c r="H6" s="512">
        <v>7</v>
      </c>
      <c r="I6" s="318">
        <v>8</v>
      </c>
      <c r="J6" s="561">
        <v>9</v>
      </c>
      <c r="K6" s="464">
        <v>10</v>
      </c>
      <c r="L6" s="318">
        <v>11</v>
      </c>
      <c r="M6" s="542" t="s">
        <v>703</v>
      </c>
      <c r="N6" s="465">
        <v>13</v>
      </c>
    </row>
    <row r="7" spans="1:17" s="2" customFormat="1" ht="12.95" customHeight="1">
      <c r="A7" s="270"/>
      <c r="B7" s="6" t="s">
        <v>143</v>
      </c>
      <c r="C7" s="7" t="s">
        <v>132</v>
      </c>
      <c r="D7" s="7" t="s">
        <v>117</v>
      </c>
      <c r="E7" s="5"/>
      <c r="F7" s="271"/>
      <c r="G7" s="5"/>
      <c r="H7" s="520"/>
      <c r="I7" s="81"/>
      <c r="J7" s="562"/>
      <c r="K7" s="543"/>
      <c r="L7" s="81"/>
      <c r="M7" s="544"/>
      <c r="N7" s="332"/>
    </row>
    <row r="8" spans="1:17" s="1" customFormat="1" ht="12.95" customHeight="1">
      <c r="A8" s="269"/>
      <c r="B8" s="12"/>
      <c r="C8" s="8"/>
      <c r="D8" s="8"/>
      <c r="E8" s="292">
        <v>611000</v>
      </c>
      <c r="F8" s="318"/>
      <c r="G8" s="8" t="s">
        <v>163</v>
      </c>
      <c r="H8" s="514">
        <f t="shared" ref="H8:I8" si="0">SUM(H9:H12)</f>
        <v>1130030</v>
      </c>
      <c r="I8" s="514">
        <f t="shared" si="0"/>
        <v>1130030</v>
      </c>
      <c r="J8" s="563">
        <v>764305</v>
      </c>
      <c r="K8" s="545">
        <f t="shared" ref="K8:M8" si="1">SUM(K9:K12)</f>
        <v>1065150</v>
      </c>
      <c r="L8" s="201">
        <f t="shared" si="1"/>
        <v>0</v>
      </c>
      <c r="M8" s="546">
        <f t="shared" si="1"/>
        <v>1065150</v>
      </c>
      <c r="N8" s="333">
        <f>IF(I8=0,"",M8/I8*100)</f>
        <v>94.258559507269723</v>
      </c>
      <c r="P8" s="55"/>
      <c r="Q8" s="55"/>
    </row>
    <row r="9" spans="1:17" ht="12.95" customHeight="1">
      <c r="B9" s="10"/>
      <c r="C9" s="11"/>
      <c r="D9" s="11"/>
      <c r="E9" s="293">
        <v>611100</v>
      </c>
      <c r="F9" s="319"/>
      <c r="G9" s="18" t="s">
        <v>198</v>
      </c>
      <c r="H9" s="515">
        <v>912510</v>
      </c>
      <c r="I9" s="515">
        <v>912510</v>
      </c>
      <c r="J9" s="564">
        <v>636994</v>
      </c>
      <c r="K9" s="547">
        <f>852210+4000+4900+3400</f>
        <v>864510</v>
      </c>
      <c r="L9" s="203">
        <v>0</v>
      </c>
      <c r="M9" s="548">
        <f>SUM(K9:L9)</f>
        <v>864510</v>
      </c>
      <c r="N9" s="334">
        <f t="shared" ref="N9:N72" si="2">IF(I9=0,"",M9/I9*100)</f>
        <v>94.739783673603569</v>
      </c>
    </row>
    <row r="10" spans="1:17" ht="12.95" customHeight="1">
      <c r="B10" s="10"/>
      <c r="C10" s="11"/>
      <c r="D10" s="11"/>
      <c r="E10" s="293">
        <v>611200</v>
      </c>
      <c r="F10" s="319"/>
      <c r="G10" s="11" t="s">
        <v>199</v>
      </c>
      <c r="H10" s="515">
        <v>217520</v>
      </c>
      <c r="I10" s="515">
        <v>217520</v>
      </c>
      <c r="J10" s="564">
        <v>127311</v>
      </c>
      <c r="K10" s="547">
        <f>171350+2000+7910+2580+1720+2580+50*250</f>
        <v>200640</v>
      </c>
      <c r="L10" s="203">
        <v>0</v>
      </c>
      <c r="M10" s="548">
        <f t="shared" ref="M10:M11" si="3">SUM(K10:L10)</f>
        <v>200640</v>
      </c>
      <c r="N10" s="334">
        <f t="shared" si="2"/>
        <v>92.239794041927183</v>
      </c>
      <c r="P10" s="54"/>
    </row>
    <row r="11" spans="1:17" ht="12.95" customHeight="1">
      <c r="B11" s="10"/>
      <c r="C11" s="11"/>
      <c r="D11" s="11"/>
      <c r="E11" s="293">
        <v>611200</v>
      </c>
      <c r="F11" s="319"/>
      <c r="G11" s="180" t="s">
        <v>534</v>
      </c>
      <c r="H11" s="515">
        <f t="shared" ref="H11:I11" si="4">SUM(F11:G11)</f>
        <v>0</v>
      </c>
      <c r="I11" s="515">
        <f t="shared" si="4"/>
        <v>0</v>
      </c>
      <c r="J11" s="564">
        <v>0</v>
      </c>
      <c r="K11" s="549">
        <v>0</v>
      </c>
      <c r="L11" s="200">
        <v>0</v>
      </c>
      <c r="M11" s="548">
        <f t="shared" si="3"/>
        <v>0</v>
      </c>
      <c r="N11" s="334" t="str">
        <f t="shared" si="2"/>
        <v/>
      </c>
      <c r="P11" s="53"/>
    </row>
    <row r="12" spans="1:17" ht="12.95" customHeight="1">
      <c r="B12" s="10"/>
      <c r="C12" s="11"/>
      <c r="D12" s="11"/>
      <c r="E12" s="293"/>
      <c r="F12" s="319"/>
      <c r="G12" s="18"/>
      <c r="H12" s="515"/>
      <c r="I12" s="515"/>
      <c r="J12" s="564"/>
      <c r="K12" s="547"/>
      <c r="L12" s="203"/>
      <c r="M12" s="548"/>
      <c r="N12" s="334" t="str">
        <f t="shared" si="2"/>
        <v/>
      </c>
    </row>
    <row r="13" spans="1:17" s="1" customFormat="1" ht="12.95" customHeight="1">
      <c r="A13" s="269"/>
      <c r="B13" s="12"/>
      <c r="C13" s="8"/>
      <c r="D13" s="8"/>
      <c r="E13" s="292">
        <v>612000</v>
      </c>
      <c r="F13" s="318"/>
      <c r="G13" s="8" t="s">
        <v>162</v>
      </c>
      <c r="H13" s="514">
        <f t="shared" ref="H13:M13" si="5">H14</f>
        <v>95990</v>
      </c>
      <c r="I13" s="514">
        <f t="shared" si="5"/>
        <v>95990</v>
      </c>
      <c r="J13" s="563">
        <v>70195</v>
      </c>
      <c r="K13" s="545">
        <f t="shared" si="5"/>
        <v>94230</v>
      </c>
      <c r="L13" s="201">
        <f t="shared" si="5"/>
        <v>0</v>
      </c>
      <c r="M13" s="546">
        <f t="shared" si="5"/>
        <v>94230</v>
      </c>
      <c r="N13" s="333">
        <f t="shared" si="2"/>
        <v>98.166475674549432</v>
      </c>
    </row>
    <row r="14" spans="1:17" ht="12.95" customHeight="1">
      <c r="B14" s="10"/>
      <c r="C14" s="11"/>
      <c r="D14" s="11"/>
      <c r="E14" s="293">
        <v>612100</v>
      </c>
      <c r="F14" s="319"/>
      <c r="G14" s="13" t="s">
        <v>83</v>
      </c>
      <c r="H14" s="515">
        <v>95990</v>
      </c>
      <c r="I14" s="515">
        <v>95990</v>
      </c>
      <c r="J14" s="564">
        <v>70195</v>
      </c>
      <c r="K14" s="547">
        <f>93230+1000</f>
        <v>94230</v>
      </c>
      <c r="L14" s="203">
        <v>0</v>
      </c>
      <c r="M14" s="548">
        <f>SUM(K14:L14)</f>
        <v>94230</v>
      </c>
      <c r="N14" s="334">
        <f t="shared" si="2"/>
        <v>98.166475674549432</v>
      </c>
    </row>
    <row r="15" spans="1:17" ht="12.95" customHeight="1">
      <c r="B15" s="10"/>
      <c r="C15" s="11"/>
      <c r="D15" s="11"/>
      <c r="E15" s="293"/>
      <c r="F15" s="319"/>
      <c r="G15" s="11"/>
      <c r="H15" s="516"/>
      <c r="I15" s="516"/>
      <c r="J15" s="566"/>
      <c r="K15" s="550"/>
      <c r="L15" s="279"/>
      <c r="M15" s="551"/>
      <c r="N15" s="334" t="str">
        <f t="shared" si="2"/>
        <v/>
      </c>
    </row>
    <row r="16" spans="1:17" s="1" customFormat="1" ht="12.95" customHeight="1">
      <c r="A16" s="269"/>
      <c r="B16" s="12"/>
      <c r="C16" s="8"/>
      <c r="D16" s="8"/>
      <c r="E16" s="292">
        <v>613000</v>
      </c>
      <c r="F16" s="318"/>
      <c r="G16" s="8" t="s">
        <v>164</v>
      </c>
      <c r="H16" s="262">
        <f t="shared" ref="H16:I16" si="6">SUM(H17:H26)</f>
        <v>153500</v>
      </c>
      <c r="I16" s="262">
        <f t="shared" si="6"/>
        <v>153500</v>
      </c>
      <c r="J16" s="565">
        <v>116404</v>
      </c>
      <c r="K16" s="552">
        <f t="shared" ref="K16:M16" si="7">SUM(K17:K26)</f>
        <v>180000</v>
      </c>
      <c r="L16" s="281">
        <f t="shared" si="7"/>
        <v>0</v>
      </c>
      <c r="M16" s="553">
        <f t="shared" si="7"/>
        <v>180000</v>
      </c>
      <c r="N16" s="333">
        <f t="shared" si="2"/>
        <v>117.26384364820848</v>
      </c>
    </row>
    <row r="17" spans="1:15" ht="12.95" customHeight="1">
      <c r="B17" s="10"/>
      <c r="C17" s="11"/>
      <c r="D17" s="11"/>
      <c r="E17" s="293">
        <v>613100</v>
      </c>
      <c r="F17" s="319"/>
      <c r="G17" s="11" t="s">
        <v>84</v>
      </c>
      <c r="H17" s="515">
        <v>5000</v>
      </c>
      <c r="I17" s="515">
        <v>5000</v>
      </c>
      <c r="J17" s="564">
        <v>1877</v>
      </c>
      <c r="K17" s="554">
        <v>5500</v>
      </c>
      <c r="L17" s="350">
        <v>0</v>
      </c>
      <c r="M17" s="548">
        <f t="shared" ref="M17:M26" si="8">SUM(K17:L17)</f>
        <v>5500</v>
      </c>
      <c r="N17" s="334">
        <f t="shared" si="2"/>
        <v>110.00000000000001</v>
      </c>
    </row>
    <row r="18" spans="1:15" ht="12.95" customHeight="1">
      <c r="B18" s="10"/>
      <c r="C18" s="11"/>
      <c r="D18" s="11"/>
      <c r="E18" s="293">
        <v>613200</v>
      </c>
      <c r="F18" s="319"/>
      <c r="G18" s="11" t="s">
        <v>85</v>
      </c>
      <c r="H18" s="515">
        <v>60000</v>
      </c>
      <c r="I18" s="515">
        <v>60000</v>
      </c>
      <c r="J18" s="564">
        <v>58538</v>
      </c>
      <c r="K18" s="554">
        <v>90000</v>
      </c>
      <c r="L18" s="350">
        <v>0</v>
      </c>
      <c r="M18" s="548">
        <f t="shared" si="8"/>
        <v>90000</v>
      </c>
      <c r="N18" s="334">
        <f t="shared" si="2"/>
        <v>150</v>
      </c>
    </row>
    <row r="19" spans="1:15" ht="12.95" customHeight="1">
      <c r="B19" s="10"/>
      <c r="C19" s="11"/>
      <c r="D19" s="11"/>
      <c r="E19" s="293">
        <v>613300</v>
      </c>
      <c r="F19" s="319"/>
      <c r="G19" s="18" t="s">
        <v>200</v>
      </c>
      <c r="H19" s="515">
        <v>10500</v>
      </c>
      <c r="I19" s="515">
        <v>10500</v>
      </c>
      <c r="J19" s="564">
        <v>6215</v>
      </c>
      <c r="K19" s="554">
        <v>10500</v>
      </c>
      <c r="L19" s="350">
        <v>0</v>
      </c>
      <c r="M19" s="548">
        <f t="shared" si="8"/>
        <v>10500</v>
      </c>
      <c r="N19" s="334">
        <f t="shared" si="2"/>
        <v>100</v>
      </c>
    </row>
    <row r="20" spans="1:15" ht="12.95" customHeight="1">
      <c r="B20" s="10"/>
      <c r="C20" s="11"/>
      <c r="D20" s="11"/>
      <c r="E20" s="293">
        <v>613400</v>
      </c>
      <c r="F20" s="319"/>
      <c r="G20" s="11" t="s">
        <v>165</v>
      </c>
      <c r="H20" s="515">
        <v>22000</v>
      </c>
      <c r="I20" s="515">
        <v>22000</v>
      </c>
      <c r="J20" s="564">
        <v>17701</v>
      </c>
      <c r="K20" s="554">
        <v>22000</v>
      </c>
      <c r="L20" s="350">
        <v>0</v>
      </c>
      <c r="M20" s="548">
        <f t="shared" si="8"/>
        <v>22000</v>
      </c>
      <c r="N20" s="334">
        <f t="shared" si="2"/>
        <v>100</v>
      </c>
    </row>
    <row r="21" spans="1:15" ht="12.95" customHeight="1">
      <c r="B21" s="10"/>
      <c r="C21" s="11"/>
      <c r="D21" s="11"/>
      <c r="E21" s="293">
        <v>613500</v>
      </c>
      <c r="F21" s="319"/>
      <c r="G21" s="11" t="s">
        <v>86</v>
      </c>
      <c r="H21" s="515">
        <v>2000</v>
      </c>
      <c r="I21" s="515">
        <v>2000</v>
      </c>
      <c r="J21" s="564">
        <v>1314</v>
      </c>
      <c r="K21" s="555">
        <v>2000</v>
      </c>
      <c r="L21" s="352">
        <v>0</v>
      </c>
      <c r="M21" s="548">
        <f t="shared" si="8"/>
        <v>2000</v>
      </c>
      <c r="N21" s="334">
        <f t="shared" si="2"/>
        <v>100</v>
      </c>
    </row>
    <row r="22" spans="1:15" ht="12.95" customHeight="1">
      <c r="B22" s="10"/>
      <c r="C22" s="11"/>
      <c r="D22" s="11"/>
      <c r="E22" s="293">
        <v>613600</v>
      </c>
      <c r="F22" s="319"/>
      <c r="G22" s="18" t="s">
        <v>201</v>
      </c>
      <c r="H22" s="515">
        <f t="shared" ref="H22:I26" si="9">SUM(F22:G22)</f>
        <v>0</v>
      </c>
      <c r="I22" s="515">
        <f t="shared" si="9"/>
        <v>0</v>
      </c>
      <c r="J22" s="564">
        <v>0</v>
      </c>
      <c r="K22" s="554">
        <v>0</v>
      </c>
      <c r="L22" s="350">
        <v>0</v>
      </c>
      <c r="M22" s="548">
        <f t="shared" si="8"/>
        <v>0</v>
      </c>
      <c r="N22" s="334" t="str">
        <f t="shared" si="2"/>
        <v/>
      </c>
    </row>
    <row r="23" spans="1:15" ht="12.95" customHeight="1">
      <c r="B23" s="10"/>
      <c r="C23" s="11"/>
      <c r="D23" s="11"/>
      <c r="E23" s="293">
        <v>613700</v>
      </c>
      <c r="F23" s="319"/>
      <c r="G23" s="11" t="s">
        <v>87</v>
      </c>
      <c r="H23" s="515">
        <v>15000</v>
      </c>
      <c r="I23" s="515">
        <v>15000</v>
      </c>
      <c r="J23" s="564">
        <v>9736</v>
      </c>
      <c r="K23" s="554">
        <v>15000</v>
      </c>
      <c r="L23" s="350">
        <v>0</v>
      </c>
      <c r="M23" s="548">
        <f t="shared" si="8"/>
        <v>15000</v>
      </c>
      <c r="N23" s="334">
        <f t="shared" si="2"/>
        <v>100</v>
      </c>
    </row>
    <row r="24" spans="1:15" ht="12.95" customHeight="1">
      <c r="B24" s="10"/>
      <c r="C24" s="11"/>
      <c r="D24" s="11"/>
      <c r="E24" s="293">
        <v>613800</v>
      </c>
      <c r="F24" s="319"/>
      <c r="G24" s="11" t="s">
        <v>166</v>
      </c>
      <c r="H24" s="515">
        <f t="shared" si="9"/>
        <v>0</v>
      </c>
      <c r="I24" s="515">
        <f t="shared" si="9"/>
        <v>0</v>
      </c>
      <c r="J24" s="564">
        <v>0</v>
      </c>
      <c r="K24" s="554">
        <v>0</v>
      </c>
      <c r="L24" s="350">
        <v>0</v>
      </c>
      <c r="M24" s="548">
        <f t="shared" si="8"/>
        <v>0</v>
      </c>
      <c r="N24" s="334" t="str">
        <f t="shared" si="2"/>
        <v/>
      </c>
    </row>
    <row r="25" spans="1:15" ht="12.95" customHeight="1">
      <c r="B25" s="10"/>
      <c r="C25" s="11"/>
      <c r="D25" s="11"/>
      <c r="E25" s="293">
        <v>613900</v>
      </c>
      <c r="F25" s="319"/>
      <c r="G25" s="11" t="s">
        <v>167</v>
      </c>
      <c r="H25" s="515">
        <v>39000</v>
      </c>
      <c r="I25" s="515">
        <v>39000</v>
      </c>
      <c r="J25" s="564">
        <v>21023</v>
      </c>
      <c r="K25" s="555">
        <v>35000</v>
      </c>
      <c r="L25" s="352">
        <v>0</v>
      </c>
      <c r="M25" s="548">
        <f t="shared" si="8"/>
        <v>35000</v>
      </c>
      <c r="N25" s="334">
        <f t="shared" si="2"/>
        <v>89.743589743589752</v>
      </c>
    </row>
    <row r="26" spans="1:15" ht="12.95" customHeight="1">
      <c r="B26" s="10"/>
      <c r="C26" s="11"/>
      <c r="D26" s="11"/>
      <c r="E26" s="293">
        <v>613900</v>
      </c>
      <c r="F26" s="319"/>
      <c r="G26" s="180" t="s">
        <v>535</v>
      </c>
      <c r="H26" s="515">
        <f t="shared" si="9"/>
        <v>0</v>
      </c>
      <c r="I26" s="515">
        <f t="shared" si="9"/>
        <v>0</v>
      </c>
      <c r="J26" s="564">
        <v>0</v>
      </c>
      <c r="K26" s="587">
        <v>0</v>
      </c>
      <c r="L26" s="346">
        <v>0</v>
      </c>
      <c r="M26" s="548">
        <f t="shared" si="8"/>
        <v>0</v>
      </c>
      <c r="N26" s="334" t="str">
        <f t="shared" si="2"/>
        <v/>
      </c>
    </row>
    <row r="27" spans="1:15" s="1" customFormat="1" ht="12.95" customHeight="1">
      <c r="A27" s="269"/>
      <c r="B27" s="12"/>
      <c r="C27" s="8"/>
      <c r="D27" s="8"/>
      <c r="E27" s="292"/>
      <c r="F27" s="318"/>
      <c r="G27" s="8"/>
      <c r="H27" s="516"/>
      <c r="I27" s="516"/>
      <c r="J27" s="566"/>
      <c r="K27" s="550"/>
      <c r="L27" s="279"/>
      <c r="M27" s="551"/>
      <c r="N27" s="334" t="str">
        <f t="shared" si="2"/>
        <v/>
      </c>
    </row>
    <row r="28" spans="1:15" s="1" customFormat="1" ht="12.95" customHeight="1">
      <c r="A28" s="269"/>
      <c r="B28" s="12"/>
      <c r="C28" s="8"/>
      <c r="D28" s="8"/>
      <c r="E28" s="292">
        <v>821000</v>
      </c>
      <c r="F28" s="318"/>
      <c r="G28" s="8" t="s">
        <v>90</v>
      </c>
      <c r="H28" s="262">
        <f t="shared" ref="H28:I28" si="10">SUM(H29:H31)</f>
        <v>10000</v>
      </c>
      <c r="I28" s="262">
        <f t="shared" si="10"/>
        <v>10000</v>
      </c>
      <c r="J28" s="565">
        <v>4932</v>
      </c>
      <c r="K28" s="558">
        <f t="shared" ref="K28:M28" si="11">SUM(K29:K31)</f>
        <v>10000</v>
      </c>
      <c r="L28" s="276">
        <f t="shared" si="11"/>
        <v>11860</v>
      </c>
      <c r="M28" s="553">
        <f t="shared" si="11"/>
        <v>21860</v>
      </c>
      <c r="N28" s="333">
        <f t="shared" si="2"/>
        <v>218.6</v>
      </c>
    </row>
    <row r="29" spans="1:15" ht="12.95" customHeight="1">
      <c r="B29" s="10"/>
      <c r="C29" s="11"/>
      <c r="D29" s="11"/>
      <c r="E29" s="293">
        <v>821200</v>
      </c>
      <c r="F29" s="319"/>
      <c r="G29" s="11" t="s">
        <v>91</v>
      </c>
      <c r="H29" s="515">
        <v>5000</v>
      </c>
      <c r="I29" s="515">
        <v>5000</v>
      </c>
      <c r="J29" s="564">
        <v>0</v>
      </c>
      <c r="K29" s="556">
        <v>5000</v>
      </c>
      <c r="L29" s="283">
        <v>0</v>
      </c>
      <c r="M29" s="548">
        <f t="shared" ref="M29:M30" si="12">SUM(K29:L29)</f>
        <v>5000</v>
      </c>
      <c r="N29" s="334">
        <f t="shared" si="2"/>
        <v>100</v>
      </c>
      <c r="O29" s="48"/>
    </row>
    <row r="30" spans="1:15" ht="12.95" customHeight="1">
      <c r="B30" s="10"/>
      <c r="C30" s="11"/>
      <c r="D30" s="11"/>
      <c r="E30" s="293">
        <v>821300</v>
      </c>
      <c r="F30" s="319"/>
      <c r="G30" s="11" t="s">
        <v>92</v>
      </c>
      <c r="H30" s="515">
        <v>5000</v>
      </c>
      <c r="I30" s="515">
        <v>5000</v>
      </c>
      <c r="J30" s="564">
        <v>4932</v>
      </c>
      <c r="K30" s="556">
        <v>5000</v>
      </c>
      <c r="L30" s="283">
        <v>11860</v>
      </c>
      <c r="M30" s="548">
        <f t="shared" si="12"/>
        <v>16860</v>
      </c>
      <c r="N30" s="334">
        <f t="shared" si="2"/>
        <v>337.2</v>
      </c>
    </row>
    <row r="31" spans="1:15" ht="12.95" customHeight="1">
      <c r="B31" s="10"/>
      <c r="C31" s="11"/>
      <c r="D31" s="11"/>
      <c r="E31" s="293"/>
      <c r="F31" s="319"/>
      <c r="G31" s="18"/>
      <c r="H31" s="516"/>
      <c r="I31" s="516"/>
      <c r="J31" s="566"/>
      <c r="K31" s="550"/>
      <c r="L31" s="279"/>
      <c r="M31" s="551"/>
      <c r="N31" s="334" t="str">
        <f t="shared" si="2"/>
        <v/>
      </c>
    </row>
    <row r="32" spans="1:15" s="1" customFormat="1" ht="12.95" customHeight="1">
      <c r="A32" s="269"/>
      <c r="B32" s="12"/>
      <c r="C32" s="8"/>
      <c r="D32" s="8"/>
      <c r="E32" s="292"/>
      <c r="F32" s="318"/>
      <c r="G32" s="8" t="s">
        <v>93</v>
      </c>
      <c r="H32" s="517" t="s">
        <v>606</v>
      </c>
      <c r="I32" s="517" t="s">
        <v>606</v>
      </c>
      <c r="J32" s="579" t="s">
        <v>826</v>
      </c>
      <c r="K32" s="580" t="s">
        <v>826</v>
      </c>
      <c r="L32" s="266"/>
      <c r="M32" s="581" t="s">
        <v>826</v>
      </c>
      <c r="N32" s="334"/>
    </row>
    <row r="33" spans="1:17" s="1" customFormat="1" ht="12.95" customHeight="1">
      <c r="A33" s="269"/>
      <c r="B33" s="12"/>
      <c r="C33" s="8"/>
      <c r="D33" s="8"/>
      <c r="E33" s="292"/>
      <c r="F33" s="318"/>
      <c r="G33" s="8" t="s">
        <v>113</v>
      </c>
      <c r="H33" s="262">
        <f t="shared" ref="H33:M33" si="13">H8+H13+H16+H28</f>
        <v>1389520</v>
      </c>
      <c r="I33" s="276">
        <f t="shared" si="13"/>
        <v>1389520</v>
      </c>
      <c r="J33" s="565">
        <f t="shared" si="13"/>
        <v>955836</v>
      </c>
      <c r="K33" s="558">
        <f t="shared" si="13"/>
        <v>1349380</v>
      </c>
      <c r="L33" s="276">
        <f t="shared" si="13"/>
        <v>11860</v>
      </c>
      <c r="M33" s="553">
        <f t="shared" si="13"/>
        <v>1361240</v>
      </c>
      <c r="N33" s="333">
        <f t="shared" si="2"/>
        <v>97.964764810869937</v>
      </c>
    </row>
    <row r="34" spans="1:17" s="1" customFormat="1" ht="12.95" customHeight="1">
      <c r="A34" s="269"/>
      <c r="B34" s="12"/>
      <c r="C34" s="8"/>
      <c r="D34" s="8"/>
      <c r="E34" s="292"/>
      <c r="F34" s="318"/>
      <c r="G34" s="8" t="s">
        <v>94</v>
      </c>
      <c r="H34" s="262"/>
      <c r="I34" s="276"/>
      <c r="J34" s="565"/>
      <c r="K34" s="558"/>
      <c r="L34" s="276"/>
      <c r="M34" s="553"/>
      <c r="N34" s="334" t="str">
        <f t="shared" si="2"/>
        <v/>
      </c>
      <c r="Q34" s="1" t="s">
        <v>175</v>
      </c>
    </row>
    <row r="35" spans="1:17" s="1" customFormat="1" ht="12.95" customHeight="1">
      <c r="A35" s="269"/>
      <c r="B35" s="12"/>
      <c r="C35" s="8"/>
      <c r="D35" s="8"/>
      <c r="E35" s="292"/>
      <c r="F35" s="318"/>
      <c r="G35" s="8" t="s">
        <v>95</v>
      </c>
      <c r="H35" s="516"/>
      <c r="I35" s="267"/>
      <c r="J35" s="566"/>
      <c r="K35" s="578"/>
      <c r="L35" s="267"/>
      <c r="M35" s="551"/>
      <c r="N35" s="334" t="str">
        <f t="shared" si="2"/>
        <v/>
      </c>
    </row>
    <row r="36" spans="1:17" ht="12.95" customHeight="1" thickBot="1">
      <c r="B36" s="15"/>
      <c r="C36" s="16"/>
      <c r="D36" s="16"/>
      <c r="E36" s="294"/>
      <c r="F36" s="320"/>
      <c r="G36" s="16"/>
      <c r="H36" s="518"/>
      <c r="I36" s="27"/>
      <c r="J36" s="567"/>
      <c r="K36" s="559"/>
      <c r="L36" s="27"/>
      <c r="M36" s="560"/>
      <c r="N36" s="336" t="str">
        <f t="shared" si="2"/>
        <v/>
      </c>
    </row>
    <row r="37" spans="1:17" ht="12.95" customHeight="1">
      <c r="E37" s="295"/>
      <c r="F37" s="321"/>
      <c r="M37" s="370"/>
      <c r="N37" s="337" t="str">
        <f t="shared" si="2"/>
        <v/>
      </c>
    </row>
    <row r="38" spans="1:17" ht="12.95" customHeight="1">
      <c r="B38" s="48"/>
      <c r="E38" s="295"/>
      <c r="F38" s="321"/>
      <c r="M38" s="370"/>
      <c r="N38" s="337" t="str">
        <f t="shared" si="2"/>
        <v/>
      </c>
    </row>
    <row r="39" spans="1:17" ht="12.95" customHeight="1">
      <c r="B39" s="48"/>
      <c r="E39" s="295"/>
      <c r="F39" s="321"/>
      <c r="M39" s="370"/>
      <c r="N39" s="337" t="str">
        <f t="shared" si="2"/>
        <v/>
      </c>
    </row>
    <row r="40" spans="1:17" ht="12.95" customHeight="1">
      <c r="B40" s="48"/>
      <c r="E40" s="295"/>
      <c r="F40" s="321"/>
      <c r="M40" s="370"/>
      <c r="N40" s="337" t="str">
        <f t="shared" si="2"/>
        <v/>
      </c>
    </row>
    <row r="41" spans="1:17" ht="12.95" customHeight="1">
      <c r="B41" s="48"/>
      <c r="E41" s="295"/>
      <c r="F41" s="321"/>
      <c r="M41" s="370"/>
      <c r="N41" s="337" t="str">
        <f t="shared" si="2"/>
        <v/>
      </c>
    </row>
    <row r="42" spans="1:17" ht="12.95" customHeight="1">
      <c r="B42" s="48"/>
      <c r="E42" s="295"/>
      <c r="F42" s="321"/>
      <c r="M42" s="370"/>
      <c r="N42" s="337" t="str">
        <f t="shared" si="2"/>
        <v/>
      </c>
    </row>
    <row r="43" spans="1:17" ht="12.95" customHeight="1">
      <c r="B43" s="48"/>
      <c r="E43" s="295"/>
      <c r="F43" s="321"/>
      <c r="M43" s="370"/>
      <c r="N43" s="337" t="str">
        <f t="shared" si="2"/>
        <v/>
      </c>
    </row>
    <row r="44" spans="1:17" ht="12.95" customHeight="1">
      <c r="B44" s="48"/>
      <c r="E44" s="295"/>
      <c r="F44" s="321"/>
      <c r="M44" s="370"/>
      <c r="N44" s="337" t="str">
        <f t="shared" si="2"/>
        <v/>
      </c>
    </row>
    <row r="45" spans="1:17" ht="12.95" customHeight="1">
      <c r="B45" s="48"/>
      <c r="E45" s="295"/>
      <c r="F45" s="321"/>
      <c r="M45" s="370"/>
      <c r="N45" s="337" t="str">
        <f t="shared" si="2"/>
        <v/>
      </c>
    </row>
    <row r="46" spans="1:17" ht="12.95" customHeight="1">
      <c r="B46" s="48"/>
      <c r="E46" s="295"/>
      <c r="F46" s="321"/>
      <c r="M46" s="370"/>
      <c r="N46" s="337" t="str">
        <f t="shared" si="2"/>
        <v/>
      </c>
    </row>
    <row r="47" spans="1:17" ht="12.95" customHeight="1">
      <c r="B47" s="48"/>
      <c r="E47" s="295"/>
      <c r="F47" s="321"/>
      <c r="M47" s="370"/>
      <c r="N47" s="337" t="str">
        <f t="shared" si="2"/>
        <v/>
      </c>
    </row>
    <row r="48" spans="1:17" ht="12.95" customHeight="1">
      <c r="B48" s="48"/>
      <c r="E48" s="295"/>
      <c r="F48" s="321"/>
      <c r="M48" s="370"/>
      <c r="N48" s="337" t="str">
        <f t="shared" si="2"/>
        <v/>
      </c>
    </row>
    <row r="49" spans="2:14" ht="12.95" customHeight="1">
      <c r="B49" s="48"/>
      <c r="E49" s="295"/>
      <c r="F49" s="321"/>
      <c r="M49" s="370"/>
      <c r="N49" s="337" t="str">
        <f t="shared" si="2"/>
        <v/>
      </c>
    </row>
    <row r="50" spans="2:14" ht="12.95" customHeight="1">
      <c r="B50" s="48"/>
      <c r="E50" s="295"/>
      <c r="F50" s="321"/>
      <c r="M50" s="370"/>
      <c r="N50" s="337" t="str">
        <f t="shared" si="2"/>
        <v/>
      </c>
    </row>
    <row r="51" spans="2:14" ht="12.95" customHeight="1">
      <c r="B51" s="48"/>
      <c r="E51" s="295"/>
      <c r="F51" s="321"/>
      <c r="M51" s="370"/>
      <c r="N51" s="337" t="str">
        <f t="shared" si="2"/>
        <v/>
      </c>
    </row>
    <row r="52" spans="2:14" ht="12.95" customHeight="1">
      <c r="E52" s="295"/>
      <c r="F52" s="321"/>
      <c r="M52" s="370"/>
      <c r="N52" s="337" t="str">
        <f t="shared" si="2"/>
        <v/>
      </c>
    </row>
    <row r="53" spans="2:14" ht="12.95" customHeight="1">
      <c r="E53" s="295"/>
      <c r="F53" s="321"/>
      <c r="M53" s="370"/>
      <c r="N53" s="337" t="str">
        <f t="shared" si="2"/>
        <v/>
      </c>
    </row>
    <row r="54" spans="2:14" ht="12.95" customHeight="1">
      <c r="E54" s="295"/>
      <c r="F54" s="321"/>
      <c r="M54" s="370"/>
      <c r="N54" s="337" t="str">
        <f t="shared" si="2"/>
        <v/>
      </c>
    </row>
    <row r="55" spans="2:14" ht="12.95" customHeight="1">
      <c r="E55" s="295"/>
      <c r="F55" s="321"/>
      <c r="M55" s="370"/>
      <c r="N55" s="337" t="str">
        <f t="shared" si="2"/>
        <v/>
      </c>
    </row>
    <row r="56" spans="2:14" ht="12.95" customHeight="1">
      <c r="E56" s="295"/>
      <c r="F56" s="321"/>
      <c r="M56" s="370"/>
      <c r="N56" s="337" t="str">
        <f t="shared" si="2"/>
        <v/>
      </c>
    </row>
    <row r="57" spans="2:14" ht="12.95" customHeight="1">
      <c r="E57" s="295"/>
      <c r="F57" s="321"/>
      <c r="M57" s="370"/>
      <c r="N57" s="337" t="str">
        <f t="shared" si="2"/>
        <v/>
      </c>
    </row>
    <row r="58" spans="2:14" ht="12.95" customHeight="1">
      <c r="E58" s="295"/>
      <c r="F58" s="321"/>
      <c r="M58" s="370"/>
      <c r="N58" s="337" t="str">
        <f t="shared" si="2"/>
        <v/>
      </c>
    </row>
    <row r="59" spans="2:14" ht="12.95" customHeight="1">
      <c r="E59" s="295"/>
      <c r="F59" s="321"/>
      <c r="M59" s="370"/>
      <c r="N59" s="337" t="str">
        <f t="shared" si="2"/>
        <v/>
      </c>
    </row>
    <row r="60" spans="2:14" ht="17.100000000000001" customHeight="1">
      <c r="E60" s="295"/>
      <c r="F60" s="321"/>
      <c r="M60" s="370"/>
      <c r="N60" s="337" t="str">
        <f t="shared" si="2"/>
        <v/>
      </c>
    </row>
    <row r="61" spans="2:14" ht="14.25">
      <c r="E61" s="295"/>
      <c r="F61" s="321"/>
      <c r="M61" s="370"/>
      <c r="N61" s="337" t="str">
        <f t="shared" si="2"/>
        <v/>
      </c>
    </row>
    <row r="62" spans="2:14" ht="14.25">
      <c r="E62" s="295"/>
      <c r="F62" s="321"/>
      <c r="M62" s="370"/>
      <c r="N62" s="337" t="str">
        <f t="shared" si="2"/>
        <v/>
      </c>
    </row>
    <row r="63" spans="2:14" ht="14.25">
      <c r="E63" s="295"/>
      <c r="F63" s="321"/>
      <c r="M63" s="370"/>
      <c r="N63" s="337" t="str">
        <f t="shared" si="2"/>
        <v/>
      </c>
    </row>
    <row r="64" spans="2:14" ht="14.25">
      <c r="E64" s="295"/>
      <c r="F64" s="321"/>
      <c r="M64" s="370"/>
      <c r="N64" s="337" t="str">
        <f t="shared" si="2"/>
        <v/>
      </c>
    </row>
    <row r="65" spans="5:14" ht="14.25">
      <c r="E65" s="295"/>
      <c r="F65" s="321"/>
      <c r="M65" s="370"/>
      <c r="N65" s="337" t="str">
        <f t="shared" si="2"/>
        <v/>
      </c>
    </row>
    <row r="66" spans="5:14" ht="14.25">
      <c r="E66" s="295"/>
      <c r="F66" s="321"/>
      <c r="M66" s="370"/>
      <c r="N66" s="337" t="str">
        <f t="shared" si="2"/>
        <v/>
      </c>
    </row>
    <row r="67" spans="5:14" ht="14.25">
      <c r="E67" s="295"/>
      <c r="F67" s="321"/>
      <c r="M67" s="370"/>
      <c r="N67" s="337" t="str">
        <f t="shared" si="2"/>
        <v/>
      </c>
    </row>
    <row r="68" spans="5:14" ht="14.25">
      <c r="E68" s="295"/>
      <c r="F68" s="321"/>
      <c r="M68" s="370"/>
      <c r="N68" s="337" t="str">
        <f t="shared" si="2"/>
        <v/>
      </c>
    </row>
    <row r="69" spans="5:14" ht="14.25">
      <c r="E69" s="295"/>
      <c r="F69" s="321"/>
      <c r="M69" s="370"/>
      <c r="N69" s="337" t="str">
        <f t="shared" si="2"/>
        <v/>
      </c>
    </row>
    <row r="70" spans="5:14" ht="14.25">
      <c r="E70" s="295"/>
      <c r="F70" s="321"/>
      <c r="M70" s="370"/>
      <c r="N70" s="337" t="str">
        <f t="shared" si="2"/>
        <v/>
      </c>
    </row>
    <row r="71" spans="5:14" ht="14.25">
      <c r="E71" s="295"/>
      <c r="F71" s="321"/>
      <c r="M71" s="370"/>
      <c r="N71" s="337" t="str">
        <f t="shared" si="2"/>
        <v/>
      </c>
    </row>
    <row r="72" spans="5:14" ht="14.25">
      <c r="E72" s="295"/>
      <c r="F72" s="321"/>
      <c r="M72" s="370"/>
      <c r="N72" s="337" t="str">
        <f t="shared" si="2"/>
        <v/>
      </c>
    </row>
    <row r="73" spans="5:14" ht="14.25">
      <c r="E73" s="295"/>
      <c r="F73" s="321"/>
      <c r="M73" s="370"/>
      <c r="N73" s="337" t="str">
        <f t="shared" ref="N73:N77" si="14">IF(I73=0,"",M73/I73*100)</f>
        <v/>
      </c>
    </row>
    <row r="74" spans="5:14" ht="14.25">
      <c r="E74" s="295"/>
      <c r="F74" s="295"/>
      <c r="M74" s="370"/>
      <c r="N74" s="337" t="str">
        <f t="shared" si="14"/>
        <v/>
      </c>
    </row>
    <row r="75" spans="5:14" ht="14.25">
      <c r="E75" s="295"/>
      <c r="F75" s="295"/>
      <c r="M75" s="370"/>
      <c r="N75" s="337" t="str">
        <f t="shared" si="14"/>
        <v/>
      </c>
    </row>
    <row r="76" spans="5:14" ht="14.25">
      <c r="E76" s="295"/>
      <c r="F76" s="295"/>
      <c r="M76" s="370"/>
      <c r="N76" s="337" t="str">
        <f t="shared" si="14"/>
        <v/>
      </c>
    </row>
    <row r="77" spans="5:14" ht="14.25">
      <c r="E77" s="295"/>
      <c r="F77" s="295"/>
      <c r="M77" s="370"/>
      <c r="N77" s="337" t="str">
        <f t="shared" si="14"/>
        <v/>
      </c>
    </row>
    <row r="78" spans="5:14" ht="14.25">
      <c r="E78" s="295"/>
      <c r="F78" s="295"/>
      <c r="M78" s="370"/>
    </row>
    <row r="79" spans="5:14" ht="14.25">
      <c r="E79" s="295"/>
      <c r="F79" s="295"/>
      <c r="M79" s="370"/>
    </row>
    <row r="80" spans="5:14" ht="14.25">
      <c r="E80" s="295"/>
      <c r="F80" s="295"/>
      <c r="M80" s="370"/>
    </row>
    <row r="81" spans="5:13" ht="14.25">
      <c r="E81" s="295"/>
      <c r="F81" s="295"/>
      <c r="M81" s="370"/>
    </row>
    <row r="82" spans="5:13" ht="14.25">
      <c r="E82" s="295"/>
      <c r="F82" s="295"/>
      <c r="M82" s="370"/>
    </row>
    <row r="83" spans="5:13" ht="14.25">
      <c r="E83" s="295"/>
      <c r="F83" s="295"/>
      <c r="M83" s="370"/>
    </row>
    <row r="84" spans="5:13" ht="14.25">
      <c r="E84" s="295"/>
      <c r="F84" s="295"/>
      <c r="M84" s="370"/>
    </row>
    <row r="85" spans="5:13" ht="14.25">
      <c r="E85" s="295"/>
      <c r="F85" s="295"/>
      <c r="M85" s="370"/>
    </row>
    <row r="86" spans="5:13" ht="14.25">
      <c r="E86" s="295"/>
      <c r="F86" s="295"/>
      <c r="M86" s="370"/>
    </row>
    <row r="87" spans="5:13" ht="14.25">
      <c r="E87" s="295"/>
      <c r="F87" s="295"/>
      <c r="M87" s="370"/>
    </row>
    <row r="88" spans="5:13" ht="14.25">
      <c r="E88" s="295"/>
      <c r="F88" s="295"/>
      <c r="M88" s="370"/>
    </row>
    <row r="89" spans="5:13" ht="14.25">
      <c r="E89" s="295"/>
      <c r="F89" s="295"/>
      <c r="M89" s="370"/>
    </row>
    <row r="90" spans="5:13" ht="14.25">
      <c r="E90" s="295"/>
      <c r="F90" s="295"/>
      <c r="M90" s="370"/>
    </row>
    <row r="91" spans="5:13">
      <c r="F91" s="295"/>
    </row>
    <row r="92" spans="5:13">
      <c r="F92" s="295"/>
    </row>
    <row r="93" spans="5:13">
      <c r="F93" s="295"/>
    </row>
    <row r="94" spans="5:13">
      <c r="F94" s="295"/>
    </row>
    <row r="95" spans="5:13">
      <c r="F95" s="295"/>
    </row>
    <row r="96" spans="5:13">
      <c r="F96" s="295"/>
    </row>
  </sheetData>
  <mergeCells count="12">
    <mergeCell ref="N4:N5"/>
    <mergeCell ref="G4:G5"/>
    <mergeCell ref="B2:G2"/>
    <mergeCell ref="B4:B5"/>
    <mergeCell ref="C4:C5"/>
    <mergeCell ref="D4:D5"/>
    <mergeCell ref="F4:F5"/>
    <mergeCell ref="E4:E5"/>
    <mergeCell ref="K4:M4"/>
    <mergeCell ref="H4:H5"/>
    <mergeCell ref="I4:I5"/>
    <mergeCell ref="J4:J5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4"/>
  <dimension ref="A1:P96"/>
  <sheetViews>
    <sheetView zoomScaleNormal="100" zoomScaleSheetLayoutView="100" workbookViewId="0">
      <selection activeCell="K10" sqref="K10"/>
    </sheetView>
  </sheetViews>
  <sheetFormatPr defaultRowHeight="12.75"/>
  <cols>
    <col min="1" max="1" width="9.140625" style="272"/>
    <col min="2" max="2" width="4.7109375" style="9" customWidth="1"/>
    <col min="3" max="3" width="5.140625" style="9" customWidth="1"/>
    <col min="4" max="4" width="5" style="9" customWidth="1"/>
    <col min="5" max="5" width="8.7109375" style="17" customWidth="1"/>
    <col min="6" max="6" width="8.7109375" style="277" customWidth="1"/>
    <col min="7" max="7" width="50.7109375" style="9" customWidth="1"/>
    <col min="8" max="8" width="14.7109375" style="510" customWidth="1"/>
    <col min="9" max="9" width="14.7109375" style="272" customWidth="1"/>
    <col min="10" max="10" width="15.7109375" style="510" customWidth="1"/>
    <col min="11" max="12" width="14.7109375" style="272" customWidth="1"/>
    <col min="13" max="13" width="15.7109375" style="272" customWidth="1"/>
    <col min="14" max="14" width="7.7109375" style="337" customWidth="1"/>
    <col min="15" max="16384" width="9.140625" style="9"/>
  </cols>
  <sheetData>
    <row r="1" spans="1:16" ht="13.5" thickBot="1"/>
    <row r="2" spans="1:16" s="93" customFormat="1" ht="20.100000000000001" customHeight="1" thickTop="1" thickBot="1">
      <c r="A2" s="363"/>
      <c r="B2" s="725" t="s">
        <v>268</v>
      </c>
      <c r="C2" s="726"/>
      <c r="D2" s="726"/>
      <c r="E2" s="726"/>
      <c r="F2" s="726"/>
      <c r="G2" s="726"/>
      <c r="H2" s="750"/>
      <c r="I2" s="365"/>
      <c r="J2" s="509"/>
      <c r="K2" s="365"/>
      <c r="L2" s="365"/>
      <c r="M2" s="365"/>
      <c r="N2" s="367"/>
    </row>
    <row r="3" spans="1:16" s="1" customFormat="1" ht="8.1" customHeight="1" thickTop="1" thickBot="1">
      <c r="A3" s="269"/>
      <c r="E3" s="2"/>
      <c r="F3" s="270"/>
      <c r="G3" s="488"/>
      <c r="H3" s="511"/>
      <c r="I3" s="87"/>
      <c r="J3" s="511"/>
      <c r="K3" s="87"/>
      <c r="L3" s="87"/>
      <c r="M3" s="87"/>
      <c r="N3" s="331"/>
    </row>
    <row r="4" spans="1:16" s="1" customFormat="1" ht="39" customHeight="1">
      <c r="A4" s="269"/>
      <c r="B4" s="728" t="s">
        <v>78</v>
      </c>
      <c r="C4" s="746" t="s">
        <v>79</v>
      </c>
      <c r="D4" s="747" t="s">
        <v>110</v>
      </c>
      <c r="E4" s="748" t="s">
        <v>594</v>
      </c>
      <c r="F4" s="733" t="s">
        <v>650</v>
      </c>
      <c r="G4" s="734" t="s">
        <v>80</v>
      </c>
      <c r="H4" s="740" t="s">
        <v>644</v>
      </c>
      <c r="I4" s="742" t="s">
        <v>821</v>
      </c>
      <c r="J4" s="744" t="s">
        <v>822</v>
      </c>
      <c r="K4" s="749" t="s">
        <v>863</v>
      </c>
      <c r="L4" s="738"/>
      <c r="M4" s="739"/>
      <c r="N4" s="735" t="s">
        <v>823</v>
      </c>
    </row>
    <row r="5" spans="1:16" s="269" customFormat="1" ht="27" customHeight="1">
      <c r="B5" s="729"/>
      <c r="C5" s="731"/>
      <c r="D5" s="731"/>
      <c r="E5" s="722"/>
      <c r="F5" s="731"/>
      <c r="G5" s="722"/>
      <c r="H5" s="741"/>
      <c r="I5" s="743"/>
      <c r="J5" s="745"/>
      <c r="K5" s="540" t="s">
        <v>701</v>
      </c>
      <c r="L5" s="359" t="s">
        <v>702</v>
      </c>
      <c r="M5" s="541" t="s">
        <v>413</v>
      </c>
      <c r="N5" s="736"/>
    </row>
    <row r="6" spans="1:16" s="2" customFormat="1" ht="12.95" customHeight="1">
      <c r="A6" s="270"/>
      <c r="B6" s="464">
        <v>1</v>
      </c>
      <c r="C6" s="318">
        <v>2</v>
      </c>
      <c r="D6" s="318">
        <v>3</v>
      </c>
      <c r="E6" s="318">
        <v>4</v>
      </c>
      <c r="F6" s="318">
        <v>5</v>
      </c>
      <c r="G6" s="318">
        <v>6</v>
      </c>
      <c r="H6" s="512">
        <v>7</v>
      </c>
      <c r="I6" s="318">
        <v>8</v>
      </c>
      <c r="J6" s="561">
        <v>9</v>
      </c>
      <c r="K6" s="464">
        <v>10</v>
      </c>
      <c r="L6" s="318">
        <v>11</v>
      </c>
      <c r="M6" s="542" t="s">
        <v>703</v>
      </c>
      <c r="N6" s="465">
        <v>13</v>
      </c>
    </row>
    <row r="7" spans="1:16" s="2" customFormat="1" ht="12.95" customHeight="1">
      <c r="A7" s="270"/>
      <c r="B7" s="74" t="s">
        <v>143</v>
      </c>
      <c r="C7" s="75" t="s">
        <v>132</v>
      </c>
      <c r="D7" s="75" t="s">
        <v>124</v>
      </c>
      <c r="E7" s="5"/>
      <c r="F7" s="271"/>
      <c r="G7" s="5"/>
      <c r="H7" s="513"/>
      <c r="I7" s="271"/>
      <c r="J7" s="568"/>
      <c r="K7" s="4"/>
      <c r="L7" s="271"/>
      <c r="M7" s="570"/>
      <c r="N7" s="332"/>
    </row>
    <row r="8" spans="1:16" s="1" customFormat="1" ht="12.95" customHeight="1">
      <c r="A8" s="269"/>
      <c r="B8" s="12"/>
      <c r="C8" s="8"/>
      <c r="D8" s="8"/>
      <c r="E8" s="292">
        <v>611000</v>
      </c>
      <c r="F8" s="318"/>
      <c r="G8" s="8" t="s">
        <v>163</v>
      </c>
      <c r="H8" s="514">
        <f t="shared" ref="H8:I8" si="0">SUM(H9:H12)</f>
        <v>1051100</v>
      </c>
      <c r="I8" s="514">
        <f t="shared" si="0"/>
        <v>1051100</v>
      </c>
      <c r="J8" s="563">
        <v>773008</v>
      </c>
      <c r="K8" s="545">
        <f t="shared" ref="K8:M8" si="1">SUM(K9:K12)</f>
        <v>1055490</v>
      </c>
      <c r="L8" s="201">
        <f t="shared" si="1"/>
        <v>0</v>
      </c>
      <c r="M8" s="546">
        <f t="shared" si="1"/>
        <v>1055490</v>
      </c>
      <c r="N8" s="333">
        <f>IF(I8=0,"",M8/I8*100)</f>
        <v>100.41765769194177</v>
      </c>
    </row>
    <row r="9" spans="1:16" ht="12.95" customHeight="1">
      <c r="B9" s="10"/>
      <c r="C9" s="11"/>
      <c r="D9" s="11"/>
      <c r="E9" s="293">
        <v>611100</v>
      </c>
      <c r="F9" s="319"/>
      <c r="G9" s="18" t="s">
        <v>198</v>
      </c>
      <c r="H9" s="515">
        <v>838700</v>
      </c>
      <c r="I9" s="515">
        <v>838700</v>
      </c>
      <c r="J9" s="564">
        <v>630710</v>
      </c>
      <c r="K9" s="547">
        <f>837950+4000+1360</f>
        <v>843310</v>
      </c>
      <c r="L9" s="203">
        <v>0</v>
      </c>
      <c r="M9" s="548">
        <f>SUM(K9:L9)</f>
        <v>843310</v>
      </c>
      <c r="N9" s="334">
        <f t="shared" ref="N9:N72" si="2">IF(I9=0,"",M9/I9*100)</f>
        <v>100.54966018838678</v>
      </c>
    </row>
    <row r="10" spans="1:16" ht="12.95" customHeight="1">
      <c r="B10" s="10"/>
      <c r="C10" s="11"/>
      <c r="D10" s="11"/>
      <c r="E10" s="293">
        <v>611200</v>
      </c>
      <c r="F10" s="319"/>
      <c r="G10" s="11" t="s">
        <v>199</v>
      </c>
      <c r="H10" s="515">
        <v>212400</v>
      </c>
      <c r="I10" s="515">
        <v>212400</v>
      </c>
      <c r="J10" s="564">
        <v>142298</v>
      </c>
      <c r="K10" s="547">
        <f>191730+2000+4950+54*250</f>
        <v>212180</v>
      </c>
      <c r="L10" s="203">
        <v>0</v>
      </c>
      <c r="M10" s="548">
        <f t="shared" ref="M10:M11" si="3">SUM(K10:L10)</f>
        <v>212180</v>
      </c>
      <c r="N10" s="334">
        <f t="shared" si="2"/>
        <v>99.896421845574395</v>
      </c>
      <c r="P10" s="48"/>
    </row>
    <row r="11" spans="1:16" ht="12.95" customHeight="1">
      <c r="B11" s="10"/>
      <c r="C11" s="11"/>
      <c r="D11" s="11"/>
      <c r="E11" s="293">
        <v>611200</v>
      </c>
      <c r="F11" s="319"/>
      <c r="G11" s="180" t="s">
        <v>534</v>
      </c>
      <c r="H11" s="515">
        <f t="shared" ref="H11:I11" si="4">SUM(F11:G11)</f>
        <v>0</v>
      </c>
      <c r="I11" s="515">
        <f t="shared" si="4"/>
        <v>0</v>
      </c>
      <c r="J11" s="564">
        <v>0</v>
      </c>
      <c r="K11" s="549">
        <v>0</v>
      </c>
      <c r="L11" s="200">
        <v>0</v>
      </c>
      <c r="M11" s="548">
        <f t="shared" si="3"/>
        <v>0</v>
      </c>
      <c r="N11" s="334" t="str">
        <f t="shared" si="2"/>
        <v/>
      </c>
      <c r="P11" s="53"/>
    </row>
    <row r="12" spans="1:16" ht="12.95" customHeight="1">
      <c r="B12" s="10"/>
      <c r="C12" s="11"/>
      <c r="D12" s="11"/>
      <c r="E12" s="293"/>
      <c r="F12" s="319"/>
      <c r="G12" s="18"/>
      <c r="H12" s="515"/>
      <c r="I12" s="515"/>
      <c r="J12" s="564"/>
      <c r="K12" s="547"/>
      <c r="L12" s="203"/>
      <c r="M12" s="548"/>
      <c r="N12" s="334" t="str">
        <f t="shared" si="2"/>
        <v/>
      </c>
    </row>
    <row r="13" spans="1:16" s="1" customFormat="1" ht="12.95" customHeight="1">
      <c r="A13" s="269"/>
      <c r="B13" s="12"/>
      <c r="C13" s="8"/>
      <c r="D13" s="8"/>
      <c r="E13" s="292">
        <v>612000</v>
      </c>
      <c r="F13" s="318"/>
      <c r="G13" s="8" t="s">
        <v>162</v>
      </c>
      <c r="H13" s="514">
        <f t="shared" ref="H13:M13" si="5">H14</f>
        <v>89570</v>
      </c>
      <c r="I13" s="514">
        <f t="shared" si="5"/>
        <v>89570</v>
      </c>
      <c r="J13" s="563">
        <v>68144</v>
      </c>
      <c r="K13" s="545">
        <f t="shared" si="5"/>
        <v>91080</v>
      </c>
      <c r="L13" s="201">
        <f t="shared" si="5"/>
        <v>0</v>
      </c>
      <c r="M13" s="546">
        <f t="shared" si="5"/>
        <v>91080</v>
      </c>
      <c r="N13" s="333">
        <f t="shared" si="2"/>
        <v>101.6858323099252</v>
      </c>
    </row>
    <row r="14" spans="1:16" ht="12.95" customHeight="1">
      <c r="B14" s="10"/>
      <c r="C14" s="11"/>
      <c r="D14" s="11"/>
      <c r="E14" s="293">
        <v>612100</v>
      </c>
      <c r="F14" s="319"/>
      <c r="G14" s="13" t="s">
        <v>83</v>
      </c>
      <c r="H14" s="515">
        <v>89570</v>
      </c>
      <c r="I14" s="515">
        <v>89570</v>
      </c>
      <c r="J14" s="564">
        <v>68144</v>
      </c>
      <c r="K14" s="547">
        <f>90080+1000</f>
        <v>91080</v>
      </c>
      <c r="L14" s="203">
        <v>0</v>
      </c>
      <c r="M14" s="548">
        <f>SUM(K14:L14)</f>
        <v>91080</v>
      </c>
      <c r="N14" s="334">
        <f t="shared" si="2"/>
        <v>101.6858323099252</v>
      </c>
    </row>
    <row r="15" spans="1:16" ht="12.95" customHeight="1">
      <c r="B15" s="10"/>
      <c r="C15" s="11"/>
      <c r="D15" s="11"/>
      <c r="E15" s="293"/>
      <c r="F15" s="319"/>
      <c r="G15" s="11"/>
      <c r="H15" s="516"/>
      <c r="I15" s="516"/>
      <c r="J15" s="566"/>
      <c r="K15" s="550"/>
      <c r="L15" s="279"/>
      <c r="M15" s="551"/>
      <c r="N15" s="334" t="str">
        <f t="shared" si="2"/>
        <v/>
      </c>
    </row>
    <row r="16" spans="1:16" s="1" customFormat="1" ht="12.95" customHeight="1">
      <c r="A16" s="269"/>
      <c r="B16" s="12"/>
      <c r="C16" s="8"/>
      <c r="D16" s="8"/>
      <c r="E16" s="292">
        <v>613000</v>
      </c>
      <c r="F16" s="318"/>
      <c r="G16" s="8" t="s">
        <v>164</v>
      </c>
      <c r="H16" s="262">
        <f t="shared" ref="H16:I16" si="6">SUM(H17:H26)</f>
        <v>211950</v>
      </c>
      <c r="I16" s="262">
        <f t="shared" si="6"/>
        <v>211950</v>
      </c>
      <c r="J16" s="565">
        <v>161668</v>
      </c>
      <c r="K16" s="552">
        <f t="shared" ref="K16:M16" si="7">SUM(K17:K26)</f>
        <v>220950</v>
      </c>
      <c r="L16" s="281">
        <f t="shared" si="7"/>
        <v>0</v>
      </c>
      <c r="M16" s="553">
        <f t="shared" si="7"/>
        <v>220950</v>
      </c>
      <c r="N16" s="333">
        <f t="shared" si="2"/>
        <v>104.24628450106157</v>
      </c>
    </row>
    <row r="17" spans="1:15" ht="12.95" customHeight="1">
      <c r="B17" s="10"/>
      <c r="C17" s="11"/>
      <c r="D17" s="11"/>
      <c r="E17" s="293">
        <v>613100</v>
      </c>
      <c r="F17" s="319"/>
      <c r="G17" s="11" t="s">
        <v>84</v>
      </c>
      <c r="H17" s="515">
        <v>5500</v>
      </c>
      <c r="I17" s="515">
        <v>5500</v>
      </c>
      <c r="J17" s="564">
        <v>3982</v>
      </c>
      <c r="K17" s="555">
        <v>5700</v>
      </c>
      <c r="L17" s="352">
        <v>0</v>
      </c>
      <c r="M17" s="548">
        <f t="shared" ref="M17:M26" si="8">SUM(K17:L17)</f>
        <v>5700</v>
      </c>
      <c r="N17" s="334">
        <f t="shared" si="2"/>
        <v>103.63636363636364</v>
      </c>
    </row>
    <row r="18" spans="1:15" ht="12.95" customHeight="1">
      <c r="B18" s="10"/>
      <c r="C18" s="11"/>
      <c r="D18" s="11"/>
      <c r="E18" s="293">
        <v>613200</v>
      </c>
      <c r="F18" s="319"/>
      <c r="G18" s="11" t="s">
        <v>85</v>
      </c>
      <c r="H18" s="515">
        <v>109400</v>
      </c>
      <c r="I18" s="515">
        <v>109400</v>
      </c>
      <c r="J18" s="564">
        <v>92689</v>
      </c>
      <c r="K18" s="554">
        <v>130000</v>
      </c>
      <c r="L18" s="350">
        <v>0</v>
      </c>
      <c r="M18" s="548">
        <f t="shared" si="8"/>
        <v>130000</v>
      </c>
      <c r="N18" s="334">
        <f t="shared" si="2"/>
        <v>118.82998171846435</v>
      </c>
    </row>
    <row r="19" spans="1:15" ht="12.95" customHeight="1">
      <c r="B19" s="10"/>
      <c r="C19" s="11"/>
      <c r="D19" s="11"/>
      <c r="E19" s="293">
        <v>613300</v>
      </c>
      <c r="F19" s="319"/>
      <c r="G19" s="18" t="s">
        <v>200</v>
      </c>
      <c r="H19" s="515">
        <v>13900</v>
      </c>
      <c r="I19" s="515">
        <v>13900</v>
      </c>
      <c r="J19" s="564">
        <v>8497</v>
      </c>
      <c r="K19" s="555">
        <v>12000</v>
      </c>
      <c r="L19" s="352">
        <v>0</v>
      </c>
      <c r="M19" s="548">
        <f t="shared" si="8"/>
        <v>12000</v>
      </c>
      <c r="N19" s="334">
        <f t="shared" si="2"/>
        <v>86.330935251798564</v>
      </c>
    </row>
    <row r="20" spans="1:15" ht="12.95" customHeight="1">
      <c r="B20" s="10"/>
      <c r="C20" s="11"/>
      <c r="D20" s="11"/>
      <c r="E20" s="293">
        <v>613400</v>
      </c>
      <c r="F20" s="319"/>
      <c r="G20" s="11" t="s">
        <v>165</v>
      </c>
      <c r="H20" s="515">
        <v>28750</v>
      </c>
      <c r="I20" s="515">
        <v>28750</v>
      </c>
      <c r="J20" s="564">
        <v>21862</v>
      </c>
      <c r="K20" s="555">
        <v>28750</v>
      </c>
      <c r="L20" s="352">
        <v>0</v>
      </c>
      <c r="M20" s="548">
        <f t="shared" si="8"/>
        <v>28750</v>
      </c>
      <c r="N20" s="334">
        <f t="shared" si="2"/>
        <v>100</v>
      </c>
    </row>
    <row r="21" spans="1:15" ht="12.95" customHeight="1">
      <c r="B21" s="10"/>
      <c r="C21" s="11"/>
      <c r="D21" s="11"/>
      <c r="E21" s="293">
        <v>613500</v>
      </c>
      <c r="F21" s="319"/>
      <c r="G21" s="11" t="s">
        <v>86</v>
      </c>
      <c r="H21" s="515">
        <v>400</v>
      </c>
      <c r="I21" s="515">
        <v>400</v>
      </c>
      <c r="J21" s="564">
        <v>204</v>
      </c>
      <c r="K21" s="555">
        <v>500</v>
      </c>
      <c r="L21" s="352">
        <v>0</v>
      </c>
      <c r="M21" s="548">
        <f t="shared" si="8"/>
        <v>500</v>
      </c>
      <c r="N21" s="334">
        <f t="shared" si="2"/>
        <v>125</v>
      </c>
    </row>
    <row r="22" spans="1:15" ht="12.95" customHeight="1">
      <c r="B22" s="10"/>
      <c r="C22" s="11"/>
      <c r="D22" s="11"/>
      <c r="E22" s="293">
        <v>613600</v>
      </c>
      <c r="F22" s="319"/>
      <c r="G22" s="18" t="s">
        <v>201</v>
      </c>
      <c r="H22" s="515">
        <f t="shared" ref="H22:I26" si="9">SUM(F22:G22)</f>
        <v>0</v>
      </c>
      <c r="I22" s="515">
        <f t="shared" si="9"/>
        <v>0</v>
      </c>
      <c r="J22" s="564">
        <v>0</v>
      </c>
      <c r="K22" s="555">
        <v>0</v>
      </c>
      <c r="L22" s="352">
        <v>0</v>
      </c>
      <c r="M22" s="548">
        <f t="shared" si="8"/>
        <v>0</v>
      </c>
      <c r="N22" s="334" t="str">
        <f t="shared" si="2"/>
        <v/>
      </c>
    </row>
    <row r="23" spans="1:15" ht="12.95" customHeight="1">
      <c r="B23" s="10"/>
      <c r="C23" s="11"/>
      <c r="D23" s="11"/>
      <c r="E23" s="293">
        <v>613700</v>
      </c>
      <c r="F23" s="319"/>
      <c r="G23" s="11" t="s">
        <v>87</v>
      </c>
      <c r="H23" s="515">
        <v>30000</v>
      </c>
      <c r="I23" s="515">
        <v>30000</v>
      </c>
      <c r="J23" s="564">
        <v>23270</v>
      </c>
      <c r="K23" s="555">
        <v>29000</v>
      </c>
      <c r="L23" s="352">
        <v>0</v>
      </c>
      <c r="M23" s="548">
        <f t="shared" si="8"/>
        <v>29000</v>
      </c>
      <c r="N23" s="334">
        <f t="shared" si="2"/>
        <v>96.666666666666671</v>
      </c>
    </row>
    <row r="24" spans="1:15" ht="12.95" customHeight="1">
      <c r="B24" s="10"/>
      <c r="C24" s="11"/>
      <c r="D24" s="11"/>
      <c r="E24" s="293">
        <v>613800</v>
      </c>
      <c r="F24" s="319"/>
      <c r="G24" s="11" t="s">
        <v>166</v>
      </c>
      <c r="H24" s="515">
        <f t="shared" si="9"/>
        <v>0</v>
      </c>
      <c r="I24" s="515">
        <f t="shared" si="9"/>
        <v>0</v>
      </c>
      <c r="J24" s="564">
        <v>0</v>
      </c>
      <c r="K24" s="555">
        <v>0</v>
      </c>
      <c r="L24" s="352">
        <v>0</v>
      </c>
      <c r="M24" s="548">
        <f t="shared" si="8"/>
        <v>0</v>
      </c>
      <c r="N24" s="334" t="str">
        <f t="shared" si="2"/>
        <v/>
      </c>
    </row>
    <row r="25" spans="1:15" ht="12.95" customHeight="1">
      <c r="B25" s="10"/>
      <c r="C25" s="11"/>
      <c r="D25" s="11"/>
      <c r="E25" s="293">
        <v>613900</v>
      </c>
      <c r="F25" s="319"/>
      <c r="G25" s="11" t="s">
        <v>167</v>
      </c>
      <c r="H25" s="515">
        <v>24000</v>
      </c>
      <c r="I25" s="515">
        <v>24000</v>
      </c>
      <c r="J25" s="564">
        <v>11164</v>
      </c>
      <c r="K25" s="555">
        <v>15000</v>
      </c>
      <c r="L25" s="352">
        <v>0</v>
      </c>
      <c r="M25" s="548">
        <f t="shared" si="8"/>
        <v>15000</v>
      </c>
      <c r="N25" s="334">
        <f t="shared" si="2"/>
        <v>62.5</v>
      </c>
    </row>
    <row r="26" spans="1:15" ht="12.95" customHeight="1">
      <c r="B26" s="10"/>
      <c r="C26" s="11"/>
      <c r="D26" s="11"/>
      <c r="E26" s="293">
        <v>613900</v>
      </c>
      <c r="F26" s="319"/>
      <c r="G26" s="180" t="s">
        <v>535</v>
      </c>
      <c r="H26" s="515">
        <f t="shared" si="9"/>
        <v>0</v>
      </c>
      <c r="I26" s="515">
        <f t="shared" si="9"/>
        <v>0</v>
      </c>
      <c r="J26" s="564">
        <v>0</v>
      </c>
      <c r="K26" s="582">
        <v>0</v>
      </c>
      <c r="L26" s="348">
        <v>0</v>
      </c>
      <c r="M26" s="548">
        <f t="shared" si="8"/>
        <v>0</v>
      </c>
      <c r="N26" s="334" t="str">
        <f t="shared" si="2"/>
        <v/>
      </c>
    </row>
    <row r="27" spans="1:15" s="1" customFormat="1" ht="12.95" customHeight="1">
      <c r="A27" s="269"/>
      <c r="B27" s="12"/>
      <c r="C27" s="8"/>
      <c r="D27" s="8"/>
      <c r="E27" s="292"/>
      <c r="F27" s="318"/>
      <c r="G27" s="8"/>
      <c r="H27" s="516"/>
      <c r="I27" s="516"/>
      <c r="J27" s="566"/>
      <c r="K27" s="556"/>
      <c r="L27" s="283"/>
      <c r="M27" s="551"/>
      <c r="N27" s="334" t="str">
        <f t="shared" si="2"/>
        <v/>
      </c>
    </row>
    <row r="28" spans="1:15" s="1" customFormat="1" ht="12.95" customHeight="1">
      <c r="A28" s="269"/>
      <c r="B28" s="12"/>
      <c r="C28" s="8"/>
      <c r="D28" s="8"/>
      <c r="E28" s="292">
        <v>821000</v>
      </c>
      <c r="F28" s="318"/>
      <c r="G28" s="8" t="s">
        <v>90</v>
      </c>
      <c r="H28" s="262">
        <f t="shared" ref="H28:I28" si="10">SUM(H29:H30)</f>
        <v>10000</v>
      </c>
      <c r="I28" s="262">
        <f t="shared" si="10"/>
        <v>10000</v>
      </c>
      <c r="J28" s="565">
        <v>9938</v>
      </c>
      <c r="K28" s="557">
        <f t="shared" ref="K28:M28" si="11">SUM(K29:K30)</f>
        <v>10000</v>
      </c>
      <c r="L28" s="282">
        <f t="shared" si="11"/>
        <v>0</v>
      </c>
      <c r="M28" s="553">
        <f t="shared" si="11"/>
        <v>10000</v>
      </c>
      <c r="N28" s="333">
        <f t="shared" si="2"/>
        <v>100</v>
      </c>
    </row>
    <row r="29" spans="1:15" ht="12.95" customHeight="1">
      <c r="B29" s="10"/>
      <c r="C29" s="11"/>
      <c r="D29" s="11"/>
      <c r="E29" s="296">
        <v>821200</v>
      </c>
      <c r="F29" s="322"/>
      <c r="G29" s="14" t="s">
        <v>91</v>
      </c>
      <c r="H29" s="515">
        <v>5000</v>
      </c>
      <c r="I29" s="515">
        <v>5000</v>
      </c>
      <c r="J29" s="564">
        <v>4938</v>
      </c>
      <c r="K29" s="556">
        <v>5000</v>
      </c>
      <c r="L29" s="283">
        <v>0</v>
      </c>
      <c r="M29" s="548">
        <f t="shared" ref="M29:M30" si="12">SUM(K29:L29)</f>
        <v>5000</v>
      </c>
      <c r="N29" s="334">
        <f t="shared" si="2"/>
        <v>100</v>
      </c>
      <c r="O29" s="48"/>
    </row>
    <row r="30" spans="1:15" ht="12.95" customHeight="1">
      <c r="B30" s="10"/>
      <c r="C30" s="11"/>
      <c r="D30" s="11"/>
      <c r="E30" s="293">
        <v>821300</v>
      </c>
      <c r="F30" s="319"/>
      <c r="G30" s="11" t="s">
        <v>92</v>
      </c>
      <c r="H30" s="515">
        <v>5000</v>
      </c>
      <c r="I30" s="515">
        <v>5000</v>
      </c>
      <c r="J30" s="564">
        <v>5000</v>
      </c>
      <c r="K30" s="556">
        <v>5000</v>
      </c>
      <c r="L30" s="283">
        <v>0</v>
      </c>
      <c r="M30" s="548">
        <f t="shared" si="12"/>
        <v>5000</v>
      </c>
      <c r="N30" s="334">
        <f t="shared" si="2"/>
        <v>100</v>
      </c>
    </row>
    <row r="31" spans="1:15" ht="12.95" customHeight="1">
      <c r="B31" s="10"/>
      <c r="C31" s="11"/>
      <c r="D31" s="11"/>
      <c r="E31" s="293"/>
      <c r="F31" s="319"/>
      <c r="G31" s="11"/>
      <c r="H31" s="516"/>
      <c r="I31" s="516"/>
      <c r="J31" s="566"/>
      <c r="K31" s="556"/>
      <c r="L31" s="283"/>
      <c r="M31" s="551"/>
      <c r="N31" s="334" t="str">
        <f t="shared" si="2"/>
        <v/>
      </c>
    </row>
    <row r="32" spans="1:15" s="1" customFormat="1" ht="12.95" customHeight="1">
      <c r="A32" s="269"/>
      <c r="B32" s="12"/>
      <c r="C32" s="8"/>
      <c r="D32" s="8"/>
      <c r="E32" s="292"/>
      <c r="F32" s="318"/>
      <c r="G32" s="8" t="s">
        <v>93</v>
      </c>
      <c r="H32" s="517" t="s">
        <v>791</v>
      </c>
      <c r="I32" s="517" t="s">
        <v>791</v>
      </c>
      <c r="J32" s="579" t="s">
        <v>827</v>
      </c>
      <c r="K32" s="580" t="s">
        <v>872</v>
      </c>
      <c r="L32" s="266"/>
      <c r="M32" s="581" t="s">
        <v>872</v>
      </c>
      <c r="N32" s="334"/>
    </row>
    <row r="33" spans="1:14" s="1" customFormat="1" ht="12.95" customHeight="1">
      <c r="A33" s="269"/>
      <c r="B33" s="12"/>
      <c r="C33" s="8"/>
      <c r="D33" s="8"/>
      <c r="E33" s="292"/>
      <c r="F33" s="318"/>
      <c r="G33" s="8" t="s">
        <v>113</v>
      </c>
      <c r="H33" s="262">
        <f t="shared" ref="H33:M33" si="13">H8+H13+H16+H28</f>
        <v>1362620</v>
      </c>
      <c r="I33" s="276">
        <f t="shared" si="13"/>
        <v>1362620</v>
      </c>
      <c r="J33" s="565">
        <f t="shared" si="13"/>
        <v>1012758</v>
      </c>
      <c r="K33" s="558">
        <f t="shared" si="13"/>
        <v>1377520</v>
      </c>
      <c r="L33" s="276">
        <f t="shared" si="13"/>
        <v>0</v>
      </c>
      <c r="M33" s="553">
        <f t="shared" si="13"/>
        <v>1377520</v>
      </c>
      <c r="N33" s="333">
        <f t="shared" si="2"/>
        <v>101.09348167500845</v>
      </c>
    </row>
    <row r="34" spans="1:14" s="1" customFormat="1" ht="12.95" customHeight="1">
      <c r="A34" s="269"/>
      <c r="B34" s="12"/>
      <c r="C34" s="8"/>
      <c r="D34" s="8"/>
      <c r="E34" s="292"/>
      <c r="F34" s="318"/>
      <c r="G34" s="8" t="s">
        <v>94</v>
      </c>
      <c r="H34" s="262"/>
      <c r="I34" s="276"/>
      <c r="J34" s="565"/>
      <c r="K34" s="558"/>
      <c r="L34" s="276"/>
      <c r="M34" s="553"/>
      <c r="N34" s="334" t="str">
        <f t="shared" si="2"/>
        <v/>
      </c>
    </row>
    <row r="35" spans="1:14" s="1" customFormat="1" ht="12.95" customHeight="1">
      <c r="A35" s="269"/>
      <c r="B35" s="12"/>
      <c r="C35" s="8"/>
      <c r="D35" s="8"/>
      <c r="E35" s="292"/>
      <c r="F35" s="318"/>
      <c r="G35" s="8" t="s">
        <v>95</v>
      </c>
      <c r="H35" s="516"/>
      <c r="I35" s="267"/>
      <c r="J35" s="566"/>
      <c r="K35" s="578"/>
      <c r="L35" s="267"/>
      <c r="M35" s="551"/>
      <c r="N35" s="334" t="str">
        <f t="shared" si="2"/>
        <v/>
      </c>
    </row>
    <row r="36" spans="1:14" ht="12.95" customHeight="1" thickBot="1">
      <c r="B36" s="15"/>
      <c r="C36" s="16"/>
      <c r="D36" s="16"/>
      <c r="E36" s="294"/>
      <c r="F36" s="320"/>
      <c r="G36" s="16"/>
      <c r="H36" s="518"/>
      <c r="I36" s="27"/>
      <c r="J36" s="567"/>
      <c r="K36" s="559"/>
      <c r="L36" s="27"/>
      <c r="M36" s="560"/>
      <c r="N36" s="336" t="str">
        <f t="shared" si="2"/>
        <v/>
      </c>
    </row>
    <row r="37" spans="1:14" ht="12.95" customHeight="1">
      <c r="E37" s="295"/>
      <c r="F37" s="321"/>
      <c r="M37" s="369"/>
      <c r="N37" s="337" t="str">
        <f t="shared" si="2"/>
        <v/>
      </c>
    </row>
    <row r="38" spans="1:14" ht="12.95" customHeight="1">
      <c r="B38" s="48"/>
      <c r="E38" s="295"/>
      <c r="F38" s="321"/>
      <c r="M38" s="369"/>
      <c r="N38" s="337" t="str">
        <f t="shared" si="2"/>
        <v/>
      </c>
    </row>
    <row r="39" spans="1:14" ht="12.95" customHeight="1">
      <c r="B39" s="48"/>
      <c r="E39" s="295"/>
      <c r="F39" s="321"/>
      <c r="M39" s="369"/>
      <c r="N39" s="337" t="str">
        <f t="shared" si="2"/>
        <v/>
      </c>
    </row>
    <row r="40" spans="1:14" ht="12.95" customHeight="1">
      <c r="B40" s="48"/>
      <c r="E40" s="295"/>
      <c r="F40" s="321"/>
      <c r="M40" s="369"/>
      <c r="N40" s="337" t="str">
        <f t="shared" si="2"/>
        <v/>
      </c>
    </row>
    <row r="41" spans="1:14" ht="12.95" customHeight="1">
      <c r="B41" s="48"/>
      <c r="E41" s="295"/>
      <c r="F41" s="321"/>
      <c r="M41" s="369"/>
      <c r="N41" s="337" t="str">
        <f t="shared" si="2"/>
        <v/>
      </c>
    </row>
    <row r="42" spans="1:14" ht="12.95" customHeight="1">
      <c r="B42" s="48"/>
      <c r="E42" s="295"/>
      <c r="F42" s="321"/>
      <c r="M42" s="369"/>
      <c r="N42" s="337" t="str">
        <f t="shared" si="2"/>
        <v/>
      </c>
    </row>
    <row r="43" spans="1:14" ht="12.95" customHeight="1">
      <c r="E43" s="295"/>
      <c r="F43" s="321"/>
      <c r="M43" s="369"/>
      <c r="N43" s="337" t="str">
        <f t="shared" si="2"/>
        <v/>
      </c>
    </row>
    <row r="44" spans="1:14" ht="12.95" customHeight="1">
      <c r="E44" s="295"/>
      <c r="F44" s="321"/>
      <c r="M44" s="369"/>
      <c r="N44" s="337" t="str">
        <f t="shared" si="2"/>
        <v/>
      </c>
    </row>
    <row r="45" spans="1:14" ht="12.95" customHeight="1">
      <c r="E45" s="295"/>
      <c r="F45" s="321"/>
      <c r="M45" s="369"/>
      <c r="N45" s="337" t="str">
        <f t="shared" si="2"/>
        <v/>
      </c>
    </row>
    <row r="46" spans="1:14" ht="12.95" customHeight="1">
      <c r="E46" s="295"/>
      <c r="F46" s="321"/>
      <c r="M46" s="369"/>
      <c r="N46" s="337" t="str">
        <f t="shared" si="2"/>
        <v/>
      </c>
    </row>
    <row r="47" spans="1:14" ht="12.95" customHeight="1">
      <c r="E47" s="295"/>
      <c r="F47" s="321"/>
      <c r="M47" s="369"/>
      <c r="N47" s="337" t="str">
        <f t="shared" si="2"/>
        <v/>
      </c>
    </row>
    <row r="48" spans="1:14" ht="12.95" customHeight="1">
      <c r="E48" s="295"/>
      <c r="F48" s="321"/>
      <c r="M48" s="369"/>
      <c r="N48" s="337" t="str">
        <f t="shared" si="2"/>
        <v/>
      </c>
    </row>
    <row r="49" spans="5:14" ht="12.95" customHeight="1">
      <c r="E49" s="295"/>
      <c r="F49" s="321"/>
      <c r="M49" s="369"/>
      <c r="N49" s="337" t="str">
        <f t="shared" si="2"/>
        <v/>
      </c>
    </row>
    <row r="50" spans="5:14" ht="12.95" customHeight="1">
      <c r="E50" s="295"/>
      <c r="F50" s="321"/>
      <c r="M50" s="369"/>
      <c r="N50" s="337" t="str">
        <f t="shared" si="2"/>
        <v/>
      </c>
    </row>
    <row r="51" spans="5:14" ht="12.95" customHeight="1">
      <c r="E51" s="295"/>
      <c r="F51" s="321"/>
      <c r="M51" s="369"/>
      <c r="N51" s="337" t="str">
        <f t="shared" si="2"/>
        <v/>
      </c>
    </row>
    <row r="52" spans="5:14" ht="12.95" customHeight="1">
      <c r="E52" s="295"/>
      <c r="F52" s="321"/>
      <c r="M52" s="369"/>
      <c r="N52" s="337" t="str">
        <f t="shared" si="2"/>
        <v/>
      </c>
    </row>
    <row r="53" spans="5:14" ht="12.95" customHeight="1">
      <c r="E53" s="295"/>
      <c r="F53" s="321"/>
      <c r="M53" s="369"/>
      <c r="N53" s="337" t="str">
        <f t="shared" si="2"/>
        <v/>
      </c>
    </row>
    <row r="54" spans="5:14" ht="12.95" customHeight="1">
      <c r="E54" s="295"/>
      <c r="F54" s="321"/>
      <c r="M54" s="369"/>
      <c r="N54" s="337" t="str">
        <f t="shared" si="2"/>
        <v/>
      </c>
    </row>
    <row r="55" spans="5:14" ht="12.95" customHeight="1">
      <c r="E55" s="295"/>
      <c r="F55" s="321"/>
      <c r="M55" s="369"/>
      <c r="N55" s="337" t="str">
        <f t="shared" si="2"/>
        <v/>
      </c>
    </row>
    <row r="56" spans="5:14" ht="12.95" customHeight="1">
      <c r="E56" s="295"/>
      <c r="F56" s="321"/>
      <c r="M56" s="369"/>
      <c r="N56" s="337" t="str">
        <f t="shared" si="2"/>
        <v/>
      </c>
    </row>
    <row r="57" spans="5:14" ht="12.95" customHeight="1">
      <c r="E57" s="295"/>
      <c r="F57" s="321"/>
      <c r="M57" s="369"/>
      <c r="N57" s="337" t="str">
        <f t="shared" si="2"/>
        <v/>
      </c>
    </row>
    <row r="58" spans="5:14" ht="12.95" customHeight="1">
      <c r="E58" s="295"/>
      <c r="F58" s="321"/>
      <c r="M58" s="369"/>
      <c r="N58" s="337" t="str">
        <f t="shared" si="2"/>
        <v/>
      </c>
    </row>
    <row r="59" spans="5:14" ht="12.95" customHeight="1">
      <c r="E59" s="295"/>
      <c r="F59" s="321"/>
      <c r="M59" s="369"/>
      <c r="N59" s="337" t="str">
        <f t="shared" si="2"/>
        <v/>
      </c>
    </row>
    <row r="60" spans="5:14" ht="17.100000000000001" customHeight="1">
      <c r="E60" s="295"/>
      <c r="F60" s="321"/>
      <c r="M60" s="369"/>
      <c r="N60" s="337" t="str">
        <f t="shared" si="2"/>
        <v/>
      </c>
    </row>
    <row r="61" spans="5:14" ht="14.25">
      <c r="E61" s="295"/>
      <c r="F61" s="321"/>
      <c r="M61" s="369"/>
      <c r="N61" s="337" t="str">
        <f t="shared" si="2"/>
        <v/>
      </c>
    </row>
    <row r="62" spans="5:14" ht="14.25">
      <c r="E62" s="295"/>
      <c r="F62" s="321"/>
      <c r="M62" s="369"/>
      <c r="N62" s="337" t="str">
        <f t="shared" si="2"/>
        <v/>
      </c>
    </row>
    <row r="63" spans="5:14" ht="14.25">
      <c r="E63" s="295"/>
      <c r="F63" s="321"/>
      <c r="M63" s="369"/>
      <c r="N63" s="337" t="str">
        <f t="shared" si="2"/>
        <v/>
      </c>
    </row>
    <row r="64" spans="5:14" ht="14.25">
      <c r="E64" s="295"/>
      <c r="F64" s="321"/>
      <c r="M64" s="369"/>
      <c r="N64" s="337" t="str">
        <f t="shared" si="2"/>
        <v/>
      </c>
    </row>
    <row r="65" spans="5:14" ht="14.25">
      <c r="E65" s="295"/>
      <c r="F65" s="321"/>
      <c r="M65" s="369"/>
      <c r="N65" s="337" t="str">
        <f t="shared" si="2"/>
        <v/>
      </c>
    </row>
    <row r="66" spans="5:14" ht="14.25">
      <c r="E66" s="295"/>
      <c r="F66" s="321"/>
      <c r="M66" s="369"/>
      <c r="N66" s="337" t="str">
        <f t="shared" si="2"/>
        <v/>
      </c>
    </row>
    <row r="67" spans="5:14" ht="14.25">
      <c r="E67" s="295"/>
      <c r="F67" s="321"/>
      <c r="M67" s="369"/>
      <c r="N67" s="337" t="str">
        <f t="shared" si="2"/>
        <v/>
      </c>
    </row>
    <row r="68" spans="5:14" ht="14.25">
      <c r="E68" s="295"/>
      <c r="F68" s="321"/>
      <c r="M68" s="369"/>
      <c r="N68" s="337" t="str">
        <f t="shared" si="2"/>
        <v/>
      </c>
    </row>
    <row r="69" spans="5:14" ht="14.25">
      <c r="E69" s="295"/>
      <c r="F69" s="321"/>
      <c r="M69" s="369"/>
      <c r="N69" s="337" t="str">
        <f t="shared" si="2"/>
        <v/>
      </c>
    </row>
    <row r="70" spans="5:14" ht="14.25">
      <c r="E70" s="295"/>
      <c r="F70" s="321"/>
      <c r="M70" s="369"/>
      <c r="N70" s="337" t="str">
        <f t="shared" si="2"/>
        <v/>
      </c>
    </row>
    <row r="71" spans="5:14" ht="14.25">
      <c r="E71" s="295"/>
      <c r="F71" s="321"/>
      <c r="M71" s="369"/>
      <c r="N71" s="337" t="str">
        <f t="shared" si="2"/>
        <v/>
      </c>
    </row>
    <row r="72" spans="5:14" ht="14.25">
      <c r="E72" s="295"/>
      <c r="F72" s="321"/>
      <c r="M72" s="369"/>
      <c r="N72" s="337" t="str">
        <f t="shared" si="2"/>
        <v/>
      </c>
    </row>
    <row r="73" spans="5:14" ht="14.25">
      <c r="E73" s="295"/>
      <c r="F73" s="321"/>
      <c r="M73" s="369"/>
      <c r="N73" s="337" t="str">
        <f t="shared" ref="N73:N77" si="14">IF(I73=0,"",M73/I73*100)</f>
        <v/>
      </c>
    </row>
    <row r="74" spans="5:14" ht="14.25">
      <c r="E74" s="295"/>
      <c r="F74" s="295"/>
      <c r="M74" s="369"/>
      <c r="N74" s="337" t="str">
        <f t="shared" si="14"/>
        <v/>
      </c>
    </row>
    <row r="75" spans="5:14" ht="14.25">
      <c r="E75" s="295"/>
      <c r="F75" s="295"/>
      <c r="M75" s="369"/>
      <c r="N75" s="337" t="str">
        <f t="shared" si="14"/>
        <v/>
      </c>
    </row>
    <row r="76" spans="5:14" ht="14.25">
      <c r="E76" s="295"/>
      <c r="F76" s="295"/>
      <c r="M76" s="369"/>
      <c r="N76" s="337" t="str">
        <f t="shared" si="14"/>
        <v/>
      </c>
    </row>
    <row r="77" spans="5:14" ht="14.25">
      <c r="E77" s="295"/>
      <c r="F77" s="295"/>
      <c r="M77" s="369"/>
      <c r="N77" s="337" t="str">
        <f t="shared" si="14"/>
        <v/>
      </c>
    </row>
    <row r="78" spans="5:14" ht="14.25">
      <c r="E78" s="295"/>
      <c r="F78" s="295"/>
      <c r="M78" s="369"/>
    </row>
    <row r="79" spans="5:14" ht="14.25">
      <c r="E79" s="295"/>
      <c r="F79" s="295"/>
      <c r="M79" s="369"/>
    </row>
    <row r="80" spans="5:14" ht="14.25">
      <c r="E80" s="295"/>
      <c r="F80" s="295"/>
      <c r="M80" s="369"/>
    </row>
    <row r="81" spans="5:13" ht="14.25">
      <c r="E81" s="295"/>
      <c r="F81" s="295"/>
      <c r="M81" s="369"/>
    </row>
    <row r="82" spans="5:13" ht="14.25">
      <c r="E82" s="295"/>
      <c r="F82" s="295"/>
      <c r="M82" s="369"/>
    </row>
    <row r="83" spans="5:13" ht="14.25">
      <c r="E83" s="295"/>
      <c r="F83" s="295"/>
      <c r="M83" s="369"/>
    </row>
    <row r="84" spans="5:13" ht="14.25">
      <c r="E84" s="295"/>
      <c r="F84" s="295"/>
      <c r="M84" s="369"/>
    </row>
    <row r="85" spans="5:13" ht="14.25">
      <c r="E85" s="295"/>
      <c r="F85" s="295"/>
      <c r="M85" s="369"/>
    </row>
    <row r="86" spans="5:13" ht="14.25">
      <c r="E86" s="295"/>
      <c r="F86" s="295"/>
      <c r="M86" s="369"/>
    </row>
    <row r="87" spans="5:13" ht="14.25">
      <c r="E87" s="295"/>
      <c r="F87" s="295"/>
      <c r="M87" s="369"/>
    </row>
    <row r="88" spans="5:13" ht="14.25">
      <c r="E88" s="295"/>
      <c r="F88" s="295"/>
      <c r="M88" s="369"/>
    </row>
    <row r="89" spans="5:13" ht="14.25">
      <c r="E89" s="295"/>
      <c r="F89" s="295"/>
      <c r="M89" s="369"/>
    </row>
    <row r="90" spans="5:13" ht="14.25">
      <c r="E90" s="295"/>
      <c r="F90" s="295"/>
      <c r="M90" s="369"/>
    </row>
    <row r="91" spans="5:13">
      <c r="F91" s="295"/>
    </row>
    <row r="92" spans="5:13">
      <c r="F92" s="295"/>
    </row>
    <row r="93" spans="5:13">
      <c r="F93" s="295"/>
    </row>
    <row r="94" spans="5:13">
      <c r="F94" s="295"/>
    </row>
    <row r="95" spans="5:13">
      <c r="F95" s="295"/>
    </row>
    <row r="96" spans="5:13">
      <c r="F96" s="295"/>
    </row>
  </sheetData>
  <mergeCells count="12">
    <mergeCell ref="B2:H2"/>
    <mergeCell ref="N4:N5"/>
    <mergeCell ref="G4:G5"/>
    <mergeCell ref="B4:B5"/>
    <mergeCell ref="C4:C5"/>
    <mergeCell ref="D4:D5"/>
    <mergeCell ref="F4:F5"/>
    <mergeCell ref="E4:E5"/>
    <mergeCell ref="K4:M4"/>
    <mergeCell ref="H4:H5"/>
    <mergeCell ref="I4:I5"/>
    <mergeCell ref="J4:J5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33"/>
  <dimension ref="A1:P96"/>
  <sheetViews>
    <sheetView zoomScaleNormal="100" zoomScaleSheetLayoutView="100" workbookViewId="0">
      <selection activeCell="K10" sqref="K10"/>
    </sheetView>
  </sheetViews>
  <sheetFormatPr defaultRowHeight="12.75"/>
  <cols>
    <col min="1" max="1" width="9.140625" style="272"/>
    <col min="2" max="2" width="4.7109375" style="9" customWidth="1"/>
    <col min="3" max="3" width="5.140625" style="9" customWidth="1"/>
    <col min="4" max="4" width="5" style="9" customWidth="1"/>
    <col min="5" max="5" width="8.7109375" style="17" customWidth="1"/>
    <col min="6" max="6" width="8.7109375" style="277" customWidth="1"/>
    <col min="7" max="7" width="50.7109375" style="9" customWidth="1"/>
    <col min="8" max="8" width="14.7109375" style="510" customWidth="1"/>
    <col min="9" max="9" width="14.7109375" style="272" customWidth="1"/>
    <col min="10" max="10" width="15.7109375" style="510" customWidth="1"/>
    <col min="11" max="12" width="14.7109375" style="272" customWidth="1"/>
    <col min="13" max="13" width="15.7109375" style="272" customWidth="1"/>
    <col min="14" max="14" width="7.7109375" style="337" customWidth="1"/>
    <col min="15" max="15" width="9.140625" style="9"/>
    <col min="16" max="16" width="9.5703125" style="9" bestFit="1" customWidth="1"/>
    <col min="17" max="16384" width="9.140625" style="9"/>
  </cols>
  <sheetData>
    <row r="1" spans="1:16" ht="13.5" thickBot="1"/>
    <row r="2" spans="1:16" s="93" customFormat="1" ht="20.100000000000001" customHeight="1" thickTop="1" thickBot="1">
      <c r="A2" s="363"/>
      <c r="B2" s="725" t="s">
        <v>269</v>
      </c>
      <c r="C2" s="726"/>
      <c r="D2" s="726"/>
      <c r="E2" s="726"/>
      <c r="F2" s="726"/>
      <c r="G2" s="726"/>
      <c r="H2" s="509"/>
      <c r="I2" s="365"/>
      <c r="J2" s="509"/>
      <c r="K2" s="365"/>
      <c r="L2" s="365"/>
      <c r="M2" s="365"/>
      <c r="N2" s="367"/>
    </row>
    <row r="3" spans="1:16" s="1" customFormat="1" ht="8.1" customHeight="1" thickTop="1" thickBot="1">
      <c r="A3" s="269"/>
      <c r="E3" s="2"/>
      <c r="F3" s="270"/>
      <c r="G3" s="488"/>
      <c r="H3" s="511"/>
      <c r="I3" s="87"/>
      <c r="J3" s="511"/>
      <c r="K3" s="87"/>
      <c r="L3" s="87"/>
      <c r="M3" s="87"/>
      <c r="N3" s="331"/>
    </row>
    <row r="4" spans="1:16" s="1" customFormat="1" ht="39" customHeight="1">
      <c r="A4" s="269"/>
      <c r="B4" s="728" t="s">
        <v>78</v>
      </c>
      <c r="C4" s="746" t="s">
        <v>79</v>
      </c>
      <c r="D4" s="747" t="s">
        <v>110</v>
      </c>
      <c r="E4" s="748" t="s">
        <v>594</v>
      </c>
      <c r="F4" s="733" t="s">
        <v>650</v>
      </c>
      <c r="G4" s="734" t="s">
        <v>80</v>
      </c>
      <c r="H4" s="740" t="s">
        <v>644</v>
      </c>
      <c r="I4" s="742" t="s">
        <v>821</v>
      </c>
      <c r="J4" s="744" t="s">
        <v>822</v>
      </c>
      <c r="K4" s="749" t="s">
        <v>863</v>
      </c>
      <c r="L4" s="738"/>
      <c r="M4" s="739"/>
      <c r="N4" s="735" t="s">
        <v>823</v>
      </c>
    </row>
    <row r="5" spans="1:16" s="269" customFormat="1" ht="27" customHeight="1">
      <c r="B5" s="729"/>
      <c r="C5" s="731"/>
      <c r="D5" s="731"/>
      <c r="E5" s="722"/>
      <c r="F5" s="731"/>
      <c r="G5" s="722"/>
      <c r="H5" s="741"/>
      <c r="I5" s="743"/>
      <c r="J5" s="745"/>
      <c r="K5" s="540" t="s">
        <v>701</v>
      </c>
      <c r="L5" s="359" t="s">
        <v>702</v>
      </c>
      <c r="M5" s="541" t="s">
        <v>413</v>
      </c>
      <c r="N5" s="736"/>
    </row>
    <row r="6" spans="1:16" s="2" customFormat="1" ht="12.95" customHeight="1">
      <c r="A6" s="270"/>
      <c r="B6" s="464">
        <v>1</v>
      </c>
      <c r="C6" s="318">
        <v>2</v>
      </c>
      <c r="D6" s="318">
        <v>3</v>
      </c>
      <c r="E6" s="318">
        <v>4</v>
      </c>
      <c r="F6" s="318">
        <v>5</v>
      </c>
      <c r="G6" s="318">
        <v>6</v>
      </c>
      <c r="H6" s="512">
        <v>7</v>
      </c>
      <c r="I6" s="318">
        <v>8</v>
      </c>
      <c r="J6" s="561">
        <v>9</v>
      </c>
      <c r="K6" s="464">
        <v>10</v>
      </c>
      <c r="L6" s="318">
        <v>11</v>
      </c>
      <c r="M6" s="542" t="s">
        <v>703</v>
      </c>
      <c r="N6" s="465">
        <v>13</v>
      </c>
    </row>
    <row r="7" spans="1:16" s="2" customFormat="1" ht="12.95" customHeight="1">
      <c r="A7" s="270"/>
      <c r="B7" s="74" t="s">
        <v>143</v>
      </c>
      <c r="C7" s="75" t="s">
        <v>132</v>
      </c>
      <c r="D7" s="75" t="s">
        <v>125</v>
      </c>
      <c r="E7" s="5"/>
      <c r="F7" s="271"/>
      <c r="G7" s="5"/>
      <c r="H7" s="513"/>
      <c r="I7" s="271"/>
      <c r="J7" s="568"/>
      <c r="K7" s="4"/>
      <c r="L7" s="271"/>
      <c r="M7" s="570"/>
      <c r="N7" s="332"/>
    </row>
    <row r="8" spans="1:16" s="1" customFormat="1" ht="12.95" customHeight="1">
      <c r="A8" s="269"/>
      <c r="B8" s="12"/>
      <c r="C8" s="8"/>
      <c r="D8" s="8"/>
      <c r="E8" s="292">
        <v>611000</v>
      </c>
      <c r="F8" s="318"/>
      <c r="G8" s="8" t="s">
        <v>163</v>
      </c>
      <c r="H8" s="514">
        <f t="shared" ref="H8:I8" si="0">SUM(H9:H12)</f>
        <v>868100</v>
      </c>
      <c r="I8" s="514">
        <f t="shared" si="0"/>
        <v>868100</v>
      </c>
      <c r="J8" s="563">
        <v>625440</v>
      </c>
      <c r="K8" s="545">
        <f t="shared" ref="K8:M8" si="1">SUM(K9:K12)</f>
        <v>854750</v>
      </c>
      <c r="L8" s="201">
        <f t="shared" si="1"/>
        <v>0</v>
      </c>
      <c r="M8" s="546">
        <f t="shared" si="1"/>
        <v>854750</v>
      </c>
      <c r="N8" s="333">
        <f>IF(I8=0,"",M8/I8*100)</f>
        <v>98.462158737472635</v>
      </c>
    </row>
    <row r="9" spans="1:16" ht="12.95" customHeight="1">
      <c r="B9" s="10"/>
      <c r="C9" s="11"/>
      <c r="D9" s="11"/>
      <c r="E9" s="293">
        <v>611100</v>
      </c>
      <c r="F9" s="319"/>
      <c r="G9" s="18" t="s">
        <v>198</v>
      </c>
      <c r="H9" s="515">
        <v>705000</v>
      </c>
      <c r="I9" s="515">
        <v>705000</v>
      </c>
      <c r="J9" s="564">
        <v>519311</v>
      </c>
      <c r="K9" s="547">
        <f>698810+3500</f>
        <v>702310</v>
      </c>
      <c r="L9" s="203">
        <v>0</v>
      </c>
      <c r="M9" s="548">
        <f>SUM(K9:L9)</f>
        <v>702310</v>
      </c>
      <c r="N9" s="334">
        <f t="shared" ref="N9:N72" si="2">IF(I9=0,"",M9/I9*100)</f>
        <v>99.618439716312054</v>
      </c>
      <c r="O9" s="48"/>
    </row>
    <row r="10" spans="1:16" ht="12.95" customHeight="1">
      <c r="B10" s="10"/>
      <c r="C10" s="11"/>
      <c r="D10" s="11"/>
      <c r="E10" s="293">
        <v>611200</v>
      </c>
      <c r="F10" s="319"/>
      <c r="G10" s="11" t="s">
        <v>199</v>
      </c>
      <c r="H10" s="515">
        <v>163100</v>
      </c>
      <c r="I10" s="515">
        <v>163100</v>
      </c>
      <c r="J10" s="564">
        <v>106129</v>
      </c>
      <c r="K10" s="547">
        <f>141190+1000+41*250</f>
        <v>152440</v>
      </c>
      <c r="L10" s="203">
        <v>0</v>
      </c>
      <c r="M10" s="548">
        <f t="shared" ref="M10:M11" si="3">SUM(K10:L10)</f>
        <v>152440</v>
      </c>
      <c r="N10" s="334">
        <f t="shared" si="2"/>
        <v>93.464132434089521</v>
      </c>
    </row>
    <row r="11" spans="1:16" ht="12.95" customHeight="1">
      <c r="B11" s="10"/>
      <c r="C11" s="11"/>
      <c r="D11" s="11"/>
      <c r="E11" s="293">
        <v>611200</v>
      </c>
      <c r="F11" s="319"/>
      <c r="G11" s="180" t="s">
        <v>534</v>
      </c>
      <c r="H11" s="515">
        <f t="shared" ref="H11:I11" si="4">SUM(F11:G11)</f>
        <v>0</v>
      </c>
      <c r="I11" s="515">
        <f t="shared" si="4"/>
        <v>0</v>
      </c>
      <c r="J11" s="564">
        <v>0</v>
      </c>
      <c r="K11" s="549">
        <v>0</v>
      </c>
      <c r="L11" s="200">
        <v>0</v>
      </c>
      <c r="M11" s="548">
        <f t="shared" si="3"/>
        <v>0</v>
      </c>
      <c r="N11" s="334" t="str">
        <f t="shared" si="2"/>
        <v/>
      </c>
      <c r="P11" s="53"/>
    </row>
    <row r="12" spans="1:16" ht="12.95" customHeight="1">
      <c r="B12" s="10"/>
      <c r="C12" s="11"/>
      <c r="D12" s="11"/>
      <c r="E12" s="293"/>
      <c r="F12" s="319"/>
      <c r="G12" s="18"/>
      <c r="H12" s="515"/>
      <c r="I12" s="515"/>
      <c r="J12" s="564"/>
      <c r="K12" s="547"/>
      <c r="L12" s="203"/>
      <c r="M12" s="548"/>
      <c r="N12" s="334" t="str">
        <f t="shared" si="2"/>
        <v/>
      </c>
    </row>
    <row r="13" spans="1:16" s="1" customFormat="1" ht="12.95" customHeight="1">
      <c r="A13" s="269"/>
      <c r="B13" s="12"/>
      <c r="C13" s="8"/>
      <c r="D13" s="8"/>
      <c r="E13" s="292">
        <v>612000</v>
      </c>
      <c r="F13" s="318"/>
      <c r="G13" s="8" t="s">
        <v>162</v>
      </c>
      <c r="H13" s="514">
        <f t="shared" ref="H13:M13" si="5">H14</f>
        <v>76640</v>
      </c>
      <c r="I13" s="514">
        <f t="shared" si="5"/>
        <v>76640</v>
      </c>
      <c r="J13" s="563">
        <v>55804</v>
      </c>
      <c r="K13" s="545">
        <f t="shared" si="5"/>
        <v>75690</v>
      </c>
      <c r="L13" s="201">
        <f t="shared" si="5"/>
        <v>0</v>
      </c>
      <c r="M13" s="546">
        <f t="shared" si="5"/>
        <v>75690</v>
      </c>
      <c r="N13" s="333">
        <f t="shared" si="2"/>
        <v>98.760438413361172</v>
      </c>
    </row>
    <row r="14" spans="1:16" ht="12.95" customHeight="1">
      <c r="B14" s="10"/>
      <c r="C14" s="11"/>
      <c r="D14" s="11"/>
      <c r="E14" s="293">
        <v>612100</v>
      </c>
      <c r="F14" s="319"/>
      <c r="G14" s="13" t="s">
        <v>83</v>
      </c>
      <c r="H14" s="515">
        <v>76640</v>
      </c>
      <c r="I14" s="515">
        <v>76640</v>
      </c>
      <c r="J14" s="564">
        <v>55804</v>
      </c>
      <c r="K14" s="547">
        <f>74890+800</f>
        <v>75690</v>
      </c>
      <c r="L14" s="203">
        <v>0</v>
      </c>
      <c r="M14" s="548">
        <f>SUM(K14:L14)</f>
        <v>75690</v>
      </c>
      <c r="N14" s="334">
        <f t="shared" si="2"/>
        <v>98.760438413361172</v>
      </c>
    </row>
    <row r="15" spans="1:16" ht="12.95" customHeight="1">
      <c r="B15" s="10"/>
      <c r="C15" s="11"/>
      <c r="D15" s="11"/>
      <c r="E15" s="293"/>
      <c r="F15" s="319"/>
      <c r="G15" s="11"/>
      <c r="H15" s="516"/>
      <c r="I15" s="516"/>
      <c r="J15" s="566"/>
      <c r="K15" s="550"/>
      <c r="L15" s="279"/>
      <c r="M15" s="551"/>
      <c r="N15" s="334" t="str">
        <f t="shared" si="2"/>
        <v/>
      </c>
    </row>
    <row r="16" spans="1:16" s="1" customFormat="1" ht="12.95" customHeight="1">
      <c r="A16" s="269"/>
      <c r="B16" s="12"/>
      <c r="C16" s="8"/>
      <c r="D16" s="8"/>
      <c r="E16" s="292">
        <v>613000</v>
      </c>
      <c r="F16" s="318"/>
      <c r="G16" s="8" t="s">
        <v>164</v>
      </c>
      <c r="H16" s="262">
        <f t="shared" ref="H16:I16" si="6">SUM(H17:H27)</f>
        <v>123200</v>
      </c>
      <c r="I16" s="262">
        <f t="shared" si="6"/>
        <v>123200</v>
      </c>
      <c r="J16" s="565">
        <v>74205</v>
      </c>
      <c r="K16" s="552">
        <f t="shared" ref="K16:M16" si="7">SUM(K17:K27)</f>
        <v>126200</v>
      </c>
      <c r="L16" s="281">
        <f t="shared" si="7"/>
        <v>0</v>
      </c>
      <c r="M16" s="553">
        <f t="shared" si="7"/>
        <v>126200</v>
      </c>
      <c r="N16" s="333">
        <f t="shared" si="2"/>
        <v>102.43506493506493</v>
      </c>
    </row>
    <row r="17" spans="1:15" ht="12.95" customHeight="1">
      <c r="B17" s="10"/>
      <c r="C17" s="11"/>
      <c r="D17" s="11"/>
      <c r="E17" s="293">
        <v>613100</v>
      </c>
      <c r="F17" s="319"/>
      <c r="G17" s="11" t="s">
        <v>84</v>
      </c>
      <c r="H17" s="515">
        <v>4000</v>
      </c>
      <c r="I17" s="515">
        <v>4000</v>
      </c>
      <c r="J17" s="564">
        <v>2540</v>
      </c>
      <c r="K17" s="555">
        <v>4000</v>
      </c>
      <c r="L17" s="352">
        <v>0</v>
      </c>
      <c r="M17" s="548">
        <f t="shared" ref="M17:M27" si="8">SUM(K17:L17)</f>
        <v>4000</v>
      </c>
      <c r="N17" s="334">
        <f t="shared" si="2"/>
        <v>100</v>
      </c>
    </row>
    <row r="18" spans="1:15" ht="12.95" customHeight="1">
      <c r="B18" s="10"/>
      <c r="C18" s="11"/>
      <c r="D18" s="11"/>
      <c r="E18" s="293">
        <v>613200</v>
      </c>
      <c r="F18" s="319"/>
      <c r="G18" s="11" t="s">
        <v>85</v>
      </c>
      <c r="H18" s="515">
        <v>55000</v>
      </c>
      <c r="I18" s="515">
        <v>55000</v>
      </c>
      <c r="J18" s="564">
        <v>28618</v>
      </c>
      <c r="K18" s="554">
        <v>55000</v>
      </c>
      <c r="L18" s="350">
        <v>0</v>
      </c>
      <c r="M18" s="548">
        <f t="shared" si="8"/>
        <v>55000</v>
      </c>
      <c r="N18" s="334">
        <f t="shared" si="2"/>
        <v>100</v>
      </c>
    </row>
    <row r="19" spans="1:15" ht="12.95" customHeight="1">
      <c r="B19" s="10"/>
      <c r="C19" s="11"/>
      <c r="D19" s="11"/>
      <c r="E19" s="293">
        <v>613300</v>
      </c>
      <c r="F19" s="319"/>
      <c r="G19" s="18" t="s">
        <v>200</v>
      </c>
      <c r="H19" s="515">
        <v>7500</v>
      </c>
      <c r="I19" s="515">
        <v>7500</v>
      </c>
      <c r="J19" s="564">
        <v>4396</v>
      </c>
      <c r="K19" s="554">
        <v>6500</v>
      </c>
      <c r="L19" s="350">
        <v>0</v>
      </c>
      <c r="M19" s="548">
        <f t="shared" si="8"/>
        <v>6500</v>
      </c>
      <c r="N19" s="334">
        <f t="shared" si="2"/>
        <v>86.666666666666671</v>
      </c>
    </row>
    <row r="20" spans="1:15" ht="12.95" customHeight="1">
      <c r="B20" s="10"/>
      <c r="C20" s="11"/>
      <c r="D20" s="11"/>
      <c r="E20" s="293">
        <v>613400</v>
      </c>
      <c r="F20" s="319"/>
      <c r="G20" s="11" t="s">
        <v>165</v>
      </c>
      <c r="H20" s="515">
        <v>16200</v>
      </c>
      <c r="I20" s="515">
        <v>16200</v>
      </c>
      <c r="J20" s="564">
        <v>13624</v>
      </c>
      <c r="K20" s="554">
        <v>16200</v>
      </c>
      <c r="L20" s="350">
        <v>0</v>
      </c>
      <c r="M20" s="548">
        <f t="shared" si="8"/>
        <v>16200</v>
      </c>
      <c r="N20" s="334">
        <f t="shared" si="2"/>
        <v>100</v>
      </c>
    </row>
    <row r="21" spans="1:15" ht="12.95" customHeight="1">
      <c r="B21" s="10"/>
      <c r="C21" s="11"/>
      <c r="D21" s="11"/>
      <c r="E21" s="293">
        <v>613500</v>
      </c>
      <c r="F21" s="319"/>
      <c r="G21" s="11" t="s">
        <v>86</v>
      </c>
      <c r="H21" s="515">
        <v>3000</v>
      </c>
      <c r="I21" s="515">
        <v>3000</v>
      </c>
      <c r="J21" s="564">
        <v>2582</v>
      </c>
      <c r="K21" s="555">
        <v>3000</v>
      </c>
      <c r="L21" s="352">
        <v>0</v>
      </c>
      <c r="M21" s="548">
        <f t="shared" si="8"/>
        <v>3000</v>
      </c>
      <c r="N21" s="334">
        <f t="shared" si="2"/>
        <v>100</v>
      </c>
    </row>
    <row r="22" spans="1:15" ht="12.95" customHeight="1">
      <c r="B22" s="10"/>
      <c r="C22" s="11"/>
      <c r="D22" s="11"/>
      <c r="E22" s="293">
        <v>613600</v>
      </c>
      <c r="F22" s="319"/>
      <c r="G22" s="18" t="s">
        <v>201</v>
      </c>
      <c r="H22" s="515">
        <f t="shared" ref="H22:I27" si="9">SUM(F22:G22)</f>
        <v>0</v>
      </c>
      <c r="I22" s="515">
        <f t="shared" si="9"/>
        <v>0</v>
      </c>
      <c r="J22" s="564">
        <v>0</v>
      </c>
      <c r="K22" s="555">
        <v>0</v>
      </c>
      <c r="L22" s="352">
        <v>0</v>
      </c>
      <c r="M22" s="548">
        <f t="shared" si="8"/>
        <v>0</v>
      </c>
      <c r="N22" s="334" t="str">
        <f t="shared" si="2"/>
        <v/>
      </c>
    </row>
    <row r="23" spans="1:15" ht="12.95" customHeight="1">
      <c r="B23" s="10"/>
      <c r="C23" s="11"/>
      <c r="D23" s="11"/>
      <c r="E23" s="293">
        <v>613700</v>
      </c>
      <c r="F23" s="319"/>
      <c r="G23" s="11" t="s">
        <v>87</v>
      </c>
      <c r="H23" s="515">
        <v>14000</v>
      </c>
      <c r="I23" s="515">
        <v>14000</v>
      </c>
      <c r="J23" s="564">
        <v>8904</v>
      </c>
      <c r="K23" s="555">
        <v>14000</v>
      </c>
      <c r="L23" s="352">
        <v>0</v>
      </c>
      <c r="M23" s="548">
        <f t="shared" si="8"/>
        <v>14000</v>
      </c>
      <c r="N23" s="334">
        <f t="shared" si="2"/>
        <v>100</v>
      </c>
    </row>
    <row r="24" spans="1:15" ht="12.95" customHeight="1">
      <c r="B24" s="10"/>
      <c r="C24" s="11"/>
      <c r="D24" s="11"/>
      <c r="E24" s="293">
        <v>613800</v>
      </c>
      <c r="F24" s="319"/>
      <c r="G24" s="11" t="s">
        <v>166</v>
      </c>
      <c r="H24" s="515">
        <f t="shared" si="9"/>
        <v>0</v>
      </c>
      <c r="I24" s="515">
        <f t="shared" si="9"/>
        <v>0</v>
      </c>
      <c r="J24" s="564">
        <v>0</v>
      </c>
      <c r="K24" s="555">
        <v>0</v>
      </c>
      <c r="L24" s="352">
        <v>0</v>
      </c>
      <c r="M24" s="548">
        <f t="shared" si="8"/>
        <v>0</v>
      </c>
      <c r="N24" s="334" t="str">
        <f t="shared" si="2"/>
        <v/>
      </c>
    </row>
    <row r="25" spans="1:15" ht="12.95" customHeight="1">
      <c r="B25" s="10"/>
      <c r="C25" s="11"/>
      <c r="D25" s="11"/>
      <c r="E25" s="293">
        <v>613900</v>
      </c>
      <c r="F25" s="319"/>
      <c r="G25" s="11" t="s">
        <v>167</v>
      </c>
      <c r="H25" s="515">
        <v>23500</v>
      </c>
      <c r="I25" s="515">
        <v>23500</v>
      </c>
      <c r="J25" s="564">
        <v>13541</v>
      </c>
      <c r="K25" s="586">
        <v>27500</v>
      </c>
      <c r="L25" s="347">
        <v>0</v>
      </c>
      <c r="M25" s="548">
        <f t="shared" si="8"/>
        <v>27500</v>
      </c>
      <c r="N25" s="334">
        <f t="shared" si="2"/>
        <v>117.02127659574468</v>
      </c>
    </row>
    <row r="26" spans="1:15" ht="12.95" customHeight="1">
      <c r="B26" s="10"/>
      <c r="C26" s="11"/>
      <c r="D26" s="11"/>
      <c r="E26" s="293">
        <v>613900</v>
      </c>
      <c r="F26" s="319"/>
      <c r="G26" s="180" t="s">
        <v>535</v>
      </c>
      <c r="H26" s="515">
        <f t="shared" si="9"/>
        <v>0</v>
      </c>
      <c r="I26" s="515">
        <f t="shared" si="9"/>
        <v>0</v>
      </c>
      <c r="J26" s="564">
        <v>0</v>
      </c>
      <c r="K26" s="582">
        <v>0</v>
      </c>
      <c r="L26" s="348">
        <v>0</v>
      </c>
      <c r="M26" s="548">
        <f t="shared" si="8"/>
        <v>0</v>
      </c>
      <c r="N26" s="334" t="str">
        <f t="shared" si="2"/>
        <v/>
      </c>
    </row>
    <row r="27" spans="1:15" ht="12.95" customHeight="1">
      <c r="B27" s="10"/>
      <c r="C27" s="11"/>
      <c r="D27" s="11"/>
      <c r="E27" s="293">
        <v>613900</v>
      </c>
      <c r="F27" s="319" t="s">
        <v>689</v>
      </c>
      <c r="G27" s="64" t="s">
        <v>548</v>
      </c>
      <c r="H27" s="515">
        <f t="shared" si="9"/>
        <v>0</v>
      </c>
      <c r="I27" s="515">
        <f t="shared" si="9"/>
        <v>0</v>
      </c>
      <c r="J27" s="564">
        <v>0</v>
      </c>
      <c r="K27" s="555">
        <v>0</v>
      </c>
      <c r="L27" s="352">
        <v>0</v>
      </c>
      <c r="M27" s="548">
        <f t="shared" si="8"/>
        <v>0</v>
      </c>
      <c r="N27" s="334" t="str">
        <f t="shared" si="2"/>
        <v/>
      </c>
    </row>
    <row r="28" spans="1:15" s="1" customFormat="1" ht="12.95" customHeight="1">
      <c r="A28" s="269"/>
      <c r="B28" s="12"/>
      <c r="C28" s="8"/>
      <c r="D28" s="8"/>
      <c r="E28" s="292"/>
      <c r="F28" s="318"/>
      <c r="G28" s="8"/>
      <c r="H28" s="516"/>
      <c r="I28" s="516"/>
      <c r="J28" s="566"/>
      <c r="K28" s="556"/>
      <c r="L28" s="283"/>
      <c r="M28" s="551"/>
      <c r="N28" s="334" t="str">
        <f t="shared" si="2"/>
        <v/>
      </c>
    </row>
    <row r="29" spans="1:15" s="1" customFormat="1" ht="12.95" customHeight="1">
      <c r="A29" s="269"/>
      <c r="B29" s="12"/>
      <c r="C29" s="8"/>
      <c r="D29" s="8"/>
      <c r="E29" s="292">
        <v>821000</v>
      </c>
      <c r="F29" s="318"/>
      <c r="G29" s="8" t="s">
        <v>90</v>
      </c>
      <c r="H29" s="262">
        <f t="shared" ref="H29:I29" si="10">SUM(H30:H31)</f>
        <v>27090</v>
      </c>
      <c r="I29" s="262">
        <f t="shared" si="10"/>
        <v>32090</v>
      </c>
      <c r="J29" s="565">
        <v>23615</v>
      </c>
      <c r="K29" s="557">
        <f t="shared" ref="K29:M29" si="11">SUM(K30:K31)</f>
        <v>10000</v>
      </c>
      <c r="L29" s="282">
        <f t="shared" si="11"/>
        <v>26970</v>
      </c>
      <c r="M29" s="553">
        <f t="shared" si="11"/>
        <v>36970</v>
      </c>
      <c r="N29" s="333">
        <f t="shared" si="2"/>
        <v>115.20722966656278</v>
      </c>
    </row>
    <row r="30" spans="1:15" ht="12.95" customHeight="1">
      <c r="B30" s="10"/>
      <c r="C30" s="11"/>
      <c r="D30" s="11"/>
      <c r="E30" s="296">
        <v>821200</v>
      </c>
      <c r="F30" s="322"/>
      <c r="G30" s="14" t="s">
        <v>91</v>
      </c>
      <c r="H30" s="515">
        <f t="shared" ref="H30" si="12">SUM(F30:G30)</f>
        <v>0</v>
      </c>
      <c r="I30" s="515">
        <v>1530</v>
      </c>
      <c r="J30" s="564">
        <v>1521</v>
      </c>
      <c r="K30" s="556">
        <v>1530</v>
      </c>
      <c r="L30" s="283">
        <v>0</v>
      </c>
      <c r="M30" s="548">
        <f t="shared" ref="M30:M31" si="13">SUM(K30:L30)</f>
        <v>1530</v>
      </c>
      <c r="N30" s="334">
        <f t="shared" si="2"/>
        <v>100</v>
      </c>
      <c r="O30" s="48"/>
    </row>
    <row r="31" spans="1:15" ht="12.95" customHeight="1">
      <c r="B31" s="10"/>
      <c r="C31" s="11"/>
      <c r="D31" s="11"/>
      <c r="E31" s="293">
        <v>821300</v>
      </c>
      <c r="F31" s="319"/>
      <c r="G31" s="11" t="s">
        <v>92</v>
      </c>
      <c r="H31" s="515">
        <v>27090</v>
      </c>
      <c r="I31" s="515">
        <v>30560</v>
      </c>
      <c r="J31" s="564">
        <v>22094</v>
      </c>
      <c r="K31" s="556">
        <v>8470</v>
      </c>
      <c r="L31" s="283">
        <f>22090+4880</f>
        <v>26970</v>
      </c>
      <c r="M31" s="548">
        <f t="shared" si="13"/>
        <v>35440</v>
      </c>
      <c r="N31" s="334">
        <f t="shared" si="2"/>
        <v>115.96858638743454</v>
      </c>
    </row>
    <row r="32" spans="1:15" ht="12.95" customHeight="1">
      <c r="B32" s="10"/>
      <c r="C32" s="11"/>
      <c r="D32" s="11"/>
      <c r="E32" s="293"/>
      <c r="F32" s="319"/>
      <c r="G32" s="11"/>
      <c r="H32" s="516"/>
      <c r="I32" s="516"/>
      <c r="J32" s="566"/>
      <c r="K32" s="550"/>
      <c r="L32" s="279"/>
      <c r="M32" s="551"/>
      <c r="N32" s="334" t="str">
        <f t="shared" si="2"/>
        <v/>
      </c>
    </row>
    <row r="33" spans="1:14" s="1" customFormat="1" ht="12.95" customHeight="1">
      <c r="A33" s="269"/>
      <c r="B33" s="12"/>
      <c r="C33" s="8"/>
      <c r="D33" s="8"/>
      <c r="E33" s="292"/>
      <c r="F33" s="318"/>
      <c r="G33" s="8" t="s">
        <v>93</v>
      </c>
      <c r="H33" s="517" t="s">
        <v>776</v>
      </c>
      <c r="I33" s="517" t="s">
        <v>776</v>
      </c>
      <c r="J33" s="579" t="s">
        <v>828</v>
      </c>
      <c r="K33" s="580" t="s">
        <v>867</v>
      </c>
      <c r="L33" s="266"/>
      <c r="M33" s="581" t="s">
        <v>867</v>
      </c>
      <c r="N33" s="334"/>
    </row>
    <row r="34" spans="1:14" s="1" customFormat="1" ht="12.95" customHeight="1">
      <c r="A34" s="269"/>
      <c r="B34" s="12"/>
      <c r="C34" s="8"/>
      <c r="D34" s="8"/>
      <c r="E34" s="292"/>
      <c r="F34" s="318"/>
      <c r="G34" s="8" t="s">
        <v>113</v>
      </c>
      <c r="H34" s="262">
        <f t="shared" ref="H34:M34" si="14">H8+H13+H16+H29</f>
        <v>1095030</v>
      </c>
      <c r="I34" s="276">
        <f t="shared" si="14"/>
        <v>1100030</v>
      </c>
      <c r="J34" s="565">
        <f t="shared" si="14"/>
        <v>779064</v>
      </c>
      <c r="K34" s="558">
        <f t="shared" si="14"/>
        <v>1066640</v>
      </c>
      <c r="L34" s="276">
        <f t="shared" si="14"/>
        <v>26970</v>
      </c>
      <c r="M34" s="553">
        <f t="shared" si="14"/>
        <v>1093610</v>
      </c>
      <c r="N34" s="333">
        <f t="shared" si="2"/>
        <v>99.416379553284912</v>
      </c>
    </row>
    <row r="35" spans="1:14" s="1" customFormat="1" ht="12.95" customHeight="1">
      <c r="A35" s="269"/>
      <c r="B35" s="12"/>
      <c r="C35" s="8"/>
      <c r="D35" s="8"/>
      <c r="E35" s="292"/>
      <c r="F35" s="318"/>
      <c r="G35" s="8" t="s">
        <v>94</v>
      </c>
      <c r="H35" s="262">
        <f>H34+'22'!H33+'21'!H33</f>
        <v>3847170</v>
      </c>
      <c r="I35" s="276">
        <f>I34+'22'!I33+'21'!I33</f>
        <v>3852170</v>
      </c>
      <c r="J35" s="565">
        <f>J34+'22'!J33+'21'!J33</f>
        <v>2747658</v>
      </c>
      <c r="K35" s="558">
        <f>K34+'22'!N33+'21'!N33</f>
        <v>1066839.0582464859</v>
      </c>
      <c r="L35" s="276">
        <f>L34+'22'!O33+'21'!O33</f>
        <v>26970</v>
      </c>
      <c r="M35" s="553">
        <f>M34+'22'!P33+'21'!P33</f>
        <v>1093610</v>
      </c>
      <c r="N35" s="333">
        <f t="shared" si="2"/>
        <v>28.389453217277534</v>
      </c>
    </row>
    <row r="36" spans="1:14" s="1" customFormat="1" ht="12.95" customHeight="1">
      <c r="A36" s="269"/>
      <c r="B36" s="12"/>
      <c r="C36" s="8"/>
      <c r="D36" s="8"/>
      <c r="E36" s="292"/>
      <c r="F36" s="318"/>
      <c r="G36" s="8" t="s">
        <v>95</v>
      </c>
      <c r="H36" s="516"/>
      <c r="I36" s="267"/>
      <c r="J36" s="566"/>
      <c r="K36" s="578"/>
      <c r="L36" s="267"/>
      <c r="M36" s="551"/>
      <c r="N36" s="335" t="str">
        <f t="shared" si="2"/>
        <v/>
      </c>
    </row>
    <row r="37" spans="1:14" ht="12.95" customHeight="1" thickBot="1">
      <c r="B37" s="15"/>
      <c r="C37" s="16"/>
      <c r="D37" s="16"/>
      <c r="E37" s="294"/>
      <c r="F37" s="320"/>
      <c r="G37" s="16"/>
      <c r="H37" s="518"/>
      <c r="I37" s="27"/>
      <c r="J37" s="567"/>
      <c r="K37" s="559"/>
      <c r="L37" s="27"/>
      <c r="M37" s="560"/>
      <c r="N37" s="336" t="str">
        <f t="shared" si="2"/>
        <v/>
      </c>
    </row>
    <row r="38" spans="1:14" ht="12.95" customHeight="1">
      <c r="E38" s="295"/>
      <c r="F38" s="321"/>
      <c r="M38" s="369"/>
      <c r="N38" s="337" t="str">
        <f t="shared" si="2"/>
        <v/>
      </c>
    </row>
    <row r="39" spans="1:14" ht="12.95" customHeight="1">
      <c r="B39" s="48"/>
      <c r="E39" s="295"/>
      <c r="F39" s="321"/>
      <c r="M39" s="369"/>
      <c r="N39" s="337" t="str">
        <f t="shared" si="2"/>
        <v/>
      </c>
    </row>
    <row r="40" spans="1:14" ht="12.95" customHeight="1">
      <c r="B40" s="48"/>
      <c r="E40" s="295"/>
      <c r="F40" s="321"/>
      <c r="M40" s="369"/>
      <c r="N40" s="337" t="str">
        <f t="shared" si="2"/>
        <v/>
      </c>
    </row>
    <row r="41" spans="1:14" ht="12.95" customHeight="1">
      <c r="B41" s="48"/>
      <c r="E41" s="295"/>
      <c r="F41" s="321"/>
      <c r="M41" s="369"/>
      <c r="N41" s="337" t="str">
        <f t="shared" si="2"/>
        <v/>
      </c>
    </row>
    <row r="42" spans="1:14" ht="12.95" customHeight="1">
      <c r="B42" s="48"/>
      <c r="E42" s="295"/>
      <c r="F42" s="321"/>
      <c r="M42" s="369"/>
      <c r="N42" s="337" t="str">
        <f t="shared" si="2"/>
        <v/>
      </c>
    </row>
    <row r="43" spans="1:14" ht="12.95" customHeight="1">
      <c r="B43" s="48"/>
      <c r="E43" s="295"/>
      <c r="F43" s="321"/>
      <c r="M43" s="369"/>
      <c r="N43" s="337" t="str">
        <f t="shared" si="2"/>
        <v/>
      </c>
    </row>
    <row r="44" spans="1:14" ht="12.95" customHeight="1">
      <c r="E44" s="295"/>
      <c r="F44" s="321"/>
      <c r="M44" s="369"/>
      <c r="N44" s="337" t="str">
        <f t="shared" si="2"/>
        <v/>
      </c>
    </row>
    <row r="45" spans="1:14" ht="12.95" customHeight="1">
      <c r="E45" s="295"/>
      <c r="F45" s="321"/>
      <c r="M45" s="369"/>
      <c r="N45" s="337" t="str">
        <f t="shared" si="2"/>
        <v/>
      </c>
    </row>
    <row r="46" spans="1:14" ht="12.95" customHeight="1">
      <c r="E46" s="295"/>
      <c r="F46" s="321"/>
      <c r="M46" s="369"/>
      <c r="N46" s="337" t="str">
        <f t="shared" si="2"/>
        <v/>
      </c>
    </row>
    <row r="47" spans="1:14" ht="12.95" customHeight="1">
      <c r="E47" s="295"/>
      <c r="F47" s="321"/>
      <c r="M47" s="369"/>
      <c r="N47" s="337" t="str">
        <f t="shared" si="2"/>
        <v/>
      </c>
    </row>
    <row r="48" spans="1:14" ht="12.95" customHeight="1">
      <c r="E48" s="295"/>
      <c r="F48" s="321"/>
      <c r="M48" s="369"/>
      <c r="N48" s="337" t="str">
        <f t="shared" si="2"/>
        <v/>
      </c>
    </row>
    <row r="49" spans="5:14" ht="12.95" customHeight="1">
      <c r="E49" s="295"/>
      <c r="F49" s="321"/>
      <c r="M49" s="369"/>
      <c r="N49" s="337" t="str">
        <f t="shared" si="2"/>
        <v/>
      </c>
    </row>
    <row r="50" spans="5:14" ht="12.95" customHeight="1">
      <c r="E50" s="295"/>
      <c r="F50" s="321"/>
      <c r="M50" s="369"/>
      <c r="N50" s="337" t="str">
        <f t="shared" si="2"/>
        <v/>
      </c>
    </row>
    <row r="51" spans="5:14" ht="12.95" customHeight="1">
      <c r="E51" s="295"/>
      <c r="F51" s="321"/>
      <c r="M51" s="369"/>
      <c r="N51" s="337" t="str">
        <f t="shared" si="2"/>
        <v/>
      </c>
    </row>
    <row r="52" spans="5:14" ht="12.95" customHeight="1">
      <c r="E52" s="295"/>
      <c r="F52" s="321"/>
      <c r="M52" s="369"/>
      <c r="N52" s="337" t="str">
        <f t="shared" si="2"/>
        <v/>
      </c>
    </row>
    <row r="53" spans="5:14" ht="12.95" customHeight="1">
      <c r="E53" s="295"/>
      <c r="F53" s="321"/>
      <c r="M53" s="369"/>
      <c r="N53" s="337" t="str">
        <f t="shared" si="2"/>
        <v/>
      </c>
    </row>
    <row r="54" spans="5:14" ht="12.95" customHeight="1">
      <c r="E54" s="295"/>
      <c r="F54" s="321"/>
      <c r="M54" s="369"/>
      <c r="N54" s="337" t="str">
        <f t="shared" si="2"/>
        <v/>
      </c>
    </row>
    <row r="55" spans="5:14" ht="12.95" customHeight="1">
      <c r="E55" s="295"/>
      <c r="F55" s="321"/>
      <c r="M55" s="369"/>
      <c r="N55" s="337" t="str">
        <f t="shared" si="2"/>
        <v/>
      </c>
    </row>
    <row r="56" spans="5:14" ht="12.95" customHeight="1">
      <c r="E56" s="295"/>
      <c r="F56" s="321"/>
      <c r="M56" s="369"/>
      <c r="N56" s="337" t="str">
        <f t="shared" si="2"/>
        <v/>
      </c>
    </row>
    <row r="57" spans="5:14" ht="12.95" customHeight="1">
      <c r="E57" s="295"/>
      <c r="F57" s="321"/>
      <c r="M57" s="369"/>
      <c r="N57" s="337" t="str">
        <f t="shared" si="2"/>
        <v/>
      </c>
    </row>
    <row r="58" spans="5:14" ht="12.95" customHeight="1">
      <c r="E58" s="295"/>
      <c r="F58" s="321"/>
      <c r="M58" s="369"/>
      <c r="N58" s="337" t="str">
        <f t="shared" si="2"/>
        <v/>
      </c>
    </row>
    <row r="59" spans="5:14" ht="12.95" customHeight="1">
      <c r="E59" s="295"/>
      <c r="F59" s="321"/>
      <c r="M59" s="369"/>
      <c r="N59" s="337" t="str">
        <f t="shared" si="2"/>
        <v/>
      </c>
    </row>
    <row r="60" spans="5:14" ht="17.100000000000001" customHeight="1">
      <c r="E60" s="295"/>
      <c r="F60" s="321"/>
      <c r="M60" s="369"/>
      <c r="N60" s="337" t="str">
        <f t="shared" si="2"/>
        <v/>
      </c>
    </row>
    <row r="61" spans="5:14" ht="14.25">
      <c r="E61" s="295"/>
      <c r="F61" s="321"/>
      <c r="M61" s="369"/>
      <c r="N61" s="337" t="str">
        <f t="shared" si="2"/>
        <v/>
      </c>
    </row>
    <row r="62" spans="5:14" ht="14.25">
      <c r="E62" s="295"/>
      <c r="F62" s="321"/>
      <c r="M62" s="369"/>
      <c r="N62" s="337" t="str">
        <f t="shared" si="2"/>
        <v/>
      </c>
    </row>
    <row r="63" spans="5:14" ht="14.25">
      <c r="E63" s="295"/>
      <c r="F63" s="321"/>
      <c r="M63" s="369"/>
      <c r="N63" s="337" t="str">
        <f t="shared" si="2"/>
        <v/>
      </c>
    </row>
    <row r="64" spans="5:14" ht="14.25">
      <c r="E64" s="295"/>
      <c r="F64" s="321"/>
      <c r="M64" s="369"/>
      <c r="N64" s="337" t="str">
        <f t="shared" si="2"/>
        <v/>
      </c>
    </row>
    <row r="65" spans="5:14" ht="14.25">
      <c r="E65" s="295"/>
      <c r="F65" s="321"/>
      <c r="M65" s="369"/>
      <c r="N65" s="337" t="str">
        <f t="shared" si="2"/>
        <v/>
      </c>
    </row>
    <row r="66" spans="5:14" ht="14.25">
      <c r="E66" s="295"/>
      <c r="F66" s="321"/>
      <c r="M66" s="369"/>
      <c r="N66" s="337" t="str">
        <f t="shared" si="2"/>
        <v/>
      </c>
    </row>
    <row r="67" spans="5:14" ht="14.25">
      <c r="E67" s="295"/>
      <c r="F67" s="321"/>
      <c r="M67" s="369"/>
      <c r="N67" s="337" t="str">
        <f t="shared" si="2"/>
        <v/>
      </c>
    </row>
    <row r="68" spans="5:14" ht="14.25">
      <c r="E68" s="295"/>
      <c r="F68" s="321"/>
      <c r="M68" s="369"/>
      <c r="N68" s="337" t="str">
        <f t="shared" si="2"/>
        <v/>
      </c>
    </row>
    <row r="69" spans="5:14" ht="14.25">
      <c r="E69" s="295"/>
      <c r="F69" s="321"/>
      <c r="M69" s="369"/>
      <c r="N69" s="337" t="str">
        <f t="shared" si="2"/>
        <v/>
      </c>
    </row>
    <row r="70" spans="5:14" ht="14.25">
      <c r="E70" s="295"/>
      <c r="F70" s="321"/>
      <c r="M70" s="369"/>
      <c r="N70" s="337" t="str">
        <f t="shared" si="2"/>
        <v/>
      </c>
    </row>
    <row r="71" spans="5:14" ht="14.25">
      <c r="E71" s="295"/>
      <c r="F71" s="321"/>
      <c r="M71" s="369"/>
      <c r="N71" s="337" t="str">
        <f t="shared" si="2"/>
        <v/>
      </c>
    </row>
    <row r="72" spans="5:14" ht="14.25">
      <c r="E72" s="295"/>
      <c r="F72" s="321"/>
      <c r="M72" s="369"/>
      <c r="N72" s="337" t="str">
        <f t="shared" si="2"/>
        <v/>
      </c>
    </row>
    <row r="73" spans="5:14" ht="14.25">
      <c r="E73" s="295"/>
      <c r="F73" s="321"/>
      <c r="M73" s="369"/>
      <c r="N73" s="337" t="str">
        <f t="shared" ref="N73:N77" si="15">IF(I73=0,"",M73/I73*100)</f>
        <v/>
      </c>
    </row>
    <row r="74" spans="5:14" ht="14.25">
      <c r="E74" s="295"/>
      <c r="F74" s="295"/>
      <c r="M74" s="369"/>
      <c r="N74" s="337" t="str">
        <f t="shared" si="15"/>
        <v/>
      </c>
    </row>
    <row r="75" spans="5:14" ht="14.25">
      <c r="E75" s="295"/>
      <c r="F75" s="295"/>
      <c r="M75" s="369"/>
      <c r="N75" s="337" t="str">
        <f t="shared" si="15"/>
        <v/>
      </c>
    </row>
    <row r="76" spans="5:14" ht="14.25">
      <c r="E76" s="295"/>
      <c r="F76" s="295"/>
      <c r="M76" s="369"/>
      <c r="N76" s="337" t="str">
        <f t="shared" si="15"/>
        <v/>
      </c>
    </row>
    <row r="77" spans="5:14" ht="14.25">
      <c r="E77" s="295"/>
      <c r="F77" s="295"/>
      <c r="M77" s="369"/>
      <c r="N77" s="337" t="str">
        <f t="shared" si="15"/>
        <v/>
      </c>
    </row>
    <row r="78" spans="5:14" ht="14.25">
      <c r="E78" s="295"/>
      <c r="F78" s="295"/>
      <c r="M78" s="369"/>
    </row>
    <row r="79" spans="5:14" ht="14.25">
      <c r="E79" s="295"/>
      <c r="F79" s="295"/>
      <c r="M79" s="369"/>
    </row>
    <row r="80" spans="5:14" ht="14.25">
      <c r="E80" s="295"/>
      <c r="F80" s="295"/>
      <c r="M80" s="369"/>
    </row>
    <row r="81" spans="5:13" ht="14.25">
      <c r="E81" s="295"/>
      <c r="F81" s="295"/>
      <c r="M81" s="369"/>
    </row>
    <row r="82" spans="5:13" ht="14.25">
      <c r="E82" s="295"/>
      <c r="F82" s="295"/>
      <c r="M82" s="369"/>
    </row>
    <row r="83" spans="5:13" ht="14.25">
      <c r="E83" s="295"/>
      <c r="F83" s="295"/>
      <c r="M83" s="369"/>
    </row>
    <row r="84" spans="5:13" ht="14.25">
      <c r="E84" s="295"/>
      <c r="F84" s="295"/>
      <c r="M84" s="369"/>
    </row>
    <row r="85" spans="5:13" ht="14.25">
      <c r="E85" s="295"/>
      <c r="F85" s="295"/>
      <c r="M85" s="369"/>
    </row>
    <row r="86" spans="5:13" ht="14.25">
      <c r="E86" s="295"/>
      <c r="F86" s="295"/>
      <c r="M86" s="369"/>
    </row>
    <row r="87" spans="5:13" ht="14.25">
      <c r="E87" s="295"/>
      <c r="F87" s="295"/>
      <c r="M87" s="369"/>
    </row>
    <row r="88" spans="5:13" ht="14.25">
      <c r="E88" s="295"/>
      <c r="F88" s="295"/>
      <c r="M88" s="369"/>
    </row>
    <row r="89" spans="5:13" ht="14.25">
      <c r="E89" s="295"/>
      <c r="F89" s="295"/>
      <c r="M89" s="369"/>
    </row>
    <row r="90" spans="5:13" ht="14.25">
      <c r="E90" s="295"/>
      <c r="F90" s="295"/>
      <c r="M90" s="369"/>
    </row>
    <row r="91" spans="5:13">
      <c r="F91" s="295"/>
    </row>
    <row r="92" spans="5:13">
      <c r="F92" s="295"/>
    </row>
    <row r="93" spans="5:13">
      <c r="F93" s="295"/>
    </row>
    <row r="94" spans="5:13">
      <c r="F94" s="295"/>
    </row>
    <row r="95" spans="5:13">
      <c r="F95" s="295"/>
    </row>
    <row r="96" spans="5:13">
      <c r="F96" s="295"/>
    </row>
  </sheetData>
  <mergeCells count="12">
    <mergeCell ref="N4:N5"/>
    <mergeCell ref="G4:G5"/>
    <mergeCell ref="B2:G2"/>
    <mergeCell ref="B4:B5"/>
    <mergeCell ref="C4:C5"/>
    <mergeCell ref="D4:D5"/>
    <mergeCell ref="F4:F5"/>
    <mergeCell ref="E4:E5"/>
    <mergeCell ref="K4:M4"/>
    <mergeCell ref="H4:H5"/>
    <mergeCell ref="I4:I5"/>
    <mergeCell ref="J4:J5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26"/>
  <dimension ref="A1:P96"/>
  <sheetViews>
    <sheetView zoomScaleNormal="100" zoomScaleSheetLayoutView="100" workbookViewId="0">
      <selection activeCell="K10" sqref="K10"/>
    </sheetView>
  </sheetViews>
  <sheetFormatPr defaultRowHeight="12.75"/>
  <cols>
    <col min="1" max="1" width="9.140625" style="272"/>
    <col min="2" max="2" width="4.7109375" style="9" customWidth="1"/>
    <col min="3" max="3" width="5.140625" style="9" customWidth="1"/>
    <col min="4" max="4" width="5" style="9" customWidth="1"/>
    <col min="5" max="5" width="8.7109375" style="17" customWidth="1"/>
    <col min="6" max="6" width="8.7109375" style="277" customWidth="1"/>
    <col min="7" max="7" width="50.7109375" style="9" customWidth="1"/>
    <col min="8" max="8" width="14.7109375" style="519" customWidth="1"/>
    <col min="9" max="9" width="14.7109375" style="54" customWidth="1"/>
    <col min="10" max="10" width="15.7109375" style="519" customWidth="1"/>
    <col min="11" max="12" width="14.7109375" style="54" customWidth="1"/>
    <col min="13" max="13" width="15.7109375" style="54" customWidth="1"/>
    <col min="14" max="14" width="7.7109375" style="337" customWidth="1"/>
    <col min="15" max="16384" width="9.140625" style="9"/>
  </cols>
  <sheetData>
    <row r="1" spans="1:16" ht="13.5" thickBot="1"/>
    <row r="2" spans="1:16" s="93" customFormat="1" ht="20.100000000000001" customHeight="1" thickTop="1" thickBot="1">
      <c r="A2" s="363"/>
      <c r="B2" s="725" t="s">
        <v>144</v>
      </c>
      <c r="C2" s="726"/>
      <c r="D2" s="726"/>
      <c r="E2" s="726"/>
      <c r="F2" s="726"/>
      <c r="G2" s="726"/>
      <c r="H2" s="508"/>
      <c r="I2" s="364"/>
      <c r="J2" s="508"/>
      <c r="K2" s="364"/>
      <c r="L2" s="364"/>
      <c r="M2" s="364"/>
      <c r="N2" s="367"/>
    </row>
    <row r="3" spans="1:16" s="1" customFormat="1" ht="8.1" customHeight="1" thickTop="1" thickBot="1">
      <c r="A3" s="269"/>
      <c r="E3" s="2"/>
      <c r="F3" s="270"/>
      <c r="G3" s="488"/>
      <c r="H3" s="511"/>
      <c r="I3" s="87"/>
      <c r="J3" s="511"/>
      <c r="K3" s="87"/>
      <c r="L3" s="87"/>
      <c r="M3" s="87"/>
      <c r="N3" s="331"/>
    </row>
    <row r="4" spans="1:16" s="1" customFormat="1" ht="39" customHeight="1">
      <c r="A4" s="269"/>
      <c r="B4" s="728" t="s">
        <v>78</v>
      </c>
      <c r="C4" s="746" t="s">
        <v>79</v>
      </c>
      <c r="D4" s="747" t="s">
        <v>110</v>
      </c>
      <c r="E4" s="748" t="s">
        <v>594</v>
      </c>
      <c r="F4" s="733" t="s">
        <v>650</v>
      </c>
      <c r="G4" s="734" t="s">
        <v>80</v>
      </c>
      <c r="H4" s="740" t="s">
        <v>644</v>
      </c>
      <c r="I4" s="742" t="s">
        <v>821</v>
      </c>
      <c r="J4" s="744" t="s">
        <v>822</v>
      </c>
      <c r="K4" s="749" t="s">
        <v>863</v>
      </c>
      <c r="L4" s="738"/>
      <c r="M4" s="739"/>
      <c r="N4" s="735" t="s">
        <v>823</v>
      </c>
    </row>
    <row r="5" spans="1:16" s="269" customFormat="1" ht="27" customHeight="1">
      <c r="B5" s="729"/>
      <c r="C5" s="731"/>
      <c r="D5" s="731"/>
      <c r="E5" s="722"/>
      <c r="F5" s="731"/>
      <c r="G5" s="722"/>
      <c r="H5" s="741"/>
      <c r="I5" s="743"/>
      <c r="J5" s="745"/>
      <c r="K5" s="540" t="s">
        <v>701</v>
      </c>
      <c r="L5" s="359" t="s">
        <v>702</v>
      </c>
      <c r="M5" s="541" t="s">
        <v>413</v>
      </c>
      <c r="N5" s="736"/>
    </row>
    <row r="6" spans="1:16" s="2" customFormat="1" ht="12.95" customHeight="1">
      <c r="A6" s="270"/>
      <c r="B6" s="464">
        <v>1</v>
      </c>
      <c r="C6" s="318">
        <v>2</v>
      </c>
      <c r="D6" s="318">
        <v>3</v>
      </c>
      <c r="E6" s="318">
        <v>4</v>
      </c>
      <c r="F6" s="318">
        <v>5</v>
      </c>
      <c r="G6" s="318">
        <v>6</v>
      </c>
      <c r="H6" s="512">
        <v>7</v>
      </c>
      <c r="I6" s="318">
        <v>8</v>
      </c>
      <c r="J6" s="561">
        <v>9</v>
      </c>
      <c r="K6" s="464">
        <v>10</v>
      </c>
      <c r="L6" s="318">
        <v>11</v>
      </c>
      <c r="M6" s="542" t="s">
        <v>703</v>
      </c>
      <c r="N6" s="465">
        <v>13</v>
      </c>
    </row>
    <row r="7" spans="1:16" s="2" customFormat="1" ht="12.95" customHeight="1">
      <c r="A7" s="270"/>
      <c r="B7" s="6" t="s">
        <v>143</v>
      </c>
      <c r="C7" s="7" t="s">
        <v>145</v>
      </c>
      <c r="D7" s="7" t="s">
        <v>82</v>
      </c>
      <c r="E7" s="5"/>
      <c r="F7" s="271"/>
      <c r="G7" s="5"/>
      <c r="H7" s="520"/>
      <c r="I7" s="81"/>
      <c r="J7" s="562"/>
      <c r="K7" s="543"/>
      <c r="L7" s="81"/>
      <c r="M7" s="544"/>
      <c r="N7" s="332"/>
    </row>
    <row r="8" spans="1:16" s="1" customFormat="1" ht="12.95" customHeight="1">
      <c r="A8" s="269"/>
      <c r="B8" s="12"/>
      <c r="C8" s="8"/>
      <c r="D8" s="8"/>
      <c r="E8" s="292">
        <v>611000</v>
      </c>
      <c r="F8" s="318"/>
      <c r="G8" s="8" t="s">
        <v>163</v>
      </c>
      <c r="H8" s="514">
        <f t="shared" ref="H8:I8" si="0">SUM(H9:H12)</f>
        <v>1014600</v>
      </c>
      <c r="I8" s="514">
        <f t="shared" si="0"/>
        <v>1014600</v>
      </c>
      <c r="J8" s="563">
        <v>738807</v>
      </c>
      <c r="K8" s="545">
        <f t="shared" ref="K8" si="1">SUM(K9:K12)</f>
        <v>1026080</v>
      </c>
      <c r="L8" s="201">
        <f t="shared" ref="L8:M8" si="2">SUM(L9:L12)</f>
        <v>0</v>
      </c>
      <c r="M8" s="546">
        <f t="shared" si="2"/>
        <v>1026080</v>
      </c>
      <c r="N8" s="333">
        <f>IF(I8=0,"",M8/I8*100)</f>
        <v>101.13148038635916</v>
      </c>
    </row>
    <row r="9" spans="1:16" ht="12.95" customHeight="1">
      <c r="B9" s="10"/>
      <c r="C9" s="11"/>
      <c r="D9" s="11"/>
      <c r="E9" s="293">
        <v>611100</v>
      </c>
      <c r="F9" s="319"/>
      <c r="G9" s="18" t="s">
        <v>198</v>
      </c>
      <c r="H9" s="515">
        <v>836500</v>
      </c>
      <c r="I9" s="515">
        <v>836500</v>
      </c>
      <c r="J9" s="564">
        <v>622725</v>
      </c>
      <c r="K9" s="547">
        <f>831410+4000+2500+2*420+4*1500</f>
        <v>844750</v>
      </c>
      <c r="L9" s="203">
        <v>0</v>
      </c>
      <c r="M9" s="548">
        <f>SUM(K9:L9)</f>
        <v>844750</v>
      </c>
      <c r="N9" s="334">
        <f t="shared" ref="N9:N72" si="3">IF(I9=0,"",M9/I9*100)</f>
        <v>100.98625224148236</v>
      </c>
      <c r="O9" s="63"/>
    </row>
    <row r="10" spans="1:16" ht="12.95" customHeight="1">
      <c r="B10" s="10"/>
      <c r="C10" s="11"/>
      <c r="D10" s="11"/>
      <c r="E10" s="293">
        <v>611200</v>
      </c>
      <c r="F10" s="319"/>
      <c r="G10" s="11" t="s">
        <v>199</v>
      </c>
      <c r="H10" s="515">
        <v>178100</v>
      </c>
      <c r="I10" s="515">
        <v>178100</v>
      </c>
      <c r="J10" s="564">
        <v>116082</v>
      </c>
      <c r="K10" s="547">
        <f>156490+1000+3740+2*930+3650+840+500+53*250</f>
        <v>181330</v>
      </c>
      <c r="L10" s="203">
        <v>0</v>
      </c>
      <c r="M10" s="548">
        <f t="shared" ref="M10:M11" si="4">SUM(K10:L10)</f>
        <v>181330</v>
      </c>
      <c r="N10" s="334">
        <f t="shared" si="3"/>
        <v>101.81358787198202</v>
      </c>
    </row>
    <row r="11" spans="1:16" ht="12.95" customHeight="1">
      <c r="B11" s="10"/>
      <c r="C11" s="11"/>
      <c r="D11" s="11"/>
      <c r="E11" s="293">
        <v>611200</v>
      </c>
      <c r="F11" s="319"/>
      <c r="G11" s="180" t="s">
        <v>534</v>
      </c>
      <c r="H11" s="515">
        <f t="shared" ref="H11:I11" si="5">SUM(F11:G11)</f>
        <v>0</v>
      </c>
      <c r="I11" s="515">
        <f t="shared" si="5"/>
        <v>0</v>
      </c>
      <c r="J11" s="564">
        <v>0</v>
      </c>
      <c r="K11" s="549">
        <v>0</v>
      </c>
      <c r="L11" s="200">
        <v>0</v>
      </c>
      <c r="M11" s="548">
        <f t="shared" si="4"/>
        <v>0</v>
      </c>
      <c r="N11" s="334" t="str">
        <f t="shared" si="3"/>
        <v/>
      </c>
      <c r="P11" s="53"/>
    </row>
    <row r="12" spans="1:16" ht="12.95" customHeight="1">
      <c r="B12" s="10"/>
      <c r="C12" s="11"/>
      <c r="D12" s="11"/>
      <c r="E12" s="293"/>
      <c r="F12" s="319"/>
      <c r="G12" s="18"/>
      <c r="H12" s="515"/>
      <c r="I12" s="515"/>
      <c r="J12" s="564"/>
      <c r="K12" s="547"/>
      <c r="L12" s="203"/>
      <c r="M12" s="548"/>
      <c r="N12" s="334" t="str">
        <f t="shared" si="3"/>
        <v/>
      </c>
    </row>
    <row r="13" spans="1:16" s="1" customFormat="1" ht="12.95" customHeight="1">
      <c r="A13" s="269"/>
      <c r="B13" s="12"/>
      <c r="C13" s="8"/>
      <c r="D13" s="8"/>
      <c r="E13" s="292">
        <v>612000</v>
      </c>
      <c r="F13" s="318"/>
      <c r="G13" s="8" t="s">
        <v>162</v>
      </c>
      <c r="H13" s="514">
        <f t="shared" ref="H13:M13" si="6">H14</f>
        <v>91450</v>
      </c>
      <c r="I13" s="514">
        <f t="shared" si="6"/>
        <v>91450</v>
      </c>
      <c r="J13" s="563">
        <v>67204</v>
      </c>
      <c r="K13" s="545">
        <f t="shared" si="6"/>
        <v>91430</v>
      </c>
      <c r="L13" s="201">
        <f t="shared" si="6"/>
        <v>0</v>
      </c>
      <c r="M13" s="546">
        <f t="shared" si="6"/>
        <v>91430</v>
      </c>
      <c r="N13" s="333">
        <f t="shared" si="3"/>
        <v>99.978130125751775</v>
      </c>
    </row>
    <row r="14" spans="1:16" ht="12.95" customHeight="1">
      <c r="B14" s="10"/>
      <c r="C14" s="11"/>
      <c r="D14" s="11"/>
      <c r="E14" s="293">
        <v>612100</v>
      </c>
      <c r="F14" s="319"/>
      <c r="G14" s="13" t="s">
        <v>83</v>
      </c>
      <c r="H14" s="515">
        <v>91450</v>
      </c>
      <c r="I14" s="515">
        <v>91450</v>
      </c>
      <c r="J14" s="564">
        <v>67204</v>
      </c>
      <c r="K14" s="547">
        <f>89500+1000+2*150+630</f>
        <v>91430</v>
      </c>
      <c r="L14" s="203">
        <v>0</v>
      </c>
      <c r="M14" s="548">
        <f>SUM(K14:L14)</f>
        <v>91430</v>
      </c>
      <c r="N14" s="334">
        <f t="shared" si="3"/>
        <v>99.978130125751775</v>
      </c>
    </row>
    <row r="15" spans="1:16" ht="12.95" customHeight="1">
      <c r="B15" s="10"/>
      <c r="C15" s="11"/>
      <c r="D15" s="11"/>
      <c r="E15" s="293"/>
      <c r="F15" s="319"/>
      <c r="G15" s="11"/>
      <c r="H15" s="516"/>
      <c r="I15" s="516"/>
      <c r="J15" s="566"/>
      <c r="K15" s="550"/>
      <c r="L15" s="279"/>
      <c r="M15" s="551"/>
      <c r="N15" s="334" t="str">
        <f t="shared" si="3"/>
        <v/>
      </c>
    </row>
    <row r="16" spans="1:16" s="1" customFormat="1" ht="12.95" customHeight="1">
      <c r="A16" s="269"/>
      <c r="B16" s="12"/>
      <c r="C16" s="8"/>
      <c r="D16" s="8"/>
      <c r="E16" s="292">
        <v>613000</v>
      </c>
      <c r="F16" s="318"/>
      <c r="G16" s="8" t="s">
        <v>164</v>
      </c>
      <c r="H16" s="262">
        <f t="shared" ref="H16:I16" si="7">SUM(H17:H26)</f>
        <v>92400</v>
      </c>
      <c r="I16" s="262">
        <f t="shared" si="7"/>
        <v>92400</v>
      </c>
      <c r="J16" s="565">
        <v>69463</v>
      </c>
      <c r="K16" s="552">
        <f t="shared" ref="K16:M16" si="8">SUM(K17:K26)</f>
        <v>103400</v>
      </c>
      <c r="L16" s="281">
        <f t="shared" si="8"/>
        <v>0</v>
      </c>
      <c r="M16" s="553">
        <f t="shared" si="8"/>
        <v>103400</v>
      </c>
      <c r="N16" s="333">
        <f t="shared" si="3"/>
        <v>111.90476190476191</v>
      </c>
    </row>
    <row r="17" spans="1:14" ht="12.95" customHeight="1">
      <c r="B17" s="10"/>
      <c r="C17" s="11"/>
      <c r="D17" s="11"/>
      <c r="E17" s="293">
        <v>613100</v>
      </c>
      <c r="F17" s="319"/>
      <c r="G17" s="11" t="s">
        <v>84</v>
      </c>
      <c r="H17" s="515">
        <v>5000</v>
      </c>
      <c r="I17" s="515">
        <v>5000</v>
      </c>
      <c r="J17" s="564">
        <v>2272</v>
      </c>
      <c r="K17" s="555">
        <v>4500</v>
      </c>
      <c r="L17" s="352">
        <v>0</v>
      </c>
      <c r="M17" s="548">
        <f t="shared" ref="M17:M26" si="9">SUM(K17:L17)</f>
        <v>4500</v>
      </c>
      <c r="N17" s="334">
        <f t="shared" si="3"/>
        <v>90</v>
      </c>
    </row>
    <row r="18" spans="1:14" ht="12.95" customHeight="1">
      <c r="B18" s="10"/>
      <c r="C18" s="11"/>
      <c r="D18" s="11"/>
      <c r="E18" s="293">
        <v>613200</v>
      </c>
      <c r="F18" s="319"/>
      <c r="G18" s="11" t="s">
        <v>85</v>
      </c>
      <c r="H18" s="515">
        <v>32000</v>
      </c>
      <c r="I18" s="515">
        <v>32000</v>
      </c>
      <c r="J18" s="564">
        <v>24888</v>
      </c>
      <c r="K18" s="554">
        <v>37000</v>
      </c>
      <c r="L18" s="352">
        <v>0</v>
      </c>
      <c r="M18" s="548">
        <f t="shared" si="9"/>
        <v>37000</v>
      </c>
      <c r="N18" s="334">
        <f t="shared" si="3"/>
        <v>115.625</v>
      </c>
    </row>
    <row r="19" spans="1:14" ht="12.95" customHeight="1">
      <c r="B19" s="10"/>
      <c r="C19" s="11"/>
      <c r="D19" s="11"/>
      <c r="E19" s="293">
        <v>613300</v>
      </c>
      <c r="F19" s="319"/>
      <c r="G19" s="18" t="s">
        <v>200</v>
      </c>
      <c r="H19" s="515">
        <v>5200</v>
      </c>
      <c r="I19" s="515">
        <v>5200</v>
      </c>
      <c r="J19" s="564">
        <v>4296</v>
      </c>
      <c r="K19" s="555">
        <v>5200</v>
      </c>
      <c r="L19" s="352">
        <v>0</v>
      </c>
      <c r="M19" s="548">
        <f t="shared" si="9"/>
        <v>5200</v>
      </c>
      <c r="N19" s="334">
        <f t="shared" si="3"/>
        <v>100</v>
      </c>
    </row>
    <row r="20" spans="1:14" ht="12.95" customHeight="1">
      <c r="B20" s="10"/>
      <c r="C20" s="11"/>
      <c r="D20" s="11"/>
      <c r="E20" s="293">
        <v>613400</v>
      </c>
      <c r="F20" s="319"/>
      <c r="G20" s="11" t="s">
        <v>165</v>
      </c>
      <c r="H20" s="515">
        <v>12000</v>
      </c>
      <c r="I20" s="515">
        <v>12000</v>
      </c>
      <c r="J20" s="564">
        <v>10062</v>
      </c>
      <c r="K20" s="555">
        <v>13500</v>
      </c>
      <c r="L20" s="352">
        <v>0</v>
      </c>
      <c r="M20" s="548">
        <f t="shared" si="9"/>
        <v>13500</v>
      </c>
      <c r="N20" s="334">
        <f t="shared" si="3"/>
        <v>112.5</v>
      </c>
    </row>
    <row r="21" spans="1:14" ht="12.95" customHeight="1">
      <c r="B21" s="10"/>
      <c r="C21" s="11"/>
      <c r="D21" s="11"/>
      <c r="E21" s="293">
        <v>613500</v>
      </c>
      <c r="F21" s="319"/>
      <c r="G21" s="11" t="s">
        <v>86</v>
      </c>
      <c r="H21" s="515">
        <v>200</v>
      </c>
      <c r="I21" s="515">
        <v>200</v>
      </c>
      <c r="J21" s="564">
        <v>99</v>
      </c>
      <c r="K21" s="555">
        <v>200</v>
      </c>
      <c r="L21" s="352">
        <v>0</v>
      </c>
      <c r="M21" s="548">
        <f t="shared" si="9"/>
        <v>200</v>
      </c>
      <c r="N21" s="334">
        <f t="shared" si="3"/>
        <v>100</v>
      </c>
    </row>
    <row r="22" spans="1:14" ht="12.95" customHeight="1">
      <c r="B22" s="10"/>
      <c r="C22" s="11"/>
      <c r="D22" s="11"/>
      <c r="E22" s="293">
        <v>613600</v>
      </c>
      <c r="F22" s="319"/>
      <c r="G22" s="18" t="s">
        <v>201</v>
      </c>
      <c r="H22" s="515">
        <f t="shared" ref="H22:I26" si="10">SUM(F22:G22)</f>
        <v>0</v>
      </c>
      <c r="I22" s="515">
        <f t="shared" si="10"/>
        <v>0</v>
      </c>
      <c r="J22" s="564">
        <v>0</v>
      </c>
      <c r="K22" s="555">
        <v>0</v>
      </c>
      <c r="L22" s="352">
        <v>0</v>
      </c>
      <c r="M22" s="548">
        <f t="shared" si="9"/>
        <v>0</v>
      </c>
      <c r="N22" s="334" t="str">
        <f t="shared" si="3"/>
        <v/>
      </c>
    </row>
    <row r="23" spans="1:14" ht="12.95" customHeight="1">
      <c r="B23" s="10"/>
      <c r="C23" s="11"/>
      <c r="D23" s="11"/>
      <c r="E23" s="293">
        <v>613700</v>
      </c>
      <c r="F23" s="319"/>
      <c r="G23" s="11" t="s">
        <v>87</v>
      </c>
      <c r="H23" s="515">
        <v>8000</v>
      </c>
      <c r="I23" s="515">
        <v>8000</v>
      </c>
      <c r="J23" s="564">
        <v>2352</v>
      </c>
      <c r="K23" s="555">
        <v>8000</v>
      </c>
      <c r="L23" s="352">
        <v>0</v>
      </c>
      <c r="M23" s="548">
        <f t="shared" si="9"/>
        <v>8000</v>
      </c>
      <c r="N23" s="334">
        <f t="shared" si="3"/>
        <v>100</v>
      </c>
    </row>
    <row r="24" spans="1:14" ht="12.95" customHeight="1">
      <c r="B24" s="10"/>
      <c r="C24" s="11"/>
      <c r="D24" s="11"/>
      <c r="E24" s="293">
        <v>613800</v>
      </c>
      <c r="F24" s="319"/>
      <c r="G24" s="11" t="s">
        <v>166</v>
      </c>
      <c r="H24" s="515">
        <f t="shared" si="10"/>
        <v>0</v>
      </c>
      <c r="I24" s="515">
        <f t="shared" si="10"/>
        <v>0</v>
      </c>
      <c r="J24" s="564">
        <v>0</v>
      </c>
      <c r="K24" s="555">
        <v>0</v>
      </c>
      <c r="L24" s="352">
        <v>0</v>
      </c>
      <c r="M24" s="548">
        <f t="shared" si="9"/>
        <v>0</v>
      </c>
      <c r="N24" s="334" t="str">
        <f t="shared" si="3"/>
        <v/>
      </c>
    </row>
    <row r="25" spans="1:14" ht="12.95" customHeight="1">
      <c r="B25" s="10"/>
      <c r="C25" s="11"/>
      <c r="D25" s="11"/>
      <c r="E25" s="293">
        <v>613900</v>
      </c>
      <c r="F25" s="319"/>
      <c r="G25" s="11" t="s">
        <v>167</v>
      </c>
      <c r="H25" s="515">
        <v>30000</v>
      </c>
      <c r="I25" s="515">
        <v>30000</v>
      </c>
      <c r="J25" s="564">
        <v>25494</v>
      </c>
      <c r="K25" s="555">
        <v>35000</v>
      </c>
      <c r="L25" s="352">
        <v>0</v>
      </c>
      <c r="M25" s="548">
        <f t="shared" si="9"/>
        <v>35000</v>
      </c>
      <c r="N25" s="334">
        <f t="shared" si="3"/>
        <v>116.66666666666667</v>
      </c>
    </row>
    <row r="26" spans="1:14" ht="12.95" customHeight="1">
      <c r="B26" s="10"/>
      <c r="C26" s="11"/>
      <c r="D26" s="11"/>
      <c r="E26" s="293">
        <v>613900</v>
      </c>
      <c r="F26" s="319"/>
      <c r="G26" s="180" t="s">
        <v>535</v>
      </c>
      <c r="H26" s="515">
        <f t="shared" si="10"/>
        <v>0</v>
      </c>
      <c r="I26" s="515">
        <f t="shared" si="10"/>
        <v>0</v>
      </c>
      <c r="J26" s="564">
        <v>0</v>
      </c>
      <c r="K26" s="582">
        <v>0</v>
      </c>
      <c r="L26" s="352">
        <v>0</v>
      </c>
      <c r="M26" s="548">
        <f t="shared" si="9"/>
        <v>0</v>
      </c>
      <c r="N26" s="334" t="str">
        <f t="shared" si="3"/>
        <v/>
      </c>
    </row>
    <row r="27" spans="1:14" s="1" customFormat="1" ht="12.95" customHeight="1">
      <c r="A27" s="269"/>
      <c r="B27" s="12"/>
      <c r="C27" s="8"/>
      <c r="D27" s="8"/>
      <c r="E27" s="292"/>
      <c r="F27" s="318"/>
      <c r="G27" s="8"/>
      <c r="H27" s="348"/>
      <c r="I27" s="348"/>
      <c r="J27" s="584"/>
      <c r="K27" s="556"/>
      <c r="L27" s="352"/>
      <c r="M27" s="585"/>
      <c r="N27" s="334" t="str">
        <f t="shared" si="3"/>
        <v/>
      </c>
    </row>
    <row r="28" spans="1:14" s="1" customFormat="1" ht="12.95" customHeight="1">
      <c r="A28" s="269"/>
      <c r="B28" s="12"/>
      <c r="C28" s="8"/>
      <c r="D28" s="8"/>
      <c r="E28" s="292">
        <v>821000</v>
      </c>
      <c r="F28" s="318"/>
      <c r="G28" s="8" t="s">
        <v>90</v>
      </c>
      <c r="H28" s="262">
        <f t="shared" ref="H28:I28" si="11">SUM(H29:H30)</f>
        <v>10000</v>
      </c>
      <c r="I28" s="262">
        <f t="shared" si="11"/>
        <v>10000</v>
      </c>
      <c r="J28" s="565">
        <v>854</v>
      </c>
      <c r="K28" s="557">
        <f t="shared" ref="K28:M28" si="12">SUM(K29:K30)</f>
        <v>5000</v>
      </c>
      <c r="L28" s="282">
        <f t="shared" si="12"/>
        <v>0</v>
      </c>
      <c r="M28" s="553">
        <f t="shared" si="12"/>
        <v>5000</v>
      </c>
      <c r="N28" s="333">
        <f t="shared" si="3"/>
        <v>50</v>
      </c>
    </row>
    <row r="29" spans="1:14" ht="12.95" customHeight="1">
      <c r="B29" s="10"/>
      <c r="C29" s="11"/>
      <c r="D29" s="11"/>
      <c r="E29" s="293">
        <v>821200</v>
      </c>
      <c r="F29" s="319"/>
      <c r="G29" s="11" t="s">
        <v>91</v>
      </c>
      <c r="H29" s="515">
        <v>5000</v>
      </c>
      <c r="I29" s="515">
        <v>5000</v>
      </c>
      <c r="J29" s="564">
        <v>0</v>
      </c>
      <c r="K29" s="556">
        <v>0</v>
      </c>
      <c r="L29" s="283">
        <v>0</v>
      </c>
      <c r="M29" s="548">
        <f t="shared" ref="M29:M30" si="13">SUM(K29:L29)</f>
        <v>0</v>
      </c>
      <c r="N29" s="334">
        <f t="shared" si="3"/>
        <v>0</v>
      </c>
    </row>
    <row r="30" spans="1:14" ht="12.95" customHeight="1">
      <c r="B30" s="10"/>
      <c r="C30" s="11"/>
      <c r="D30" s="11"/>
      <c r="E30" s="293">
        <v>821300</v>
      </c>
      <c r="F30" s="319"/>
      <c r="G30" s="11" t="s">
        <v>92</v>
      </c>
      <c r="H30" s="515">
        <v>5000</v>
      </c>
      <c r="I30" s="515">
        <v>5000</v>
      </c>
      <c r="J30" s="564">
        <v>854</v>
      </c>
      <c r="K30" s="556">
        <v>5000</v>
      </c>
      <c r="L30" s="283">
        <v>0</v>
      </c>
      <c r="M30" s="548">
        <f t="shared" si="13"/>
        <v>5000</v>
      </c>
      <c r="N30" s="334">
        <f t="shared" si="3"/>
        <v>100</v>
      </c>
    </row>
    <row r="31" spans="1:14" ht="12.95" customHeight="1">
      <c r="B31" s="10"/>
      <c r="C31" s="11"/>
      <c r="D31" s="11"/>
      <c r="E31" s="293"/>
      <c r="F31" s="319"/>
      <c r="G31" s="11"/>
      <c r="H31" s="516"/>
      <c r="I31" s="516"/>
      <c r="J31" s="566"/>
      <c r="K31" s="556"/>
      <c r="L31" s="283"/>
      <c r="M31" s="551"/>
      <c r="N31" s="334" t="str">
        <f t="shared" si="3"/>
        <v/>
      </c>
    </row>
    <row r="32" spans="1:14" s="1" customFormat="1" ht="12.95" customHeight="1">
      <c r="A32" s="269"/>
      <c r="B32" s="12"/>
      <c r="C32" s="8"/>
      <c r="D32" s="8"/>
      <c r="E32" s="292"/>
      <c r="F32" s="318"/>
      <c r="G32" s="8" t="s">
        <v>93</v>
      </c>
      <c r="H32" s="517" t="s">
        <v>782</v>
      </c>
      <c r="I32" s="517" t="s">
        <v>782</v>
      </c>
      <c r="J32" s="579" t="s">
        <v>829</v>
      </c>
      <c r="K32" s="580" t="s">
        <v>870</v>
      </c>
      <c r="L32" s="266"/>
      <c r="M32" s="581" t="s">
        <v>870</v>
      </c>
      <c r="N32" s="334"/>
    </row>
    <row r="33" spans="1:14" s="1" customFormat="1" ht="12.95" customHeight="1">
      <c r="A33" s="269"/>
      <c r="B33" s="12"/>
      <c r="C33" s="8"/>
      <c r="D33" s="8"/>
      <c r="E33" s="292"/>
      <c r="F33" s="318"/>
      <c r="G33" s="8" t="s">
        <v>113</v>
      </c>
      <c r="H33" s="262">
        <f t="shared" ref="H33:M33" si="14">H8+H13+H16+H28</f>
        <v>1208450</v>
      </c>
      <c r="I33" s="276">
        <f t="shared" si="14"/>
        <v>1208450</v>
      </c>
      <c r="J33" s="565">
        <f t="shared" si="14"/>
        <v>876328</v>
      </c>
      <c r="K33" s="558">
        <f t="shared" si="14"/>
        <v>1225910</v>
      </c>
      <c r="L33" s="276">
        <f t="shared" si="14"/>
        <v>0</v>
      </c>
      <c r="M33" s="553">
        <f t="shared" si="14"/>
        <v>1225910</v>
      </c>
      <c r="N33" s="333">
        <f t="shared" si="3"/>
        <v>101.44482601679839</v>
      </c>
    </row>
    <row r="34" spans="1:14" s="1" customFormat="1" ht="12.95" customHeight="1">
      <c r="A34" s="269"/>
      <c r="B34" s="12"/>
      <c r="C34" s="8"/>
      <c r="D34" s="8"/>
      <c r="E34" s="292"/>
      <c r="F34" s="318"/>
      <c r="G34" s="8" t="s">
        <v>94</v>
      </c>
      <c r="H34" s="262"/>
      <c r="I34" s="276"/>
      <c r="J34" s="565"/>
      <c r="K34" s="558"/>
      <c r="L34" s="276"/>
      <c r="M34" s="553"/>
      <c r="N34" s="334" t="str">
        <f t="shared" si="3"/>
        <v/>
      </c>
    </row>
    <row r="35" spans="1:14" s="1" customFormat="1" ht="12.95" customHeight="1">
      <c r="A35" s="269"/>
      <c r="B35" s="12"/>
      <c r="C35" s="8"/>
      <c r="D35" s="8"/>
      <c r="E35" s="292"/>
      <c r="F35" s="318"/>
      <c r="G35" s="8" t="s">
        <v>95</v>
      </c>
      <c r="H35" s="516"/>
      <c r="I35" s="267"/>
      <c r="J35" s="566"/>
      <c r="K35" s="578"/>
      <c r="L35" s="267"/>
      <c r="M35" s="551"/>
      <c r="N35" s="334" t="str">
        <f t="shared" si="3"/>
        <v/>
      </c>
    </row>
    <row r="36" spans="1:14" ht="12.95" customHeight="1" thickBot="1">
      <c r="B36" s="15"/>
      <c r="C36" s="16"/>
      <c r="D36" s="16"/>
      <c r="E36" s="294"/>
      <c r="F36" s="320"/>
      <c r="G36" s="16"/>
      <c r="H36" s="518"/>
      <c r="I36" s="27"/>
      <c r="J36" s="567"/>
      <c r="K36" s="559"/>
      <c r="L36" s="27"/>
      <c r="M36" s="560"/>
      <c r="N36" s="336" t="str">
        <f t="shared" si="3"/>
        <v/>
      </c>
    </row>
    <row r="37" spans="1:14" ht="12.95" customHeight="1">
      <c r="E37" s="295"/>
      <c r="F37" s="321"/>
      <c r="M37" s="370"/>
      <c r="N37" s="337" t="str">
        <f t="shared" si="3"/>
        <v/>
      </c>
    </row>
    <row r="38" spans="1:14" ht="12.95" customHeight="1">
      <c r="E38" s="295"/>
      <c r="F38" s="321"/>
      <c r="M38" s="370"/>
      <c r="N38" s="337" t="str">
        <f t="shared" si="3"/>
        <v/>
      </c>
    </row>
    <row r="39" spans="1:14" ht="12.95" customHeight="1">
      <c r="B39" s="48"/>
      <c r="E39" s="295"/>
      <c r="F39" s="321"/>
      <c r="M39" s="370"/>
      <c r="N39" s="337" t="str">
        <f t="shared" si="3"/>
        <v/>
      </c>
    </row>
    <row r="40" spans="1:14" ht="12.95" customHeight="1">
      <c r="B40" s="48"/>
      <c r="E40" s="295"/>
      <c r="F40" s="321"/>
      <c r="M40" s="370"/>
      <c r="N40" s="337" t="str">
        <f t="shared" si="3"/>
        <v/>
      </c>
    </row>
    <row r="41" spans="1:14" ht="12.95" customHeight="1">
      <c r="B41" s="48"/>
      <c r="E41" s="295"/>
      <c r="F41" s="321"/>
      <c r="M41" s="370"/>
      <c r="N41" s="337" t="str">
        <f t="shared" si="3"/>
        <v/>
      </c>
    </row>
    <row r="42" spans="1:14" ht="12.95" customHeight="1">
      <c r="B42" s="48"/>
      <c r="E42" s="295"/>
      <c r="F42" s="321"/>
      <c r="M42" s="370"/>
      <c r="N42" s="337" t="str">
        <f t="shared" si="3"/>
        <v/>
      </c>
    </row>
    <row r="43" spans="1:14" ht="12.95" customHeight="1">
      <c r="B43" s="48"/>
      <c r="E43" s="295"/>
      <c r="F43" s="321"/>
      <c r="M43" s="370"/>
      <c r="N43" s="337" t="str">
        <f t="shared" si="3"/>
        <v/>
      </c>
    </row>
    <row r="44" spans="1:14" ht="12.95" customHeight="1">
      <c r="B44" s="48"/>
      <c r="E44" s="295"/>
      <c r="F44" s="321"/>
      <c r="M44" s="370"/>
      <c r="N44" s="337" t="str">
        <f t="shared" si="3"/>
        <v/>
      </c>
    </row>
    <row r="45" spans="1:14" ht="12.95" customHeight="1">
      <c r="B45" s="48"/>
      <c r="E45" s="295"/>
      <c r="F45" s="321"/>
      <c r="M45" s="370"/>
      <c r="N45" s="337" t="str">
        <f t="shared" si="3"/>
        <v/>
      </c>
    </row>
    <row r="46" spans="1:14" ht="12.95" customHeight="1">
      <c r="E46" s="295"/>
      <c r="F46" s="321"/>
      <c r="M46" s="370"/>
      <c r="N46" s="337" t="str">
        <f t="shared" si="3"/>
        <v/>
      </c>
    </row>
    <row r="47" spans="1:14" ht="12.95" customHeight="1">
      <c r="E47" s="295"/>
      <c r="F47" s="321"/>
      <c r="M47" s="370"/>
      <c r="N47" s="337" t="str">
        <f t="shared" si="3"/>
        <v/>
      </c>
    </row>
    <row r="48" spans="1:14" ht="12.95" customHeight="1">
      <c r="E48" s="295"/>
      <c r="F48" s="321"/>
      <c r="M48" s="370"/>
      <c r="N48" s="337" t="str">
        <f t="shared" si="3"/>
        <v/>
      </c>
    </row>
    <row r="49" spans="5:14" ht="12.95" customHeight="1">
      <c r="E49" s="295"/>
      <c r="F49" s="321"/>
      <c r="M49" s="370"/>
      <c r="N49" s="337" t="str">
        <f t="shared" si="3"/>
        <v/>
      </c>
    </row>
    <row r="50" spans="5:14" ht="12.95" customHeight="1">
      <c r="E50" s="295"/>
      <c r="F50" s="321"/>
      <c r="M50" s="370"/>
      <c r="N50" s="337" t="str">
        <f t="shared" si="3"/>
        <v/>
      </c>
    </row>
    <row r="51" spans="5:14" ht="12.95" customHeight="1">
      <c r="E51" s="295"/>
      <c r="F51" s="321"/>
      <c r="M51" s="370"/>
      <c r="N51" s="337" t="str">
        <f t="shared" si="3"/>
        <v/>
      </c>
    </row>
    <row r="52" spans="5:14" ht="12.95" customHeight="1">
      <c r="E52" s="295"/>
      <c r="F52" s="321"/>
      <c r="M52" s="370"/>
      <c r="N52" s="337" t="str">
        <f t="shared" si="3"/>
        <v/>
      </c>
    </row>
    <row r="53" spans="5:14" ht="12.95" customHeight="1">
      <c r="E53" s="295"/>
      <c r="F53" s="321"/>
      <c r="M53" s="370"/>
      <c r="N53" s="337" t="str">
        <f t="shared" si="3"/>
        <v/>
      </c>
    </row>
    <row r="54" spans="5:14" ht="12.95" customHeight="1">
      <c r="E54" s="295"/>
      <c r="F54" s="321"/>
      <c r="M54" s="370"/>
      <c r="N54" s="337" t="str">
        <f t="shared" si="3"/>
        <v/>
      </c>
    </row>
    <row r="55" spans="5:14" ht="12.95" customHeight="1">
      <c r="E55" s="295"/>
      <c r="F55" s="321"/>
      <c r="M55" s="370"/>
      <c r="N55" s="337" t="str">
        <f t="shared" si="3"/>
        <v/>
      </c>
    </row>
    <row r="56" spans="5:14" ht="12.95" customHeight="1">
      <c r="E56" s="295"/>
      <c r="F56" s="321"/>
      <c r="M56" s="370"/>
      <c r="N56" s="337" t="str">
        <f t="shared" si="3"/>
        <v/>
      </c>
    </row>
    <row r="57" spans="5:14" ht="12.95" customHeight="1">
      <c r="E57" s="295"/>
      <c r="F57" s="321"/>
      <c r="M57" s="370"/>
      <c r="N57" s="337" t="str">
        <f t="shared" si="3"/>
        <v/>
      </c>
    </row>
    <row r="58" spans="5:14" ht="12.95" customHeight="1">
      <c r="E58" s="295"/>
      <c r="F58" s="321"/>
      <c r="M58" s="370"/>
      <c r="N58" s="337" t="str">
        <f t="shared" si="3"/>
        <v/>
      </c>
    </row>
    <row r="59" spans="5:14" ht="12.95" customHeight="1">
      <c r="E59" s="295"/>
      <c r="F59" s="321"/>
      <c r="M59" s="370"/>
      <c r="N59" s="337" t="str">
        <f t="shared" si="3"/>
        <v/>
      </c>
    </row>
    <row r="60" spans="5:14" ht="17.100000000000001" customHeight="1">
      <c r="E60" s="295"/>
      <c r="F60" s="321"/>
      <c r="M60" s="370"/>
      <c r="N60" s="337" t="str">
        <f t="shared" si="3"/>
        <v/>
      </c>
    </row>
    <row r="61" spans="5:14" ht="14.25">
      <c r="E61" s="295"/>
      <c r="F61" s="321"/>
      <c r="M61" s="370"/>
      <c r="N61" s="337" t="str">
        <f t="shared" si="3"/>
        <v/>
      </c>
    </row>
    <row r="62" spans="5:14" ht="14.25">
      <c r="E62" s="295"/>
      <c r="F62" s="321"/>
      <c r="M62" s="370"/>
      <c r="N62" s="337" t="str">
        <f t="shared" si="3"/>
        <v/>
      </c>
    </row>
    <row r="63" spans="5:14" ht="14.25">
      <c r="E63" s="295"/>
      <c r="F63" s="321"/>
      <c r="M63" s="370"/>
      <c r="N63" s="337" t="str">
        <f t="shared" si="3"/>
        <v/>
      </c>
    </row>
    <row r="64" spans="5:14" ht="14.25">
      <c r="E64" s="295"/>
      <c r="F64" s="321"/>
      <c r="M64" s="370"/>
      <c r="N64" s="337" t="str">
        <f t="shared" si="3"/>
        <v/>
      </c>
    </row>
    <row r="65" spans="5:14" ht="14.25">
      <c r="E65" s="295"/>
      <c r="F65" s="321"/>
      <c r="M65" s="370"/>
      <c r="N65" s="337" t="str">
        <f t="shared" si="3"/>
        <v/>
      </c>
    </row>
    <row r="66" spans="5:14" ht="14.25">
      <c r="E66" s="295"/>
      <c r="F66" s="321"/>
      <c r="M66" s="370"/>
      <c r="N66" s="337" t="str">
        <f t="shared" si="3"/>
        <v/>
      </c>
    </row>
    <row r="67" spans="5:14" ht="14.25">
      <c r="E67" s="295"/>
      <c r="F67" s="321"/>
      <c r="M67" s="370"/>
      <c r="N67" s="337" t="str">
        <f t="shared" si="3"/>
        <v/>
      </c>
    </row>
    <row r="68" spans="5:14" ht="14.25">
      <c r="E68" s="295"/>
      <c r="F68" s="321"/>
      <c r="M68" s="370"/>
      <c r="N68" s="337" t="str">
        <f t="shared" si="3"/>
        <v/>
      </c>
    </row>
    <row r="69" spans="5:14" ht="14.25">
      <c r="E69" s="295"/>
      <c r="F69" s="321"/>
      <c r="M69" s="370"/>
      <c r="N69" s="337" t="str">
        <f t="shared" si="3"/>
        <v/>
      </c>
    </row>
    <row r="70" spans="5:14" ht="14.25">
      <c r="E70" s="295"/>
      <c r="F70" s="321"/>
      <c r="M70" s="370"/>
      <c r="N70" s="337" t="str">
        <f t="shared" si="3"/>
        <v/>
      </c>
    </row>
    <row r="71" spans="5:14" ht="14.25">
      <c r="E71" s="295"/>
      <c r="F71" s="321"/>
      <c r="M71" s="370"/>
      <c r="N71" s="337" t="str">
        <f t="shared" si="3"/>
        <v/>
      </c>
    </row>
    <row r="72" spans="5:14" ht="14.25">
      <c r="E72" s="295"/>
      <c r="F72" s="321"/>
      <c r="M72" s="370"/>
      <c r="N72" s="337" t="str">
        <f t="shared" si="3"/>
        <v/>
      </c>
    </row>
    <row r="73" spans="5:14" ht="14.25">
      <c r="E73" s="295"/>
      <c r="F73" s="321"/>
      <c r="M73" s="370"/>
      <c r="N73" s="337" t="str">
        <f t="shared" ref="N73:N77" si="15">IF(I73=0,"",M73/I73*100)</f>
        <v/>
      </c>
    </row>
    <row r="74" spans="5:14" ht="14.25">
      <c r="E74" s="295"/>
      <c r="F74" s="295"/>
      <c r="M74" s="370"/>
      <c r="N74" s="337" t="str">
        <f t="shared" si="15"/>
        <v/>
      </c>
    </row>
    <row r="75" spans="5:14" ht="14.25">
      <c r="E75" s="295"/>
      <c r="F75" s="295"/>
      <c r="M75" s="370"/>
      <c r="N75" s="337" t="str">
        <f t="shared" si="15"/>
        <v/>
      </c>
    </row>
    <row r="76" spans="5:14" ht="14.25">
      <c r="E76" s="295"/>
      <c r="F76" s="295"/>
      <c r="M76" s="370"/>
      <c r="N76" s="337" t="str">
        <f t="shared" si="15"/>
        <v/>
      </c>
    </row>
    <row r="77" spans="5:14" ht="14.25">
      <c r="E77" s="295"/>
      <c r="F77" s="295"/>
      <c r="M77" s="370"/>
      <c r="N77" s="337" t="str">
        <f t="shared" si="15"/>
        <v/>
      </c>
    </row>
    <row r="78" spans="5:14" ht="14.25">
      <c r="E78" s="295"/>
      <c r="F78" s="295"/>
      <c r="M78" s="370"/>
    </row>
    <row r="79" spans="5:14" ht="14.25">
      <c r="E79" s="295"/>
      <c r="F79" s="295"/>
      <c r="M79" s="370"/>
    </row>
    <row r="80" spans="5:14" ht="14.25">
      <c r="E80" s="295"/>
      <c r="F80" s="295"/>
      <c r="M80" s="370"/>
    </row>
    <row r="81" spans="5:13" ht="14.25">
      <c r="E81" s="295"/>
      <c r="F81" s="295"/>
      <c r="M81" s="370"/>
    </row>
    <row r="82" spans="5:13" ht="14.25">
      <c r="E82" s="295"/>
      <c r="F82" s="295"/>
      <c r="M82" s="370"/>
    </row>
    <row r="83" spans="5:13" ht="14.25">
      <c r="E83" s="295"/>
      <c r="F83" s="295"/>
      <c r="M83" s="370"/>
    </row>
    <row r="84" spans="5:13" ht="14.25">
      <c r="E84" s="295"/>
      <c r="F84" s="295"/>
      <c r="M84" s="370"/>
    </row>
    <row r="85" spans="5:13" ht="14.25">
      <c r="E85" s="295"/>
      <c r="F85" s="295"/>
      <c r="M85" s="370"/>
    </row>
    <row r="86" spans="5:13" ht="14.25">
      <c r="E86" s="295"/>
      <c r="F86" s="295"/>
      <c r="M86" s="370"/>
    </row>
    <row r="87" spans="5:13" ht="14.25">
      <c r="E87" s="295"/>
      <c r="F87" s="295"/>
      <c r="M87" s="370"/>
    </row>
    <row r="88" spans="5:13" ht="14.25">
      <c r="E88" s="295"/>
      <c r="F88" s="295"/>
      <c r="M88" s="370"/>
    </row>
    <row r="89" spans="5:13" ht="14.25">
      <c r="E89" s="295"/>
      <c r="F89" s="295"/>
      <c r="M89" s="370"/>
    </row>
    <row r="90" spans="5:13" ht="14.25">
      <c r="E90" s="295"/>
      <c r="F90" s="295"/>
      <c r="M90" s="370"/>
    </row>
    <row r="91" spans="5:13">
      <c r="F91" s="295"/>
    </row>
    <row r="92" spans="5:13">
      <c r="F92" s="295"/>
    </row>
    <row r="93" spans="5:13">
      <c r="F93" s="295"/>
    </row>
    <row r="94" spans="5:13">
      <c r="F94" s="295"/>
    </row>
    <row r="95" spans="5:13">
      <c r="F95" s="295"/>
    </row>
    <row r="96" spans="5:13">
      <c r="F96" s="295"/>
    </row>
  </sheetData>
  <mergeCells count="12">
    <mergeCell ref="N4:N5"/>
    <mergeCell ref="G4:G5"/>
    <mergeCell ref="B2:G2"/>
    <mergeCell ref="B4:B5"/>
    <mergeCell ref="C4:C5"/>
    <mergeCell ref="D4:D5"/>
    <mergeCell ref="F4:F5"/>
    <mergeCell ref="E4:E5"/>
    <mergeCell ref="K4:M4"/>
    <mergeCell ref="H4:H5"/>
    <mergeCell ref="I4:I5"/>
    <mergeCell ref="J4:J5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B1:AD301"/>
  <sheetViews>
    <sheetView zoomScaleNormal="100" workbookViewId="0">
      <selection activeCell="L18" sqref="L18"/>
    </sheetView>
  </sheetViews>
  <sheetFormatPr defaultRowHeight="15" customHeight="1"/>
  <cols>
    <col min="2" max="2" width="58.85546875" customWidth="1"/>
    <col min="3" max="3" width="13.140625" customWidth="1"/>
    <col min="4" max="4" width="17.42578125" customWidth="1"/>
    <col min="5" max="5" width="17.42578125" style="498" customWidth="1"/>
    <col min="6" max="6" width="18.85546875" style="498" customWidth="1"/>
    <col min="7" max="7" width="19.5703125" customWidth="1"/>
    <col min="8" max="8" width="9.28515625" customWidth="1"/>
    <col min="9" max="9" width="6.42578125" customWidth="1"/>
    <col min="11" max="12" width="15.7109375" customWidth="1"/>
    <col min="13" max="13" width="8.7109375" customWidth="1"/>
  </cols>
  <sheetData>
    <row r="1" spans="2:30" ht="15" customHeight="1">
      <c r="B1" s="694" t="s">
        <v>874</v>
      </c>
      <c r="C1" s="695"/>
      <c r="D1" s="669"/>
      <c r="E1" s="669"/>
      <c r="F1" s="669"/>
      <c r="G1" s="669"/>
      <c r="H1" s="669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</row>
    <row r="2" spans="2:30" ht="15" customHeight="1">
      <c r="B2" s="669"/>
      <c r="C2" s="669"/>
      <c r="D2" s="669"/>
      <c r="E2" s="669"/>
      <c r="F2" s="669"/>
      <c r="G2" s="669"/>
      <c r="H2" s="669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</row>
    <row r="3" spans="2:30" ht="12" customHeight="1">
      <c r="B3" s="669"/>
      <c r="C3" s="669"/>
      <c r="D3" s="669"/>
      <c r="E3" s="669"/>
      <c r="F3" s="669"/>
      <c r="G3" s="669"/>
      <c r="H3" s="669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</row>
    <row r="4" spans="2:30" ht="9" hidden="1" customHeight="1">
      <c r="B4" s="669"/>
      <c r="C4" s="669"/>
      <c r="D4" s="669"/>
      <c r="E4" s="669"/>
      <c r="F4" s="669"/>
      <c r="G4" s="669"/>
      <c r="H4" s="669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</row>
    <row r="5" spans="2:30" ht="26.25" customHeight="1">
      <c r="B5" s="696" t="s">
        <v>807</v>
      </c>
      <c r="C5" s="696"/>
      <c r="D5" s="696"/>
      <c r="E5" s="696"/>
      <c r="F5" s="696"/>
      <c r="G5" s="696"/>
      <c r="H5" s="696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</row>
    <row r="6" spans="2:30" ht="15" customHeight="1">
      <c r="B6" s="697" t="s">
        <v>808</v>
      </c>
      <c r="C6" s="697"/>
      <c r="D6" s="697"/>
      <c r="E6" s="697"/>
      <c r="F6" s="697"/>
      <c r="G6" s="697"/>
      <c r="H6" s="697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</row>
    <row r="7" spans="2:30" ht="15" customHeight="1">
      <c r="B7" s="121" t="s">
        <v>809</v>
      </c>
      <c r="C7" s="39"/>
      <c r="D7" s="39"/>
      <c r="E7" s="39"/>
      <c r="F7" s="39"/>
      <c r="G7" s="39"/>
      <c r="H7" s="493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</row>
    <row r="8" spans="2:30" ht="6.75" customHeight="1">
      <c r="B8" s="31"/>
      <c r="C8" s="493"/>
      <c r="D8" s="493"/>
      <c r="G8" s="493"/>
      <c r="H8" s="493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</row>
    <row r="9" spans="2:30" ht="15" customHeight="1">
      <c r="B9" s="31" t="s">
        <v>810</v>
      </c>
      <c r="C9" s="493"/>
      <c r="D9" s="493"/>
      <c r="G9" s="493"/>
      <c r="H9" s="493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</row>
    <row r="10" spans="2:30" ht="17.25" customHeight="1">
      <c r="B10" s="692" t="s">
        <v>811</v>
      </c>
      <c r="C10" s="693"/>
      <c r="D10" s="693"/>
      <c r="E10" s="693"/>
      <c r="F10" s="693"/>
      <c r="G10" s="693"/>
      <c r="H10" s="665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</row>
    <row r="11" spans="2:30" ht="17.25" customHeight="1">
      <c r="B11" s="501" t="s">
        <v>812</v>
      </c>
      <c r="C11" s="497"/>
      <c r="D11" s="497"/>
      <c r="E11" s="499"/>
      <c r="F11" s="499"/>
      <c r="G11" s="497"/>
      <c r="H11" s="493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</row>
    <row r="12" spans="2:30" s="409" customFormat="1" ht="39" customHeight="1">
      <c r="B12" s="410" t="s">
        <v>266</v>
      </c>
      <c r="C12" s="411" t="s">
        <v>708</v>
      </c>
      <c r="D12" s="452" t="s">
        <v>649</v>
      </c>
      <c r="E12" s="452" t="s">
        <v>844</v>
      </c>
      <c r="F12" s="452" t="s">
        <v>845</v>
      </c>
      <c r="G12" s="452" t="s">
        <v>813</v>
      </c>
      <c r="H12" s="411" t="s">
        <v>846</v>
      </c>
      <c r="J12" s="412"/>
      <c r="K12" s="412"/>
      <c r="L12" s="412"/>
      <c r="M12" s="412"/>
      <c r="N12" s="412"/>
      <c r="O12" s="412"/>
      <c r="P12" s="412"/>
      <c r="Q12" s="412"/>
      <c r="R12" s="412"/>
      <c r="S12" s="412"/>
      <c r="T12" s="412"/>
      <c r="U12" s="412"/>
      <c r="V12" s="412"/>
      <c r="W12" s="412"/>
      <c r="X12" s="412"/>
      <c r="Y12" s="412"/>
      <c r="Z12" s="412"/>
      <c r="AA12" s="412"/>
      <c r="AB12" s="412"/>
      <c r="AC12" s="412"/>
      <c r="AD12" s="412"/>
    </row>
    <row r="13" spans="2:30" s="460" customFormat="1" ht="11.25" customHeight="1">
      <c r="B13" s="461">
        <v>1</v>
      </c>
      <c r="C13" s="461">
        <v>2</v>
      </c>
      <c r="D13" s="462">
        <v>3</v>
      </c>
      <c r="E13" s="462">
        <v>4</v>
      </c>
      <c r="F13" s="462">
        <v>5</v>
      </c>
      <c r="G13" s="462">
        <v>6</v>
      </c>
      <c r="H13" s="461">
        <v>7</v>
      </c>
      <c r="J13" s="463"/>
      <c r="K13" s="463"/>
      <c r="L13" s="463"/>
      <c r="M13" s="463"/>
      <c r="N13" s="463"/>
      <c r="O13" s="463"/>
      <c r="P13" s="463"/>
      <c r="Q13" s="463"/>
      <c r="R13" s="463"/>
      <c r="S13" s="463"/>
      <c r="T13" s="463"/>
      <c r="U13" s="463"/>
      <c r="V13" s="463"/>
      <c r="W13" s="463"/>
      <c r="X13" s="463"/>
      <c r="Y13" s="463"/>
      <c r="Z13" s="463"/>
      <c r="AA13" s="463"/>
      <c r="AB13" s="463"/>
      <c r="AC13" s="463"/>
      <c r="AD13" s="463"/>
    </row>
    <row r="14" spans="2:30" s="409" customFormat="1" ht="14.1" customHeight="1">
      <c r="B14" s="413" t="s">
        <v>721</v>
      </c>
      <c r="C14" s="413"/>
      <c r="D14" s="414">
        <f>D15+D16+D17+D18+D19</f>
        <v>41993110</v>
      </c>
      <c r="E14" s="414">
        <f>E15+E16+E17+E18+E19</f>
        <v>41993110</v>
      </c>
      <c r="F14" s="414" t="e">
        <f>F15+F16+F17+F18+F19</f>
        <v>#REF!</v>
      </c>
      <c r="G14" s="453">
        <f>G15+G16+G17+G18+G19</f>
        <v>43183883</v>
      </c>
      <c r="H14" s="415">
        <f>IF(E14=0,,G14/E14*100)</f>
        <v>102.83563898934848</v>
      </c>
      <c r="I14" s="144"/>
      <c r="J14" s="412"/>
      <c r="K14" s="412"/>
      <c r="L14" s="412"/>
      <c r="M14" s="412"/>
      <c r="N14" s="412"/>
      <c r="O14" s="412"/>
      <c r="P14" s="412"/>
      <c r="Q14" s="412"/>
      <c r="R14" s="412"/>
      <c r="S14" s="412"/>
      <c r="T14" s="412"/>
      <c r="U14" s="412"/>
      <c r="V14" s="412"/>
      <c r="W14" s="412"/>
      <c r="X14" s="412"/>
      <c r="Y14" s="412"/>
      <c r="Z14" s="412"/>
      <c r="AA14" s="412"/>
      <c r="AB14" s="412"/>
      <c r="AC14" s="412"/>
      <c r="AD14" s="412"/>
    </row>
    <row r="15" spans="2:30" s="409" customFormat="1" ht="12.95" customHeight="1">
      <c r="B15" s="416" t="s">
        <v>709</v>
      </c>
      <c r="C15" s="417">
        <v>710</v>
      </c>
      <c r="D15" s="418">
        <f>Prihodi!D5</f>
        <v>37211840</v>
      </c>
      <c r="E15" s="418">
        <f>Prihodi!E5</f>
        <v>37211840</v>
      </c>
      <c r="F15" s="418" t="e">
        <f>Prihodi!#REF!</f>
        <v>#REF!</v>
      </c>
      <c r="G15" s="406">
        <f>Prihodi!F5</f>
        <v>39107879</v>
      </c>
      <c r="H15" s="419">
        <f t="shared" ref="H15:H42" si="0">IF(E15=0,,G15/E15*100)</f>
        <v>105.09525731595106</v>
      </c>
      <c r="I15" s="144"/>
      <c r="J15" s="412"/>
      <c r="K15" s="412"/>
      <c r="L15" s="412"/>
      <c r="M15" s="412"/>
      <c r="N15" s="412"/>
      <c r="O15" s="412"/>
      <c r="P15" s="412"/>
      <c r="Q15" s="412"/>
      <c r="R15" s="412"/>
      <c r="S15" s="412"/>
      <c r="T15" s="412"/>
      <c r="U15" s="412"/>
      <c r="V15" s="412"/>
      <c r="W15" s="412"/>
      <c r="X15" s="412"/>
      <c r="Y15" s="412"/>
      <c r="Z15" s="412"/>
      <c r="AA15" s="412"/>
      <c r="AB15" s="412"/>
      <c r="AC15" s="412"/>
      <c r="AD15" s="412"/>
    </row>
    <row r="16" spans="2:30" s="409" customFormat="1" ht="12.95" customHeight="1">
      <c r="B16" s="416" t="s">
        <v>710</v>
      </c>
      <c r="C16" s="417">
        <v>720</v>
      </c>
      <c r="D16" s="418">
        <f>Prihodi!D57</f>
        <v>2692490</v>
      </c>
      <c r="E16" s="418">
        <f>Prihodi!E57</f>
        <v>2692490</v>
      </c>
      <c r="F16" s="418" t="e">
        <f>Prihodi!#REF!</f>
        <v>#REF!</v>
      </c>
      <c r="G16" s="406">
        <f>Prihodi!F57</f>
        <v>2740105</v>
      </c>
      <c r="H16" s="419">
        <f t="shared" si="0"/>
        <v>101.76843739438215</v>
      </c>
      <c r="I16" s="144"/>
      <c r="J16" s="412"/>
      <c r="K16" s="412"/>
      <c r="L16" s="412"/>
      <c r="M16" s="412"/>
      <c r="N16" s="412"/>
      <c r="O16" s="412"/>
      <c r="P16" s="412"/>
      <c r="Q16" s="412"/>
      <c r="R16" s="412"/>
      <c r="S16" s="412"/>
      <c r="T16" s="412"/>
      <c r="U16" s="412"/>
      <c r="V16" s="412"/>
      <c r="W16" s="412"/>
      <c r="X16" s="412"/>
      <c r="Y16" s="412"/>
      <c r="Z16" s="412"/>
      <c r="AA16" s="412"/>
      <c r="AB16" s="412"/>
      <c r="AC16" s="412"/>
      <c r="AD16" s="412"/>
    </row>
    <row r="17" spans="2:30" s="409" customFormat="1" ht="12.95" customHeight="1">
      <c r="B17" s="416" t="s">
        <v>711</v>
      </c>
      <c r="C17" s="417">
        <v>730</v>
      </c>
      <c r="D17" s="418">
        <f>Prihodi!D156</f>
        <v>1825750</v>
      </c>
      <c r="E17" s="418">
        <f>Prihodi!E156</f>
        <v>1825750</v>
      </c>
      <c r="F17" s="418" t="e">
        <f>Prihodi!#REF!</f>
        <v>#REF!</v>
      </c>
      <c r="G17" s="406">
        <f>Prihodi!F156</f>
        <v>968270</v>
      </c>
      <c r="H17" s="419">
        <f t="shared" si="0"/>
        <v>53.034095577160066</v>
      </c>
      <c r="I17" s="144"/>
      <c r="J17" s="412"/>
      <c r="K17" s="412"/>
      <c r="L17" s="412"/>
      <c r="M17" s="412"/>
      <c r="N17" s="412"/>
      <c r="O17" s="412"/>
      <c r="P17" s="412"/>
      <c r="Q17" s="412"/>
      <c r="R17" s="412"/>
      <c r="S17" s="412"/>
      <c r="T17" s="412"/>
      <c r="U17" s="412"/>
      <c r="V17" s="412"/>
      <c r="W17" s="412"/>
      <c r="X17" s="412"/>
      <c r="Y17" s="412"/>
      <c r="Z17" s="412"/>
      <c r="AA17" s="412"/>
      <c r="AB17" s="412"/>
      <c r="AC17" s="412"/>
      <c r="AD17" s="412"/>
    </row>
    <row r="18" spans="2:30" s="409" customFormat="1" ht="12.95" customHeight="1">
      <c r="B18" s="416" t="s">
        <v>712</v>
      </c>
      <c r="C18" s="417">
        <v>740</v>
      </c>
      <c r="D18" s="418">
        <f>Prihodi!D185</f>
        <v>261340</v>
      </c>
      <c r="E18" s="418">
        <f>Prihodi!E185</f>
        <v>261340</v>
      </c>
      <c r="F18" s="418" t="e">
        <f>Prihodi!#REF!</f>
        <v>#REF!</v>
      </c>
      <c r="G18" s="406">
        <f>Prihodi!F185</f>
        <v>366314</v>
      </c>
      <c r="H18" s="419">
        <f t="shared" si="0"/>
        <v>140.16759776536313</v>
      </c>
      <c r="I18" s="144"/>
      <c r="J18" s="412"/>
      <c r="K18" s="412"/>
      <c r="L18" s="412"/>
      <c r="M18" s="412"/>
      <c r="N18" s="412"/>
      <c r="O18" s="412"/>
      <c r="P18" s="412"/>
      <c r="Q18" s="412"/>
      <c r="R18" s="412"/>
      <c r="S18" s="412"/>
      <c r="T18" s="412"/>
      <c r="U18" s="412"/>
      <c r="V18" s="412"/>
      <c r="W18" s="412"/>
      <c r="X18" s="412"/>
      <c r="Y18" s="412"/>
      <c r="Z18" s="412"/>
      <c r="AA18" s="412"/>
      <c r="AB18" s="412"/>
      <c r="AC18" s="412"/>
      <c r="AD18" s="412"/>
    </row>
    <row r="19" spans="2:30" s="409" customFormat="1" ht="12.95" customHeight="1">
      <c r="B19" s="416" t="s">
        <v>713</v>
      </c>
      <c r="C19" s="417">
        <v>770</v>
      </c>
      <c r="D19" s="418">
        <f>Prihodi!D221</f>
        <v>1690</v>
      </c>
      <c r="E19" s="418">
        <f>Prihodi!E221</f>
        <v>1690</v>
      </c>
      <c r="F19" s="418" t="e">
        <f>Prihodi!#REF!</f>
        <v>#REF!</v>
      </c>
      <c r="G19" s="406">
        <f>Prihodi!F221</f>
        <v>1315</v>
      </c>
      <c r="H19" s="419">
        <f t="shared" si="0"/>
        <v>77.810650887573956</v>
      </c>
      <c r="I19" s="144"/>
      <c r="J19" s="412"/>
      <c r="K19" s="412"/>
      <c r="L19" s="412"/>
      <c r="M19" s="412"/>
      <c r="N19" s="412"/>
      <c r="O19" s="412"/>
      <c r="P19" s="412"/>
      <c r="Q19" s="412"/>
      <c r="R19" s="412"/>
      <c r="S19" s="412"/>
      <c r="T19" s="412"/>
      <c r="U19" s="412"/>
      <c r="V19" s="412"/>
      <c r="W19" s="412"/>
      <c r="X19" s="412"/>
      <c r="Y19" s="412"/>
      <c r="Z19" s="412"/>
      <c r="AA19" s="412"/>
      <c r="AB19" s="412"/>
      <c r="AC19" s="412"/>
      <c r="AD19" s="412"/>
    </row>
    <row r="20" spans="2:30" s="409" customFormat="1" ht="14.1" customHeight="1">
      <c r="B20" s="424" t="s">
        <v>722</v>
      </c>
      <c r="C20" s="425"/>
      <c r="D20" s="426">
        <f>SUM(D21:D27)</f>
        <v>39273200</v>
      </c>
      <c r="E20" s="426">
        <f>SUM(E21:E27)</f>
        <v>39281360</v>
      </c>
      <c r="F20" s="426">
        <f>SUM(F21:F27)</f>
        <v>26482098</v>
      </c>
      <c r="G20" s="454">
        <f>SUM(G21:G27)</f>
        <v>39810140</v>
      </c>
      <c r="H20" s="427">
        <f t="shared" si="0"/>
        <v>101.34613465521561</v>
      </c>
      <c r="I20" s="144"/>
      <c r="J20" s="412"/>
      <c r="K20" s="412"/>
      <c r="L20" s="412"/>
      <c r="M20" s="412"/>
      <c r="N20" s="412"/>
      <c r="O20" s="412"/>
      <c r="P20" s="412"/>
      <c r="Q20" s="412"/>
      <c r="R20" s="412"/>
      <c r="S20" s="412"/>
      <c r="T20" s="412"/>
      <c r="U20" s="412"/>
      <c r="V20" s="412"/>
      <c r="W20" s="412"/>
      <c r="X20" s="412"/>
      <c r="Y20" s="412"/>
      <c r="Z20" s="412"/>
      <c r="AA20" s="412"/>
      <c r="AB20" s="412"/>
      <c r="AC20" s="412"/>
    </row>
    <row r="21" spans="2:30" s="428" customFormat="1" ht="12.95" customHeight="1">
      <c r="B21" s="420" t="s">
        <v>714</v>
      </c>
      <c r="C21" s="421">
        <v>600</v>
      </c>
      <c r="D21" s="418">
        <f>Rashodi!F9</f>
        <v>460000</v>
      </c>
      <c r="E21" s="418">
        <f>Rashodi!G9</f>
        <v>460000</v>
      </c>
      <c r="F21" s="418">
        <f>Rashodi!H9</f>
        <v>393416</v>
      </c>
      <c r="G21" s="406">
        <f>Rashodi!K9</f>
        <v>610000</v>
      </c>
      <c r="H21" s="423">
        <f t="shared" si="0"/>
        <v>132.60869565217391</v>
      </c>
      <c r="I21" s="429"/>
      <c r="J21" s="430"/>
      <c r="K21" s="430"/>
      <c r="L21" s="430"/>
      <c r="M21" s="430"/>
      <c r="N21" s="430"/>
      <c r="O21" s="430"/>
      <c r="P21" s="430"/>
      <c r="Q21" s="430"/>
      <c r="R21" s="430"/>
      <c r="S21" s="430"/>
      <c r="T21" s="430"/>
      <c r="U21" s="430"/>
      <c r="V21" s="430"/>
      <c r="W21" s="430"/>
      <c r="X21" s="430"/>
      <c r="Y21" s="430"/>
      <c r="Z21" s="430"/>
      <c r="AA21" s="430"/>
      <c r="AB21" s="430"/>
      <c r="AC21" s="430"/>
    </row>
    <row r="22" spans="2:30" s="428" customFormat="1" ht="12.95" customHeight="1">
      <c r="B22" s="420" t="s">
        <v>715</v>
      </c>
      <c r="C22" s="421">
        <v>611</v>
      </c>
      <c r="D22" s="418">
        <f>Rashodi!F15</f>
        <v>21500940</v>
      </c>
      <c r="E22" s="418">
        <f>Rashodi!G15</f>
        <v>21500940</v>
      </c>
      <c r="F22" s="418">
        <f>Rashodi!H15</f>
        <v>15602041</v>
      </c>
      <c r="G22" s="406">
        <f>Rashodi!K15</f>
        <v>21343590</v>
      </c>
      <c r="H22" s="423">
        <f t="shared" si="0"/>
        <v>99.268171531105153</v>
      </c>
      <c r="I22" s="429"/>
      <c r="J22" s="430"/>
      <c r="K22" s="430"/>
      <c r="L22" s="430"/>
      <c r="M22" s="430"/>
      <c r="N22" s="430"/>
      <c r="O22" s="430"/>
      <c r="P22" s="430"/>
      <c r="Q22" s="430"/>
      <c r="R22" s="430"/>
      <c r="S22" s="430"/>
      <c r="T22" s="430"/>
      <c r="U22" s="430"/>
      <c r="V22" s="430"/>
      <c r="W22" s="430"/>
      <c r="X22" s="430"/>
      <c r="Y22" s="430"/>
      <c r="Z22" s="430"/>
      <c r="AA22" s="430"/>
      <c r="AB22" s="430"/>
      <c r="AC22" s="430"/>
    </row>
    <row r="23" spans="2:30" s="409" customFormat="1" ht="12.95" customHeight="1">
      <c r="B23" s="420" t="s">
        <v>716</v>
      </c>
      <c r="C23" s="421">
        <v>612</v>
      </c>
      <c r="D23" s="422">
        <f>Rashodi!F21</f>
        <v>2108270</v>
      </c>
      <c r="E23" s="422">
        <f>Rashodi!G21</f>
        <v>2108270</v>
      </c>
      <c r="F23" s="422">
        <f>Rashodi!H21</f>
        <v>1548857</v>
      </c>
      <c r="G23" s="407">
        <f>Rashodi!K21</f>
        <v>2087970</v>
      </c>
      <c r="H23" s="423">
        <f t="shared" si="0"/>
        <v>99.037125225896119</v>
      </c>
      <c r="I23" s="144"/>
      <c r="J23" s="412"/>
      <c r="K23" s="412"/>
      <c r="L23" s="412"/>
      <c r="M23" s="412"/>
      <c r="N23" s="412"/>
      <c r="O23" s="412"/>
      <c r="P23" s="412"/>
      <c r="Q23" s="412"/>
      <c r="R23" s="412"/>
      <c r="S23" s="412"/>
      <c r="T23" s="412"/>
      <c r="U23" s="412"/>
      <c r="V23" s="412"/>
      <c r="W23" s="412"/>
      <c r="X23" s="412"/>
      <c r="Y23" s="412"/>
      <c r="Z23" s="412"/>
      <c r="AA23" s="412"/>
      <c r="AB23" s="412"/>
      <c r="AC23" s="412"/>
      <c r="AD23" s="412"/>
    </row>
    <row r="24" spans="2:30" s="409" customFormat="1" ht="12.95" customHeight="1">
      <c r="B24" s="420" t="s">
        <v>717</v>
      </c>
      <c r="C24" s="421">
        <v>613</v>
      </c>
      <c r="D24" s="422">
        <f>Rashodi!F24</f>
        <v>4410130</v>
      </c>
      <c r="E24" s="422">
        <f>Rashodi!G24</f>
        <v>4418290</v>
      </c>
      <c r="F24" s="422">
        <f>Rashodi!H24</f>
        <v>2697652</v>
      </c>
      <c r="G24" s="407">
        <f>Rashodi!K24</f>
        <v>4277380</v>
      </c>
      <c r="H24" s="423">
        <f t="shared" si="0"/>
        <v>96.810757102861061</v>
      </c>
      <c r="I24" s="144"/>
      <c r="J24" s="412"/>
      <c r="K24" s="412"/>
      <c r="L24" s="412"/>
      <c r="M24" s="412"/>
      <c r="N24" s="412"/>
      <c r="O24" s="412"/>
      <c r="P24" s="412"/>
      <c r="Q24" s="412"/>
      <c r="R24" s="412"/>
      <c r="S24" s="412"/>
      <c r="T24" s="412"/>
      <c r="U24" s="412"/>
      <c r="V24" s="412"/>
      <c r="W24" s="412"/>
      <c r="X24" s="412"/>
      <c r="Y24" s="412"/>
      <c r="Z24" s="412"/>
      <c r="AA24" s="412"/>
      <c r="AB24" s="412"/>
      <c r="AC24" s="412"/>
    </row>
    <row r="25" spans="2:30" s="409" customFormat="1" ht="12.95" customHeight="1">
      <c r="B25" s="420" t="s">
        <v>718</v>
      </c>
      <c r="C25" s="421">
        <v>614</v>
      </c>
      <c r="D25" s="422">
        <f>Rashodi!F46</f>
        <v>10335000</v>
      </c>
      <c r="E25" s="422">
        <f>Rashodi!G46</f>
        <v>10373000</v>
      </c>
      <c r="F25" s="422">
        <f>Rashodi!H46</f>
        <v>6194991</v>
      </c>
      <c r="G25" s="407">
        <f>Rashodi!K46</f>
        <v>11039200</v>
      </c>
      <c r="H25" s="423">
        <f t="shared" si="0"/>
        <v>106.42244288055529</v>
      </c>
      <c r="I25" s="144"/>
      <c r="J25" s="412"/>
      <c r="K25" s="412"/>
      <c r="L25" s="412"/>
      <c r="M25" s="412"/>
      <c r="N25" s="412"/>
      <c r="O25" s="412"/>
      <c r="P25" s="412"/>
      <c r="Q25" s="412"/>
      <c r="R25" s="412"/>
      <c r="S25" s="412"/>
      <c r="T25" s="412"/>
      <c r="U25" s="412"/>
      <c r="V25" s="412"/>
      <c r="W25" s="412"/>
      <c r="X25" s="412"/>
      <c r="Y25" s="412"/>
      <c r="Z25" s="412"/>
      <c r="AA25" s="412"/>
      <c r="AB25" s="412"/>
      <c r="AC25" s="412"/>
    </row>
    <row r="26" spans="2:30" s="409" customFormat="1" ht="12.95" customHeight="1">
      <c r="B26" s="420" t="s">
        <v>719</v>
      </c>
      <c r="C26" s="421">
        <v>615</v>
      </c>
      <c r="D26" s="422">
        <f>Rashodi!F91</f>
        <v>400000</v>
      </c>
      <c r="E26" s="422">
        <f>Rashodi!G91</f>
        <v>362000</v>
      </c>
      <c r="F26" s="422">
        <f>Rashodi!H91</f>
        <v>0</v>
      </c>
      <c r="G26" s="407">
        <f>Rashodi!K91</f>
        <v>400000</v>
      </c>
      <c r="H26" s="423">
        <f t="shared" si="0"/>
        <v>110.49723756906079</v>
      </c>
      <c r="I26" s="144"/>
      <c r="J26" s="412"/>
      <c r="K26" s="412"/>
      <c r="L26" s="412"/>
      <c r="M26" s="412"/>
      <c r="N26" s="412"/>
      <c r="O26" s="412"/>
      <c r="P26" s="412"/>
      <c r="Q26" s="412"/>
      <c r="R26" s="412"/>
      <c r="S26" s="412"/>
      <c r="T26" s="412"/>
      <c r="U26" s="412"/>
      <c r="V26" s="412"/>
      <c r="W26" s="412"/>
      <c r="X26" s="412"/>
      <c r="Y26" s="412"/>
      <c r="Z26" s="412"/>
      <c r="AA26" s="412"/>
      <c r="AB26" s="412"/>
      <c r="AC26" s="412"/>
    </row>
    <row r="27" spans="2:30" s="409" customFormat="1" ht="12.95" customHeight="1" thickBot="1">
      <c r="B27" s="431" t="s">
        <v>720</v>
      </c>
      <c r="C27" s="432">
        <v>616</v>
      </c>
      <c r="D27" s="433">
        <f>Rashodi!F94</f>
        <v>58860</v>
      </c>
      <c r="E27" s="433">
        <f>Rashodi!G94</f>
        <v>58860</v>
      </c>
      <c r="F27" s="433">
        <f>Rashodi!H94</f>
        <v>45141</v>
      </c>
      <c r="G27" s="408">
        <f>Rashodi!K94</f>
        <v>52000</v>
      </c>
      <c r="H27" s="434">
        <f t="shared" si="0"/>
        <v>88.345225959904866</v>
      </c>
      <c r="I27" s="144"/>
      <c r="J27" s="412"/>
      <c r="K27" s="412"/>
      <c r="L27" s="412"/>
      <c r="M27" s="412"/>
      <c r="N27" s="412"/>
      <c r="O27" s="412"/>
      <c r="P27" s="412"/>
      <c r="Q27" s="412"/>
      <c r="R27" s="412"/>
      <c r="S27" s="412"/>
      <c r="T27" s="412"/>
      <c r="U27" s="412"/>
      <c r="V27" s="412"/>
      <c r="W27" s="412"/>
      <c r="X27" s="412"/>
      <c r="Y27" s="412"/>
      <c r="Z27" s="412"/>
      <c r="AA27" s="412"/>
      <c r="AB27" s="412"/>
      <c r="AC27" s="412"/>
    </row>
    <row r="28" spans="2:30" s="409" customFormat="1" ht="14.1" customHeight="1" thickTop="1" thickBot="1">
      <c r="B28" s="435" t="s">
        <v>723</v>
      </c>
      <c r="C28" s="436"/>
      <c r="D28" s="437">
        <f>D14-D20</f>
        <v>2719910</v>
      </c>
      <c r="E28" s="437">
        <f>E14-E20</f>
        <v>2711750</v>
      </c>
      <c r="F28" s="437" t="e">
        <f>F14-F20</f>
        <v>#REF!</v>
      </c>
      <c r="G28" s="455">
        <f>G14-G20</f>
        <v>3373743</v>
      </c>
      <c r="H28" s="438">
        <f t="shared" si="0"/>
        <v>124.41202175716788</v>
      </c>
      <c r="I28" s="144"/>
      <c r="J28" s="412"/>
      <c r="K28" s="412"/>
      <c r="L28" s="412"/>
      <c r="M28" s="412"/>
      <c r="N28" s="412"/>
      <c r="O28" s="412"/>
      <c r="P28" s="412"/>
      <c r="Q28" s="412"/>
      <c r="R28" s="412"/>
      <c r="S28" s="412"/>
      <c r="T28" s="412"/>
      <c r="U28" s="412"/>
      <c r="V28" s="412"/>
      <c r="W28" s="412"/>
      <c r="X28" s="412"/>
      <c r="Y28" s="412"/>
      <c r="Z28" s="412"/>
      <c r="AA28" s="412"/>
      <c r="AB28" s="412"/>
      <c r="AC28" s="412"/>
    </row>
    <row r="29" spans="2:30" s="409" customFormat="1" ht="14.1" customHeight="1" thickTop="1">
      <c r="B29" s="424" t="s">
        <v>724</v>
      </c>
      <c r="C29" s="425">
        <v>811</v>
      </c>
      <c r="D29" s="426">
        <f>Prihodi!D227</f>
        <v>5440</v>
      </c>
      <c r="E29" s="426">
        <f>Prihodi!E227</f>
        <v>5440</v>
      </c>
      <c r="F29" s="426" t="e">
        <f>Prihodi!#REF!</f>
        <v>#REF!</v>
      </c>
      <c r="G29" s="454">
        <f>Prihodi!F227</f>
        <v>5436</v>
      </c>
      <c r="H29" s="427">
        <f t="shared" si="0"/>
        <v>99.92647058823529</v>
      </c>
      <c r="I29" s="144"/>
      <c r="J29" s="412"/>
      <c r="K29" s="412"/>
      <c r="L29" s="412"/>
      <c r="M29" s="412"/>
      <c r="N29" s="412"/>
      <c r="O29" s="412"/>
      <c r="P29" s="412"/>
      <c r="Q29" s="412"/>
      <c r="R29" s="412"/>
      <c r="S29" s="412"/>
      <c r="T29" s="412"/>
      <c r="U29" s="412"/>
      <c r="V29" s="412"/>
      <c r="W29" s="412"/>
      <c r="X29" s="412"/>
      <c r="Y29" s="412"/>
      <c r="Z29" s="412"/>
      <c r="AA29" s="412"/>
      <c r="AB29" s="412"/>
      <c r="AC29" s="412"/>
    </row>
    <row r="30" spans="2:30" s="409" customFormat="1" ht="14.1" customHeight="1">
      <c r="B30" s="424" t="s">
        <v>725</v>
      </c>
      <c r="C30" s="425">
        <v>821</v>
      </c>
      <c r="D30" s="426">
        <f>D31</f>
        <v>1348250</v>
      </c>
      <c r="E30" s="426">
        <f>E31</f>
        <v>1368250</v>
      </c>
      <c r="F30" s="426">
        <f>F31</f>
        <v>245725</v>
      </c>
      <c r="G30" s="454">
        <f>G31</f>
        <v>1594590</v>
      </c>
      <c r="H30" s="427">
        <f t="shared" si="0"/>
        <v>116.54229855655034</v>
      </c>
      <c r="I30" s="144"/>
      <c r="J30" s="412"/>
      <c r="K30" s="412"/>
      <c r="L30" s="412"/>
      <c r="M30" s="412"/>
      <c r="N30" s="412"/>
      <c r="O30" s="412"/>
      <c r="P30" s="412"/>
      <c r="Q30" s="412"/>
      <c r="R30" s="412"/>
      <c r="S30" s="412"/>
      <c r="T30" s="412"/>
      <c r="U30" s="412"/>
      <c r="V30" s="412"/>
      <c r="W30" s="412"/>
      <c r="X30" s="412"/>
      <c r="Y30" s="412"/>
      <c r="Z30" s="412"/>
      <c r="AA30" s="412"/>
      <c r="AB30" s="412"/>
      <c r="AC30" s="412"/>
    </row>
    <row r="31" spans="2:30" s="409" customFormat="1" ht="12.95" customHeight="1" thickBot="1">
      <c r="B31" s="420" t="s">
        <v>528</v>
      </c>
      <c r="C31" s="421">
        <v>821</v>
      </c>
      <c r="D31" s="422">
        <f>Rashodi!F99</f>
        <v>1348250</v>
      </c>
      <c r="E31" s="422">
        <f>Rashodi!G99</f>
        <v>1368250</v>
      </c>
      <c r="F31" s="422">
        <f>Rashodi!H99</f>
        <v>245725</v>
      </c>
      <c r="G31" s="407">
        <f>Rashodi!K99</f>
        <v>1594590</v>
      </c>
      <c r="H31" s="423">
        <f t="shared" si="0"/>
        <v>116.54229855655034</v>
      </c>
      <c r="I31" s="144"/>
      <c r="J31" s="412"/>
      <c r="K31" s="412"/>
      <c r="L31" s="412"/>
      <c r="M31" s="412"/>
      <c r="N31" s="412"/>
      <c r="O31" s="412"/>
      <c r="P31" s="412"/>
      <c r="Q31" s="412"/>
      <c r="R31" s="412"/>
      <c r="S31" s="412"/>
      <c r="T31" s="412"/>
      <c r="U31" s="412"/>
      <c r="V31" s="412"/>
      <c r="W31" s="412"/>
      <c r="X31" s="412"/>
      <c r="Y31" s="412"/>
      <c r="Z31" s="412"/>
      <c r="AA31" s="412"/>
      <c r="AB31" s="412"/>
      <c r="AC31" s="412"/>
      <c r="AD31" s="412"/>
    </row>
    <row r="32" spans="2:30" s="409" customFormat="1" ht="14.1" customHeight="1" thickTop="1" thickBot="1">
      <c r="B32" s="439" t="s">
        <v>726</v>
      </c>
      <c r="C32" s="440"/>
      <c r="D32" s="441">
        <f>D29-D30</f>
        <v>-1342810</v>
      </c>
      <c r="E32" s="441">
        <f>E29-E30</f>
        <v>-1362810</v>
      </c>
      <c r="F32" s="441" t="e">
        <f>F29-F30</f>
        <v>#REF!</v>
      </c>
      <c r="G32" s="456">
        <f>G29-G30</f>
        <v>-1589154</v>
      </c>
      <c r="H32" s="442">
        <f t="shared" si="0"/>
        <v>116.60862482664496</v>
      </c>
      <c r="I32" s="144"/>
      <c r="J32" s="412"/>
      <c r="K32" s="412"/>
      <c r="L32" s="412"/>
      <c r="M32" s="412"/>
      <c r="N32" s="412"/>
      <c r="O32" s="412"/>
      <c r="P32" s="412"/>
      <c r="Q32" s="412"/>
      <c r="R32" s="412"/>
      <c r="S32" s="412"/>
      <c r="T32" s="412"/>
      <c r="U32" s="412"/>
      <c r="V32" s="412"/>
      <c r="W32" s="412"/>
      <c r="X32" s="412"/>
      <c r="Y32" s="412"/>
      <c r="Z32" s="412"/>
      <c r="AA32" s="412"/>
      <c r="AB32" s="412"/>
      <c r="AC32" s="412"/>
    </row>
    <row r="33" spans="2:30" s="409" customFormat="1" ht="13.5" customHeight="1" thickTop="1" thickBot="1">
      <c r="B33" s="435" t="s">
        <v>727</v>
      </c>
      <c r="C33" s="436"/>
      <c r="D33" s="443">
        <f>D28+D32</f>
        <v>1377100</v>
      </c>
      <c r="E33" s="443">
        <f>E28+E32</f>
        <v>1348940</v>
      </c>
      <c r="F33" s="443" t="e">
        <f>F28+F32</f>
        <v>#REF!</v>
      </c>
      <c r="G33" s="457">
        <f>G28+G32</f>
        <v>1784589</v>
      </c>
      <c r="H33" s="438">
        <f t="shared" si="0"/>
        <v>132.29565436565008</v>
      </c>
      <c r="I33" s="144"/>
      <c r="J33" s="412"/>
      <c r="K33" s="412"/>
      <c r="L33" s="412"/>
      <c r="M33" s="412"/>
      <c r="N33" s="412"/>
      <c r="O33" s="412"/>
      <c r="P33" s="412"/>
      <c r="Q33" s="412"/>
      <c r="R33" s="412"/>
      <c r="S33" s="412"/>
      <c r="T33" s="412"/>
      <c r="U33" s="412"/>
      <c r="V33" s="412"/>
      <c r="W33" s="412"/>
      <c r="X33" s="412"/>
      <c r="Y33" s="412"/>
      <c r="Z33" s="412"/>
      <c r="AA33" s="412"/>
      <c r="AB33" s="412"/>
      <c r="AC33" s="412"/>
    </row>
    <row r="34" spans="2:30" s="409" customFormat="1" ht="14.1" customHeight="1" thickTop="1">
      <c r="B34" s="424" t="s">
        <v>728</v>
      </c>
      <c r="C34" s="425" t="s">
        <v>707</v>
      </c>
      <c r="D34" s="426">
        <f>0</f>
        <v>0</v>
      </c>
      <c r="E34" s="426">
        <f>0</f>
        <v>0</v>
      </c>
      <c r="F34" s="426">
        <f>0</f>
        <v>0</v>
      </c>
      <c r="G34" s="454">
        <f>0</f>
        <v>0</v>
      </c>
      <c r="H34" s="427">
        <f t="shared" si="0"/>
        <v>0</v>
      </c>
      <c r="I34" s="144"/>
      <c r="J34" s="412"/>
      <c r="K34" s="412"/>
      <c r="L34" s="412"/>
      <c r="M34" s="412"/>
      <c r="N34" s="412"/>
      <c r="O34" s="412"/>
      <c r="P34" s="412"/>
      <c r="Q34" s="412"/>
      <c r="R34" s="412"/>
      <c r="S34" s="412"/>
      <c r="T34" s="412"/>
      <c r="U34" s="412"/>
      <c r="V34" s="412"/>
      <c r="W34" s="412"/>
      <c r="X34" s="412"/>
      <c r="Y34" s="412"/>
      <c r="Z34" s="412"/>
      <c r="AA34" s="412"/>
      <c r="AB34" s="412"/>
      <c r="AC34" s="412"/>
    </row>
    <row r="35" spans="2:30" s="409" customFormat="1" ht="14.1" customHeight="1">
      <c r="B35" s="444" t="s">
        <v>847</v>
      </c>
      <c r="C35" s="445" t="s">
        <v>706</v>
      </c>
      <c r="D35" s="446">
        <f>D36</f>
        <v>598890</v>
      </c>
      <c r="E35" s="446">
        <f>E36</f>
        <v>598890</v>
      </c>
      <c r="F35" s="446">
        <f>F36</f>
        <v>591134</v>
      </c>
      <c r="G35" s="458">
        <f>G36</f>
        <v>591150</v>
      </c>
      <c r="H35" s="427">
        <f t="shared" si="0"/>
        <v>98.707609076792068</v>
      </c>
      <c r="I35" s="144"/>
      <c r="J35" s="412"/>
      <c r="K35" s="412"/>
      <c r="L35" s="412"/>
      <c r="M35" s="412"/>
      <c r="N35" s="412"/>
      <c r="O35" s="412"/>
      <c r="P35" s="412"/>
      <c r="Q35" s="412"/>
      <c r="R35" s="412"/>
      <c r="S35" s="412"/>
      <c r="T35" s="412"/>
      <c r="U35" s="412"/>
      <c r="V35" s="412"/>
      <c r="W35" s="412"/>
      <c r="X35" s="412"/>
      <c r="Y35" s="412"/>
      <c r="Z35" s="412"/>
      <c r="AA35" s="412"/>
      <c r="AB35" s="412"/>
      <c r="AC35" s="412"/>
    </row>
    <row r="36" spans="2:30" s="409" customFormat="1" ht="12.95" customHeight="1" thickBot="1">
      <c r="B36" s="420" t="s">
        <v>385</v>
      </c>
      <c r="C36" s="421">
        <v>823</v>
      </c>
      <c r="D36" s="422">
        <f>Rashodi!F105</f>
        <v>598890</v>
      </c>
      <c r="E36" s="422">
        <f>Rashodi!G105</f>
        <v>598890</v>
      </c>
      <c r="F36" s="422">
        <f>Rashodi!H105</f>
        <v>591134</v>
      </c>
      <c r="G36" s="407">
        <f>Rashodi!K105</f>
        <v>591150</v>
      </c>
      <c r="H36" s="423">
        <f t="shared" si="0"/>
        <v>98.707609076792068</v>
      </c>
      <c r="I36" s="144"/>
      <c r="J36" s="412"/>
      <c r="K36" s="412"/>
      <c r="L36" s="412"/>
      <c r="M36" s="412"/>
      <c r="N36" s="412"/>
      <c r="O36" s="412"/>
      <c r="P36" s="412"/>
      <c r="Q36" s="412"/>
      <c r="R36" s="412"/>
      <c r="S36" s="412"/>
      <c r="T36" s="412"/>
      <c r="U36" s="412"/>
      <c r="V36" s="412"/>
      <c r="W36" s="412"/>
      <c r="X36" s="412"/>
      <c r="Y36" s="412"/>
      <c r="Z36" s="412"/>
      <c r="AA36" s="412"/>
      <c r="AB36" s="412"/>
      <c r="AC36" s="412"/>
      <c r="AD36" s="412"/>
    </row>
    <row r="37" spans="2:30" s="409" customFormat="1" ht="14.1" customHeight="1" thickTop="1" thickBot="1">
      <c r="B37" s="439" t="s">
        <v>729</v>
      </c>
      <c r="C37" s="440"/>
      <c r="D37" s="441">
        <f>D34-D35</f>
        <v>-598890</v>
      </c>
      <c r="E37" s="441">
        <f>E34-E35</f>
        <v>-598890</v>
      </c>
      <c r="F37" s="441">
        <f>F34-F35</f>
        <v>-591134</v>
      </c>
      <c r="G37" s="456">
        <f>G34-G35</f>
        <v>-591150</v>
      </c>
      <c r="H37" s="442">
        <f t="shared" si="0"/>
        <v>98.707609076792068</v>
      </c>
      <c r="I37" s="144"/>
      <c r="J37" s="412"/>
      <c r="K37" s="412"/>
      <c r="L37" s="412"/>
      <c r="M37" s="412"/>
      <c r="N37" s="412"/>
      <c r="O37" s="412"/>
      <c r="P37" s="412"/>
      <c r="Q37" s="412"/>
      <c r="R37" s="412"/>
      <c r="S37" s="412"/>
      <c r="T37" s="412"/>
      <c r="U37" s="412"/>
      <c r="V37" s="412"/>
      <c r="W37" s="412"/>
      <c r="X37" s="412"/>
      <c r="Y37" s="412"/>
      <c r="Z37" s="412"/>
      <c r="AA37" s="412"/>
      <c r="AB37" s="412"/>
      <c r="AC37" s="412"/>
    </row>
    <row r="38" spans="2:30" s="409" customFormat="1" ht="14.1" customHeight="1" thickTop="1" thickBot="1">
      <c r="B38" s="439" t="s">
        <v>730</v>
      </c>
      <c r="C38" s="440"/>
      <c r="D38" s="441">
        <f>D33+D37</f>
        <v>778210</v>
      </c>
      <c r="E38" s="441">
        <f>E33+E37</f>
        <v>750050</v>
      </c>
      <c r="F38" s="441" t="e">
        <f>F33+F37</f>
        <v>#REF!</v>
      </c>
      <c r="G38" s="456">
        <f>G33+G37</f>
        <v>1193439</v>
      </c>
      <c r="H38" s="442">
        <f t="shared" si="0"/>
        <v>159.11459236050931</v>
      </c>
      <c r="I38" s="144"/>
      <c r="J38" s="412"/>
      <c r="K38" s="412"/>
      <c r="L38" s="412"/>
      <c r="M38" s="412"/>
      <c r="N38" s="412"/>
      <c r="O38" s="412"/>
      <c r="P38" s="412"/>
      <c r="Q38" s="412"/>
      <c r="R38" s="412"/>
      <c r="S38" s="412"/>
      <c r="T38" s="412"/>
      <c r="U38" s="412"/>
      <c r="V38" s="412"/>
      <c r="W38" s="412"/>
      <c r="X38" s="412"/>
      <c r="Y38" s="412"/>
      <c r="Z38" s="412"/>
      <c r="AA38" s="412"/>
      <c r="AB38" s="412"/>
      <c r="AC38" s="412"/>
    </row>
    <row r="39" spans="2:30" s="409" customFormat="1" ht="9" customHeight="1" thickTop="1">
      <c r="B39" s="447"/>
      <c r="C39" s="448"/>
      <c r="D39" s="449"/>
      <c r="E39" s="449"/>
      <c r="F39" s="449"/>
      <c r="G39" s="459"/>
      <c r="H39" s="450"/>
      <c r="I39" s="144"/>
      <c r="J39" s="412"/>
      <c r="K39" s="412"/>
      <c r="L39" s="412"/>
      <c r="M39" s="412"/>
      <c r="N39" s="412"/>
      <c r="O39" s="412"/>
      <c r="P39" s="412"/>
      <c r="Q39" s="412"/>
      <c r="R39" s="412"/>
      <c r="S39" s="412"/>
      <c r="T39" s="412"/>
      <c r="U39" s="412"/>
      <c r="V39" s="412"/>
      <c r="W39" s="412"/>
      <c r="X39" s="412"/>
      <c r="Y39" s="412"/>
      <c r="Z39" s="412"/>
      <c r="AA39" s="412"/>
      <c r="AB39" s="412"/>
      <c r="AC39" s="412"/>
    </row>
    <row r="40" spans="2:30" s="409" customFormat="1" ht="14.1" customHeight="1">
      <c r="B40" s="424" t="s">
        <v>731</v>
      </c>
      <c r="C40" s="425"/>
      <c r="D40" s="426">
        <f>D14+D29+D34</f>
        <v>41998550</v>
      </c>
      <c r="E40" s="426">
        <f>E14+E29+E34</f>
        <v>41998550</v>
      </c>
      <c r="F40" s="426" t="e">
        <f>F14+F29+F34</f>
        <v>#REF!</v>
      </c>
      <c r="G40" s="454">
        <f>G14+G29+G34</f>
        <v>43189319</v>
      </c>
      <c r="H40" s="427">
        <f t="shared" si="0"/>
        <v>102.8352621697654</v>
      </c>
      <c r="I40" s="144"/>
      <c r="J40" s="451"/>
      <c r="K40" s="412"/>
      <c r="L40" s="412"/>
      <c r="M40" s="412"/>
      <c r="N40" s="412"/>
      <c r="O40" s="412"/>
      <c r="P40" s="412"/>
      <c r="Q40" s="412"/>
      <c r="R40" s="412"/>
      <c r="S40" s="412"/>
      <c r="T40" s="412"/>
      <c r="U40" s="412"/>
      <c r="V40" s="412"/>
      <c r="W40" s="412"/>
      <c r="X40" s="412"/>
      <c r="Y40" s="412"/>
      <c r="Z40" s="412"/>
      <c r="AA40" s="412"/>
      <c r="AB40" s="412"/>
      <c r="AC40" s="412"/>
    </row>
    <row r="41" spans="2:30" s="409" customFormat="1" ht="14.1" customHeight="1">
      <c r="B41" s="424" t="s">
        <v>732</v>
      </c>
      <c r="C41" s="425"/>
      <c r="D41" s="426">
        <f>D20+D30+D35</f>
        <v>41220340</v>
      </c>
      <c r="E41" s="426">
        <f>E20+E30+E35</f>
        <v>41248500</v>
      </c>
      <c r="F41" s="426">
        <f>F20+F30+F35</f>
        <v>27318957</v>
      </c>
      <c r="G41" s="454">
        <f>G20+G30+G35</f>
        <v>41995880</v>
      </c>
      <c r="H41" s="427">
        <f t="shared" si="0"/>
        <v>101.81189619016449</v>
      </c>
      <c r="I41" s="144"/>
      <c r="J41" s="412"/>
      <c r="K41" s="412"/>
      <c r="L41" s="412"/>
      <c r="M41" s="412"/>
      <c r="N41" s="412"/>
      <c r="O41" s="412"/>
      <c r="P41" s="412"/>
      <c r="Q41" s="412"/>
      <c r="R41" s="412"/>
      <c r="S41" s="412"/>
      <c r="T41" s="412"/>
      <c r="U41" s="412"/>
      <c r="V41" s="412"/>
      <c r="W41" s="412"/>
      <c r="X41" s="412"/>
      <c r="Y41" s="412"/>
      <c r="Z41" s="412"/>
      <c r="AA41" s="412"/>
      <c r="AB41" s="412"/>
      <c r="AC41" s="412"/>
    </row>
    <row r="42" spans="2:30" s="409" customFormat="1" ht="14.1" customHeight="1">
      <c r="B42" s="424" t="s">
        <v>733</v>
      </c>
      <c r="C42" s="425"/>
      <c r="D42" s="426">
        <f>D40-D41</f>
        <v>778210</v>
      </c>
      <c r="E42" s="426">
        <f>E40-E41</f>
        <v>750050</v>
      </c>
      <c r="F42" s="426" t="e">
        <f>F40-F41</f>
        <v>#REF!</v>
      </c>
      <c r="G42" s="454">
        <f>G40-G41</f>
        <v>1193439</v>
      </c>
      <c r="H42" s="427">
        <f t="shared" si="0"/>
        <v>159.11459236050931</v>
      </c>
      <c r="J42" s="412"/>
      <c r="K42" s="451"/>
      <c r="L42" s="412"/>
      <c r="M42" s="412"/>
      <c r="N42" s="412"/>
      <c r="O42" s="412"/>
      <c r="P42" s="412"/>
      <c r="Q42" s="412"/>
      <c r="R42" s="412"/>
      <c r="S42" s="412"/>
      <c r="T42" s="412"/>
      <c r="U42" s="412"/>
      <c r="V42" s="412"/>
      <c r="W42" s="412"/>
      <c r="X42" s="412"/>
      <c r="Y42" s="412"/>
      <c r="Z42" s="412"/>
      <c r="AA42" s="412"/>
      <c r="AB42" s="412"/>
      <c r="AC42" s="412"/>
      <c r="AD42" s="412"/>
    </row>
    <row r="43" spans="2:30" ht="7.5" customHeight="1">
      <c r="B43" s="122"/>
      <c r="C43" s="122"/>
      <c r="D43" s="181"/>
      <c r="E43" s="181"/>
      <c r="F43" s="181"/>
      <c r="G43" s="181"/>
      <c r="H43" s="182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</row>
    <row r="44" spans="2:30" ht="15" customHeight="1">
      <c r="B44" s="31" t="s">
        <v>814</v>
      </c>
      <c r="C44" s="493"/>
      <c r="D44" s="493"/>
      <c r="G44" s="493"/>
      <c r="H44" s="493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</row>
    <row r="45" spans="2:30" ht="5.25" customHeight="1">
      <c r="B45" s="493"/>
      <c r="C45" s="493"/>
      <c r="D45" s="493"/>
      <c r="G45" s="493"/>
      <c r="H45" s="493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</row>
    <row r="46" spans="2:30" ht="15" customHeight="1">
      <c r="B46" s="493" t="s">
        <v>815</v>
      </c>
      <c r="C46" s="493"/>
      <c r="D46" s="493"/>
      <c r="G46" s="493"/>
      <c r="H46" s="493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</row>
    <row r="47" spans="2:30" ht="15" customHeight="1">
      <c r="B47" s="692" t="s">
        <v>816</v>
      </c>
      <c r="C47" s="693"/>
      <c r="D47" s="693"/>
      <c r="E47" s="693"/>
      <c r="F47" s="693"/>
      <c r="G47" s="693"/>
      <c r="H47" s="665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</row>
    <row r="48" spans="2:30" ht="15" customHeight="1">
      <c r="B48" s="51"/>
      <c r="C48" s="51"/>
      <c r="D48" s="51"/>
      <c r="E48" s="500"/>
      <c r="F48" s="500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</row>
    <row r="49" spans="2:30" ht="15" customHeight="1">
      <c r="B49" s="51"/>
      <c r="C49" s="51"/>
      <c r="D49" s="51"/>
      <c r="E49" s="500"/>
      <c r="F49" s="500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</row>
    <row r="50" spans="2:30" ht="15" customHeight="1">
      <c r="B50" s="51"/>
      <c r="C50" s="51"/>
      <c r="D50" s="51"/>
      <c r="E50" s="500"/>
      <c r="F50" s="500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</row>
    <row r="51" spans="2:30" ht="15" customHeight="1">
      <c r="B51" s="51"/>
      <c r="C51" s="51"/>
      <c r="D51" s="51"/>
      <c r="E51" s="500"/>
      <c r="F51" s="500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</row>
    <row r="52" spans="2:30" ht="15" customHeight="1">
      <c r="B52" s="51"/>
      <c r="C52" s="51"/>
      <c r="D52" s="51"/>
      <c r="E52" s="500"/>
      <c r="F52" s="500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</row>
    <row r="53" spans="2:30" ht="15" customHeight="1">
      <c r="B53" s="51"/>
      <c r="C53" s="51"/>
      <c r="D53" s="51"/>
      <c r="E53" s="500"/>
      <c r="F53" s="500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</row>
    <row r="54" spans="2:30" ht="15" customHeight="1">
      <c r="B54" s="51"/>
      <c r="C54" s="51"/>
      <c r="D54" s="51"/>
      <c r="E54" s="500"/>
      <c r="F54" s="500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</row>
    <row r="55" spans="2:30" ht="15" customHeight="1">
      <c r="B55" s="51"/>
      <c r="C55" s="51"/>
      <c r="D55" s="51"/>
      <c r="E55" s="500"/>
      <c r="F55" s="500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</row>
    <row r="56" spans="2:30" ht="15" customHeight="1">
      <c r="B56" s="51"/>
      <c r="C56" s="51"/>
      <c r="D56" s="51"/>
      <c r="E56" s="500"/>
      <c r="F56" s="500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</row>
    <row r="57" spans="2:30" ht="15" customHeight="1">
      <c r="B57" s="51"/>
      <c r="C57" s="51"/>
      <c r="D57" s="51"/>
      <c r="E57" s="500"/>
      <c r="F57" s="500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</row>
    <row r="58" spans="2:30" ht="15" customHeight="1">
      <c r="B58" s="51"/>
      <c r="C58" s="51"/>
      <c r="D58" s="51"/>
      <c r="E58" s="500"/>
      <c r="F58" s="500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</row>
    <row r="59" spans="2:30" ht="15" customHeight="1">
      <c r="B59" s="51"/>
      <c r="C59" s="51"/>
      <c r="D59" s="51"/>
      <c r="E59" s="500"/>
      <c r="F59" s="500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</row>
    <row r="60" spans="2:30" ht="15" customHeight="1">
      <c r="B60" s="51"/>
      <c r="C60" s="51"/>
      <c r="D60" s="51"/>
      <c r="E60" s="500"/>
      <c r="F60" s="500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</row>
    <row r="61" spans="2:30" ht="15" customHeight="1">
      <c r="B61" s="51"/>
      <c r="C61" s="51"/>
      <c r="D61" s="51"/>
      <c r="E61" s="500"/>
      <c r="F61" s="500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</row>
    <row r="62" spans="2:30" ht="15" customHeight="1">
      <c r="B62" s="51"/>
      <c r="C62" s="51"/>
      <c r="D62" s="51"/>
      <c r="E62" s="500"/>
      <c r="F62" s="500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</row>
    <row r="63" spans="2:30" ht="15" customHeight="1">
      <c r="B63" s="51"/>
      <c r="C63" s="51"/>
      <c r="D63" s="51"/>
      <c r="E63" s="500"/>
      <c r="F63" s="500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</row>
    <row r="64" spans="2:30" ht="15" customHeight="1">
      <c r="B64" s="51"/>
      <c r="C64" s="51"/>
      <c r="D64" s="51"/>
      <c r="E64" s="500"/>
      <c r="F64" s="500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</row>
    <row r="65" spans="2:30" ht="15" customHeight="1">
      <c r="B65" s="51"/>
      <c r="C65" s="51"/>
      <c r="D65" s="51"/>
      <c r="E65" s="500"/>
      <c r="F65" s="500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</row>
    <row r="66" spans="2:30" ht="15" customHeight="1">
      <c r="B66" s="51"/>
      <c r="C66" s="51"/>
      <c r="D66" s="51"/>
      <c r="E66" s="500"/>
      <c r="F66" s="500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</row>
    <row r="67" spans="2:30" ht="15" customHeight="1">
      <c r="B67" s="51"/>
      <c r="C67" s="51"/>
      <c r="D67" s="51"/>
      <c r="E67" s="500"/>
      <c r="F67" s="500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</row>
    <row r="68" spans="2:30" ht="15" customHeight="1">
      <c r="B68" s="51"/>
      <c r="C68" s="51"/>
      <c r="D68" s="51"/>
      <c r="E68" s="500"/>
      <c r="F68" s="500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</row>
    <row r="69" spans="2:30" ht="15" customHeight="1">
      <c r="B69" s="51"/>
      <c r="C69" s="51"/>
      <c r="D69" s="51"/>
      <c r="E69" s="500"/>
      <c r="F69" s="500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</row>
    <row r="70" spans="2:30" ht="15" customHeight="1">
      <c r="B70" s="51"/>
      <c r="C70" s="51"/>
      <c r="D70" s="51"/>
      <c r="E70" s="500"/>
      <c r="F70" s="500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</row>
    <row r="71" spans="2:30" ht="15" customHeight="1">
      <c r="B71" s="51"/>
      <c r="C71" s="51"/>
      <c r="D71" s="51"/>
      <c r="E71" s="500"/>
      <c r="F71" s="500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</row>
    <row r="72" spans="2:30" ht="15" customHeight="1">
      <c r="B72" s="51"/>
      <c r="C72" s="51"/>
      <c r="D72" s="51"/>
      <c r="E72" s="500"/>
      <c r="F72" s="500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</row>
    <row r="73" spans="2:30" ht="15" customHeight="1">
      <c r="B73" s="51"/>
      <c r="C73" s="51"/>
      <c r="D73" s="51"/>
      <c r="E73" s="500"/>
      <c r="F73" s="500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</row>
    <row r="74" spans="2:30" ht="15" customHeight="1">
      <c r="B74" s="51"/>
      <c r="C74" s="51"/>
      <c r="D74" s="51"/>
      <c r="E74" s="500"/>
      <c r="F74" s="500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</row>
    <row r="75" spans="2:30" ht="15" customHeight="1">
      <c r="B75" s="51"/>
      <c r="C75" s="51"/>
      <c r="D75" s="51"/>
      <c r="E75" s="500"/>
      <c r="F75" s="500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</row>
    <row r="76" spans="2:30" ht="15" customHeight="1">
      <c r="B76" s="51"/>
      <c r="C76" s="51"/>
      <c r="D76" s="51"/>
      <c r="E76" s="500"/>
      <c r="F76" s="500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</row>
    <row r="77" spans="2:30" ht="15" customHeight="1">
      <c r="B77" s="51"/>
      <c r="C77" s="51"/>
      <c r="D77" s="51"/>
      <c r="E77" s="500"/>
      <c r="F77" s="500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</row>
    <row r="78" spans="2:30" ht="15" customHeight="1">
      <c r="B78" s="51"/>
      <c r="C78" s="51"/>
      <c r="D78" s="51"/>
      <c r="E78" s="500"/>
      <c r="F78" s="500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</row>
    <row r="79" spans="2:30" ht="15" customHeight="1">
      <c r="B79" s="51"/>
      <c r="C79" s="51"/>
      <c r="D79" s="51"/>
      <c r="E79" s="500"/>
      <c r="F79" s="500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</row>
    <row r="80" spans="2:30" ht="15" customHeight="1">
      <c r="B80" s="51"/>
      <c r="C80" s="51"/>
      <c r="D80" s="51"/>
      <c r="E80" s="500"/>
      <c r="F80" s="500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</row>
    <row r="81" spans="2:30" ht="15" customHeight="1">
      <c r="B81" s="51"/>
      <c r="C81" s="51"/>
      <c r="D81" s="51"/>
      <c r="E81" s="500"/>
      <c r="F81" s="500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</row>
    <row r="82" spans="2:30" ht="15" customHeight="1">
      <c r="B82" s="51"/>
      <c r="C82" s="51"/>
      <c r="D82" s="51"/>
      <c r="E82" s="500"/>
      <c r="F82" s="500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</row>
    <row r="83" spans="2:30" ht="15" customHeight="1">
      <c r="B83" s="51"/>
      <c r="C83" s="51"/>
      <c r="D83" s="51"/>
      <c r="E83" s="500"/>
      <c r="F83" s="500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</row>
    <row r="84" spans="2:30" ht="15" customHeight="1">
      <c r="B84" s="51"/>
      <c r="C84" s="51"/>
      <c r="D84" s="51"/>
      <c r="E84" s="500"/>
      <c r="F84" s="500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</row>
    <row r="85" spans="2:30" ht="15" customHeight="1">
      <c r="B85" s="51"/>
      <c r="C85" s="51"/>
      <c r="D85" s="51"/>
      <c r="E85" s="500"/>
      <c r="F85" s="500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</row>
    <row r="86" spans="2:30" ht="15" customHeight="1">
      <c r="B86" s="51"/>
      <c r="C86" s="51"/>
      <c r="D86" s="51"/>
      <c r="E86" s="500"/>
      <c r="F86" s="500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</row>
    <row r="87" spans="2:30" ht="15" customHeight="1">
      <c r="B87" s="51"/>
      <c r="C87" s="51"/>
      <c r="D87" s="51"/>
      <c r="E87" s="500"/>
      <c r="F87" s="500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</row>
    <row r="88" spans="2:30" ht="15" customHeight="1">
      <c r="B88" s="51"/>
      <c r="C88" s="51"/>
      <c r="D88" s="51"/>
      <c r="E88" s="500"/>
      <c r="F88" s="500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</row>
    <row r="89" spans="2:30" ht="15" customHeight="1">
      <c r="B89" s="51"/>
      <c r="C89" s="51"/>
      <c r="D89" s="51"/>
      <c r="E89" s="500"/>
      <c r="F89" s="500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</row>
    <row r="90" spans="2:30" ht="15" customHeight="1">
      <c r="B90" s="51"/>
      <c r="C90" s="51"/>
      <c r="D90" s="51"/>
      <c r="E90" s="500"/>
      <c r="F90" s="500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</row>
    <row r="91" spans="2:30" ht="15" customHeight="1">
      <c r="B91" s="51"/>
      <c r="C91" s="51"/>
      <c r="D91" s="51"/>
      <c r="E91" s="500"/>
      <c r="F91" s="500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</row>
    <row r="92" spans="2:30" ht="15" customHeight="1">
      <c r="B92" s="51"/>
      <c r="C92" s="51"/>
      <c r="D92" s="51"/>
      <c r="E92" s="500"/>
      <c r="F92" s="500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</row>
    <row r="93" spans="2:30" ht="15" customHeight="1">
      <c r="B93" s="51"/>
      <c r="C93" s="51"/>
      <c r="D93" s="51"/>
      <c r="E93" s="500"/>
      <c r="F93" s="500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</row>
    <row r="94" spans="2:30" ht="15" customHeight="1">
      <c r="B94" s="51"/>
      <c r="C94" s="51"/>
      <c r="D94" s="51"/>
      <c r="E94" s="500"/>
      <c r="F94" s="500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</row>
    <row r="95" spans="2:30" ht="15" customHeight="1">
      <c r="B95" s="51"/>
      <c r="C95" s="51"/>
      <c r="D95" s="51"/>
      <c r="E95" s="500"/>
      <c r="F95" s="500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</row>
    <row r="96" spans="2:30" ht="15" customHeight="1">
      <c r="B96" s="51"/>
      <c r="C96" s="51"/>
      <c r="D96" s="51"/>
      <c r="E96" s="500"/>
      <c r="F96" s="500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</row>
    <row r="97" spans="2:30" ht="15" customHeight="1">
      <c r="B97" s="51"/>
      <c r="C97" s="51"/>
      <c r="D97" s="51"/>
      <c r="E97" s="500"/>
      <c r="F97" s="500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</row>
    <row r="98" spans="2:30" ht="15" customHeight="1">
      <c r="B98" s="51"/>
      <c r="C98" s="51"/>
      <c r="D98" s="51"/>
      <c r="E98" s="500"/>
      <c r="F98" s="500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</row>
    <row r="99" spans="2:30" ht="15" customHeight="1">
      <c r="B99" s="51"/>
      <c r="C99" s="51"/>
      <c r="D99" s="51"/>
      <c r="E99" s="500"/>
      <c r="F99" s="500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</row>
    <row r="100" spans="2:30" ht="15" customHeight="1">
      <c r="B100" s="51"/>
      <c r="C100" s="51"/>
      <c r="D100" s="51"/>
      <c r="E100" s="500"/>
      <c r="F100" s="500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</row>
    <row r="101" spans="2:30" ht="15" customHeight="1">
      <c r="B101" s="51"/>
      <c r="C101" s="51"/>
      <c r="D101" s="51"/>
      <c r="E101" s="500"/>
      <c r="F101" s="500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</row>
    <row r="102" spans="2:30" ht="15" customHeight="1">
      <c r="B102" s="51"/>
      <c r="C102" s="51"/>
      <c r="D102" s="51"/>
      <c r="E102" s="500"/>
      <c r="F102" s="500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</row>
    <row r="103" spans="2:30" ht="15" customHeight="1">
      <c r="B103" s="51"/>
      <c r="C103" s="51"/>
      <c r="D103" s="51"/>
      <c r="E103" s="500"/>
      <c r="F103" s="500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</row>
    <row r="104" spans="2:30" ht="15" customHeight="1">
      <c r="B104" s="51"/>
      <c r="C104" s="51"/>
      <c r="D104" s="51"/>
      <c r="E104" s="500"/>
      <c r="F104" s="500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</row>
    <row r="105" spans="2:30" ht="15" customHeight="1">
      <c r="B105" s="51"/>
      <c r="C105" s="51"/>
      <c r="D105" s="51"/>
      <c r="E105" s="500"/>
      <c r="F105" s="500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</row>
    <row r="106" spans="2:30" ht="15" customHeight="1">
      <c r="B106" s="51"/>
      <c r="C106" s="51"/>
      <c r="D106" s="51"/>
      <c r="E106" s="500"/>
      <c r="F106" s="500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</row>
    <row r="107" spans="2:30" ht="15" customHeight="1">
      <c r="B107" s="51"/>
      <c r="C107" s="51"/>
      <c r="D107" s="51"/>
      <c r="E107" s="500"/>
      <c r="F107" s="500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</row>
    <row r="108" spans="2:30" ht="15" customHeight="1">
      <c r="B108" s="51"/>
      <c r="C108" s="51"/>
      <c r="D108" s="51"/>
      <c r="E108" s="500"/>
      <c r="F108" s="500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</row>
    <row r="109" spans="2:30" ht="15" customHeight="1">
      <c r="B109" s="51"/>
      <c r="C109" s="51"/>
      <c r="D109" s="51"/>
      <c r="E109" s="500"/>
      <c r="F109" s="500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</row>
    <row r="110" spans="2:30" ht="15" customHeight="1">
      <c r="B110" s="51"/>
      <c r="C110" s="51"/>
      <c r="D110" s="51"/>
      <c r="E110" s="500"/>
      <c r="F110" s="500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</row>
    <row r="111" spans="2:30" ht="15" customHeight="1">
      <c r="B111" s="51"/>
      <c r="C111" s="51"/>
      <c r="D111" s="51"/>
      <c r="E111" s="500"/>
      <c r="F111" s="500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</row>
    <row r="112" spans="2:30" ht="15" customHeight="1">
      <c r="B112" s="51"/>
      <c r="C112" s="51"/>
      <c r="D112" s="51"/>
      <c r="E112" s="500"/>
      <c r="F112" s="500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</row>
    <row r="113" spans="2:30" ht="15" customHeight="1">
      <c r="B113" s="51"/>
      <c r="C113" s="51"/>
      <c r="D113" s="51"/>
      <c r="E113" s="500"/>
      <c r="F113" s="500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</row>
    <row r="114" spans="2:30" ht="15" customHeight="1">
      <c r="B114" s="51"/>
      <c r="C114" s="51"/>
      <c r="D114" s="51"/>
      <c r="E114" s="500"/>
      <c r="F114" s="500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</row>
    <row r="115" spans="2:30" ht="15" customHeight="1">
      <c r="B115" s="51"/>
      <c r="C115" s="51"/>
      <c r="D115" s="51"/>
      <c r="E115" s="500"/>
      <c r="F115" s="500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</row>
    <row r="116" spans="2:30" ht="15" customHeight="1">
      <c r="B116" s="51"/>
      <c r="C116" s="51"/>
      <c r="D116" s="51"/>
      <c r="E116" s="500"/>
      <c r="F116" s="500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</row>
    <row r="117" spans="2:30" ht="15" customHeight="1">
      <c r="B117" s="51"/>
      <c r="C117" s="51"/>
      <c r="D117" s="51"/>
      <c r="E117" s="500"/>
      <c r="F117" s="500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</row>
    <row r="118" spans="2:30" ht="15" customHeight="1">
      <c r="B118" s="51"/>
      <c r="C118" s="51"/>
      <c r="D118" s="51"/>
      <c r="E118" s="500"/>
      <c r="F118" s="500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</row>
    <row r="119" spans="2:30" ht="15" customHeight="1">
      <c r="B119" s="51"/>
      <c r="C119" s="51"/>
      <c r="D119" s="51"/>
      <c r="E119" s="500"/>
      <c r="F119" s="500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</row>
    <row r="120" spans="2:30" ht="15" customHeight="1">
      <c r="B120" s="51"/>
      <c r="C120" s="51"/>
      <c r="D120" s="51"/>
      <c r="E120" s="500"/>
      <c r="F120" s="500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</row>
    <row r="121" spans="2:30" ht="15" customHeight="1">
      <c r="B121" s="51"/>
      <c r="C121" s="51"/>
      <c r="D121" s="51"/>
      <c r="E121" s="500"/>
      <c r="F121" s="500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</row>
    <row r="122" spans="2:30" ht="15" customHeight="1">
      <c r="B122" s="51"/>
      <c r="C122" s="51"/>
      <c r="D122" s="51"/>
      <c r="E122" s="500"/>
      <c r="F122" s="500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</row>
    <row r="123" spans="2:30" ht="15" customHeight="1">
      <c r="B123" s="51"/>
      <c r="C123" s="51"/>
      <c r="D123" s="51"/>
      <c r="E123" s="500"/>
      <c r="F123" s="500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</row>
    <row r="124" spans="2:30" ht="15" customHeight="1">
      <c r="B124" s="51"/>
      <c r="C124" s="51"/>
      <c r="D124" s="51"/>
      <c r="E124" s="500"/>
      <c r="F124" s="500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</row>
    <row r="125" spans="2:30" ht="15" customHeight="1">
      <c r="B125" s="51"/>
      <c r="C125" s="51"/>
      <c r="D125" s="51"/>
      <c r="E125" s="500"/>
      <c r="F125" s="500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</row>
    <row r="126" spans="2:30" ht="15" customHeight="1">
      <c r="B126" s="51"/>
      <c r="C126" s="51"/>
      <c r="D126" s="51"/>
      <c r="E126" s="500"/>
      <c r="F126" s="500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</row>
    <row r="127" spans="2:30" ht="15" customHeight="1">
      <c r="B127" s="51"/>
      <c r="C127" s="51"/>
      <c r="D127" s="51"/>
      <c r="E127" s="500"/>
      <c r="F127" s="500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</row>
    <row r="128" spans="2:30" ht="15" customHeight="1">
      <c r="B128" s="51"/>
      <c r="C128" s="51"/>
      <c r="D128" s="51"/>
      <c r="E128" s="500"/>
      <c r="F128" s="500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</row>
    <row r="129" spans="2:30" ht="15" customHeight="1">
      <c r="B129" s="51"/>
      <c r="C129" s="51"/>
      <c r="D129" s="51"/>
      <c r="E129" s="500"/>
      <c r="F129" s="500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</row>
    <row r="130" spans="2:30" ht="15" customHeight="1">
      <c r="B130" s="51"/>
      <c r="C130" s="51"/>
      <c r="D130" s="51"/>
      <c r="E130" s="500"/>
      <c r="F130" s="500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</row>
    <row r="131" spans="2:30" ht="15" customHeight="1">
      <c r="B131" s="51"/>
      <c r="C131" s="51"/>
      <c r="D131" s="51"/>
      <c r="E131" s="500"/>
      <c r="F131" s="500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</row>
    <row r="132" spans="2:30" ht="15" customHeight="1">
      <c r="B132" s="51"/>
      <c r="C132" s="51"/>
      <c r="D132" s="51"/>
      <c r="E132" s="500"/>
      <c r="F132" s="500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</row>
    <row r="133" spans="2:30" ht="15" customHeight="1">
      <c r="B133" s="51"/>
      <c r="C133" s="51"/>
      <c r="D133" s="51"/>
      <c r="E133" s="500"/>
      <c r="F133" s="500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</row>
    <row r="134" spans="2:30" ht="15" customHeight="1">
      <c r="B134" s="51"/>
      <c r="C134" s="51"/>
      <c r="D134" s="51"/>
      <c r="E134" s="500"/>
      <c r="F134" s="500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</row>
    <row r="135" spans="2:30" ht="15" customHeight="1">
      <c r="B135" s="51"/>
      <c r="C135" s="51"/>
      <c r="D135" s="51"/>
      <c r="E135" s="500"/>
      <c r="F135" s="500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</row>
    <row r="136" spans="2:30" ht="15" customHeight="1">
      <c r="B136" s="51"/>
      <c r="C136" s="51"/>
      <c r="D136" s="51"/>
      <c r="E136" s="500"/>
      <c r="F136" s="500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</row>
    <row r="137" spans="2:30" ht="15" customHeight="1">
      <c r="B137" s="51"/>
      <c r="C137" s="51"/>
      <c r="D137" s="51"/>
      <c r="E137" s="500"/>
      <c r="F137" s="500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</row>
    <row r="138" spans="2:30" ht="15" customHeight="1">
      <c r="B138" s="51"/>
      <c r="C138" s="51"/>
      <c r="D138" s="51"/>
      <c r="E138" s="500"/>
      <c r="F138" s="500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</row>
    <row r="139" spans="2:30" ht="15" customHeight="1">
      <c r="B139" s="51"/>
      <c r="C139" s="51"/>
      <c r="D139" s="51"/>
      <c r="E139" s="500"/>
      <c r="F139" s="500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</row>
    <row r="140" spans="2:30" ht="15" customHeight="1">
      <c r="B140" s="51"/>
      <c r="C140" s="51"/>
      <c r="D140" s="51"/>
      <c r="E140" s="500"/>
      <c r="F140" s="500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</row>
    <row r="141" spans="2:30" ht="15" customHeight="1">
      <c r="B141" s="51"/>
      <c r="C141" s="51"/>
      <c r="D141" s="51"/>
      <c r="E141" s="500"/>
      <c r="F141" s="500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</row>
    <row r="142" spans="2:30" ht="15" customHeight="1">
      <c r="B142" s="51"/>
      <c r="C142" s="51"/>
      <c r="D142" s="51"/>
      <c r="E142" s="500"/>
      <c r="F142" s="500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</row>
    <row r="143" spans="2:30" ht="15" customHeight="1">
      <c r="B143" s="51"/>
      <c r="C143" s="51"/>
      <c r="D143" s="51"/>
      <c r="E143" s="500"/>
      <c r="F143" s="500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</row>
    <row r="144" spans="2:30" ht="15" customHeight="1">
      <c r="B144" s="51"/>
      <c r="C144" s="51"/>
      <c r="D144" s="51"/>
      <c r="E144" s="500"/>
      <c r="F144" s="500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</row>
    <row r="145" spans="2:30" ht="15" customHeight="1">
      <c r="B145" s="51"/>
      <c r="C145" s="51"/>
      <c r="D145" s="51"/>
      <c r="E145" s="500"/>
      <c r="F145" s="500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</row>
    <row r="146" spans="2:30" ht="15" customHeight="1">
      <c r="B146" s="51"/>
      <c r="C146" s="51"/>
      <c r="D146" s="51"/>
      <c r="E146" s="500"/>
      <c r="F146" s="500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</row>
    <row r="147" spans="2:30" ht="15" customHeight="1">
      <c r="B147" s="51"/>
      <c r="C147" s="51"/>
      <c r="D147" s="51"/>
      <c r="E147" s="500"/>
      <c r="F147" s="500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</row>
    <row r="148" spans="2:30" ht="15" customHeight="1">
      <c r="B148" s="51"/>
      <c r="C148" s="51"/>
      <c r="D148" s="51"/>
      <c r="E148" s="500"/>
      <c r="F148" s="500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</row>
    <row r="149" spans="2:30" ht="15" customHeight="1">
      <c r="B149" s="51"/>
      <c r="C149" s="51"/>
      <c r="D149" s="51"/>
      <c r="E149" s="500"/>
      <c r="F149" s="500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</row>
    <row r="150" spans="2:30" ht="15" customHeight="1">
      <c r="B150" s="51"/>
      <c r="C150" s="51"/>
      <c r="D150" s="51"/>
      <c r="E150" s="500"/>
      <c r="F150" s="500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</row>
    <row r="151" spans="2:30" ht="15" customHeight="1">
      <c r="B151" s="51"/>
      <c r="C151" s="51"/>
      <c r="D151" s="51"/>
      <c r="E151" s="500"/>
      <c r="F151" s="500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</row>
    <row r="152" spans="2:30" ht="15" customHeight="1">
      <c r="B152" s="51"/>
      <c r="C152" s="51"/>
      <c r="D152" s="51"/>
      <c r="E152" s="500"/>
      <c r="F152" s="500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</row>
    <row r="153" spans="2:30" ht="15" customHeight="1">
      <c r="B153" s="51"/>
      <c r="C153" s="51"/>
      <c r="D153" s="51"/>
      <c r="E153" s="500"/>
      <c r="F153" s="500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</row>
    <row r="154" spans="2:30" ht="15" customHeight="1">
      <c r="B154" s="51"/>
      <c r="C154" s="51"/>
      <c r="D154" s="51"/>
      <c r="E154" s="500"/>
      <c r="F154" s="500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</row>
    <row r="155" spans="2:30" ht="15" customHeight="1">
      <c r="B155" s="51"/>
      <c r="C155" s="51"/>
      <c r="D155" s="51"/>
      <c r="E155" s="500"/>
      <c r="F155" s="500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</row>
    <row r="156" spans="2:30" ht="15" customHeight="1">
      <c r="B156" s="51"/>
      <c r="C156" s="51"/>
      <c r="D156" s="51"/>
      <c r="E156" s="500"/>
      <c r="F156" s="500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</row>
    <row r="157" spans="2:30" ht="15" customHeight="1">
      <c r="B157" s="51"/>
      <c r="C157" s="51"/>
      <c r="D157" s="51"/>
      <c r="E157" s="500"/>
      <c r="F157" s="500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</row>
    <row r="158" spans="2:30" ht="15" customHeight="1">
      <c r="B158" s="51"/>
      <c r="C158" s="51"/>
      <c r="D158" s="51"/>
      <c r="E158" s="500"/>
      <c r="F158" s="500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</row>
    <row r="159" spans="2:30" ht="15" customHeight="1">
      <c r="B159" s="51"/>
      <c r="C159" s="51"/>
      <c r="D159" s="51"/>
      <c r="E159" s="500"/>
      <c r="F159" s="500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</row>
    <row r="160" spans="2:30" ht="15" customHeight="1">
      <c r="B160" s="51"/>
      <c r="C160" s="51"/>
      <c r="D160" s="51"/>
      <c r="E160" s="500"/>
      <c r="F160" s="500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</row>
    <row r="161" spans="2:30" ht="15" customHeight="1">
      <c r="B161" s="51"/>
      <c r="C161" s="51"/>
      <c r="D161" s="51"/>
      <c r="E161" s="500"/>
      <c r="F161" s="500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</row>
    <row r="162" spans="2:30" ht="15" customHeight="1">
      <c r="B162" s="51"/>
      <c r="C162" s="51"/>
      <c r="D162" s="51"/>
      <c r="E162" s="500"/>
      <c r="F162" s="500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</row>
    <row r="163" spans="2:30" ht="15" customHeight="1">
      <c r="B163" s="51"/>
      <c r="C163" s="51"/>
      <c r="D163" s="51"/>
      <c r="E163" s="500"/>
      <c r="F163" s="500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</row>
    <row r="164" spans="2:30" ht="15" customHeight="1">
      <c r="B164" s="51"/>
      <c r="C164" s="51"/>
      <c r="D164" s="51"/>
      <c r="E164" s="500"/>
      <c r="F164" s="500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</row>
    <row r="165" spans="2:30" ht="15" customHeight="1"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</row>
    <row r="166" spans="2:30" ht="15" customHeight="1"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</row>
    <row r="167" spans="2:30" ht="15" customHeight="1"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</row>
    <row r="168" spans="2:30" ht="15" customHeight="1"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</row>
    <row r="169" spans="2:30" ht="15" customHeight="1"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</row>
    <row r="170" spans="2:30" ht="15" customHeight="1"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</row>
    <row r="171" spans="2:30" ht="15" customHeight="1"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</row>
    <row r="172" spans="2:30" ht="15" customHeight="1"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</row>
    <row r="173" spans="2:30" ht="15" customHeight="1"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</row>
    <row r="174" spans="2:30" ht="15" customHeight="1"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</row>
    <row r="175" spans="2:30" ht="15" customHeight="1"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</row>
    <row r="176" spans="2:30" ht="15" customHeight="1"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</row>
    <row r="177" spans="10:30" ht="15" customHeight="1"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</row>
    <row r="178" spans="10:30" ht="15" customHeight="1"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</row>
    <row r="179" spans="10:30" ht="15" customHeight="1"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</row>
    <row r="180" spans="10:30" ht="15" customHeight="1"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</row>
    <row r="181" spans="10:30" ht="15" customHeight="1"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</row>
    <row r="182" spans="10:30" ht="15" customHeight="1"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</row>
    <row r="183" spans="10:30" ht="15" customHeight="1"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</row>
    <row r="184" spans="10:30" ht="15" customHeight="1"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</row>
    <row r="185" spans="10:30" ht="15" customHeight="1"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</row>
    <row r="186" spans="10:30" ht="15" customHeight="1"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</row>
    <row r="187" spans="10:30" ht="15" customHeight="1"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</row>
    <row r="188" spans="10:30" ht="15" customHeight="1"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</row>
    <row r="189" spans="10:30" ht="15" customHeight="1"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</row>
    <row r="190" spans="10:30" ht="15" customHeight="1"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</row>
    <row r="191" spans="10:30" ht="15" customHeight="1"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</row>
    <row r="192" spans="10:30" ht="15" customHeight="1"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</row>
    <row r="193" spans="10:30" ht="15" customHeight="1"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</row>
    <row r="194" spans="10:30" ht="15" customHeight="1"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</row>
    <row r="195" spans="10:30" ht="15" customHeight="1"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</row>
    <row r="196" spans="10:30" ht="15" customHeight="1"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</row>
    <row r="197" spans="10:30" ht="15" customHeight="1"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</row>
    <row r="198" spans="10:30" ht="15" customHeight="1"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</row>
    <row r="199" spans="10:30" ht="15" customHeight="1"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</row>
    <row r="200" spans="10:30" ht="15" customHeight="1"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</row>
    <row r="201" spans="10:30" ht="15" customHeight="1"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</row>
    <row r="202" spans="10:30" ht="15" customHeight="1"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</row>
    <row r="203" spans="10:30" ht="15" customHeight="1"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</row>
    <row r="204" spans="10:30" ht="15" customHeight="1"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</row>
    <row r="205" spans="10:30" ht="15" customHeight="1"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</row>
    <row r="206" spans="10:30" ht="15" customHeight="1"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</row>
    <row r="207" spans="10:30" ht="15" customHeight="1"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</row>
    <row r="208" spans="10:30" ht="15" customHeight="1"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</row>
    <row r="209" spans="10:30" ht="15" customHeight="1"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</row>
    <row r="210" spans="10:30" ht="15" customHeight="1"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</row>
    <row r="211" spans="10:30" ht="15" customHeight="1"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</row>
    <row r="212" spans="10:30" ht="15" customHeight="1"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</row>
    <row r="213" spans="10:30" ht="15" customHeight="1"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</row>
    <row r="214" spans="10:30" ht="15" customHeight="1"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</row>
    <row r="215" spans="10:30" ht="15" customHeight="1"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</row>
    <row r="216" spans="10:30" ht="15" customHeight="1"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</row>
    <row r="217" spans="10:30" ht="15" customHeight="1"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</row>
    <row r="218" spans="10:30" ht="15" customHeight="1"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</row>
    <row r="219" spans="10:30" ht="15" customHeight="1"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</row>
    <row r="220" spans="10:30" ht="15" customHeight="1"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</row>
    <row r="221" spans="10:30" ht="15" customHeight="1"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</row>
    <row r="222" spans="10:30" ht="15" customHeight="1"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</row>
    <row r="223" spans="10:30" ht="15" customHeight="1"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</row>
    <row r="224" spans="10:30" ht="15" customHeight="1"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</row>
    <row r="225" spans="10:30" ht="15" customHeight="1"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</row>
    <row r="226" spans="10:30" ht="15" customHeight="1"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</row>
    <row r="227" spans="10:30" ht="15" customHeight="1"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</row>
    <row r="228" spans="10:30" ht="15" customHeight="1"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</row>
    <row r="229" spans="10:30" ht="15" customHeight="1"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</row>
    <row r="230" spans="10:30" ht="15" customHeight="1"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</row>
    <row r="231" spans="10:30" ht="15" customHeight="1"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</row>
    <row r="232" spans="10:30" ht="15" customHeight="1"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</row>
    <row r="233" spans="10:30" ht="15" customHeight="1"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</row>
    <row r="234" spans="10:30" ht="15" customHeight="1"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</row>
    <row r="235" spans="10:30" ht="15" customHeight="1"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</row>
    <row r="236" spans="10:30" ht="15" customHeight="1"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</row>
    <row r="237" spans="10:30" ht="15" customHeight="1"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</row>
    <row r="238" spans="10:30" ht="15" customHeight="1"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</row>
    <row r="239" spans="10:30" ht="15" customHeight="1"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</row>
    <row r="240" spans="10:30" ht="15" customHeight="1"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</row>
    <row r="241" spans="10:30" ht="15" customHeight="1"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</row>
    <row r="242" spans="10:30" ht="15" customHeight="1"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</row>
    <row r="243" spans="10:30" ht="15" customHeight="1"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</row>
    <row r="244" spans="10:30" ht="15" customHeight="1"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</row>
    <row r="245" spans="10:30" ht="15" customHeight="1"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</row>
    <row r="246" spans="10:30" ht="15" customHeight="1"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</row>
    <row r="247" spans="10:30" ht="15" customHeight="1"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</row>
    <row r="248" spans="10:30" ht="15" customHeight="1"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</row>
    <row r="249" spans="10:30" ht="15" customHeight="1"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</row>
    <row r="250" spans="10:30" ht="15" customHeight="1"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</row>
    <row r="251" spans="10:30" ht="15" customHeight="1"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</row>
    <row r="252" spans="10:30" ht="15" customHeight="1"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</row>
    <row r="253" spans="10:30" ht="15" customHeight="1"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</row>
    <row r="254" spans="10:30" ht="15" customHeight="1"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</row>
    <row r="255" spans="10:30" ht="15" customHeight="1"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</row>
    <row r="256" spans="10:30" ht="15" customHeight="1"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</row>
    <row r="257" spans="10:30" ht="15" customHeight="1"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</row>
    <row r="258" spans="10:30" ht="15" customHeight="1"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</row>
    <row r="259" spans="10:30" ht="15" customHeight="1"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</row>
    <row r="260" spans="10:30" ht="15" customHeight="1"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</row>
    <row r="261" spans="10:30" ht="15" customHeight="1"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</row>
    <row r="262" spans="10:30" ht="15" customHeight="1"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</row>
    <row r="263" spans="10:30" ht="15" customHeight="1"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</row>
    <row r="264" spans="10:30" ht="15" customHeight="1"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</row>
    <row r="265" spans="10:30" ht="15" customHeight="1"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</row>
    <row r="266" spans="10:30" ht="15" customHeight="1"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</row>
    <row r="267" spans="10:30" ht="15" customHeight="1"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</row>
    <row r="268" spans="10:30" ht="15" customHeight="1"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</row>
    <row r="269" spans="10:30" ht="15" customHeight="1"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</row>
    <row r="270" spans="10:30" ht="15" customHeight="1"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</row>
    <row r="271" spans="10:30" ht="15" customHeight="1"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</row>
    <row r="272" spans="10:30" ht="15" customHeight="1"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</row>
    <row r="273" spans="10:30" ht="15" customHeight="1"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</row>
    <row r="274" spans="10:30" ht="15" customHeight="1"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</row>
    <row r="275" spans="10:30" ht="15" customHeight="1"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</row>
    <row r="276" spans="10:30" ht="15" customHeight="1"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</row>
    <row r="277" spans="10:30" ht="15" customHeight="1"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</row>
    <row r="278" spans="10:30" ht="15" customHeight="1"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</row>
    <row r="279" spans="10:30" ht="15" customHeight="1"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</row>
    <row r="280" spans="10:30" ht="15" customHeight="1"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</row>
    <row r="281" spans="10:30" ht="15" customHeight="1"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</row>
    <row r="282" spans="10:30" ht="15" customHeight="1"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</row>
    <row r="283" spans="10:30" ht="15" customHeight="1"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</row>
    <row r="284" spans="10:30" ht="15" customHeight="1"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</row>
    <row r="285" spans="10:30" ht="15" customHeight="1"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</row>
    <row r="286" spans="10:30" ht="15" customHeight="1"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</row>
    <row r="287" spans="10:30" ht="15" customHeight="1"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</row>
    <row r="288" spans="10:30" ht="15" customHeight="1"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</row>
    <row r="289" spans="10:30" ht="15" customHeight="1"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</row>
    <row r="290" spans="10:30" ht="15" customHeight="1"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</row>
    <row r="291" spans="10:30" ht="15" customHeight="1"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</row>
    <row r="292" spans="10:30" ht="15" customHeight="1"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</row>
    <row r="293" spans="10:30" ht="15" customHeight="1"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</row>
    <row r="294" spans="10:30" ht="15" customHeight="1"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</row>
    <row r="295" spans="10:30" ht="15" customHeight="1"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</row>
    <row r="296" spans="10:30" ht="15" customHeight="1"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</row>
    <row r="297" spans="10:30" ht="15" customHeight="1"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</row>
    <row r="298" spans="10:30" ht="15" customHeight="1"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</row>
    <row r="299" spans="10:30" ht="15" customHeight="1"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</row>
    <row r="300" spans="10:30" ht="15" customHeight="1"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</row>
    <row r="301" spans="10:30" ht="15" customHeight="1"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</row>
  </sheetData>
  <mergeCells count="5">
    <mergeCell ref="B47:H47"/>
    <mergeCell ref="B1:H4"/>
    <mergeCell ref="B5:H5"/>
    <mergeCell ref="B6:H6"/>
    <mergeCell ref="B10:H10"/>
  </mergeCells>
  <phoneticPr fontId="0" type="noConversion"/>
  <pageMargins left="0.72" right="0.31496062992125984" top="0.28000000000000003" bottom="0.24" header="0.26" footer="0.27"/>
  <pageSetup paperSize="9" scale="88" orientation="landscape" r:id="rId1"/>
  <headerFooter alignWithMargins="0">
    <oddFooter>&amp;R&amp;P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27"/>
  <dimension ref="A1:P96"/>
  <sheetViews>
    <sheetView zoomScaleNormal="100" workbookViewId="0">
      <selection activeCell="K10" sqref="K10"/>
    </sheetView>
  </sheetViews>
  <sheetFormatPr defaultRowHeight="12.75"/>
  <cols>
    <col min="1" max="1" width="9.140625" style="272"/>
    <col min="2" max="2" width="4.7109375" style="9" customWidth="1"/>
    <col min="3" max="3" width="5.140625" style="9" customWidth="1"/>
    <col min="4" max="4" width="5" style="9" customWidth="1"/>
    <col min="5" max="5" width="8.7109375" style="17" customWidth="1"/>
    <col min="6" max="6" width="8.7109375" style="277" customWidth="1"/>
    <col min="7" max="7" width="50.7109375" style="9" customWidth="1"/>
    <col min="8" max="8" width="14.7109375" style="510" customWidth="1"/>
    <col min="9" max="9" width="14.7109375" style="272" customWidth="1"/>
    <col min="10" max="10" width="15.7109375" style="510" customWidth="1"/>
    <col min="11" max="12" width="14.7109375" style="272" customWidth="1"/>
    <col min="13" max="13" width="15.7109375" style="272" customWidth="1"/>
    <col min="14" max="14" width="7.7109375" style="337" customWidth="1"/>
    <col min="15" max="16384" width="9.140625" style="9"/>
  </cols>
  <sheetData>
    <row r="1" spans="1:16" ht="13.5" thickBot="1"/>
    <row r="2" spans="1:16" s="93" customFormat="1" ht="20.100000000000001" customHeight="1" thickTop="1" thickBot="1">
      <c r="A2" s="363"/>
      <c r="B2" s="725" t="s">
        <v>169</v>
      </c>
      <c r="C2" s="726"/>
      <c r="D2" s="726"/>
      <c r="E2" s="726"/>
      <c r="F2" s="726"/>
      <c r="G2" s="726"/>
      <c r="H2" s="726"/>
      <c r="I2" s="726"/>
      <c r="J2" s="726"/>
      <c r="K2" s="487"/>
      <c r="L2" s="487"/>
      <c r="M2" s="487"/>
      <c r="N2" s="366"/>
    </row>
    <row r="3" spans="1:16" s="1" customFormat="1" ht="8.1" customHeight="1" thickTop="1" thickBot="1">
      <c r="A3" s="269"/>
      <c r="E3" s="2"/>
      <c r="F3" s="270"/>
      <c r="G3" s="488"/>
      <c r="H3" s="511"/>
      <c r="I3" s="87"/>
      <c r="J3" s="511"/>
      <c r="K3" s="87"/>
      <c r="L3" s="87"/>
      <c r="M3" s="87"/>
      <c r="N3" s="331"/>
    </row>
    <row r="4" spans="1:16" s="1" customFormat="1" ht="39" customHeight="1">
      <c r="A4" s="269"/>
      <c r="B4" s="728" t="s">
        <v>78</v>
      </c>
      <c r="C4" s="746" t="s">
        <v>79</v>
      </c>
      <c r="D4" s="747" t="s">
        <v>110</v>
      </c>
      <c r="E4" s="748" t="s">
        <v>594</v>
      </c>
      <c r="F4" s="733" t="s">
        <v>650</v>
      </c>
      <c r="G4" s="734" t="s">
        <v>80</v>
      </c>
      <c r="H4" s="740" t="s">
        <v>644</v>
      </c>
      <c r="I4" s="742" t="s">
        <v>821</v>
      </c>
      <c r="J4" s="744" t="s">
        <v>822</v>
      </c>
      <c r="K4" s="749" t="s">
        <v>863</v>
      </c>
      <c r="L4" s="738"/>
      <c r="M4" s="739"/>
      <c r="N4" s="735" t="s">
        <v>823</v>
      </c>
    </row>
    <row r="5" spans="1:16" s="269" customFormat="1" ht="27" customHeight="1">
      <c r="B5" s="729"/>
      <c r="C5" s="731"/>
      <c r="D5" s="731"/>
      <c r="E5" s="722"/>
      <c r="F5" s="731"/>
      <c r="G5" s="722"/>
      <c r="H5" s="741"/>
      <c r="I5" s="743"/>
      <c r="J5" s="745"/>
      <c r="K5" s="540" t="s">
        <v>701</v>
      </c>
      <c r="L5" s="359" t="s">
        <v>702</v>
      </c>
      <c r="M5" s="541" t="s">
        <v>413</v>
      </c>
      <c r="N5" s="736"/>
    </row>
    <row r="6" spans="1:16" s="2" customFormat="1" ht="12.95" customHeight="1">
      <c r="A6" s="270"/>
      <c r="B6" s="464">
        <v>1</v>
      </c>
      <c r="C6" s="318">
        <v>2</v>
      </c>
      <c r="D6" s="318">
        <v>3</v>
      </c>
      <c r="E6" s="318">
        <v>4</v>
      </c>
      <c r="F6" s="318">
        <v>5</v>
      </c>
      <c r="G6" s="318">
        <v>6</v>
      </c>
      <c r="H6" s="512">
        <v>7</v>
      </c>
      <c r="I6" s="318">
        <v>8</v>
      </c>
      <c r="J6" s="561">
        <v>9</v>
      </c>
      <c r="K6" s="464">
        <v>10</v>
      </c>
      <c r="L6" s="318">
        <v>11</v>
      </c>
      <c r="M6" s="542" t="s">
        <v>703</v>
      </c>
      <c r="N6" s="465">
        <v>13</v>
      </c>
    </row>
    <row r="7" spans="1:16" s="2" customFormat="1" ht="12.95" customHeight="1">
      <c r="A7" s="270"/>
      <c r="B7" s="6" t="s">
        <v>143</v>
      </c>
      <c r="C7" s="7" t="s">
        <v>145</v>
      </c>
      <c r="D7" s="7" t="s">
        <v>117</v>
      </c>
      <c r="E7" s="5"/>
      <c r="F7" s="271"/>
      <c r="G7" s="5"/>
      <c r="H7" s="513"/>
      <c r="I7" s="271"/>
      <c r="J7" s="568"/>
      <c r="K7" s="4"/>
      <c r="L7" s="271"/>
      <c r="M7" s="570"/>
      <c r="N7" s="332"/>
    </row>
    <row r="8" spans="1:16" s="1" customFormat="1" ht="12.95" customHeight="1">
      <c r="A8" s="269"/>
      <c r="B8" s="12"/>
      <c r="C8" s="8"/>
      <c r="D8" s="8"/>
      <c r="E8" s="292">
        <v>611000</v>
      </c>
      <c r="F8" s="318"/>
      <c r="G8" s="8" t="s">
        <v>163</v>
      </c>
      <c r="H8" s="514">
        <f t="shared" ref="H8:I8" si="0">SUM(H9:H12)</f>
        <v>2271800</v>
      </c>
      <c r="I8" s="514">
        <f t="shared" si="0"/>
        <v>2271800</v>
      </c>
      <c r="J8" s="563">
        <v>1608776</v>
      </c>
      <c r="K8" s="545">
        <f t="shared" ref="K8:M8" si="1">SUM(K9:K12)</f>
        <v>2209230</v>
      </c>
      <c r="L8" s="201">
        <f t="shared" si="1"/>
        <v>0</v>
      </c>
      <c r="M8" s="546">
        <f t="shared" si="1"/>
        <v>2209230</v>
      </c>
      <c r="N8" s="333">
        <f>IF(I8=0,"",M8/I8*100)</f>
        <v>97.245796284884236</v>
      </c>
    </row>
    <row r="9" spans="1:16" ht="12.95" customHeight="1">
      <c r="B9" s="10"/>
      <c r="C9" s="11"/>
      <c r="D9" s="11"/>
      <c r="E9" s="293">
        <v>611100</v>
      </c>
      <c r="F9" s="319"/>
      <c r="G9" s="18" t="s">
        <v>198</v>
      </c>
      <c r="H9" s="515">
        <v>1883000</v>
      </c>
      <c r="I9" s="515">
        <v>1883000</v>
      </c>
      <c r="J9" s="564">
        <v>1337776</v>
      </c>
      <c r="K9" s="549">
        <f>1805210+6000+2*420</f>
        <v>1812050</v>
      </c>
      <c r="L9" s="200">
        <v>0</v>
      </c>
      <c r="M9" s="548">
        <f>SUM(K9:L9)</f>
        <v>1812050</v>
      </c>
      <c r="N9" s="334">
        <f t="shared" ref="N9:N72" si="2">IF(I9=0,"",M9/I9*100)</f>
        <v>96.232076473712155</v>
      </c>
    </row>
    <row r="10" spans="1:16" ht="12.95" customHeight="1">
      <c r="B10" s="10"/>
      <c r="C10" s="11"/>
      <c r="D10" s="11"/>
      <c r="E10" s="293">
        <v>611200</v>
      </c>
      <c r="F10" s="319"/>
      <c r="G10" s="11" t="s">
        <v>199</v>
      </c>
      <c r="H10" s="515">
        <v>388800</v>
      </c>
      <c r="I10" s="515">
        <v>388800</v>
      </c>
      <c r="J10" s="564">
        <v>271000</v>
      </c>
      <c r="K10" s="549">
        <f>363570+3000+2*930+2000+107*250</f>
        <v>397180</v>
      </c>
      <c r="L10" s="200">
        <v>0</v>
      </c>
      <c r="M10" s="548">
        <f t="shared" ref="M10:M11" si="3">SUM(K10:L10)</f>
        <v>397180</v>
      </c>
      <c r="N10" s="334">
        <f t="shared" si="2"/>
        <v>102.15534979423867</v>
      </c>
      <c r="P10" s="54"/>
    </row>
    <row r="11" spans="1:16" ht="12.95" customHeight="1">
      <c r="B11" s="10"/>
      <c r="C11" s="11"/>
      <c r="D11" s="11"/>
      <c r="E11" s="293">
        <v>611200</v>
      </c>
      <c r="F11" s="319"/>
      <c r="G11" s="180" t="s">
        <v>534</v>
      </c>
      <c r="H11" s="515">
        <f t="shared" ref="H11:I11" si="4">SUM(F11:G11)</f>
        <v>0</v>
      </c>
      <c r="I11" s="515">
        <f t="shared" si="4"/>
        <v>0</v>
      </c>
      <c r="J11" s="564">
        <v>0</v>
      </c>
      <c r="K11" s="549">
        <v>0</v>
      </c>
      <c r="L11" s="200">
        <v>0</v>
      </c>
      <c r="M11" s="548">
        <f t="shared" si="3"/>
        <v>0</v>
      </c>
      <c r="N11" s="334" t="str">
        <f t="shared" si="2"/>
        <v/>
      </c>
      <c r="P11" s="53"/>
    </row>
    <row r="12" spans="1:16" ht="12.95" customHeight="1">
      <c r="B12" s="10"/>
      <c r="C12" s="11"/>
      <c r="D12" s="11"/>
      <c r="E12" s="293"/>
      <c r="F12" s="319"/>
      <c r="G12" s="18"/>
      <c r="H12" s="515"/>
      <c r="I12" s="515"/>
      <c r="J12" s="564"/>
      <c r="K12" s="549"/>
      <c r="L12" s="200"/>
      <c r="M12" s="548"/>
      <c r="N12" s="334" t="str">
        <f t="shared" si="2"/>
        <v/>
      </c>
    </row>
    <row r="13" spans="1:16" s="1" customFormat="1" ht="12.95" customHeight="1">
      <c r="A13" s="269"/>
      <c r="B13" s="12"/>
      <c r="C13" s="8"/>
      <c r="D13" s="8"/>
      <c r="E13" s="292">
        <v>612000</v>
      </c>
      <c r="F13" s="318"/>
      <c r="G13" s="8" t="s">
        <v>162</v>
      </c>
      <c r="H13" s="514">
        <f t="shared" ref="H13:M13" si="5">H14</f>
        <v>209380</v>
      </c>
      <c r="I13" s="514">
        <f t="shared" si="5"/>
        <v>209380</v>
      </c>
      <c r="J13" s="563">
        <v>146310</v>
      </c>
      <c r="K13" s="545">
        <f t="shared" si="5"/>
        <v>197670</v>
      </c>
      <c r="L13" s="201">
        <f t="shared" si="5"/>
        <v>0</v>
      </c>
      <c r="M13" s="546">
        <f t="shared" si="5"/>
        <v>197670</v>
      </c>
      <c r="N13" s="333">
        <f t="shared" si="2"/>
        <v>94.407297736173462</v>
      </c>
    </row>
    <row r="14" spans="1:16" ht="12.95" customHeight="1">
      <c r="B14" s="10"/>
      <c r="C14" s="11"/>
      <c r="D14" s="11"/>
      <c r="E14" s="293">
        <v>612100</v>
      </c>
      <c r="F14" s="319"/>
      <c r="G14" s="13" t="s">
        <v>83</v>
      </c>
      <c r="H14" s="515">
        <v>209380</v>
      </c>
      <c r="I14" s="515">
        <v>209380</v>
      </c>
      <c r="J14" s="564">
        <v>146310</v>
      </c>
      <c r="K14" s="549">
        <f>195870+1500+2*150</f>
        <v>197670</v>
      </c>
      <c r="L14" s="200">
        <v>0</v>
      </c>
      <c r="M14" s="548">
        <f>SUM(K14:L14)</f>
        <v>197670</v>
      </c>
      <c r="N14" s="334">
        <f t="shared" si="2"/>
        <v>94.407297736173462</v>
      </c>
    </row>
    <row r="15" spans="1:16" ht="12.95" customHeight="1">
      <c r="B15" s="10"/>
      <c r="C15" s="11"/>
      <c r="D15" s="11"/>
      <c r="E15" s="293"/>
      <c r="F15" s="319"/>
      <c r="G15" s="11"/>
      <c r="H15" s="516"/>
      <c r="I15" s="516"/>
      <c r="J15" s="566"/>
      <c r="K15" s="573"/>
      <c r="L15" s="268"/>
      <c r="M15" s="551"/>
      <c r="N15" s="334" t="str">
        <f t="shared" si="2"/>
        <v/>
      </c>
    </row>
    <row r="16" spans="1:16" s="1" customFormat="1" ht="12.95" customHeight="1">
      <c r="A16" s="269"/>
      <c r="B16" s="12"/>
      <c r="C16" s="8"/>
      <c r="D16" s="8"/>
      <c r="E16" s="292">
        <v>613000</v>
      </c>
      <c r="F16" s="318"/>
      <c r="G16" s="8" t="s">
        <v>164</v>
      </c>
      <c r="H16" s="262">
        <f t="shared" ref="H16:I16" si="6">SUM(H17:H26)</f>
        <v>212000</v>
      </c>
      <c r="I16" s="262">
        <f t="shared" si="6"/>
        <v>212000</v>
      </c>
      <c r="J16" s="565">
        <v>118188</v>
      </c>
      <c r="K16" s="552">
        <f t="shared" ref="K16:M16" si="7">SUM(K17:K26)</f>
        <v>210000</v>
      </c>
      <c r="L16" s="281">
        <f t="shared" si="7"/>
        <v>0</v>
      </c>
      <c r="M16" s="553">
        <f t="shared" si="7"/>
        <v>210000</v>
      </c>
      <c r="N16" s="333">
        <f t="shared" si="2"/>
        <v>99.056603773584911</v>
      </c>
    </row>
    <row r="17" spans="1:15" ht="12.95" customHeight="1">
      <c r="B17" s="10"/>
      <c r="C17" s="11"/>
      <c r="D17" s="11"/>
      <c r="E17" s="293">
        <v>613100</v>
      </c>
      <c r="F17" s="319"/>
      <c r="G17" s="11" t="s">
        <v>84</v>
      </c>
      <c r="H17" s="515">
        <v>11500</v>
      </c>
      <c r="I17" s="515">
        <v>11500</v>
      </c>
      <c r="J17" s="564">
        <v>6268</v>
      </c>
      <c r="K17" s="571">
        <v>9500</v>
      </c>
      <c r="L17" s="349">
        <v>0</v>
      </c>
      <c r="M17" s="548">
        <f t="shared" ref="M17:M26" si="8">SUM(K17:L17)</f>
        <v>9500</v>
      </c>
      <c r="N17" s="334">
        <f t="shared" si="2"/>
        <v>82.608695652173907</v>
      </c>
    </row>
    <row r="18" spans="1:15" ht="12.95" customHeight="1">
      <c r="B18" s="10"/>
      <c r="C18" s="11"/>
      <c r="D18" s="11"/>
      <c r="E18" s="293">
        <v>613200</v>
      </c>
      <c r="F18" s="319"/>
      <c r="G18" s="11" t="s">
        <v>85</v>
      </c>
      <c r="H18" s="515">
        <v>77000</v>
      </c>
      <c r="I18" s="515">
        <v>77000</v>
      </c>
      <c r="J18" s="564">
        <v>40448</v>
      </c>
      <c r="K18" s="571">
        <v>84000</v>
      </c>
      <c r="L18" s="349">
        <v>0</v>
      </c>
      <c r="M18" s="548">
        <f t="shared" si="8"/>
        <v>84000</v>
      </c>
      <c r="N18" s="334">
        <f t="shared" si="2"/>
        <v>109.09090909090908</v>
      </c>
    </row>
    <row r="19" spans="1:15" ht="12.95" customHeight="1">
      <c r="B19" s="10"/>
      <c r="C19" s="11"/>
      <c r="D19" s="11"/>
      <c r="E19" s="293">
        <v>613300</v>
      </c>
      <c r="F19" s="319"/>
      <c r="G19" s="18" t="s">
        <v>200</v>
      </c>
      <c r="H19" s="515">
        <v>9200</v>
      </c>
      <c r="I19" s="515">
        <v>9200</v>
      </c>
      <c r="J19" s="564">
        <v>5747</v>
      </c>
      <c r="K19" s="571">
        <v>9200</v>
      </c>
      <c r="L19" s="349">
        <v>0</v>
      </c>
      <c r="M19" s="548">
        <f t="shared" si="8"/>
        <v>9200</v>
      </c>
      <c r="N19" s="334">
        <f t="shared" si="2"/>
        <v>100</v>
      </c>
    </row>
    <row r="20" spans="1:15" ht="12.95" customHeight="1">
      <c r="B20" s="10"/>
      <c r="C20" s="11"/>
      <c r="D20" s="11"/>
      <c r="E20" s="293">
        <v>613400</v>
      </c>
      <c r="F20" s="319"/>
      <c r="G20" s="11" t="s">
        <v>165</v>
      </c>
      <c r="H20" s="515">
        <v>20300</v>
      </c>
      <c r="I20" s="515">
        <v>20300</v>
      </c>
      <c r="J20" s="564">
        <v>11709</v>
      </c>
      <c r="K20" s="572">
        <v>20300</v>
      </c>
      <c r="L20" s="351">
        <v>0</v>
      </c>
      <c r="M20" s="548">
        <f t="shared" si="8"/>
        <v>20300</v>
      </c>
      <c r="N20" s="334">
        <f t="shared" si="2"/>
        <v>100</v>
      </c>
    </row>
    <row r="21" spans="1:15" ht="12.95" customHeight="1">
      <c r="B21" s="10"/>
      <c r="C21" s="11"/>
      <c r="D21" s="11"/>
      <c r="E21" s="293">
        <v>613500</v>
      </c>
      <c r="F21" s="319"/>
      <c r="G21" s="11" t="s">
        <v>86</v>
      </c>
      <c r="H21" s="515">
        <v>1500</v>
      </c>
      <c r="I21" s="515">
        <v>1500</v>
      </c>
      <c r="J21" s="564">
        <v>821</v>
      </c>
      <c r="K21" s="572">
        <v>1500</v>
      </c>
      <c r="L21" s="351">
        <v>0</v>
      </c>
      <c r="M21" s="548">
        <f t="shared" si="8"/>
        <v>1500</v>
      </c>
      <c r="N21" s="334">
        <f t="shared" si="2"/>
        <v>100</v>
      </c>
    </row>
    <row r="22" spans="1:15" ht="12.95" customHeight="1">
      <c r="B22" s="10"/>
      <c r="C22" s="11"/>
      <c r="D22" s="11"/>
      <c r="E22" s="293">
        <v>613600</v>
      </c>
      <c r="F22" s="319"/>
      <c r="G22" s="18" t="s">
        <v>201</v>
      </c>
      <c r="H22" s="515">
        <f t="shared" ref="H22:I26" si="9">SUM(F22:G22)</f>
        <v>0</v>
      </c>
      <c r="I22" s="515">
        <f t="shared" si="9"/>
        <v>0</v>
      </c>
      <c r="J22" s="564">
        <v>0</v>
      </c>
      <c r="K22" s="572">
        <v>0</v>
      </c>
      <c r="L22" s="351">
        <v>0</v>
      </c>
      <c r="M22" s="548">
        <f t="shared" si="8"/>
        <v>0</v>
      </c>
      <c r="N22" s="334" t="str">
        <f t="shared" si="2"/>
        <v/>
      </c>
    </row>
    <row r="23" spans="1:15" ht="12.95" customHeight="1">
      <c r="B23" s="10"/>
      <c r="C23" s="11"/>
      <c r="D23" s="11"/>
      <c r="E23" s="293">
        <v>613700</v>
      </c>
      <c r="F23" s="319"/>
      <c r="G23" s="11" t="s">
        <v>87</v>
      </c>
      <c r="H23" s="515">
        <v>22500</v>
      </c>
      <c r="I23" s="515">
        <v>22500</v>
      </c>
      <c r="J23" s="564">
        <v>13136</v>
      </c>
      <c r="K23" s="572">
        <v>22500</v>
      </c>
      <c r="L23" s="351">
        <v>0</v>
      </c>
      <c r="M23" s="548">
        <f t="shared" si="8"/>
        <v>22500</v>
      </c>
      <c r="N23" s="334">
        <f t="shared" si="2"/>
        <v>100</v>
      </c>
    </row>
    <row r="24" spans="1:15" ht="12.95" customHeight="1">
      <c r="B24" s="10"/>
      <c r="C24" s="11"/>
      <c r="D24" s="11"/>
      <c r="E24" s="293">
        <v>613800</v>
      </c>
      <c r="F24" s="319"/>
      <c r="G24" s="11" t="s">
        <v>166</v>
      </c>
      <c r="H24" s="515">
        <f t="shared" si="9"/>
        <v>0</v>
      </c>
      <c r="I24" s="515">
        <f t="shared" si="9"/>
        <v>0</v>
      </c>
      <c r="J24" s="564">
        <v>0</v>
      </c>
      <c r="K24" s="572">
        <v>0</v>
      </c>
      <c r="L24" s="351">
        <v>0</v>
      </c>
      <c r="M24" s="548">
        <f t="shared" si="8"/>
        <v>0</v>
      </c>
      <c r="N24" s="334" t="str">
        <f t="shared" si="2"/>
        <v/>
      </c>
    </row>
    <row r="25" spans="1:15" ht="12.95" customHeight="1">
      <c r="B25" s="10"/>
      <c r="C25" s="11"/>
      <c r="D25" s="11"/>
      <c r="E25" s="293">
        <v>613900</v>
      </c>
      <c r="F25" s="319"/>
      <c r="G25" s="11" t="s">
        <v>167</v>
      </c>
      <c r="H25" s="515">
        <v>70000</v>
      </c>
      <c r="I25" s="515">
        <v>70000</v>
      </c>
      <c r="J25" s="564">
        <v>40059</v>
      </c>
      <c r="K25" s="572">
        <v>63000</v>
      </c>
      <c r="L25" s="351">
        <v>0</v>
      </c>
      <c r="M25" s="548">
        <f t="shared" si="8"/>
        <v>63000</v>
      </c>
      <c r="N25" s="334">
        <f t="shared" si="2"/>
        <v>90</v>
      </c>
    </row>
    <row r="26" spans="1:15" ht="12.95" customHeight="1">
      <c r="B26" s="10"/>
      <c r="C26" s="11"/>
      <c r="D26" s="11"/>
      <c r="E26" s="293">
        <v>613900</v>
      </c>
      <c r="F26" s="319"/>
      <c r="G26" s="180" t="s">
        <v>535</v>
      </c>
      <c r="H26" s="515">
        <f t="shared" si="9"/>
        <v>0</v>
      </c>
      <c r="I26" s="515">
        <f t="shared" si="9"/>
        <v>0</v>
      </c>
      <c r="J26" s="564">
        <v>0</v>
      </c>
      <c r="K26" s="582">
        <v>0</v>
      </c>
      <c r="L26" s="348">
        <v>0</v>
      </c>
      <c r="M26" s="548">
        <f t="shared" si="8"/>
        <v>0</v>
      </c>
      <c r="N26" s="334" t="str">
        <f t="shared" si="2"/>
        <v/>
      </c>
    </row>
    <row r="27" spans="1:15" s="1" customFormat="1" ht="12.95" customHeight="1">
      <c r="A27" s="269"/>
      <c r="B27" s="12"/>
      <c r="C27" s="8"/>
      <c r="D27" s="8"/>
      <c r="E27" s="292"/>
      <c r="F27" s="318"/>
      <c r="G27" s="8"/>
      <c r="H27" s="516"/>
      <c r="I27" s="516"/>
      <c r="J27" s="566"/>
      <c r="K27" s="573"/>
      <c r="L27" s="268"/>
      <c r="M27" s="551"/>
      <c r="N27" s="334" t="str">
        <f t="shared" si="2"/>
        <v/>
      </c>
    </row>
    <row r="28" spans="1:15" s="1" customFormat="1" ht="12.95" customHeight="1">
      <c r="A28" s="269"/>
      <c r="B28" s="12"/>
      <c r="C28" s="8"/>
      <c r="D28" s="8"/>
      <c r="E28" s="292">
        <v>821000</v>
      </c>
      <c r="F28" s="318"/>
      <c r="G28" s="8" t="s">
        <v>90</v>
      </c>
      <c r="H28" s="262">
        <f t="shared" ref="H28:I28" si="10">SUM(H29:H31)</f>
        <v>21660</v>
      </c>
      <c r="I28" s="262">
        <f t="shared" si="10"/>
        <v>21660</v>
      </c>
      <c r="J28" s="565">
        <v>5946</v>
      </c>
      <c r="K28" s="557">
        <f t="shared" ref="K28:M28" si="11">SUM(K29:K31)</f>
        <v>24000</v>
      </c>
      <c r="L28" s="282">
        <f t="shared" si="11"/>
        <v>9730</v>
      </c>
      <c r="M28" s="553">
        <f t="shared" si="11"/>
        <v>33730</v>
      </c>
      <c r="N28" s="333">
        <f t="shared" si="2"/>
        <v>155.72483841181901</v>
      </c>
    </row>
    <row r="29" spans="1:15" ht="12.95" customHeight="1">
      <c r="B29" s="10"/>
      <c r="C29" s="11"/>
      <c r="D29" s="11"/>
      <c r="E29" s="293">
        <v>821200</v>
      </c>
      <c r="F29" s="319"/>
      <c r="G29" s="11" t="s">
        <v>91</v>
      </c>
      <c r="H29" s="515">
        <f t="shared" ref="H29:I29" si="12">SUM(F29:G29)</f>
        <v>0</v>
      </c>
      <c r="I29" s="515">
        <f t="shared" si="12"/>
        <v>0</v>
      </c>
      <c r="J29" s="564">
        <v>0</v>
      </c>
      <c r="K29" s="573">
        <v>7000</v>
      </c>
      <c r="L29" s="268">
        <v>0</v>
      </c>
      <c r="M29" s="548">
        <f t="shared" ref="M29:M30" si="13">SUM(K29:L29)</f>
        <v>7000</v>
      </c>
      <c r="N29" s="334" t="str">
        <f t="shared" si="2"/>
        <v/>
      </c>
      <c r="O29" s="48"/>
    </row>
    <row r="30" spans="1:15" ht="12.95" customHeight="1">
      <c r="B30" s="10"/>
      <c r="C30" s="11"/>
      <c r="D30" s="11"/>
      <c r="E30" s="293">
        <v>821300</v>
      </c>
      <c r="F30" s="319"/>
      <c r="G30" s="11" t="s">
        <v>92</v>
      </c>
      <c r="H30" s="515">
        <v>21660</v>
      </c>
      <c r="I30" s="515">
        <v>21660</v>
      </c>
      <c r="J30" s="564">
        <v>5946</v>
      </c>
      <c r="K30" s="573">
        <v>17000</v>
      </c>
      <c r="L30" s="268">
        <f>4660+5070</f>
        <v>9730</v>
      </c>
      <c r="M30" s="548">
        <f t="shared" si="13"/>
        <v>26730</v>
      </c>
      <c r="N30" s="334">
        <f t="shared" si="2"/>
        <v>123.40720221606649</v>
      </c>
    </row>
    <row r="31" spans="1:15" ht="12.95" customHeight="1">
      <c r="B31" s="10"/>
      <c r="C31" s="11"/>
      <c r="D31" s="11"/>
      <c r="E31" s="293"/>
      <c r="F31" s="319"/>
      <c r="G31" s="18"/>
      <c r="H31" s="516"/>
      <c r="I31" s="516"/>
      <c r="J31" s="566"/>
      <c r="K31" s="573"/>
      <c r="L31" s="268"/>
      <c r="M31" s="551"/>
      <c r="N31" s="334" t="str">
        <f t="shared" si="2"/>
        <v/>
      </c>
    </row>
    <row r="32" spans="1:15" s="1" customFormat="1" ht="12.95" customHeight="1">
      <c r="A32" s="269"/>
      <c r="B32" s="12"/>
      <c r="C32" s="8"/>
      <c r="D32" s="8"/>
      <c r="E32" s="292"/>
      <c r="F32" s="318"/>
      <c r="G32" s="8" t="s">
        <v>93</v>
      </c>
      <c r="H32" s="517" t="s">
        <v>645</v>
      </c>
      <c r="I32" s="517" t="s">
        <v>645</v>
      </c>
      <c r="J32" s="579" t="s">
        <v>830</v>
      </c>
      <c r="K32" s="580" t="s">
        <v>868</v>
      </c>
      <c r="L32" s="266"/>
      <c r="M32" s="581" t="s">
        <v>868</v>
      </c>
      <c r="N32" s="334"/>
    </row>
    <row r="33" spans="1:14" s="1" customFormat="1" ht="12.95" customHeight="1">
      <c r="A33" s="269"/>
      <c r="B33" s="12"/>
      <c r="C33" s="8"/>
      <c r="D33" s="8"/>
      <c r="E33" s="292"/>
      <c r="F33" s="318"/>
      <c r="G33" s="8" t="s">
        <v>113</v>
      </c>
      <c r="H33" s="262">
        <f t="shared" ref="H33:M33" si="14">H8+H13+H16+H28</f>
        <v>2714840</v>
      </c>
      <c r="I33" s="276">
        <f t="shared" si="14"/>
        <v>2714840</v>
      </c>
      <c r="J33" s="565">
        <f t="shared" si="14"/>
        <v>1879220</v>
      </c>
      <c r="K33" s="558">
        <f t="shared" si="14"/>
        <v>2640900</v>
      </c>
      <c r="L33" s="276">
        <f t="shared" si="14"/>
        <v>9730</v>
      </c>
      <c r="M33" s="553">
        <f t="shared" si="14"/>
        <v>2650630</v>
      </c>
      <c r="N33" s="333">
        <f t="shared" si="2"/>
        <v>97.634851409291159</v>
      </c>
    </row>
    <row r="34" spans="1:14" s="1" customFormat="1" ht="12.95" customHeight="1">
      <c r="A34" s="269"/>
      <c r="B34" s="12"/>
      <c r="C34" s="8"/>
      <c r="D34" s="8"/>
      <c r="E34" s="292"/>
      <c r="F34" s="318"/>
      <c r="G34" s="8" t="s">
        <v>94</v>
      </c>
      <c r="H34" s="262"/>
      <c r="I34" s="276"/>
      <c r="J34" s="565"/>
      <c r="K34" s="558"/>
      <c r="L34" s="276"/>
      <c r="M34" s="553"/>
      <c r="N34" s="334" t="str">
        <f t="shared" si="2"/>
        <v/>
      </c>
    </row>
    <row r="35" spans="1:14" s="1" customFormat="1" ht="12.95" customHeight="1">
      <c r="A35" s="269"/>
      <c r="B35" s="12"/>
      <c r="C35" s="8"/>
      <c r="D35" s="8"/>
      <c r="E35" s="292"/>
      <c r="F35" s="318"/>
      <c r="G35" s="8" t="s">
        <v>95</v>
      </c>
      <c r="H35" s="516"/>
      <c r="I35" s="267"/>
      <c r="J35" s="566"/>
      <c r="K35" s="578"/>
      <c r="L35" s="267"/>
      <c r="M35" s="551"/>
      <c r="N35" s="334" t="str">
        <f t="shared" si="2"/>
        <v/>
      </c>
    </row>
    <row r="36" spans="1:14" ht="12.95" customHeight="1" thickBot="1">
      <c r="B36" s="15"/>
      <c r="C36" s="16"/>
      <c r="D36" s="16"/>
      <c r="E36" s="294"/>
      <c r="F36" s="320"/>
      <c r="G36" s="16"/>
      <c r="H36" s="521"/>
      <c r="I36" s="16"/>
      <c r="J36" s="569"/>
      <c r="K36" s="15"/>
      <c r="L36" s="16"/>
      <c r="M36" s="574"/>
      <c r="N36" s="336" t="str">
        <f t="shared" si="2"/>
        <v/>
      </c>
    </row>
    <row r="37" spans="1:14" ht="12.95" customHeight="1">
      <c r="E37" s="295"/>
      <c r="F37" s="321"/>
      <c r="M37" s="369"/>
      <c r="N37" s="337" t="str">
        <f t="shared" si="2"/>
        <v/>
      </c>
    </row>
    <row r="38" spans="1:14" ht="12.95" customHeight="1">
      <c r="E38" s="295"/>
      <c r="F38" s="321"/>
      <c r="M38" s="369"/>
      <c r="N38" s="337" t="str">
        <f t="shared" si="2"/>
        <v/>
      </c>
    </row>
    <row r="39" spans="1:14" ht="12.95" customHeight="1">
      <c r="B39" s="48"/>
      <c r="E39" s="295"/>
      <c r="F39" s="321"/>
      <c r="M39" s="369"/>
      <c r="N39" s="337" t="str">
        <f t="shared" si="2"/>
        <v/>
      </c>
    </row>
    <row r="40" spans="1:14" ht="12.95" customHeight="1">
      <c r="B40" s="48"/>
      <c r="E40" s="295"/>
      <c r="F40" s="321"/>
      <c r="M40" s="369"/>
      <c r="N40" s="337" t="str">
        <f t="shared" si="2"/>
        <v/>
      </c>
    </row>
    <row r="41" spans="1:14" ht="12.95" customHeight="1">
      <c r="B41" s="48"/>
      <c r="E41" s="295"/>
      <c r="F41" s="321"/>
      <c r="M41" s="369"/>
      <c r="N41" s="337" t="str">
        <f t="shared" si="2"/>
        <v/>
      </c>
    </row>
    <row r="42" spans="1:14" ht="12.95" customHeight="1">
      <c r="B42" s="48"/>
      <c r="E42" s="295"/>
      <c r="F42" s="321"/>
      <c r="M42" s="369"/>
      <c r="N42" s="337" t="str">
        <f t="shared" si="2"/>
        <v/>
      </c>
    </row>
    <row r="43" spans="1:14" ht="12.95" customHeight="1">
      <c r="B43" s="48"/>
      <c r="E43" s="295"/>
      <c r="F43" s="321"/>
      <c r="M43" s="369"/>
      <c r="N43" s="337" t="str">
        <f t="shared" si="2"/>
        <v/>
      </c>
    </row>
    <row r="44" spans="1:14" ht="12.95" customHeight="1">
      <c r="B44" s="48"/>
      <c r="E44" s="295"/>
      <c r="F44" s="321"/>
      <c r="M44" s="369"/>
      <c r="N44" s="337" t="str">
        <f t="shared" si="2"/>
        <v/>
      </c>
    </row>
    <row r="45" spans="1:14" ht="12.95" customHeight="1">
      <c r="B45" s="48"/>
      <c r="E45" s="295"/>
      <c r="F45" s="321"/>
      <c r="M45" s="369"/>
      <c r="N45" s="337" t="str">
        <f t="shared" si="2"/>
        <v/>
      </c>
    </row>
    <row r="46" spans="1:14" ht="12.95" customHeight="1">
      <c r="E46" s="295"/>
      <c r="F46" s="321"/>
      <c r="M46" s="369"/>
      <c r="N46" s="337" t="str">
        <f t="shared" si="2"/>
        <v/>
      </c>
    </row>
    <row r="47" spans="1:14" ht="12.95" customHeight="1">
      <c r="E47" s="295"/>
      <c r="F47" s="321"/>
      <c r="M47" s="369"/>
      <c r="N47" s="337" t="str">
        <f t="shared" si="2"/>
        <v/>
      </c>
    </row>
    <row r="48" spans="1:14" ht="12.95" customHeight="1">
      <c r="E48" s="295"/>
      <c r="F48" s="321"/>
      <c r="M48" s="369"/>
      <c r="N48" s="337" t="str">
        <f t="shared" si="2"/>
        <v/>
      </c>
    </row>
    <row r="49" spans="5:14" ht="12.95" customHeight="1">
      <c r="E49" s="295"/>
      <c r="F49" s="321"/>
      <c r="M49" s="369"/>
      <c r="N49" s="337" t="str">
        <f t="shared" si="2"/>
        <v/>
      </c>
    </row>
    <row r="50" spans="5:14" ht="12.95" customHeight="1">
      <c r="E50" s="295"/>
      <c r="F50" s="321"/>
      <c r="M50" s="369"/>
      <c r="N50" s="337" t="str">
        <f t="shared" si="2"/>
        <v/>
      </c>
    </row>
    <row r="51" spans="5:14" ht="12.95" customHeight="1">
      <c r="E51" s="295"/>
      <c r="F51" s="321"/>
      <c r="M51" s="369"/>
      <c r="N51" s="337" t="str">
        <f t="shared" si="2"/>
        <v/>
      </c>
    </row>
    <row r="52" spans="5:14" ht="12.95" customHeight="1">
      <c r="E52" s="295"/>
      <c r="F52" s="321"/>
      <c r="M52" s="369"/>
      <c r="N52" s="337" t="str">
        <f t="shared" si="2"/>
        <v/>
      </c>
    </row>
    <row r="53" spans="5:14" ht="12.95" customHeight="1">
      <c r="E53" s="295"/>
      <c r="F53" s="321"/>
      <c r="M53" s="369"/>
      <c r="N53" s="337" t="str">
        <f t="shared" si="2"/>
        <v/>
      </c>
    </row>
    <row r="54" spans="5:14" ht="12.95" customHeight="1">
      <c r="E54" s="295"/>
      <c r="F54" s="321"/>
      <c r="M54" s="369"/>
      <c r="N54" s="337" t="str">
        <f t="shared" si="2"/>
        <v/>
      </c>
    </row>
    <row r="55" spans="5:14" ht="12.95" customHeight="1">
      <c r="E55" s="295"/>
      <c r="F55" s="321"/>
      <c r="M55" s="369"/>
      <c r="N55" s="337" t="str">
        <f t="shared" si="2"/>
        <v/>
      </c>
    </row>
    <row r="56" spans="5:14" ht="12.95" customHeight="1">
      <c r="E56" s="295"/>
      <c r="F56" s="321"/>
      <c r="M56" s="369"/>
      <c r="N56" s="337" t="str">
        <f t="shared" si="2"/>
        <v/>
      </c>
    </row>
    <row r="57" spans="5:14" ht="12.95" customHeight="1">
      <c r="E57" s="295"/>
      <c r="F57" s="321"/>
      <c r="M57" s="369"/>
      <c r="N57" s="337" t="str">
        <f t="shared" si="2"/>
        <v/>
      </c>
    </row>
    <row r="58" spans="5:14" ht="12.95" customHeight="1">
      <c r="E58" s="295"/>
      <c r="F58" s="321"/>
      <c r="M58" s="369"/>
      <c r="N58" s="337" t="str">
        <f t="shared" si="2"/>
        <v/>
      </c>
    </row>
    <row r="59" spans="5:14" ht="12.95" customHeight="1">
      <c r="E59" s="295"/>
      <c r="F59" s="321"/>
      <c r="M59" s="369"/>
      <c r="N59" s="337" t="str">
        <f t="shared" si="2"/>
        <v/>
      </c>
    </row>
    <row r="60" spans="5:14" ht="17.100000000000001" customHeight="1">
      <c r="E60" s="295"/>
      <c r="F60" s="321"/>
      <c r="M60" s="369"/>
      <c r="N60" s="337" t="str">
        <f t="shared" si="2"/>
        <v/>
      </c>
    </row>
    <row r="61" spans="5:14" ht="14.25">
      <c r="E61" s="295"/>
      <c r="F61" s="321"/>
      <c r="M61" s="369"/>
      <c r="N61" s="337" t="str">
        <f t="shared" si="2"/>
        <v/>
      </c>
    </row>
    <row r="62" spans="5:14" ht="14.25">
      <c r="E62" s="295"/>
      <c r="F62" s="321"/>
      <c r="M62" s="369"/>
      <c r="N62" s="337" t="str">
        <f t="shared" si="2"/>
        <v/>
      </c>
    </row>
    <row r="63" spans="5:14" ht="14.25">
      <c r="E63" s="295"/>
      <c r="F63" s="321"/>
      <c r="M63" s="369"/>
      <c r="N63" s="337" t="str">
        <f t="shared" si="2"/>
        <v/>
      </c>
    </row>
    <row r="64" spans="5:14" ht="14.25">
      <c r="E64" s="295"/>
      <c r="F64" s="321"/>
      <c r="M64" s="369"/>
      <c r="N64" s="337" t="str">
        <f t="shared" si="2"/>
        <v/>
      </c>
    </row>
    <row r="65" spans="5:14" ht="14.25">
      <c r="E65" s="295"/>
      <c r="F65" s="321"/>
      <c r="M65" s="369"/>
      <c r="N65" s="337" t="str">
        <f t="shared" si="2"/>
        <v/>
      </c>
    </row>
    <row r="66" spans="5:14" ht="14.25">
      <c r="E66" s="295"/>
      <c r="F66" s="321"/>
      <c r="M66" s="369"/>
      <c r="N66" s="337" t="str">
        <f t="shared" si="2"/>
        <v/>
      </c>
    </row>
    <row r="67" spans="5:14" ht="14.25">
      <c r="E67" s="295"/>
      <c r="F67" s="321"/>
      <c r="M67" s="369"/>
      <c r="N67" s="337" t="str">
        <f t="shared" si="2"/>
        <v/>
      </c>
    </row>
    <row r="68" spans="5:14" ht="14.25">
      <c r="E68" s="295"/>
      <c r="F68" s="321"/>
      <c r="M68" s="369"/>
      <c r="N68" s="337" t="str">
        <f t="shared" si="2"/>
        <v/>
      </c>
    </row>
    <row r="69" spans="5:14" ht="14.25">
      <c r="E69" s="295"/>
      <c r="F69" s="321"/>
      <c r="M69" s="369"/>
      <c r="N69" s="337" t="str">
        <f t="shared" si="2"/>
        <v/>
      </c>
    </row>
    <row r="70" spans="5:14" ht="14.25">
      <c r="E70" s="295"/>
      <c r="F70" s="321"/>
      <c r="M70" s="369"/>
      <c r="N70" s="337" t="str">
        <f t="shared" si="2"/>
        <v/>
      </c>
    </row>
    <row r="71" spans="5:14" ht="14.25">
      <c r="E71" s="295"/>
      <c r="F71" s="321"/>
      <c r="M71" s="369"/>
      <c r="N71" s="337" t="str">
        <f t="shared" si="2"/>
        <v/>
      </c>
    </row>
    <row r="72" spans="5:14" ht="14.25">
      <c r="E72" s="295"/>
      <c r="F72" s="321"/>
      <c r="M72" s="369"/>
      <c r="N72" s="337" t="str">
        <f t="shared" si="2"/>
        <v/>
      </c>
    </row>
    <row r="73" spans="5:14" ht="14.25">
      <c r="E73" s="295"/>
      <c r="F73" s="321"/>
      <c r="M73" s="369"/>
      <c r="N73" s="337" t="str">
        <f t="shared" ref="N73:N77" si="15">IF(I73=0,"",M73/I73*100)</f>
        <v/>
      </c>
    </row>
    <row r="74" spans="5:14" ht="14.25">
      <c r="E74" s="295"/>
      <c r="F74" s="295"/>
      <c r="M74" s="369"/>
      <c r="N74" s="337" t="str">
        <f t="shared" si="15"/>
        <v/>
      </c>
    </row>
    <row r="75" spans="5:14" ht="14.25">
      <c r="E75" s="295"/>
      <c r="F75" s="295"/>
      <c r="M75" s="369"/>
      <c r="N75" s="337" t="str">
        <f t="shared" si="15"/>
        <v/>
      </c>
    </row>
    <row r="76" spans="5:14" ht="14.25">
      <c r="E76" s="295"/>
      <c r="F76" s="295"/>
      <c r="M76" s="369"/>
      <c r="N76" s="337" t="str">
        <f t="shared" si="15"/>
        <v/>
      </c>
    </row>
    <row r="77" spans="5:14" ht="14.25">
      <c r="E77" s="295"/>
      <c r="F77" s="295"/>
      <c r="M77" s="369"/>
      <c r="N77" s="337" t="str">
        <f t="shared" si="15"/>
        <v/>
      </c>
    </row>
    <row r="78" spans="5:14" ht="14.25">
      <c r="E78" s="295"/>
      <c r="F78" s="295"/>
      <c r="M78" s="369"/>
    </row>
    <row r="79" spans="5:14" ht="14.25">
      <c r="E79" s="295"/>
      <c r="F79" s="295"/>
      <c r="M79" s="369"/>
    </row>
    <row r="80" spans="5:14" ht="14.25">
      <c r="E80" s="295"/>
      <c r="F80" s="295"/>
      <c r="M80" s="369"/>
    </row>
    <row r="81" spans="5:13" ht="14.25">
      <c r="E81" s="295"/>
      <c r="F81" s="295"/>
      <c r="M81" s="369"/>
    </row>
    <row r="82" spans="5:13" ht="14.25">
      <c r="E82" s="295"/>
      <c r="F82" s="295"/>
      <c r="M82" s="369"/>
    </row>
    <row r="83" spans="5:13" ht="14.25">
      <c r="E83" s="295"/>
      <c r="F83" s="295"/>
      <c r="M83" s="369"/>
    </row>
    <row r="84" spans="5:13" ht="14.25">
      <c r="E84" s="295"/>
      <c r="F84" s="295"/>
      <c r="M84" s="369"/>
    </row>
    <row r="85" spans="5:13" ht="14.25">
      <c r="E85" s="295"/>
      <c r="F85" s="295"/>
      <c r="M85" s="369"/>
    </row>
    <row r="86" spans="5:13" ht="14.25">
      <c r="E86" s="295"/>
      <c r="F86" s="295"/>
      <c r="M86" s="369"/>
    </row>
    <row r="87" spans="5:13" ht="14.25">
      <c r="E87" s="295"/>
      <c r="F87" s="295"/>
      <c r="M87" s="369"/>
    </row>
    <row r="88" spans="5:13" ht="14.25">
      <c r="E88" s="295"/>
      <c r="F88" s="295"/>
      <c r="M88" s="369"/>
    </row>
    <row r="89" spans="5:13" ht="14.25">
      <c r="E89" s="295"/>
      <c r="F89" s="295"/>
      <c r="M89" s="369"/>
    </row>
    <row r="90" spans="5:13" ht="14.25">
      <c r="E90" s="295"/>
      <c r="F90" s="295"/>
      <c r="M90" s="369"/>
    </row>
    <row r="91" spans="5:13">
      <c r="F91" s="295"/>
    </row>
    <row r="92" spans="5:13">
      <c r="F92" s="295"/>
    </row>
    <row r="93" spans="5:13">
      <c r="F93" s="295"/>
    </row>
    <row r="94" spans="5:13">
      <c r="F94" s="295"/>
    </row>
    <row r="95" spans="5:13">
      <c r="F95" s="295"/>
    </row>
    <row r="96" spans="5:13">
      <c r="F96" s="295"/>
    </row>
  </sheetData>
  <mergeCells count="12">
    <mergeCell ref="N4:N5"/>
    <mergeCell ref="G4:G5"/>
    <mergeCell ref="B2:J2"/>
    <mergeCell ref="B4:B5"/>
    <mergeCell ref="C4:C5"/>
    <mergeCell ref="D4:D5"/>
    <mergeCell ref="F4:F5"/>
    <mergeCell ref="E4:E5"/>
    <mergeCell ref="K4:M4"/>
    <mergeCell ref="H4:H5"/>
    <mergeCell ref="I4:I5"/>
    <mergeCell ref="J4:J5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28"/>
  <dimension ref="A1:P96"/>
  <sheetViews>
    <sheetView zoomScaleNormal="100" workbookViewId="0">
      <selection activeCell="K10" sqref="K10"/>
    </sheetView>
  </sheetViews>
  <sheetFormatPr defaultRowHeight="12.75"/>
  <cols>
    <col min="1" max="1" width="9.140625" style="272"/>
    <col min="2" max="2" width="4.7109375" style="9" customWidth="1"/>
    <col min="3" max="3" width="5.140625" style="9" customWidth="1"/>
    <col min="4" max="4" width="5" style="9" customWidth="1"/>
    <col min="5" max="5" width="8.7109375" style="17" customWidth="1"/>
    <col min="6" max="6" width="8.7109375" style="277" customWidth="1"/>
    <col min="7" max="7" width="50.7109375" style="9" customWidth="1"/>
    <col min="8" max="8" width="14.7109375" style="519" customWidth="1"/>
    <col min="9" max="9" width="14.7109375" style="54" customWidth="1"/>
    <col min="10" max="10" width="15.7109375" style="519" customWidth="1"/>
    <col min="11" max="12" width="14.7109375" style="54" customWidth="1"/>
    <col min="13" max="13" width="15.7109375" style="54" customWidth="1"/>
    <col min="14" max="14" width="7.7109375" style="337" customWidth="1"/>
    <col min="15" max="16384" width="9.140625" style="9"/>
  </cols>
  <sheetData>
    <row r="1" spans="1:16" ht="13.5" thickBot="1"/>
    <row r="2" spans="1:16" s="93" customFormat="1" ht="20.100000000000001" customHeight="1" thickTop="1" thickBot="1">
      <c r="A2" s="363"/>
      <c r="B2" s="725" t="s">
        <v>170</v>
      </c>
      <c r="C2" s="726"/>
      <c r="D2" s="726"/>
      <c r="E2" s="726"/>
      <c r="F2" s="726"/>
      <c r="G2" s="726"/>
      <c r="H2" s="750"/>
      <c r="I2" s="750"/>
      <c r="J2" s="750"/>
      <c r="K2" s="750"/>
      <c r="L2" s="750"/>
      <c r="M2" s="750"/>
      <c r="N2" s="751"/>
    </row>
    <row r="3" spans="1:16" s="1" customFormat="1" ht="8.1" customHeight="1" thickTop="1" thickBot="1">
      <c r="A3" s="269"/>
      <c r="E3" s="2"/>
      <c r="F3" s="270"/>
      <c r="G3" s="488"/>
      <c r="H3" s="511"/>
      <c r="I3" s="87"/>
      <c r="J3" s="511"/>
      <c r="K3" s="87"/>
      <c r="L3" s="87"/>
      <c r="M3" s="87"/>
      <c r="N3" s="331"/>
    </row>
    <row r="4" spans="1:16" s="1" customFormat="1" ht="39" customHeight="1">
      <c r="A4" s="269"/>
      <c r="B4" s="728" t="s">
        <v>78</v>
      </c>
      <c r="C4" s="746" t="s">
        <v>79</v>
      </c>
      <c r="D4" s="747" t="s">
        <v>110</v>
      </c>
      <c r="E4" s="748" t="s">
        <v>594</v>
      </c>
      <c r="F4" s="733" t="s">
        <v>650</v>
      </c>
      <c r="G4" s="734" t="s">
        <v>80</v>
      </c>
      <c r="H4" s="740" t="s">
        <v>644</v>
      </c>
      <c r="I4" s="742" t="s">
        <v>821</v>
      </c>
      <c r="J4" s="744" t="s">
        <v>822</v>
      </c>
      <c r="K4" s="749" t="s">
        <v>863</v>
      </c>
      <c r="L4" s="738"/>
      <c r="M4" s="739"/>
      <c r="N4" s="735" t="s">
        <v>823</v>
      </c>
    </row>
    <row r="5" spans="1:16" s="269" customFormat="1" ht="27" customHeight="1">
      <c r="B5" s="729"/>
      <c r="C5" s="731"/>
      <c r="D5" s="731"/>
      <c r="E5" s="722"/>
      <c r="F5" s="731"/>
      <c r="G5" s="722"/>
      <c r="H5" s="741"/>
      <c r="I5" s="743"/>
      <c r="J5" s="745"/>
      <c r="K5" s="540" t="s">
        <v>701</v>
      </c>
      <c r="L5" s="359" t="s">
        <v>702</v>
      </c>
      <c r="M5" s="541" t="s">
        <v>413</v>
      </c>
      <c r="N5" s="736"/>
    </row>
    <row r="6" spans="1:16" s="2" customFormat="1" ht="12.95" customHeight="1">
      <c r="A6" s="270"/>
      <c r="B6" s="464">
        <v>1</v>
      </c>
      <c r="C6" s="318">
        <v>2</v>
      </c>
      <c r="D6" s="318">
        <v>3</v>
      </c>
      <c r="E6" s="318">
        <v>4</v>
      </c>
      <c r="F6" s="318">
        <v>5</v>
      </c>
      <c r="G6" s="318">
        <v>6</v>
      </c>
      <c r="H6" s="512">
        <v>7</v>
      </c>
      <c r="I6" s="318">
        <v>8</v>
      </c>
      <c r="J6" s="561">
        <v>9</v>
      </c>
      <c r="K6" s="464">
        <v>10</v>
      </c>
      <c r="L6" s="318">
        <v>11</v>
      </c>
      <c r="M6" s="542" t="s">
        <v>703</v>
      </c>
      <c r="N6" s="465">
        <v>13</v>
      </c>
    </row>
    <row r="7" spans="1:16" s="2" customFormat="1" ht="12.95" customHeight="1">
      <c r="A7" s="270"/>
      <c r="B7" s="6" t="s">
        <v>143</v>
      </c>
      <c r="C7" s="7" t="s">
        <v>145</v>
      </c>
      <c r="D7" s="7" t="s">
        <v>124</v>
      </c>
      <c r="E7" s="5"/>
      <c r="F7" s="271"/>
      <c r="G7" s="5"/>
      <c r="H7" s="520"/>
      <c r="I7" s="81"/>
      <c r="J7" s="562"/>
      <c r="K7" s="543"/>
      <c r="L7" s="81"/>
      <c r="M7" s="544"/>
      <c r="N7" s="332"/>
    </row>
    <row r="8" spans="1:16" s="1" customFormat="1" ht="12.95" customHeight="1">
      <c r="A8" s="269"/>
      <c r="B8" s="12"/>
      <c r="C8" s="8"/>
      <c r="D8" s="8"/>
      <c r="E8" s="292">
        <v>611000</v>
      </c>
      <c r="F8" s="318"/>
      <c r="G8" s="8" t="s">
        <v>163</v>
      </c>
      <c r="H8" s="514">
        <f t="shared" ref="H8:I8" si="0">SUM(H9:H12)</f>
        <v>643400</v>
      </c>
      <c r="I8" s="514">
        <f t="shared" si="0"/>
        <v>643400</v>
      </c>
      <c r="J8" s="563">
        <v>456008</v>
      </c>
      <c r="K8" s="545">
        <f t="shared" ref="K8:M8" si="1">SUM(K9:K12)</f>
        <v>623490</v>
      </c>
      <c r="L8" s="201">
        <f t="shared" si="1"/>
        <v>0</v>
      </c>
      <c r="M8" s="546">
        <f t="shared" si="1"/>
        <v>623490</v>
      </c>
      <c r="N8" s="333">
        <f>IF(I8=0,"",M8/I8*100)</f>
        <v>96.90550202051601</v>
      </c>
    </row>
    <row r="9" spans="1:16" ht="12.95" customHeight="1">
      <c r="B9" s="10"/>
      <c r="C9" s="11"/>
      <c r="D9" s="11"/>
      <c r="E9" s="293">
        <v>611100</v>
      </c>
      <c r="F9" s="319"/>
      <c r="G9" s="18" t="s">
        <v>198</v>
      </c>
      <c r="H9" s="515">
        <v>527200</v>
      </c>
      <c r="I9" s="515">
        <v>527200</v>
      </c>
      <c r="J9" s="564">
        <v>384220</v>
      </c>
      <c r="K9" s="547">
        <f>506480+2000+2*420+740</f>
        <v>510060</v>
      </c>
      <c r="L9" s="203">
        <v>0</v>
      </c>
      <c r="M9" s="548">
        <f>SUM(K9:L9)</f>
        <v>510060</v>
      </c>
      <c r="N9" s="334">
        <f t="shared" ref="N9:N72" si="2">IF(I9=0,"",M9/I9*100)</f>
        <v>96.748861911987859</v>
      </c>
    </row>
    <row r="10" spans="1:16" ht="12.95" customHeight="1">
      <c r="B10" s="10"/>
      <c r="C10" s="11"/>
      <c r="D10" s="11"/>
      <c r="E10" s="293">
        <v>611200</v>
      </c>
      <c r="F10" s="319"/>
      <c r="G10" s="11" t="s">
        <v>199</v>
      </c>
      <c r="H10" s="515">
        <v>116200</v>
      </c>
      <c r="I10" s="515">
        <v>116200</v>
      </c>
      <c r="J10" s="564">
        <v>71788</v>
      </c>
      <c r="K10" s="547">
        <f>94890+1000+7300+2*930+1630+27*250</f>
        <v>113430</v>
      </c>
      <c r="L10" s="203">
        <v>0</v>
      </c>
      <c r="M10" s="548">
        <f t="shared" ref="M10:M11" si="3">SUM(K10:L10)</f>
        <v>113430</v>
      </c>
      <c r="N10" s="334">
        <f t="shared" si="2"/>
        <v>97.616179001721164</v>
      </c>
    </row>
    <row r="11" spans="1:16" ht="12.95" customHeight="1">
      <c r="B11" s="10"/>
      <c r="C11" s="11"/>
      <c r="D11" s="11"/>
      <c r="E11" s="293">
        <v>611200</v>
      </c>
      <c r="F11" s="319"/>
      <c r="G11" s="180" t="s">
        <v>534</v>
      </c>
      <c r="H11" s="515">
        <f t="shared" ref="H11:I11" si="4">SUM(F11:G11)</f>
        <v>0</v>
      </c>
      <c r="I11" s="515">
        <f t="shared" si="4"/>
        <v>0</v>
      </c>
      <c r="J11" s="564">
        <v>0</v>
      </c>
      <c r="K11" s="549">
        <v>0</v>
      </c>
      <c r="L11" s="200">
        <v>0</v>
      </c>
      <c r="M11" s="548">
        <f t="shared" si="3"/>
        <v>0</v>
      </c>
      <c r="N11" s="334" t="str">
        <f t="shared" si="2"/>
        <v/>
      </c>
      <c r="P11" s="53"/>
    </row>
    <row r="12" spans="1:16" ht="12.95" customHeight="1">
      <c r="B12" s="10"/>
      <c r="C12" s="11"/>
      <c r="D12" s="11"/>
      <c r="E12" s="293"/>
      <c r="F12" s="319"/>
      <c r="G12" s="18"/>
      <c r="H12" s="515"/>
      <c r="I12" s="515"/>
      <c r="J12" s="564"/>
      <c r="K12" s="547"/>
      <c r="L12" s="203"/>
      <c r="M12" s="548"/>
      <c r="N12" s="334" t="str">
        <f t="shared" si="2"/>
        <v/>
      </c>
    </row>
    <row r="13" spans="1:16" s="1" customFormat="1" ht="12.95" customHeight="1">
      <c r="A13" s="269"/>
      <c r="B13" s="12"/>
      <c r="C13" s="8"/>
      <c r="D13" s="8"/>
      <c r="E13" s="292">
        <v>612000</v>
      </c>
      <c r="F13" s="318"/>
      <c r="G13" s="8" t="s">
        <v>162</v>
      </c>
      <c r="H13" s="514">
        <f t="shared" ref="H13:M13" si="5">H14</f>
        <v>56580</v>
      </c>
      <c r="I13" s="514">
        <f t="shared" si="5"/>
        <v>56580</v>
      </c>
      <c r="J13" s="563">
        <v>41757</v>
      </c>
      <c r="K13" s="545">
        <f t="shared" si="5"/>
        <v>55980</v>
      </c>
      <c r="L13" s="201">
        <f t="shared" si="5"/>
        <v>0</v>
      </c>
      <c r="M13" s="546">
        <f t="shared" si="5"/>
        <v>55980</v>
      </c>
      <c r="N13" s="333">
        <f t="shared" si="2"/>
        <v>98.939554612937428</v>
      </c>
    </row>
    <row r="14" spans="1:16" ht="12.95" customHeight="1">
      <c r="B14" s="10"/>
      <c r="C14" s="11"/>
      <c r="D14" s="11"/>
      <c r="E14" s="293">
        <v>612100</v>
      </c>
      <c r="F14" s="319"/>
      <c r="G14" s="13" t="s">
        <v>83</v>
      </c>
      <c r="H14" s="515">
        <v>56580</v>
      </c>
      <c r="I14" s="515">
        <v>56580</v>
      </c>
      <c r="J14" s="564">
        <v>41757</v>
      </c>
      <c r="K14" s="547">
        <f>54730+700+2*150+250</f>
        <v>55980</v>
      </c>
      <c r="L14" s="203">
        <v>0</v>
      </c>
      <c r="M14" s="548">
        <f>SUM(K14:L14)</f>
        <v>55980</v>
      </c>
      <c r="N14" s="334">
        <f t="shared" si="2"/>
        <v>98.939554612937428</v>
      </c>
    </row>
    <row r="15" spans="1:16" ht="12.95" customHeight="1">
      <c r="B15" s="10"/>
      <c r="C15" s="11"/>
      <c r="D15" s="11"/>
      <c r="E15" s="293"/>
      <c r="F15" s="319"/>
      <c r="G15" s="11"/>
      <c r="H15" s="516"/>
      <c r="I15" s="516"/>
      <c r="J15" s="566"/>
      <c r="K15" s="550"/>
      <c r="L15" s="279"/>
      <c r="M15" s="551"/>
      <c r="N15" s="334" t="str">
        <f t="shared" si="2"/>
        <v/>
      </c>
    </row>
    <row r="16" spans="1:16" s="1" customFormat="1" ht="12.95" customHeight="1">
      <c r="A16" s="269"/>
      <c r="B16" s="12"/>
      <c r="C16" s="8"/>
      <c r="D16" s="8"/>
      <c r="E16" s="292">
        <v>613000</v>
      </c>
      <c r="F16" s="318"/>
      <c r="G16" s="8" t="s">
        <v>164</v>
      </c>
      <c r="H16" s="262">
        <f t="shared" ref="H16:I16" si="6">SUM(H17:H26)</f>
        <v>56700</v>
      </c>
      <c r="I16" s="262">
        <f t="shared" si="6"/>
        <v>56700</v>
      </c>
      <c r="J16" s="565">
        <v>35676</v>
      </c>
      <c r="K16" s="552">
        <f t="shared" ref="K16:M16" si="7">SUM(K17:K26)</f>
        <v>58500</v>
      </c>
      <c r="L16" s="281">
        <f t="shared" si="7"/>
        <v>0</v>
      </c>
      <c r="M16" s="553">
        <f t="shared" si="7"/>
        <v>58500</v>
      </c>
      <c r="N16" s="333">
        <f t="shared" si="2"/>
        <v>103.17460317460319</v>
      </c>
    </row>
    <row r="17" spans="1:16" ht="12.95" customHeight="1">
      <c r="B17" s="10"/>
      <c r="C17" s="11"/>
      <c r="D17" s="11"/>
      <c r="E17" s="293">
        <v>613100</v>
      </c>
      <c r="F17" s="319"/>
      <c r="G17" s="11" t="s">
        <v>84</v>
      </c>
      <c r="H17" s="515">
        <v>3500</v>
      </c>
      <c r="I17" s="515">
        <v>3500</v>
      </c>
      <c r="J17" s="564">
        <v>1801</v>
      </c>
      <c r="K17" s="515">
        <v>3000</v>
      </c>
      <c r="L17" s="350">
        <v>0</v>
      </c>
      <c r="M17" s="548">
        <f t="shared" ref="M17:M26" si="8">SUM(K17:L17)</f>
        <v>3000</v>
      </c>
      <c r="N17" s="334">
        <f t="shared" si="2"/>
        <v>85.714285714285708</v>
      </c>
    </row>
    <row r="18" spans="1:16" ht="12.95" customHeight="1">
      <c r="B18" s="10"/>
      <c r="C18" s="11"/>
      <c r="D18" s="11"/>
      <c r="E18" s="293">
        <v>613200</v>
      </c>
      <c r="F18" s="319"/>
      <c r="G18" s="11" t="s">
        <v>85</v>
      </c>
      <c r="H18" s="515">
        <v>21700</v>
      </c>
      <c r="I18" s="515">
        <v>21700</v>
      </c>
      <c r="J18" s="564">
        <v>9362</v>
      </c>
      <c r="K18" s="515">
        <v>21700</v>
      </c>
      <c r="L18" s="350">
        <v>0</v>
      </c>
      <c r="M18" s="548">
        <f t="shared" si="8"/>
        <v>21700</v>
      </c>
      <c r="N18" s="334">
        <f t="shared" si="2"/>
        <v>100</v>
      </c>
    </row>
    <row r="19" spans="1:16" ht="12.95" customHeight="1">
      <c r="B19" s="10"/>
      <c r="C19" s="11"/>
      <c r="D19" s="11"/>
      <c r="E19" s="293">
        <v>613300</v>
      </c>
      <c r="F19" s="319"/>
      <c r="G19" s="18" t="s">
        <v>200</v>
      </c>
      <c r="H19" s="515">
        <v>3000</v>
      </c>
      <c r="I19" s="515">
        <v>3000</v>
      </c>
      <c r="J19" s="564">
        <v>2053</v>
      </c>
      <c r="K19" s="515">
        <v>3000</v>
      </c>
      <c r="L19" s="350">
        <v>0</v>
      </c>
      <c r="M19" s="548">
        <f t="shared" si="8"/>
        <v>3000</v>
      </c>
      <c r="N19" s="334">
        <f t="shared" si="2"/>
        <v>100</v>
      </c>
    </row>
    <row r="20" spans="1:16" ht="12.95" customHeight="1">
      <c r="B20" s="10"/>
      <c r="C20" s="11"/>
      <c r="D20" s="11"/>
      <c r="E20" s="293">
        <v>613400</v>
      </c>
      <c r="F20" s="319"/>
      <c r="G20" s="11" t="s">
        <v>165</v>
      </c>
      <c r="H20" s="515">
        <v>9000</v>
      </c>
      <c r="I20" s="515">
        <v>9000</v>
      </c>
      <c r="J20" s="564">
        <v>6312</v>
      </c>
      <c r="K20" s="515">
        <v>9000</v>
      </c>
      <c r="L20" s="350">
        <v>0</v>
      </c>
      <c r="M20" s="548">
        <f t="shared" si="8"/>
        <v>9000</v>
      </c>
      <c r="N20" s="334">
        <f t="shared" si="2"/>
        <v>100</v>
      </c>
    </row>
    <row r="21" spans="1:16" ht="12.95" customHeight="1">
      <c r="B21" s="10"/>
      <c r="C21" s="11"/>
      <c r="D21" s="11"/>
      <c r="E21" s="293">
        <v>613500</v>
      </c>
      <c r="F21" s="319"/>
      <c r="G21" s="11" t="s">
        <v>86</v>
      </c>
      <c r="H21" s="515">
        <v>300</v>
      </c>
      <c r="I21" s="515">
        <v>300</v>
      </c>
      <c r="J21" s="564">
        <v>201</v>
      </c>
      <c r="K21" s="515">
        <v>300</v>
      </c>
      <c r="L21" s="350">
        <v>0</v>
      </c>
      <c r="M21" s="548">
        <f t="shared" si="8"/>
        <v>300</v>
      </c>
      <c r="N21" s="334">
        <f t="shared" si="2"/>
        <v>100</v>
      </c>
    </row>
    <row r="22" spans="1:16" ht="12.95" customHeight="1">
      <c r="B22" s="10"/>
      <c r="C22" s="11"/>
      <c r="D22" s="11"/>
      <c r="E22" s="293">
        <v>613600</v>
      </c>
      <c r="F22" s="319"/>
      <c r="G22" s="18" t="s">
        <v>201</v>
      </c>
      <c r="H22" s="515">
        <f t="shared" ref="H22:K26" si="9">SUM(F22:G22)</f>
        <v>0</v>
      </c>
      <c r="I22" s="515">
        <f t="shared" si="9"/>
        <v>0</v>
      </c>
      <c r="J22" s="564">
        <v>0</v>
      </c>
      <c r="K22" s="515">
        <f t="shared" si="9"/>
        <v>0</v>
      </c>
      <c r="L22" s="350">
        <v>0</v>
      </c>
      <c r="M22" s="548">
        <f t="shared" si="8"/>
        <v>0</v>
      </c>
      <c r="N22" s="334" t="str">
        <f t="shared" si="2"/>
        <v/>
      </c>
    </row>
    <row r="23" spans="1:16" ht="12.95" customHeight="1">
      <c r="B23" s="10"/>
      <c r="C23" s="11"/>
      <c r="D23" s="11"/>
      <c r="E23" s="293">
        <v>613700</v>
      </c>
      <c r="F23" s="319"/>
      <c r="G23" s="11" t="s">
        <v>87</v>
      </c>
      <c r="H23" s="515">
        <v>10500</v>
      </c>
      <c r="I23" s="515">
        <v>10500</v>
      </c>
      <c r="J23" s="564">
        <v>7481</v>
      </c>
      <c r="K23" s="515">
        <v>10500</v>
      </c>
      <c r="L23" s="352">
        <v>0</v>
      </c>
      <c r="M23" s="548">
        <f t="shared" si="8"/>
        <v>10500</v>
      </c>
      <c r="N23" s="334">
        <f t="shared" si="2"/>
        <v>100</v>
      </c>
    </row>
    <row r="24" spans="1:16" ht="12.95" customHeight="1">
      <c r="B24" s="10"/>
      <c r="C24" s="11"/>
      <c r="D24" s="11"/>
      <c r="E24" s="293">
        <v>613800</v>
      </c>
      <c r="F24" s="319"/>
      <c r="G24" s="11" t="s">
        <v>166</v>
      </c>
      <c r="H24" s="515">
        <f t="shared" si="9"/>
        <v>0</v>
      </c>
      <c r="I24" s="515">
        <f t="shared" si="9"/>
        <v>0</v>
      </c>
      <c r="J24" s="564">
        <v>0</v>
      </c>
      <c r="K24" s="515">
        <f t="shared" si="9"/>
        <v>0</v>
      </c>
      <c r="L24" s="352">
        <v>0</v>
      </c>
      <c r="M24" s="548">
        <f t="shared" si="8"/>
        <v>0</v>
      </c>
      <c r="N24" s="334" t="str">
        <f t="shared" si="2"/>
        <v/>
      </c>
    </row>
    <row r="25" spans="1:16" ht="12.95" customHeight="1">
      <c r="B25" s="10"/>
      <c r="C25" s="11"/>
      <c r="D25" s="11"/>
      <c r="E25" s="293">
        <v>613900</v>
      </c>
      <c r="F25" s="319"/>
      <c r="G25" s="11" t="s">
        <v>167</v>
      </c>
      <c r="H25" s="515">
        <v>8700</v>
      </c>
      <c r="I25" s="515">
        <v>8700</v>
      </c>
      <c r="J25" s="564">
        <v>8466</v>
      </c>
      <c r="K25" s="515">
        <v>11000</v>
      </c>
      <c r="L25" s="352">
        <v>0</v>
      </c>
      <c r="M25" s="548">
        <f t="shared" si="8"/>
        <v>11000</v>
      </c>
      <c r="N25" s="334">
        <f t="shared" si="2"/>
        <v>126.43678160919541</v>
      </c>
    </row>
    <row r="26" spans="1:16" ht="12.95" customHeight="1">
      <c r="B26" s="10"/>
      <c r="C26" s="11"/>
      <c r="D26" s="11"/>
      <c r="E26" s="293">
        <v>613900</v>
      </c>
      <c r="F26" s="319"/>
      <c r="G26" s="180" t="s">
        <v>535</v>
      </c>
      <c r="H26" s="515">
        <f t="shared" si="9"/>
        <v>0</v>
      </c>
      <c r="I26" s="515">
        <f t="shared" si="9"/>
        <v>0</v>
      </c>
      <c r="J26" s="564">
        <v>0</v>
      </c>
      <c r="K26" s="515">
        <f t="shared" si="9"/>
        <v>0</v>
      </c>
      <c r="L26" s="348">
        <v>0</v>
      </c>
      <c r="M26" s="548">
        <f t="shared" si="8"/>
        <v>0</v>
      </c>
      <c r="N26" s="334" t="str">
        <f t="shared" si="2"/>
        <v/>
      </c>
    </row>
    <row r="27" spans="1:16" s="1" customFormat="1" ht="12.95" customHeight="1">
      <c r="A27" s="269"/>
      <c r="B27" s="12"/>
      <c r="C27" s="8"/>
      <c r="D27" s="8"/>
      <c r="E27" s="292"/>
      <c r="F27" s="318"/>
      <c r="G27" s="8"/>
      <c r="H27" s="516"/>
      <c r="I27" s="516"/>
      <c r="J27" s="566"/>
      <c r="K27" s="556"/>
      <c r="L27" s="283"/>
      <c r="M27" s="551"/>
      <c r="N27" s="334" t="str">
        <f t="shared" si="2"/>
        <v/>
      </c>
    </row>
    <row r="28" spans="1:16" s="1" customFormat="1" ht="12.95" customHeight="1">
      <c r="A28" s="269"/>
      <c r="B28" s="12"/>
      <c r="C28" s="8"/>
      <c r="D28" s="8"/>
      <c r="E28" s="292">
        <v>821000</v>
      </c>
      <c r="F28" s="318"/>
      <c r="G28" s="8" t="s">
        <v>90</v>
      </c>
      <c r="H28" s="262">
        <f t="shared" ref="H28:I28" si="10">SUM(H29:H30)</f>
        <v>20000</v>
      </c>
      <c r="I28" s="262">
        <f t="shared" si="10"/>
        <v>20000</v>
      </c>
      <c r="J28" s="565">
        <v>7002</v>
      </c>
      <c r="K28" s="557">
        <f t="shared" ref="K28:M28" si="11">SUM(K29:K30)</f>
        <v>20000</v>
      </c>
      <c r="L28" s="282">
        <f t="shared" si="11"/>
        <v>0</v>
      </c>
      <c r="M28" s="553">
        <f t="shared" si="11"/>
        <v>20000</v>
      </c>
      <c r="N28" s="333">
        <f t="shared" si="2"/>
        <v>100</v>
      </c>
    </row>
    <row r="29" spans="1:16" ht="12.95" customHeight="1">
      <c r="B29" s="10"/>
      <c r="C29" s="11"/>
      <c r="D29" s="11"/>
      <c r="E29" s="293">
        <v>821200</v>
      </c>
      <c r="F29" s="319"/>
      <c r="G29" s="11" t="s">
        <v>91</v>
      </c>
      <c r="H29" s="515">
        <v>5000</v>
      </c>
      <c r="I29" s="515">
        <v>0</v>
      </c>
      <c r="J29" s="564">
        <v>0</v>
      </c>
      <c r="K29" s="556">
        <v>0</v>
      </c>
      <c r="L29" s="283">
        <v>0</v>
      </c>
      <c r="M29" s="548">
        <f t="shared" ref="M29:M30" si="12">SUM(K29:L29)</f>
        <v>0</v>
      </c>
      <c r="N29" s="334" t="str">
        <f t="shared" si="2"/>
        <v/>
      </c>
    </row>
    <row r="30" spans="1:16" ht="12.95" customHeight="1">
      <c r="B30" s="10"/>
      <c r="C30" s="11"/>
      <c r="D30" s="11"/>
      <c r="E30" s="293">
        <v>821300</v>
      </c>
      <c r="F30" s="319"/>
      <c r="G30" s="11" t="s">
        <v>92</v>
      </c>
      <c r="H30" s="515">
        <v>15000</v>
      </c>
      <c r="I30" s="515">
        <v>20000</v>
      </c>
      <c r="J30" s="564">
        <v>7002</v>
      </c>
      <c r="K30" s="556">
        <v>20000</v>
      </c>
      <c r="L30" s="283">
        <v>0</v>
      </c>
      <c r="M30" s="548">
        <f t="shared" si="12"/>
        <v>20000</v>
      </c>
      <c r="N30" s="334">
        <f t="shared" si="2"/>
        <v>100</v>
      </c>
    </row>
    <row r="31" spans="1:16" ht="12.95" customHeight="1">
      <c r="B31" s="10"/>
      <c r="C31" s="11"/>
      <c r="D31" s="11"/>
      <c r="E31" s="293"/>
      <c r="F31" s="319"/>
      <c r="G31" s="11"/>
      <c r="H31" s="516"/>
      <c r="I31" s="516"/>
      <c r="J31" s="566"/>
      <c r="K31" s="550"/>
      <c r="L31" s="279"/>
      <c r="M31" s="551"/>
      <c r="N31" s="334" t="str">
        <f t="shared" si="2"/>
        <v/>
      </c>
    </row>
    <row r="32" spans="1:16" s="1" customFormat="1" ht="12.95" customHeight="1">
      <c r="A32" s="269"/>
      <c r="B32" s="12"/>
      <c r="C32" s="8"/>
      <c r="D32" s="8"/>
      <c r="E32" s="292"/>
      <c r="F32" s="318"/>
      <c r="G32" s="8" t="s">
        <v>93</v>
      </c>
      <c r="H32" s="517" t="s">
        <v>646</v>
      </c>
      <c r="I32" s="517" t="s">
        <v>646</v>
      </c>
      <c r="J32" s="579" t="s">
        <v>831</v>
      </c>
      <c r="K32" s="580" t="s">
        <v>831</v>
      </c>
      <c r="L32" s="266"/>
      <c r="M32" s="581" t="s">
        <v>831</v>
      </c>
      <c r="N32" s="334"/>
      <c r="P32" s="55"/>
    </row>
    <row r="33" spans="1:14" s="1" customFormat="1" ht="12.95" customHeight="1">
      <c r="A33" s="269"/>
      <c r="B33" s="12"/>
      <c r="C33" s="8"/>
      <c r="D33" s="8"/>
      <c r="E33" s="292"/>
      <c r="F33" s="318"/>
      <c r="G33" s="8" t="s">
        <v>113</v>
      </c>
      <c r="H33" s="262">
        <f t="shared" ref="H33:M33" si="13">H8+H13+H16+H28</f>
        <v>776680</v>
      </c>
      <c r="I33" s="276">
        <f t="shared" si="13"/>
        <v>776680</v>
      </c>
      <c r="J33" s="565">
        <f t="shared" si="13"/>
        <v>540443</v>
      </c>
      <c r="K33" s="558">
        <f t="shared" si="13"/>
        <v>757970</v>
      </c>
      <c r="L33" s="276">
        <f t="shared" si="13"/>
        <v>0</v>
      </c>
      <c r="M33" s="553">
        <f t="shared" si="13"/>
        <v>757970</v>
      </c>
      <c r="N33" s="333">
        <f t="shared" si="2"/>
        <v>97.591028480197764</v>
      </c>
    </row>
    <row r="34" spans="1:14" s="1" customFormat="1" ht="12.95" customHeight="1">
      <c r="A34" s="269"/>
      <c r="B34" s="12"/>
      <c r="C34" s="8"/>
      <c r="D34" s="8"/>
      <c r="E34" s="292"/>
      <c r="F34" s="318"/>
      <c r="G34" s="8" t="s">
        <v>94</v>
      </c>
      <c r="H34" s="262"/>
      <c r="I34" s="276"/>
      <c r="J34" s="565"/>
      <c r="K34" s="558"/>
      <c r="L34" s="276"/>
      <c r="M34" s="553"/>
      <c r="N34" s="334" t="str">
        <f t="shared" si="2"/>
        <v/>
      </c>
    </row>
    <row r="35" spans="1:14" s="1" customFormat="1" ht="12.95" customHeight="1">
      <c r="A35" s="269"/>
      <c r="B35" s="12"/>
      <c r="C35" s="8"/>
      <c r="D35" s="8"/>
      <c r="E35" s="292"/>
      <c r="F35" s="318"/>
      <c r="G35" s="8" t="s">
        <v>95</v>
      </c>
      <c r="H35" s="516"/>
      <c r="I35" s="267"/>
      <c r="J35" s="566"/>
      <c r="K35" s="578"/>
      <c r="L35" s="267"/>
      <c r="M35" s="551"/>
      <c r="N35" s="334" t="str">
        <f t="shared" si="2"/>
        <v/>
      </c>
    </row>
    <row r="36" spans="1:14" ht="12.95" customHeight="1" thickBot="1">
      <c r="B36" s="15"/>
      <c r="C36" s="16"/>
      <c r="D36" s="16"/>
      <c r="E36" s="294"/>
      <c r="F36" s="320"/>
      <c r="G36" s="16"/>
      <c r="H36" s="518"/>
      <c r="I36" s="27"/>
      <c r="J36" s="567"/>
      <c r="K36" s="559"/>
      <c r="L36" s="27"/>
      <c r="M36" s="560"/>
      <c r="N36" s="336" t="str">
        <f t="shared" si="2"/>
        <v/>
      </c>
    </row>
    <row r="37" spans="1:14" ht="12.95" customHeight="1">
      <c r="E37" s="295"/>
      <c r="F37" s="321"/>
      <c r="M37" s="370"/>
      <c r="N37" s="337" t="str">
        <f t="shared" si="2"/>
        <v/>
      </c>
    </row>
    <row r="38" spans="1:14" ht="12.95" customHeight="1">
      <c r="B38" s="48"/>
      <c r="E38" s="295"/>
      <c r="F38" s="321"/>
      <c r="M38" s="370"/>
      <c r="N38" s="337" t="str">
        <f t="shared" si="2"/>
        <v/>
      </c>
    </row>
    <row r="39" spans="1:14" ht="12.95" customHeight="1">
      <c r="B39" s="48"/>
      <c r="E39" s="295"/>
      <c r="F39" s="321"/>
      <c r="M39" s="370"/>
      <c r="N39" s="337" t="str">
        <f t="shared" si="2"/>
        <v/>
      </c>
    </row>
    <row r="40" spans="1:14" ht="12.95" customHeight="1">
      <c r="B40" s="48"/>
      <c r="E40" s="295"/>
      <c r="F40" s="321"/>
      <c r="M40" s="370"/>
      <c r="N40" s="337" t="str">
        <f t="shared" si="2"/>
        <v/>
      </c>
    </row>
    <row r="41" spans="1:14" ht="12.95" customHeight="1">
      <c r="B41" s="48"/>
      <c r="E41" s="295"/>
      <c r="F41" s="321"/>
      <c r="M41" s="370"/>
      <c r="N41" s="337" t="str">
        <f t="shared" si="2"/>
        <v/>
      </c>
    </row>
    <row r="42" spans="1:14" ht="12.95" customHeight="1">
      <c r="B42" s="48"/>
      <c r="E42" s="295"/>
      <c r="F42" s="321"/>
      <c r="M42" s="370"/>
      <c r="N42" s="337" t="str">
        <f t="shared" si="2"/>
        <v/>
      </c>
    </row>
    <row r="43" spans="1:14" ht="12.95" customHeight="1">
      <c r="B43" s="48"/>
      <c r="E43" s="295"/>
      <c r="F43" s="321"/>
      <c r="M43" s="370"/>
      <c r="N43" s="337" t="str">
        <f t="shared" si="2"/>
        <v/>
      </c>
    </row>
    <row r="44" spans="1:14" ht="12.95" customHeight="1">
      <c r="B44" s="48"/>
      <c r="E44" s="295"/>
      <c r="F44" s="321"/>
      <c r="M44" s="370"/>
      <c r="N44" s="337" t="str">
        <f t="shared" si="2"/>
        <v/>
      </c>
    </row>
    <row r="45" spans="1:14" ht="12.95" customHeight="1">
      <c r="B45" s="48"/>
      <c r="E45" s="295"/>
      <c r="F45" s="321"/>
      <c r="M45" s="370"/>
      <c r="N45" s="337" t="str">
        <f t="shared" si="2"/>
        <v/>
      </c>
    </row>
    <row r="46" spans="1:14" ht="12.95" customHeight="1">
      <c r="B46" s="48"/>
      <c r="E46" s="295"/>
      <c r="F46" s="321"/>
      <c r="M46" s="370"/>
      <c r="N46" s="337" t="str">
        <f t="shared" si="2"/>
        <v/>
      </c>
    </row>
    <row r="47" spans="1:14" ht="12.95" customHeight="1">
      <c r="B47" s="48"/>
      <c r="E47" s="295"/>
      <c r="F47" s="321"/>
      <c r="M47" s="370"/>
      <c r="N47" s="337" t="str">
        <f t="shared" si="2"/>
        <v/>
      </c>
    </row>
    <row r="48" spans="1:14" ht="12.95" customHeight="1">
      <c r="B48" s="48"/>
      <c r="E48" s="295"/>
      <c r="F48" s="321"/>
      <c r="M48" s="370"/>
      <c r="N48" s="337" t="str">
        <f t="shared" si="2"/>
        <v/>
      </c>
    </row>
    <row r="49" spans="5:14" ht="12.95" customHeight="1">
      <c r="E49" s="295"/>
      <c r="F49" s="321"/>
      <c r="M49" s="370"/>
      <c r="N49" s="337" t="str">
        <f t="shared" si="2"/>
        <v/>
      </c>
    </row>
    <row r="50" spans="5:14" ht="12.95" customHeight="1">
      <c r="E50" s="295"/>
      <c r="F50" s="321"/>
      <c r="M50" s="370"/>
      <c r="N50" s="337" t="str">
        <f t="shared" si="2"/>
        <v/>
      </c>
    </row>
    <row r="51" spans="5:14" ht="12.95" customHeight="1">
      <c r="E51" s="295"/>
      <c r="F51" s="321"/>
      <c r="M51" s="370"/>
      <c r="N51" s="337" t="str">
        <f t="shared" si="2"/>
        <v/>
      </c>
    </row>
    <row r="52" spans="5:14" ht="12.95" customHeight="1">
      <c r="E52" s="295"/>
      <c r="F52" s="321"/>
      <c r="M52" s="370"/>
      <c r="N52" s="337" t="str">
        <f t="shared" si="2"/>
        <v/>
      </c>
    </row>
    <row r="53" spans="5:14" ht="12.95" customHeight="1">
      <c r="E53" s="295"/>
      <c r="F53" s="321"/>
      <c r="M53" s="370"/>
      <c r="N53" s="337" t="str">
        <f t="shared" si="2"/>
        <v/>
      </c>
    </row>
    <row r="54" spans="5:14" ht="12.95" customHeight="1">
      <c r="E54" s="295"/>
      <c r="F54" s="321"/>
      <c r="M54" s="370"/>
      <c r="N54" s="337" t="str">
        <f t="shared" si="2"/>
        <v/>
      </c>
    </row>
    <row r="55" spans="5:14" ht="12.95" customHeight="1">
      <c r="E55" s="295"/>
      <c r="F55" s="321"/>
      <c r="M55" s="370"/>
      <c r="N55" s="337" t="str">
        <f t="shared" si="2"/>
        <v/>
      </c>
    </row>
    <row r="56" spans="5:14" ht="12.95" customHeight="1">
      <c r="E56" s="295"/>
      <c r="F56" s="321"/>
      <c r="M56" s="370"/>
      <c r="N56" s="337" t="str">
        <f t="shared" si="2"/>
        <v/>
      </c>
    </row>
    <row r="57" spans="5:14" ht="12.95" customHeight="1">
      <c r="E57" s="295"/>
      <c r="F57" s="321"/>
      <c r="M57" s="370"/>
      <c r="N57" s="337" t="str">
        <f t="shared" si="2"/>
        <v/>
      </c>
    </row>
    <row r="58" spans="5:14" ht="12.95" customHeight="1">
      <c r="E58" s="295"/>
      <c r="F58" s="321"/>
      <c r="M58" s="370"/>
      <c r="N58" s="337" t="str">
        <f t="shared" si="2"/>
        <v/>
      </c>
    </row>
    <row r="59" spans="5:14" ht="12.95" customHeight="1">
      <c r="E59" s="295"/>
      <c r="F59" s="321"/>
      <c r="M59" s="370"/>
      <c r="N59" s="337" t="str">
        <f t="shared" si="2"/>
        <v/>
      </c>
    </row>
    <row r="60" spans="5:14" ht="17.100000000000001" customHeight="1">
      <c r="E60" s="295"/>
      <c r="F60" s="321"/>
      <c r="M60" s="370"/>
      <c r="N60" s="337" t="str">
        <f t="shared" si="2"/>
        <v/>
      </c>
    </row>
    <row r="61" spans="5:14" ht="14.25">
      <c r="E61" s="295"/>
      <c r="F61" s="321"/>
      <c r="M61" s="370"/>
      <c r="N61" s="337" t="str">
        <f t="shared" si="2"/>
        <v/>
      </c>
    </row>
    <row r="62" spans="5:14" ht="14.25">
      <c r="E62" s="295"/>
      <c r="F62" s="321"/>
      <c r="M62" s="370"/>
      <c r="N62" s="337" t="str">
        <f t="shared" si="2"/>
        <v/>
      </c>
    </row>
    <row r="63" spans="5:14" ht="14.25">
      <c r="E63" s="295"/>
      <c r="F63" s="321"/>
      <c r="M63" s="370"/>
      <c r="N63" s="337" t="str">
        <f t="shared" si="2"/>
        <v/>
      </c>
    </row>
    <row r="64" spans="5:14" ht="14.25">
      <c r="E64" s="295"/>
      <c r="F64" s="321"/>
      <c r="M64" s="370"/>
      <c r="N64" s="337" t="str">
        <f t="shared" si="2"/>
        <v/>
      </c>
    </row>
    <row r="65" spans="5:14" ht="14.25">
      <c r="E65" s="295"/>
      <c r="F65" s="321"/>
      <c r="M65" s="370"/>
      <c r="N65" s="337" t="str">
        <f t="shared" si="2"/>
        <v/>
      </c>
    </row>
    <row r="66" spans="5:14" ht="14.25">
      <c r="E66" s="295"/>
      <c r="F66" s="321"/>
      <c r="M66" s="370"/>
      <c r="N66" s="337" t="str">
        <f t="shared" si="2"/>
        <v/>
      </c>
    </row>
    <row r="67" spans="5:14" ht="14.25">
      <c r="E67" s="295"/>
      <c r="F67" s="321"/>
      <c r="M67" s="370"/>
      <c r="N67" s="337" t="str">
        <f t="shared" si="2"/>
        <v/>
      </c>
    </row>
    <row r="68" spans="5:14" ht="14.25">
      <c r="E68" s="295"/>
      <c r="F68" s="321"/>
      <c r="M68" s="370"/>
      <c r="N68" s="337" t="str">
        <f t="shared" si="2"/>
        <v/>
      </c>
    </row>
    <row r="69" spans="5:14" ht="14.25">
      <c r="E69" s="295"/>
      <c r="F69" s="321"/>
      <c r="M69" s="370"/>
      <c r="N69" s="337" t="str">
        <f t="shared" si="2"/>
        <v/>
      </c>
    </row>
    <row r="70" spans="5:14" ht="14.25">
      <c r="E70" s="295"/>
      <c r="F70" s="321"/>
      <c r="M70" s="370"/>
      <c r="N70" s="337" t="str">
        <f t="shared" si="2"/>
        <v/>
      </c>
    </row>
    <row r="71" spans="5:14" ht="14.25">
      <c r="E71" s="295"/>
      <c r="F71" s="321"/>
      <c r="M71" s="370"/>
      <c r="N71" s="337" t="str">
        <f t="shared" si="2"/>
        <v/>
      </c>
    </row>
    <row r="72" spans="5:14" ht="14.25">
      <c r="E72" s="295"/>
      <c r="F72" s="321"/>
      <c r="M72" s="370"/>
      <c r="N72" s="337" t="str">
        <f t="shared" si="2"/>
        <v/>
      </c>
    </row>
    <row r="73" spans="5:14" ht="14.25">
      <c r="E73" s="295"/>
      <c r="F73" s="321"/>
      <c r="M73" s="370"/>
      <c r="N73" s="337" t="str">
        <f t="shared" ref="N73:N77" si="14">IF(I73=0,"",M73/I73*100)</f>
        <v/>
      </c>
    </row>
    <row r="74" spans="5:14" ht="14.25">
      <c r="E74" s="295"/>
      <c r="F74" s="295"/>
      <c r="M74" s="370"/>
      <c r="N74" s="337" t="str">
        <f t="shared" si="14"/>
        <v/>
      </c>
    </row>
    <row r="75" spans="5:14" ht="14.25">
      <c r="E75" s="295"/>
      <c r="F75" s="295"/>
      <c r="M75" s="370"/>
      <c r="N75" s="337" t="str">
        <f t="shared" si="14"/>
        <v/>
      </c>
    </row>
    <row r="76" spans="5:14" ht="14.25">
      <c r="E76" s="295"/>
      <c r="F76" s="295"/>
      <c r="M76" s="370"/>
      <c r="N76" s="337" t="str">
        <f t="shared" si="14"/>
        <v/>
      </c>
    </row>
    <row r="77" spans="5:14" ht="14.25">
      <c r="E77" s="295"/>
      <c r="F77" s="295"/>
      <c r="M77" s="370"/>
      <c r="N77" s="337" t="str">
        <f t="shared" si="14"/>
        <v/>
      </c>
    </row>
    <row r="78" spans="5:14" ht="14.25">
      <c r="E78" s="295"/>
      <c r="F78" s="295"/>
      <c r="M78" s="370"/>
    </row>
    <row r="79" spans="5:14" ht="14.25">
      <c r="E79" s="295"/>
      <c r="F79" s="295"/>
      <c r="M79" s="370"/>
    </row>
    <row r="80" spans="5:14" ht="14.25">
      <c r="E80" s="295"/>
      <c r="F80" s="295"/>
      <c r="M80" s="370"/>
    </row>
    <row r="81" spans="5:13" ht="14.25">
      <c r="E81" s="295"/>
      <c r="F81" s="295"/>
      <c r="M81" s="370"/>
    </row>
    <row r="82" spans="5:13" ht="14.25">
      <c r="E82" s="295"/>
      <c r="F82" s="295"/>
      <c r="M82" s="370"/>
    </row>
    <row r="83" spans="5:13" ht="14.25">
      <c r="E83" s="295"/>
      <c r="F83" s="295"/>
      <c r="M83" s="370"/>
    </row>
    <row r="84" spans="5:13" ht="14.25">
      <c r="E84" s="295"/>
      <c r="F84" s="295"/>
      <c r="M84" s="370"/>
    </row>
    <row r="85" spans="5:13" ht="14.25">
      <c r="E85" s="295"/>
      <c r="F85" s="295"/>
      <c r="M85" s="370"/>
    </row>
    <row r="86" spans="5:13" ht="14.25">
      <c r="E86" s="295"/>
      <c r="F86" s="295"/>
      <c r="M86" s="370"/>
    </row>
    <row r="87" spans="5:13" ht="14.25">
      <c r="E87" s="295"/>
      <c r="F87" s="295"/>
      <c r="M87" s="370"/>
    </row>
    <row r="88" spans="5:13" ht="14.25">
      <c r="E88" s="295"/>
      <c r="F88" s="295"/>
      <c r="M88" s="370"/>
    </row>
    <row r="89" spans="5:13" ht="14.25">
      <c r="E89" s="295"/>
      <c r="F89" s="295"/>
      <c r="M89" s="370"/>
    </row>
    <row r="90" spans="5:13" ht="14.25">
      <c r="E90" s="295"/>
      <c r="F90" s="295"/>
      <c r="M90" s="370"/>
    </row>
    <row r="91" spans="5:13">
      <c r="F91" s="295"/>
    </row>
    <row r="92" spans="5:13">
      <c r="F92" s="295"/>
    </row>
    <row r="93" spans="5:13">
      <c r="F93" s="295"/>
    </row>
    <row r="94" spans="5:13">
      <c r="F94" s="295"/>
    </row>
    <row r="95" spans="5:13">
      <c r="F95" s="295"/>
    </row>
    <row r="96" spans="5:13">
      <c r="F96" s="295"/>
    </row>
  </sheetData>
  <mergeCells count="12">
    <mergeCell ref="B2:N2"/>
    <mergeCell ref="N4:N5"/>
    <mergeCell ref="G4:G5"/>
    <mergeCell ref="B4:B5"/>
    <mergeCell ref="C4:C5"/>
    <mergeCell ref="D4:D5"/>
    <mergeCell ref="F4:F5"/>
    <mergeCell ref="E4:E5"/>
    <mergeCell ref="K4:M4"/>
    <mergeCell ref="H4:H5"/>
    <mergeCell ref="I4:I5"/>
    <mergeCell ref="J4:J5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29"/>
  <dimension ref="A1:P96"/>
  <sheetViews>
    <sheetView zoomScaleNormal="100" workbookViewId="0">
      <selection activeCell="K10" sqref="K10"/>
    </sheetView>
  </sheetViews>
  <sheetFormatPr defaultRowHeight="12.75"/>
  <cols>
    <col min="1" max="1" width="9.140625" style="272"/>
    <col min="2" max="2" width="4.7109375" style="9" customWidth="1"/>
    <col min="3" max="3" width="5.140625" style="9" customWidth="1"/>
    <col min="4" max="4" width="5" style="9" customWidth="1"/>
    <col min="5" max="5" width="8.7109375" style="17" customWidth="1"/>
    <col min="6" max="6" width="8.7109375" style="277" customWidth="1"/>
    <col min="7" max="7" width="50.7109375" style="9" customWidth="1"/>
    <col min="8" max="8" width="14.7109375" style="519" customWidth="1"/>
    <col min="9" max="9" width="14.7109375" style="54" customWidth="1"/>
    <col min="10" max="10" width="15.7109375" style="519" customWidth="1"/>
    <col min="11" max="12" width="14.7109375" style="54" customWidth="1"/>
    <col min="13" max="13" width="15.7109375" style="54" customWidth="1"/>
    <col min="14" max="14" width="7.7109375" style="337" customWidth="1"/>
    <col min="15" max="16384" width="9.140625" style="9"/>
  </cols>
  <sheetData>
    <row r="1" spans="1:16" ht="13.5" thickBot="1"/>
    <row r="2" spans="1:16" s="93" customFormat="1" ht="20.100000000000001" customHeight="1" thickTop="1" thickBot="1">
      <c r="A2" s="363"/>
      <c r="B2" s="725" t="s">
        <v>171</v>
      </c>
      <c r="C2" s="726"/>
      <c r="D2" s="726"/>
      <c r="E2" s="726"/>
      <c r="F2" s="726"/>
      <c r="G2" s="726"/>
      <c r="H2" s="750"/>
      <c r="I2" s="364"/>
      <c r="J2" s="508"/>
      <c r="K2" s="364"/>
      <c r="L2" s="364"/>
      <c r="M2" s="364"/>
      <c r="N2" s="367"/>
    </row>
    <row r="3" spans="1:16" s="1" customFormat="1" ht="8.1" customHeight="1" thickTop="1" thickBot="1">
      <c r="A3" s="269"/>
      <c r="E3" s="2"/>
      <c r="F3" s="270"/>
      <c r="G3" s="488"/>
      <c r="H3" s="511"/>
      <c r="I3" s="87"/>
      <c r="J3" s="511"/>
      <c r="K3" s="87"/>
      <c r="L3" s="87"/>
      <c r="M3" s="87"/>
      <c r="N3" s="331"/>
    </row>
    <row r="4" spans="1:16" s="1" customFormat="1" ht="39" customHeight="1">
      <c r="A4" s="269"/>
      <c r="B4" s="728" t="s">
        <v>78</v>
      </c>
      <c r="C4" s="746" t="s">
        <v>79</v>
      </c>
      <c r="D4" s="747" t="s">
        <v>110</v>
      </c>
      <c r="E4" s="748" t="s">
        <v>594</v>
      </c>
      <c r="F4" s="733" t="s">
        <v>650</v>
      </c>
      <c r="G4" s="734" t="s">
        <v>80</v>
      </c>
      <c r="H4" s="740" t="s">
        <v>644</v>
      </c>
      <c r="I4" s="742" t="s">
        <v>821</v>
      </c>
      <c r="J4" s="744" t="s">
        <v>822</v>
      </c>
      <c r="K4" s="749" t="s">
        <v>863</v>
      </c>
      <c r="L4" s="738"/>
      <c r="M4" s="739"/>
      <c r="N4" s="735" t="s">
        <v>823</v>
      </c>
    </row>
    <row r="5" spans="1:16" s="269" customFormat="1" ht="27" customHeight="1">
      <c r="B5" s="729"/>
      <c r="C5" s="731"/>
      <c r="D5" s="731"/>
      <c r="E5" s="722"/>
      <c r="F5" s="731"/>
      <c r="G5" s="722"/>
      <c r="H5" s="741"/>
      <c r="I5" s="743"/>
      <c r="J5" s="745"/>
      <c r="K5" s="540" t="s">
        <v>701</v>
      </c>
      <c r="L5" s="359" t="s">
        <v>702</v>
      </c>
      <c r="M5" s="541" t="s">
        <v>413</v>
      </c>
      <c r="N5" s="736"/>
    </row>
    <row r="6" spans="1:16" s="2" customFormat="1" ht="12.95" customHeight="1">
      <c r="A6" s="270"/>
      <c r="B6" s="464">
        <v>1</v>
      </c>
      <c r="C6" s="318">
        <v>2</v>
      </c>
      <c r="D6" s="318">
        <v>3</v>
      </c>
      <c r="E6" s="318">
        <v>4</v>
      </c>
      <c r="F6" s="318">
        <v>5</v>
      </c>
      <c r="G6" s="318">
        <v>6</v>
      </c>
      <c r="H6" s="512">
        <v>7</v>
      </c>
      <c r="I6" s="318">
        <v>8</v>
      </c>
      <c r="J6" s="561">
        <v>9</v>
      </c>
      <c r="K6" s="464">
        <v>10</v>
      </c>
      <c r="L6" s="318">
        <v>11</v>
      </c>
      <c r="M6" s="542" t="s">
        <v>703</v>
      </c>
      <c r="N6" s="465">
        <v>13</v>
      </c>
    </row>
    <row r="7" spans="1:16" s="2" customFormat="1" ht="12.95" customHeight="1">
      <c r="A7" s="270"/>
      <c r="B7" s="6" t="s">
        <v>143</v>
      </c>
      <c r="C7" s="7" t="s">
        <v>145</v>
      </c>
      <c r="D7" s="7" t="s">
        <v>125</v>
      </c>
      <c r="E7" s="5"/>
      <c r="F7" s="271"/>
      <c r="G7" s="5"/>
      <c r="H7" s="520"/>
      <c r="I7" s="81"/>
      <c r="J7" s="562"/>
      <c r="K7" s="543"/>
      <c r="L7" s="81"/>
      <c r="M7" s="544"/>
      <c r="N7" s="332"/>
    </row>
    <row r="8" spans="1:16" s="1" customFormat="1" ht="12.95" customHeight="1">
      <c r="A8" s="269"/>
      <c r="B8" s="12"/>
      <c r="C8" s="8"/>
      <c r="D8" s="8"/>
      <c r="E8" s="292">
        <v>611000</v>
      </c>
      <c r="F8" s="318"/>
      <c r="G8" s="8" t="s">
        <v>163</v>
      </c>
      <c r="H8" s="514">
        <f t="shared" ref="H8:I8" si="0">SUM(H9:H11)</f>
        <v>777700</v>
      </c>
      <c r="I8" s="514">
        <f t="shared" si="0"/>
        <v>777700</v>
      </c>
      <c r="J8" s="563">
        <v>566005</v>
      </c>
      <c r="K8" s="545">
        <f t="shared" ref="K8:M8" si="1">SUM(K9:K11)</f>
        <v>780830</v>
      </c>
      <c r="L8" s="201">
        <f t="shared" si="1"/>
        <v>0</v>
      </c>
      <c r="M8" s="546">
        <f t="shared" si="1"/>
        <v>780830</v>
      </c>
      <c r="N8" s="333">
        <f>IF(I8=0,"",M8/I8*100)</f>
        <v>100.40246881831041</v>
      </c>
    </row>
    <row r="9" spans="1:16" ht="12.95" customHeight="1">
      <c r="B9" s="10"/>
      <c r="C9" s="11"/>
      <c r="D9" s="11"/>
      <c r="E9" s="293">
        <v>611100</v>
      </c>
      <c r="F9" s="319"/>
      <c r="G9" s="18" t="s">
        <v>198</v>
      </c>
      <c r="H9" s="515">
        <v>643300</v>
      </c>
      <c r="I9" s="515">
        <v>643300</v>
      </c>
      <c r="J9" s="564">
        <v>481287</v>
      </c>
      <c r="K9" s="547">
        <f>641150+2000+420+740</f>
        <v>644310</v>
      </c>
      <c r="L9" s="203">
        <v>0</v>
      </c>
      <c r="M9" s="548">
        <f>SUM(K9:L9)</f>
        <v>644310</v>
      </c>
      <c r="N9" s="334">
        <f t="shared" ref="N9:N72" si="2">IF(I9=0,"",M9/I9*100)</f>
        <v>100.1570029535209</v>
      </c>
    </row>
    <row r="10" spans="1:16" ht="12.95" customHeight="1">
      <c r="B10" s="10"/>
      <c r="C10" s="11"/>
      <c r="D10" s="11"/>
      <c r="E10" s="293">
        <v>611200</v>
      </c>
      <c r="F10" s="319"/>
      <c r="G10" s="11" t="s">
        <v>199</v>
      </c>
      <c r="H10" s="515">
        <v>134400</v>
      </c>
      <c r="I10" s="515">
        <v>134400</v>
      </c>
      <c r="J10" s="564">
        <v>84718</v>
      </c>
      <c r="K10" s="547">
        <f>115400+1000+930+1630+3*2770+37*250</f>
        <v>136520</v>
      </c>
      <c r="L10" s="203">
        <v>0</v>
      </c>
      <c r="M10" s="548">
        <f t="shared" ref="M10:M11" si="3">SUM(K10:L10)</f>
        <v>136520</v>
      </c>
      <c r="N10" s="334">
        <f t="shared" si="2"/>
        <v>101.57738095238096</v>
      </c>
    </row>
    <row r="11" spans="1:16" ht="12.95" customHeight="1">
      <c r="B11" s="10"/>
      <c r="C11" s="11"/>
      <c r="D11" s="11"/>
      <c r="E11" s="293">
        <v>611200</v>
      </c>
      <c r="F11" s="319"/>
      <c r="G11" s="180" t="s">
        <v>534</v>
      </c>
      <c r="H11" s="515">
        <f t="shared" ref="H11:I11" si="4">SUM(F11:G11)</f>
        <v>0</v>
      </c>
      <c r="I11" s="515">
        <f t="shared" si="4"/>
        <v>0</v>
      </c>
      <c r="J11" s="564">
        <v>0</v>
      </c>
      <c r="K11" s="549">
        <v>0</v>
      </c>
      <c r="L11" s="200">
        <v>0</v>
      </c>
      <c r="M11" s="548">
        <f t="shared" si="3"/>
        <v>0</v>
      </c>
      <c r="N11" s="334" t="str">
        <f t="shared" si="2"/>
        <v/>
      </c>
      <c r="P11" s="53"/>
    </row>
    <row r="12" spans="1:16" ht="12.95" customHeight="1">
      <c r="B12" s="10"/>
      <c r="C12" s="11"/>
      <c r="D12" s="11"/>
      <c r="E12" s="293"/>
      <c r="F12" s="319"/>
      <c r="G12" s="11"/>
      <c r="H12" s="514"/>
      <c r="I12" s="514"/>
      <c r="J12" s="563"/>
      <c r="K12" s="545"/>
      <c r="L12" s="201"/>
      <c r="M12" s="546"/>
      <c r="N12" s="334" t="str">
        <f t="shared" si="2"/>
        <v/>
      </c>
    </row>
    <row r="13" spans="1:16" s="1" customFormat="1" ht="12.95" customHeight="1">
      <c r="A13" s="269"/>
      <c r="B13" s="12"/>
      <c r="C13" s="8"/>
      <c r="D13" s="8"/>
      <c r="E13" s="292">
        <v>612000</v>
      </c>
      <c r="F13" s="318"/>
      <c r="G13" s="8" t="s">
        <v>162</v>
      </c>
      <c r="H13" s="514">
        <f t="shared" ref="H13:M13" si="5">H14</f>
        <v>72350</v>
      </c>
      <c r="I13" s="514">
        <f t="shared" si="5"/>
        <v>72350</v>
      </c>
      <c r="J13" s="563">
        <v>53265</v>
      </c>
      <c r="K13" s="545">
        <f t="shared" si="5"/>
        <v>71490</v>
      </c>
      <c r="L13" s="201">
        <f t="shared" si="5"/>
        <v>0</v>
      </c>
      <c r="M13" s="546">
        <f t="shared" si="5"/>
        <v>71490</v>
      </c>
      <c r="N13" s="333">
        <f t="shared" si="2"/>
        <v>98.811333794056665</v>
      </c>
    </row>
    <row r="14" spans="1:16" ht="12.95" customHeight="1">
      <c r="B14" s="10"/>
      <c r="C14" s="11"/>
      <c r="D14" s="11"/>
      <c r="E14" s="293">
        <v>612100</v>
      </c>
      <c r="F14" s="319"/>
      <c r="G14" s="13" t="s">
        <v>83</v>
      </c>
      <c r="H14" s="515">
        <v>72350</v>
      </c>
      <c r="I14" s="515">
        <v>72350</v>
      </c>
      <c r="J14" s="564">
        <v>53265</v>
      </c>
      <c r="K14" s="547">
        <f>70390+700+150+250</f>
        <v>71490</v>
      </c>
      <c r="L14" s="203">
        <v>0</v>
      </c>
      <c r="M14" s="548">
        <f>SUM(K14:L14)</f>
        <v>71490</v>
      </c>
      <c r="N14" s="334">
        <f t="shared" si="2"/>
        <v>98.811333794056665</v>
      </c>
    </row>
    <row r="15" spans="1:16" ht="12.95" customHeight="1">
      <c r="B15" s="10"/>
      <c r="C15" s="11"/>
      <c r="D15" s="11"/>
      <c r="E15" s="293"/>
      <c r="F15" s="319"/>
      <c r="G15" s="11"/>
      <c r="H15" s="262"/>
      <c r="I15" s="262"/>
      <c r="J15" s="565"/>
      <c r="K15" s="558"/>
      <c r="L15" s="276"/>
      <c r="M15" s="553"/>
      <c r="N15" s="334" t="str">
        <f t="shared" si="2"/>
        <v/>
      </c>
    </row>
    <row r="16" spans="1:16" s="1" customFormat="1" ht="12.95" customHeight="1">
      <c r="A16" s="269"/>
      <c r="B16" s="12"/>
      <c r="C16" s="8"/>
      <c r="D16" s="8"/>
      <c r="E16" s="292">
        <v>613000</v>
      </c>
      <c r="F16" s="318"/>
      <c r="G16" s="8" t="s">
        <v>164</v>
      </c>
      <c r="H16" s="262">
        <f t="shared" ref="H16:I16" si="6">SUM(H17:H26)</f>
        <v>63300</v>
      </c>
      <c r="I16" s="262">
        <f t="shared" si="6"/>
        <v>63300</v>
      </c>
      <c r="J16" s="565">
        <v>43106</v>
      </c>
      <c r="K16" s="552">
        <f t="shared" ref="K16:M16" si="7">SUM(K17:K26)</f>
        <v>63300</v>
      </c>
      <c r="L16" s="281">
        <f t="shared" si="7"/>
        <v>0</v>
      </c>
      <c r="M16" s="553">
        <f t="shared" si="7"/>
        <v>63300</v>
      </c>
      <c r="N16" s="333">
        <f t="shared" si="2"/>
        <v>100</v>
      </c>
    </row>
    <row r="17" spans="1:14" ht="12.95" customHeight="1">
      <c r="B17" s="10"/>
      <c r="C17" s="11"/>
      <c r="D17" s="11"/>
      <c r="E17" s="293">
        <v>613100</v>
      </c>
      <c r="F17" s="319"/>
      <c r="G17" s="11" t="s">
        <v>84</v>
      </c>
      <c r="H17" s="515">
        <v>4500</v>
      </c>
      <c r="I17" s="515">
        <v>4500</v>
      </c>
      <c r="J17" s="564">
        <v>2964</v>
      </c>
      <c r="K17" s="554">
        <v>4000</v>
      </c>
      <c r="L17" s="350">
        <v>0</v>
      </c>
      <c r="M17" s="548">
        <f t="shared" ref="M17:M26" si="8">SUM(K17:L17)</f>
        <v>4000</v>
      </c>
      <c r="N17" s="334">
        <f t="shared" si="2"/>
        <v>88.888888888888886</v>
      </c>
    </row>
    <row r="18" spans="1:14" ht="12.95" customHeight="1">
      <c r="B18" s="10"/>
      <c r="C18" s="11"/>
      <c r="D18" s="11"/>
      <c r="E18" s="293">
        <v>613200</v>
      </c>
      <c r="F18" s="319"/>
      <c r="G18" s="11" t="s">
        <v>85</v>
      </c>
      <c r="H18" s="515">
        <v>30000</v>
      </c>
      <c r="I18" s="515">
        <v>30000</v>
      </c>
      <c r="J18" s="564">
        <v>21151</v>
      </c>
      <c r="K18" s="554">
        <v>32000</v>
      </c>
      <c r="L18" s="350">
        <v>0</v>
      </c>
      <c r="M18" s="548">
        <f t="shared" si="8"/>
        <v>32000</v>
      </c>
      <c r="N18" s="334">
        <f t="shared" si="2"/>
        <v>106.66666666666667</v>
      </c>
    </row>
    <row r="19" spans="1:14" ht="12.95" customHeight="1">
      <c r="B19" s="10"/>
      <c r="C19" s="11"/>
      <c r="D19" s="11"/>
      <c r="E19" s="293">
        <v>613300</v>
      </c>
      <c r="F19" s="319"/>
      <c r="G19" s="18" t="s">
        <v>200</v>
      </c>
      <c r="H19" s="515">
        <v>2600</v>
      </c>
      <c r="I19" s="515">
        <v>2600</v>
      </c>
      <c r="J19" s="564">
        <v>1695</v>
      </c>
      <c r="K19" s="555">
        <v>2600</v>
      </c>
      <c r="L19" s="352">
        <v>0</v>
      </c>
      <c r="M19" s="548">
        <f t="shared" si="8"/>
        <v>2600</v>
      </c>
      <c r="N19" s="334">
        <f t="shared" si="2"/>
        <v>100</v>
      </c>
    </row>
    <row r="20" spans="1:14" ht="12.95" customHeight="1">
      <c r="B20" s="10"/>
      <c r="C20" s="11"/>
      <c r="D20" s="11"/>
      <c r="E20" s="293">
        <v>613400</v>
      </c>
      <c r="F20" s="319"/>
      <c r="G20" s="11" t="s">
        <v>165</v>
      </c>
      <c r="H20" s="515">
        <v>8200</v>
      </c>
      <c r="I20" s="515">
        <v>8200</v>
      </c>
      <c r="J20" s="564">
        <v>7208</v>
      </c>
      <c r="K20" s="555">
        <v>8700</v>
      </c>
      <c r="L20" s="352">
        <v>0</v>
      </c>
      <c r="M20" s="548">
        <f t="shared" si="8"/>
        <v>8700</v>
      </c>
      <c r="N20" s="334">
        <f t="shared" si="2"/>
        <v>106.09756097560977</v>
      </c>
    </row>
    <row r="21" spans="1:14" ht="12.95" customHeight="1">
      <c r="B21" s="10"/>
      <c r="C21" s="11"/>
      <c r="D21" s="11"/>
      <c r="E21" s="293">
        <v>613500</v>
      </c>
      <c r="F21" s="319"/>
      <c r="G21" s="11" t="s">
        <v>86</v>
      </c>
      <c r="H21" s="515">
        <f t="shared" ref="H21:I26" si="9">SUM(F21:G21)</f>
        <v>0</v>
      </c>
      <c r="I21" s="515">
        <f t="shared" si="9"/>
        <v>0</v>
      </c>
      <c r="J21" s="564">
        <v>0</v>
      </c>
      <c r="K21" s="555">
        <v>0</v>
      </c>
      <c r="L21" s="352">
        <v>0</v>
      </c>
      <c r="M21" s="548">
        <f t="shared" si="8"/>
        <v>0</v>
      </c>
      <c r="N21" s="334" t="str">
        <f t="shared" si="2"/>
        <v/>
      </c>
    </row>
    <row r="22" spans="1:14" ht="12.95" customHeight="1">
      <c r="B22" s="10"/>
      <c r="C22" s="11"/>
      <c r="D22" s="11"/>
      <c r="E22" s="293">
        <v>613600</v>
      </c>
      <c r="F22" s="319"/>
      <c r="G22" s="18" t="s">
        <v>201</v>
      </c>
      <c r="H22" s="515">
        <f t="shared" si="9"/>
        <v>0</v>
      </c>
      <c r="I22" s="515">
        <f t="shared" si="9"/>
        <v>0</v>
      </c>
      <c r="J22" s="564">
        <v>0</v>
      </c>
      <c r="K22" s="555">
        <v>0</v>
      </c>
      <c r="L22" s="352">
        <v>0</v>
      </c>
      <c r="M22" s="548">
        <f t="shared" si="8"/>
        <v>0</v>
      </c>
      <c r="N22" s="334" t="str">
        <f t="shared" si="2"/>
        <v/>
      </c>
    </row>
    <row r="23" spans="1:14" ht="12.95" customHeight="1">
      <c r="B23" s="10"/>
      <c r="C23" s="11"/>
      <c r="D23" s="11"/>
      <c r="E23" s="293">
        <v>613700</v>
      </c>
      <c r="F23" s="319"/>
      <c r="G23" s="11" t="s">
        <v>87</v>
      </c>
      <c r="H23" s="515">
        <v>9000</v>
      </c>
      <c r="I23" s="515">
        <v>9000</v>
      </c>
      <c r="J23" s="564">
        <v>3443</v>
      </c>
      <c r="K23" s="555">
        <v>7000</v>
      </c>
      <c r="L23" s="352">
        <v>0</v>
      </c>
      <c r="M23" s="548">
        <f t="shared" si="8"/>
        <v>7000</v>
      </c>
      <c r="N23" s="334">
        <f t="shared" si="2"/>
        <v>77.777777777777786</v>
      </c>
    </row>
    <row r="24" spans="1:14" ht="12.95" customHeight="1">
      <c r="B24" s="10"/>
      <c r="C24" s="11"/>
      <c r="D24" s="11"/>
      <c r="E24" s="293">
        <v>613800</v>
      </c>
      <c r="F24" s="319"/>
      <c r="G24" s="11" t="s">
        <v>166</v>
      </c>
      <c r="H24" s="515">
        <f t="shared" si="9"/>
        <v>0</v>
      </c>
      <c r="I24" s="515">
        <f t="shared" si="9"/>
        <v>0</v>
      </c>
      <c r="J24" s="564">
        <v>0</v>
      </c>
      <c r="K24" s="555">
        <v>0</v>
      </c>
      <c r="L24" s="352">
        <v>0</v>
      </c>
      <c r="M24" s="548">
        <f t="shared" si="8"/>
        <v>0</v>
      </c>
      <c r="N24" s="334" t="str">
        <f t="shared" si="2"/>
        <v/>
      </c>
    </row>
    <row r="25" spans="1:14" ht="12.95" customHeight="1">
      <c r="B25" s="10"/>
      <c r="C25" s="11"/>
      <c r="D25" s="11"/>
      <c r="E25" s="293">
        <v>613900</v>
      </c>
      <c r="F25" s="319"/>
      <c r="G25" s="11" t="s">
        <v>167</v>
      </c>
      <c r="H25" s="515">
        <v>9000</v>
      </c>
      <c r="I25" s="515">
        <v>9000</v>
      </c>
      <c r="J25" s="564">
        <v>6645</v>
      </c>
      <c r="K25" s="555">
        <v>9000</v>
      </c>
      <c r="L25" s="352">
        <v>0</v>
      </c>
      <c r="M25" s="548">
        <f t="shared" si="8"/>
        <v>9000</v>
      </c>
      <c r="N25" s="334">
        <f t="shared" si="2"/>
        <v>100</v>
      </c>
    </row>
    <row r="26" spans="1:14" ht="12.95" customHeight="1">
      <c r="B26" s="10"/>
      <c r="C26" s="11"/>
      <c r="D26" s="11"/>
      <c r="E26" s="293">
        <v>613900</v>
      </c>
      <c r="F26" s="319"/>
      <c r="G26" s="180" t="s">
        <v>535</v>
      </c>
      <c r="H26" s="515">
        <f t="shared" si="9"/>
        <v>0</v>
      </c>
      <c r="I26" s="515">
        <f t="shared" si="9"/>
        <v>0</v>
      </c>
      <c r="J26" s="564">
        <v>0</v>
      </c>
      <c r="K26" s="555">
        <v>0</v>
      </c>
      <c r="L26" s="352">
        <v>0</v>
      </c>
      <c r="M26" s="548">
        <f t="shared" si="8"/>
        <v>0</v>
      </c>
      <c r="N26" s="334" t="str">
        <f t="shared" si="2"/>
        <v/>
      </c>
    </row>
    <row r="27" spans="1:14" s="1" customFormat="1" ht="12.95" customHeight="1">
      <c r="A27" s="269"/>
      <c r="B27" s="12"/>
      <c r="C27" s="8"/>
      <c r="D27" s="8"/>
      <c r="E27" s="292"/>
      <c r="F27" s="318"/>
      <c r="G27" s="8"/>
      <c r="H27" s="516"/>
      <c r="I27" s="516"/>
      <c r="J27" s="566"/>
      <c r="K27" s="556"/>
      <c r="L27" s="283"/>
      <c r="M27" s="551"/>
      <c r="N27" s="334" t="str">
        <f t="shared" si="2"/>
        <v/>
      </c>
    </row>
    <row r="28" spans="1:14" s="1" customFormat="1" ht="12.95" customHeight="1">
      <c r="A28" s="269"/>
      <c r="B28" s="12"/>
      <c r="C28" s="8"/>
      <c r="D28" s="8"/>
      <c r="E28" s="292">
        <v>821000</v>
      </c>
      <c r="F28" s="318"/>
      <c r="G28" s="8" t="s">
        <v>90</v>
      </c>
      <c r="H28" s="262">
        <f t="shared" ref="H28:I28" si="10">SUM(H29:H30)</f>
        <v>10000</v>
      </c>
      <c r="I28" s="262">
        <f t="shared" si="10"/>
        <v>10000</v>
      </c>
      <c r="J28" s="565">
        <v>5787</v>
      </c>
      <c r="K28" s="557">
        <f t="shared" ref="K28:M28" si="11">SUM(K29:K30)</f>
        <v>12100</v>
      </c>
      <c r="L28" s="282">
        <f t="shared" si="11"/>
        <v>4900</v>
      </c>
      <c r="M28" s="553">
        <f t="shared" si="11"/>
        <v>17000</v>
      </c>
      <c r="N28" s="333">
        <f t="shared" si="2"/>
        <v>170</v>
      </c>
    </row>
    <row r="29" spans="1:14" ht="12.95" customHeight="1">
      <c r="B29" s="10"/>
      <c r="C29" s="11"/>
      <c r="D29" s="11"/>
      <c r="E29" s="293">
        <v>821200</v>
      </c>
      <c r="F29" s="319"/>
      <c r="G29" s="11" t="s">
        <v>91</v>
      </c>
      <c r="H29" s="515">
        <v>5000</v>
      </c>
      <c r="I29" s="515">
        <v>4100</v>
      </c>
      <c r="J29" s="564">
        <v>0</v>
      </c>
      <c r="K29" s="556">
        <f>4100+7000</f>
        <v>11100</v>
      </c>
      <c r="L29" s="283">
        <v>0</v>
      </c>
      <c r="M29" s="548">
        <f t="shared" ref="M29:M30" si="12">SUM(K29:L29)</f>
        <v>11100</v>
      </c>
      <c r="N29" s="334">
        <f t="shared" si="2"/>
        <v>270.73170731707319</v>
      </c>
    </row>
    <row r="30" spans="1:14" ht="12.95" customHeight="1">
      <c r="B30" s="10"/>
      <c r="C30" s="11"/>
      <c r="D30" s="11"/>
      <c r="E30" s="293">
        <v>821300</v>
      </c>
      <c r="F30" s="319"/>
      <c r="G30" s="11" t="s">
        <v>92</v>
      </c>
      <c r="H30" s="515">
        <v>5000</v>
      </c>
      <c r="I30" s="515">
        <v>5900</v>
      </c>
      <c r="J30" s="564">
        <v>5787</v>
      </c>
      <c r="K30" s="556">
        <v>1000</v>
      </c>
      <c r="L30" s="283">
        <v>4900</v>
      </c>
      <c r="M30" s="548">
        <f t="shared" si="12"/>
        <v>5900</v>
      </c>
      <c r="N30" s="334">
        <f t="shared" si="2"/>
        <v>100</v>
      </c>
    </row>
    <row r="31" spans="1:14" ht="12.95" customHeight="1">
      <c r="B31" s="10"/>
      <c r="C31" s="11"/>
      <c r="D31" s="11"/>
      <c r="E31" s="293"/>
      <c r="F31" s="319"/>
      <c r="G31" s="11"/>
      <c r="H31" s="516"/>
      <c r="I31" s="516"/>
      <c r="J31" s="566"/>
      <c r="K31" s="550"/>
      <c r="L31" s="279"/>
      <c r="M31" s="551"/>
      <c r="N31" s="334" t="str">
        <f t="shared" si="2"/>
        <v/>
      </c>
    </row>
    <row r="32" spans="1:14" s="1" customFormat="1" ht="12.95" customHeight="1">
      <c r="A32" s="269"/>
      <c r="B32" s="12"/>
      <c r="C32" s="8"/>
      <c r="D32" s="8"/>
      <c r="E32" s="292"/>
      <c r="F32" s="318"/>
      <c r="G32" s="8" t="s">
        <v>93</v>
      </c>
      <c r="H32" s="517" t="s">
        <v>596</v>
      </c>
      <c r="I32" s="517" t="s">
        <v>596</v>
      </c>
      <c r="J32" s="579" t="s">
        <v>832</v>
      </c>
      <c r="K32" s="580" t="s">
        <v>869</v>
      </c>
      <c r="L32" s="266"/>
      <c r="M32" s="581" t="s">
        <v>869</v>
      </c>
      <c r="N32" s="334"/>
    </row>
    <row r="33" spans="1:14" s="1" customFormat="1" ht="12.95" customHeight="1">
      <c r="A33" s="269"/>
      <c r="B33" s="12"/>
      <c r="C33" s="8"/>
      <c r="D33" s="8"/>
      <c r="E33" s="292"/>
      <c r="F33" s="318"/>
      <c r="G33" s="8" t="s">
        <v>113</v>
      </c>
      <c r="H33" s="262">
        <f t="shared" ref="H33:M33" si="13">H8+H13+H16+H28</f>
        <v>923350</v>
      </c>
      <c r="I33" s="276">
        <f t="shared" si="13"/>
        <v>923350</v>
      </c>
      <c r="J33" s="565">
        <f t="shared" si="13"/>
        <v>668163</v>
      </c>
      <c r="K33" s="558">
        <f t="shared" si="13"/>
        <v>927720</v>
      </c>
      <c r="L33" s="276">
        <f t="shared" si="13"/>
        <v>4900</v>
      </c>
      <c r="M33" s="553">
        <f t="shared" si="13"/>
        <v>932620</v>
      </c>
      <c r="N33" s="333">
        <f t="shared" si="2"/>
        <v>101.00395299723831</v>
      </c>
    </row>
    <row r="34" spans="1:14" s="1" customFormat="1" ht="12.95" customHeight="1">
      <c r="A34" s="269"/>
      <c r="B34" s="12"/>
      <c r="C34" s="8"/>
      <c r="D34" s="8"/>
      <c r="E34" s="292"/>
      <c r="F34" s="318"/>
      <c r="G34" s="8" t="s">
        <v>94</v>
      </c>
      <c r="H34" s="262"/>
      <c r="I34" s="276"/>
      <c r="J34" s="565"/>
      <c r="K34" s="558"/>
      <c r="L34" s="276"/>
      <c r="M34" s="553"/>
      <c r="N34" s="334" t="str">
        <f t="shared" si="2"/>
        <v/>
      </c>
    </row>
    <row r="35" spans="1:14" s="1" customFormat="1" ht="12.95" customHeight="1">
      <c r="A35" s="269"/>
      <c r="B35" s="12"/>
      <c r="C35" s="8"/>
      <c r="D35" s="8"/>
      <c r="E35" s="292"/>
      <c r="F35" s="318"/>
      <c r="G35" s="8" t="s">
        <v>95</v>
      </c>
      <c r="H35" s="516"/>
      <c r="I35" s="267"/>
      <c r="J35" s="566"/>
      <c r="K35" s="578"/>
      <c r="L35" s="267"/>
      <c r="M35" s="551"/>
      <c r="N35" s="334" t="str">
        <f t="shared" si="2"/>
        <v/>
      </c>
    </row>
    <row r="36" spans="1:14" ht="12.95" customHeight="1" thickBot="1">
      <c r="B36" s="15"/>
      <c r="C36" s="16"/>
      <c r="D36" s="16"/>
      <c r="E36" s="294"/>
      <c r="F36" s="320"/>
      <c r="G36" s="16"/>
      <c r="H36" s="518"/>
      <c r="I36" s="27"/>
      <c r="J36" s="567"/>
      <c r="K36" s="559"/>
      <c r="L36" s="27"/>
      <c r="M36" s="560"/>
      <c r="N36" s="336" t="str">
        <f t="shared" si="2"/>
        <v/>
      </c>
    </row>
    <row r="37" spans="1:14" ht="12.95" customHeight="1">
      <c r="E37" s="295"/>
      <c r="F37" s="321"/>
      <c r="M37" s="370"/>
      <c r="N37" s="337" t="str">
        <f t="shared" si="2"/>
        <v/>
      </c>
    </row>
    <row r="38" spans="1:14" ht="12.95" customHeight="1">
      <c r="E38" s="295"/>
      <c r="F38" s="321"/>
      <c r="M38" s="370"/>
      <c r="N38" s="337" t="str">
        <f t="shared" si="2"/>
        <v/>
      </c>
    </row>
    <row r="39" spans="1:14" ht="12.95" customHeight="1">
      <c r="B39" s="48"/>
      <c r="E39" s="295"/>
      <c r="F39" s="321"/>
      <c r="M39" s="370"/>
      <c r="N39" s="337" t="str">
        <f t="shared" si="2"/>
        <v/>
      </c>
    </row>
    <row r="40" spans="1:14" ht="12.95" customHeight="1">
      <c r="B40" s="48"/>
      <c r="E40" s="295"/>
      <c r="F40" s="321"/>
      <c r="M40" s="370"/>
      <c r="N40" s="337" t="str">
        <f t="shared" si="2"/>
        <v/>
      </c>
    </row>
    <row r="41" spans="1:14" ht="12.95" customHeight="1">
      <c r="B41" s="48"/>
      <c r="E41" s="295"/>
      <c r="F41" s="321"/>
      <c r="M41" s="370"/>
      <c r="N41" s="337" t="str">
        <f t="shared" si="2"/>
        <v/>
      </c>
    </row>
    <row r="42" spans="1:14" ht="12.95" customHeight="1">
      <c r="B42" s="48"/>
      <c r="E42" s="295"/>
      <c r="F42" s="321"/>
      <c r="M42" s="370"/>
      <c r="N42" s="337" t="str">
        <f t="shared" si="2"/>
        <v/>
      </c>
    </row>
    <row r="43" spans="1:14" ht="12.95" customHeight="1">
      <c r="B43" s="48"/>
      <c r="E43" s="295"/>
      <c r="F43" s="321"/>
      <c r="M43" s="370"/>
      <c r="N43" s="337" t="str">
        <f t="shared" si="2"/>
        <v/>
      </c>
    </row>
    <row r="44" spans="1:14" ht="12.95" customHeight="1">
      <c r="E44" s="295"/>
      <c r="F44" s="321"/>
      <c r="M44" s="370"/>
      <c r="N44" s="337" t="str">
        <f t="shared" si="2"/>
        <v/>
      </c>
    </row>
    <row r="45" spans="1:14" ht="12.95" customHeight="1">
      <c r="E45" s="295"/>
      <c r="F45" s="321"/>
      <c r="M45" s="370"/>
      <c r="N45" s="337" t="str">
        <f t="shared" si="2"/>
        <v/>
      </c>
    </row>
    <row r="46" spans="1:14" ht="12.95" customHeight="1">
      <c r="E46" s="295"/>
      <c r="F46" s="321"/>
      <c r="M46" s="370"/>
      <c r="N46" s="337" t="str">
        <f t="shared" si="2"/>
        <v/>
      </c>
    </row>
    <row r="47" spans="1:14" ht="12.95" customHeight="1">
      <c r="E47" s="295"/>
      <c r="F47" s="321"/>
      <c r="M47" s="370"/>
      <c r="N47" s="337" t="str">
        <f t="shared" si="2"/>
        <v/>
      </c>
    </row>
    <row r="48" spans="1:14" ht="12.95" customHeight="1">
      <c r="E48" s="295"/>
      <c r="F48" s="321"/>
      <c r="M48" s="370"/>
      <c r="N48" s="337" t="str">
        <f t="shared" si="2"/>
        <v/>
      </c>
    </row>
    <row r="49" spans="5:14" ht="12.95" customHeight="1">
      <c r="E49" s="295"/>
      <c r="F49" s="321"/>
      <c r="M49" s="370"/>
      <c r="N49" s="337" t="str">
        <f t="shared" si="2"/>
        <v/>
      </c>
    </row>
    <row r="50" spans="5:14" ht="12.95" customHeight="1">
      <c r="E50" s="295"/>
      <c r="F50" s="321"/>
      <c r="M50" s="370"/>
      <c r="N50" s="337" t="str">
        <f t="shared" si="2"/>
        <v/>
      </c>
    </row>
    <row r="51" spans="5:14" ht="12.95" customHeight="1">
      <c r="E51" s="295"/>
      <c r="F51" s="321"/>
      <c r="M51" s="370"/>
      <c r="N51" s="337" t="str">
        <f t="shared" si="2"/>
        <v/>
      </c>
    </row>
    <row r="52" spans="5:14" ht="12.95" customHeight="1">
      <c r="E52" s="295"/>
      <c r="F52" s="321"/>
      <c r="M52" s="370"/>
      <c r="N52" s="337" t="str">
        <f t="shared" si="2"/>
        <v/>
      </c>
    </row>
    <row r="53" spans="5:14" ht="12.95" customHeight="1">
      <c r="E53" s="295"/>
      <c r="F53" s="321"/>
      <c r="M53" s="370"/>
      <c r="N53" s="337" t="str">
        <f t="shared" si="2"/>
        <v/>
      </c>
    </row>
    <row r="54" spans="5:14" ht="12.95" customHeight="1">
      <c r="E54" s="295"/>
      <c r="F54" s="321"/>
      <c r="M54" s="370"/>
      <c r="N54" s="337" t="str">
        <f t="shared" si="2"/>
        <v/>
      </c>
    </row>
    <row r="55" spans="5:14" ht="12.95" customHeight="1">
      <c r="E55" s="295"/>
      <c r="F55" s="321"/>
      <c r="M55" s="370"/>
      <c r="N55" s="337" t="str">
        <f t="shared" si="2"/>
        <v/>
      </c>
    </row>
    <row r="56" spans="5:14" ht="12.95" customHeight="1">
      <c r="E56" s="295"/>
      <c r="F56" s="321"/>
      <c r="M56" s="370"/>
      <c r="N56" s="337" t="str">
        <f t="shared" si="2"/>
        <v/>
      </c>
    </row>
    <row r="57" spans="5:14" ht="12.95" customHeight="1">
      <c r="E57" s="295"/>
      <c r="F57" s="321"/>
      <c r="M57" s="370"/>
      <c r="N57" s="337" t="str">
        <f t="shared" si="2"/>
        <v/>
      </c>
    </row>
    <row r="58" spans="5:14" ht="12.95" customHeight="1">
      <c r="E58" s="295"/>
      <c r="F58" s="321"/>
      <c r="M58" s="370"/>
      <c r="N58" s="337" t="str">
        <f t="shared" si="2"/>
        <v/>
      </c>
    </row>
    <row r="59" spans="5:14" ht="12.95" customHeight="1">
      <c r="E59" s="295"/>
      <c r="F59" s="321"/>
      <c r="M59" s="370"/>
      <c r="N59" s="337" t="str">
        <f t="shared" si="2"/>
        <v/>
      </c>
    </row>
    <row r="60" spans="5:14" ht="17.100000000000001" customHeight="1">
      <c r="E60" s="295"/>
      <c r="F60" s="321"/>
      <c r="M60" s="370"/>
      <c r="N60" s="337" t="str">
        <f t="shared" si="2"/>
        <v/>
      </c>
    </row>
    <row r="61" spans="5:14" ht="14.25">
      <c r="E61" s="295"/>
      <c r="F61" s="321"/>
      <c r="M61" s="370"/>
      <c r="N61" s="337" t="str">
        <f t="shared" si="2"/>
        <v/>
      </c>
    </row>
    <row r="62" spans="5:14" ht="14.25">
      <c r="E62" s="295"/>
      <c r="F62" s="321"/>
      <c r="M62" s="370"/>
      <c r="N62" s="337" t="str">
        <f t="shared" si="2"/>
        <v/>
      </c>
    </row>
    <row r="63" spans="5:14" ht="14.25">
      <c r="E63" s="295"/>
      <c r="F63" s="321"/>
      <c r="M63" s="370"/>
      <c r="N63" s="337" t="str">
        <f t="shared" si="2"/>
        <v/>
      </c>
    </row>
    <row r="64" spans="5:14" ht="14.25">
      <c r="E64" s="295"/>
      <c r="F64" s="321"/>
      <c r="M64" s="370"/>
      <c r="N64" s="337" t="str">
        <f t="shared" si="2"/>
        <v/>
      </c>
    </row>
    <row r="65" spans="5:14" ht="14.25">
      <c r="E65" s="295"/>
      <c r="F65" s="321"/>
      <c r="M65" s="370"/>
      <c r="N65" s="337" t="str">
        <f t="shared" si="2"/>
        <v/>
      </c>
    </row>
    <row r="66" spans="5:14" ht="14.25">
      <c r="E66" s="295"/>
      <c r="F66" s="321"/>
      <c r="M66" s="370"/>
      <c r="N66" s="337" t="str">
        <f t="shared" si="2"/>
        <v/>
      </c>
    </row>
    <row r="67" spans="5:14" ht="14.25">
      <c r="E67" s="295"/>
      <c r="F67" s="321"/>
      <c r="M67" s="370"/>
      <c r="N67" s="337" t="str">
        <f t="shared" si="2"/>
        <v/>
      </c>
    </row>
    <row r="68" spans="5:14" ht="14.25">
      <c r="E68" s="295"/>
      <c r="F68" s="321"/>
      <c r="M68" s="370"/>
      <c r="N68" s="337" t="str">
        <f t="shared" si="2"/>
        <v/>
      </c>
    </row>
    <row r="69" spans="5:14" ht="14.25">
      <c r="E69" s="295"/>
      <c r="F69" s="321"/>
      <c r="M69" s="370"/>
      <c r="N69" s="337" t="str">
        <f t="shared" si="2"/>
        <v/>
      </c>
    </row>
    <row r="70" spans="5:14" ht="14.25">
      <c r="E70" s="295"/>
      <c r="F70" s="321"/>
      <c r="M70" s="370"/>
      <c r="N70" s="337" t="str">
        <f t="shared" si="2"/>
        <v/>
      </c>
    </row>
    <row r="71" spans="5:14" ht="14.25">
      <c r="E71" s="295"/>
      <c r="F71" s="321"/>
      <c r="M71" s="370"/>
      <c r="N71" s="337" t="str">
        <f t="shared" si="2"/>
        <v/>
      </c>
    </row>
    <row r="72" spans="5:14" ht="14.25">
      <c r="E72" s="295"/>
      <c r="F72" s="321"/>
      <c r="M72" s="370"/>
      <c r="N72" s="337" t="str">
        <f t="shared" si="2"/>
        <v/>
      </c>
    </row>
    <row r="73" spans="5:14" ht="14.25">
      <c r="E73" s="295"/>
      <c r="F73" s="321"/>
      <c r="M73" s="370"/>
      <c r="N73" s="337" t="str">
        <f t="shared" ref="N73:N77" si="14">IF(I73=0,"",M73/I73*100)</f>
        <v/>
      </c>
    </row>
    <row r="74" spans="5:14" ht="14.25">
      <c r="E74" s="295"/>
      <c r="F74" s="295"/>
      <c r="M74" s="370"/>
      <c r="N74" s="337" t="str">
        <f t="shared" si="14"/>
        <v/>
      </c>
    </row>
    <row r="75" spans="5:14" ht="14.25">
      <c r="E75" s="295"/>
      <c r="F75" s="295"/>
      <c r="M75" s="370"/>
      <c r="N75" s="337" t="str">
        <f t="shared" si="14"/>
        <v/>
      </c>
    </row>
    <row r="76" spans="5:14" ht="14.25">
      <c r="E76" s="295"/>
      <c r="F76" s="295"/>
      <c r="M76" s="370"/>
      <c r="N76" s="337" t="str">
        <f t="shared" si="14"/>
        <v/>
      </c>
    </row>
    <row r="77" spans="5:14" ht="14.25">
      <c r="E77" s="295"/>
      <c r="F77" s="295"/>
      <c r="M77" s="370"/>
      <c r="N77" s="337" t="str">
        <f t="shared" si="14"/>
        <v/>
      </c>
    </row>
    <row r="78" spans="5:14" ht="14.25">
      <c r="E78" s="295"/>
      <c r="F78" s="295"/>
      <c r="M78" s="370"/>
    </row>
    <row r="79" spans="5:14" ht="14.25">
      <c r="E79" s="295"/>
      <c r="F79" s="295"/>
      <c r="M79" s="370"/>
    </row>
    <row r="80" spans="5:14" ht="14.25">
      <c r="E80" s="295"/>
      <c r="F80" s="295"/>
      <c r="M80" s="370"/>
    </row>
    <row r="81" spans="5:13" ht="14.25">
      <c r="E81" s="295"/>
      <c r="F81" s="295"/>
      <c r="M81" s="370"/>
    </row>
    <row r="82" spans="5:13" ht="14.25">
      <c r="E82" s="295"/>
      <c r="F82" s="295"/>
      <c r="M82" s="370"/>
    </row>
    <row r="83" spans="5:13" ht="14.25">
      <c r="E83" s="295"/>
      <c r="F83" s="295"/>
      <c r="M83" s="370"/>
    </row>
    <row r="84" spans="5:13" ht="14.25">
      <c r="E84" s="295"/>
      <c r="F84" s="295"/>
      <c r="M84" s="370"/>
    </row>
    <row r="85" spans="5:13" ht="14.25">
      <c r="E85" s="295"/>
      <c r="F85" s="295"/>
      <c r="M85" s="370"/>
    </row>
    <row r="86" spans="5:13" ht="14.25">
      <c r="E86" s="295"/>
      <c r="F86" s="295"/>
      <c r="M86" s="370"/>
    </row>
    <row r="87" spans="5:13" ht="14.25">
      <c r="E87" s="295"/>
      <c r="F87" s="295"/>
      <c r="M87" s="370"/>
    </row>
    <row r="88" spans="5:13" ht="14.25">
      <c r="E88" s="295"/>
      <c r="F88" s="295"/>
      <c r="M88" s="370"/>
    </row>
    <row r="89" spans="5:13" ht="14.25">
      <c r="E89" s="295"/>
      <c r="F89" s="295"/>
      <c r="M89" s="370"/>
    </row>
    <row r="90" spans="5:13" ht="14.25">
      <c r="E90" s="295"/>
      <c r="F90" s="295"/>
      <c r="M90" s="370"/>
    </row>
    <row r="91" spans="5:13">
      <c r="F91" s="295"/>
    </row>
    <row r="92" spans="5:13">
      <c r="F92" s="295"/>
    </row>
    <row r="93" spans="5:13">
      <c r="F93" s="295"/>
    </row>
    <row r="94" spans="5:13">
      <c r="F94" s="295"/>
    </row>
    <row r="95" spans="5:13">
      <c r="F95" s="295"/>
    </row>
    <row r="96" spans="5:13">
      <c r="F96" s="295"/>
    </row>
  </sheetData>
  <mergeCells count="12">
    <mergeCell ref="B2:H2"/>
    <mergeCell ref="N4:N5"/>
    <mergeCell ref="G4:G5"/>
    <mergeCell ref="B4:B5"/>
    <mergeCell ref="C4:C5"/>
    <mergeCell ref="D4:D5"/>
    <mergeCell ref="F4:F5"/>
    <mergeCell ref="E4:E5"/>
    <mergeCell ref="K4:M4"/>
    <mergeCell ref="H4:H5"/>
    <mergeCell ref="I4:I5"/>
    <mergeCell ref="J4:J5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30"/>
  <dimension ref="A1:P96"/>
  <sheetViews>
    <sheetView zoomScaleNormal="100" workbookViewId="0">
      <selection activeCell="J31" sqref="J31"/>
    </sheetView>
  </sheetViews>
  <sheetFormatPr defaultRowHeight="12.75"/>
  <cols>
    <col min="1" max="1" width="9.140625" style="272"/>
    <col min="2" max="2" width="4.7109375" style="9" customWidth="1"/>
    <col min="3" max="3" width="5.140625" style="9" customWidth="1"/>
    <col min="4" max="4" width="5" style="9" customWidth="1"/>
    <col min="5" max="5" width="8.7109375" style="17" customWidth="1"/>
    <col min="6" max="6" width="8.7109375" style="277" customWidth="1"/>
    <col min="7" max="7" width="50.7109375" style="9" customWidth="1"/>
    <col min="8" max="8" width="14.7109375" style="519" customWidth="1"/>
    <col min="9" max="9" width="14.7109375" style="54" customWidth="1"/>
    <col min="10" max="10" width="15.7109375" style="519" customWidth="1"/>
    <col min="11" max="12" width="14.7109375" style="54" customWidth="1"/>
    <col min="13" max="13" width="15.7109375" style="54" customWidth="1"/>
    <col min="14" max="14" width="7.7109375" style="337" customWidth="1"/>
    <col min="15" max="16384" width="9.140625" style="9"/>
  </cols>
  <sheetData>
    <row r="1" spans="1:16" ht="13.5" thickBot="1"/>
    <row r="2" spans="1:16" s="93" customFormat="1" ht="20.100000000000001" customHeight="1" thickTop="1" thickBot="1">
      <c r="A2" s="363"/>
      <c r="B2" s="725" t="s">
        <v>172</v>
      </c>
      <c r="C2" s="726"/>
      <c r="D2" s="726"/>
      <c r="E2" s="726"/>
      <c r="F2" s="726"/>
      <c r="G2" s="726"/>
      <c r="H2" s="750"/>
      <c r="I2" s="750"/>
      <c r="J2" s="750"/>
      <c r="K2" s="750"/>
      <c r="L2" s="750"/>
      <c r="M2" s="750"/>
      <c r="N2" s="751"/>
    </row>
    <row r="3" spans="1:16" s="1" customFormat="1" ht="8.1" customHeight="1" thickTop="1" thickBot="1">
      <c r="A3" s="269"/>
      <c r="E3" s="2"/>
      <c r="F3" s="270"/>
      <c r="G3" s="488"/>
      <c r="H3" s="511"/>
      <c r="I3" s="87"/>
      <c r="J3" s="511"/>
      <c r="K3" s="87"/>
      <c r="L3" s="87"/>
      <c r="M3" s="87"/>
      <c r="N3" s="331"/>
    </row>
    <row r="4" spans="1:16" s="1" customFormat="1" ht="39" customHeight="1">
      <c r="A4" s="269"/>
      <c r="B4" s="728" t="s">
        <v>78</v>
      </c>
      <c r="C4" s="746" t="s">
        <v>79</v>
      </c>
      <c r="D4" s="747" t="s">
        <v>110</v>
      </c>
      <c r="E4" s="748" t="s">
        <v>594</v>
      </c>
      <c r="F4" s="733" t="s">
        <v>650</v>
      </c>
      <c r="G4" s="734" t="s">
        <v>80</v>
      </c>
      <c r="H4" s="740" t="s">
        <v>644</v>
      </c>
      <c r="I4" s="742" t="s">
        <v>821</v>
      </c>
      <c r="J4" s="744" t="s">
        <v>822</v>
      </c>
      <c r="K4" s="749" t="s">
        <v>863</v>
      </c>
      <c r="L4" s="738"/>
      <c r="M4" s="739"/>
      <c r="N4" s="735" t="s">
        <v>823</v>
      </c>
    </row>
    <row r="5" spans="1:16" s="269" customFormat="1" ht="27" customHeight="1">
      <c r="B5" s="729"/>
      <c r="C5" s="731"/>
      <c r="D5" s="731"/>
      <c r="E5" s="722"/>
      <c r="F5" s="731"/>
      <c r="G5" s="722"/>
      <c r="H5" s="741"/>
      <c r="I5" s="743"/>
      <c r="J5" s="745"/>
      <c r="K5" s="540" t="s">
        <v>701</v>
      </c>
      <c r="L5" s="359" t="s">
        <v>702</v>
      </c>
      <c r="M5" s="541" t="s">
        <v>413</v>
      </c>
      <c r="N5" s="736"/>
    </row>
    <row r="6" spans="1:16" s="2" customFormat="1" ht="12.95" customHeight="1">
      <c r="A6" s="270"/>
      <c r="B6" s="464">
        <v>1</v>
      </c>
      <c r="C6" s="318">
        <v>2</v>
      </c>
      <c r="D6" s="318">
        <v>3</v>
      </c>
      <c r="E6" s="318">
        <v>4</v>
      </c>
      <c r="F6" s="318">
        <v>5</v>
      </c>
      <c r="G6" s="318">
        <v>6</v>
      </c>
      <c r="H6" s="512">
        <v>7</v>
      </c>
      <c r="I6" s="318">
        <v>8</v>
      </c>
      <c r="J6" s="561">
        <v>9</v>
      </c>
      <c r="K6" s="464">
        <v>10</v>
      </c>
      <c r="L6" s="318">
        <v>11</v>
      </c>
      <c r="M6" s="542" t="s">
        <v>703</v>
      </c>
      <c r="N6" s="465">
        <v>13</v>
      </c>
    </row>
    <row r="7" spans="1:16" s="2" customFormat="1" ht="12.95" customHeight="1">
      <c r="A7" s="270"/>
      <c r="B7" s="6" t="s">
        <v>143</v>
      </c>
      <c r="C7" s="7" t="s">
        <v>145</v>
      </c>
      <c r="D7" s="7" t="s">
        <v>146</v>
      </c>
      <c r="E7" s="5"/>
      <c r="F7" s="271"/>
      <c r="G7" s="5"/>
      <c r="H7" s="520"/>
      <c r="I7" s="81"/>
      <c r="J7" s="562"/>
      <c r="K7" s="543"/>
      <c r="L7" s="81"/>
      <c r="M7" s="544"/>
      <c r="N7" s="332"/>
    </row>
    <row r="8" spans="1:16" s="1" customFormat="1" ht="12.95" customHeight="1">
      <c r="A8" s="269"/>
      <c r="B8" s="12"/>
      <c r="C8" s="8"/>
      <c r="D8" s="8"/>
      <c r="E8" s="292">
        <v>611000</v>
      </c>
      <c r="F8" s="318"/>
      <c r="G8" s="8" t="s">
        <v>163</v>
      </c>
      <c r="H8" s="514">
        <f t="shared" ref="H8:I8" si="0">SUM(H9:H11)</f>
        <v>979810</v>
      </c>
      <c r="I8" s="514">
        <f t="shared" si="0"/>
        <v>979810</v>
      </c>
      <c r="J8" s="563">
        <v>701168</v>
      </c>
      <c r="K8" s="545">
        <f t="shared" ref="K8:M8" si="1">SUM(K9:K11)</f>
        <v>956950</v>
      </c>
      <c r="L8" s="201">
        <f t="shared" si="1"/>
        <v>0</v>
      </c>
      <c r="M8" s="546">
        <f t="shared" si="1"/>
        <v>956950</v>
      </c>
      <c r="N8" s="333">
        <f>IF(I8=0,"",M8/I8*100)</f>
        <v>97.666894602014679</v>
      </c>
    </row>
    <row r="9" spans="1:16" ht="12.95" customHeight="1">
      <c r="B9" s="10"/>
      <c r="C9" s="11"/>
      <c r="D9" s="11"/>
      <c r="E9" s="293">
        <v>611100</v>
      </c>
      <c r="F9" s="319"/>
      <c r="G9" s="18" t="s">
        <v>198</v>
      </c>
      <c r="H9" s="515">
        <v>805450</v>
      </c>
      <c r="I9" s="515">
        <v>805450</v>
      </c>
      <c r="J9" s="564">
        <v>585113</v>
      </c>
      <c r="K9" s="547">
        <f>777840+3000</f>
        <v>780840</v>
      </c>
      <c r="L9" s="203">
        <v>0</v>
      </c>
      <c r="M9" s="548">
        <f>SUM(K9:L9)</f>
        <v>780840</v>
      </c>
      <c r="N9" s="334">
        <f t="shared" ref="N9:N72" si="2">IF(I9=0,"",M9/I9*100)</f>
        <v>96.944565149916201</v>
      </c>
      <c r="O9" s="48"/>
      <c r="P9" s="54"/>
    </row>
    <row r="10" spans="1:16" ht="12.95" customHeight="1">
      <c r="B10" s="10"/>
      <c r="C10" s="11"/>
      <c r="D10" s="11"/>
      <c r="E10" s="293">
        <v>611200</v>
      </c>
      <c r="F10" s="319"/>
      <c r="G10" s="11" t="s">
        <v>199</v>
      </c>
      <c r="H10" s="515">
        <v>174360</v>
      </c>
      <c r="I10" s="515">
        <v>174360</v>
      </c>
      <c r="J10" s="564">
        <v>116055</v>
      </c>
      <c r="K10" s="547">
        <f>158230+2000+4380+46*250</f>
        <v>176110</v>
      </c>
      <c r="L10" s="203">
        <v>0</v>
      </c>
      <c r="M10" s="548">
        <f t="shared" ref="M10:M11" si="3">SUM(K10:L10)</f>
        <v>176110</v>
      </c>
      <c r="N10" s="334">
        <f t="shared" si="2"/>
        <v>101.00367056664372</v>
      </c>
    </row>
    <row r="11" spans="1:16" ht="12.95" customHeight="1">
      <c r="B11" s="10"/>
      <c r="C11" s="11"/>
      <c r="D11" s="11"/>
      <c r="E11" s="293">
        <v>611200</v>
      </c>
      <c r="F11" s="319"/>
      <c r="G11" s="180" t="s">
        <v>534</v>
      </c>
      <c r="H11" s="515">
        <f t="shared" ref="H11:I11" si="4">SUM(F11:G11)</f>
        <v>0</v>
      </c>
      <c r="I11" s="515">
        <f t="shared" si="4"/>
        <v>0</v>
      </c>
      <c r="J11" s="564">
        <v>0</v>
      </c>
      <c r="K11" s="549">
        <v>0</v>
      </c>
      <c r="L11" s="200">
        <v>0</v>
      </c>
      <c r="M11" s="548">
        <f t="shared" si="3"/>
        <v>0</v>
      </c>
      <c r="N11" s="334" t="str">
        <f t="shared" si="2"/>
        <v/>
      </c>
      <c r="P11" s="53"/>
    </row>
    <row r="12" spans="1:16" ht="12.95" customHeight="1">
      <c r="B12" s="10"/>
      <c r="C12" s="11"/>
      <c r="D12" s="11"/>
      <c r="E12" s="293"/>
      <c r="F12" s="319"/>
      <c r="G12" s="11"/>
      <c r="H12" s="514"/>
      <c r="I12" s="514"/>
      <c r="J12" s="563"/>
      <c r="K12" s="545"/>
      <c r="L12" s="201"/>
      <c r="M12" s="546"/>
      <c r="N12" s="334" t="str">
        <f t="shared" si="2"/>
        <v/>
      </c>
    </row>
    <row r="13" spans="1:16" s="1" customFormat="1" ht="12.95" customHeight="1">
      <c r="A13" s="269"/>
      <c r="B13" s="12"/>
      <c r="C13" s="8"/>
      <c r="D13" s="8"/>
      <c r="E13" s="292">
        <v>612000</v>
      </c>
      <c r="F13" s="318"/>
      <c r="G13" s="8" t="s">
        <v>162</v>
      </c>
      <c r="H13" s="514">
        <f t="shared" ref="H13:M13" si="5">H14</f>
        <v>85620</v>
      </c>
      <c r="I13" s="514">
        <f t="shared" si="5"/>
        <v>85620</v>
      </c>
      <c r="J13" s="563">
        <v>66064</v>
      </c>
      <c r="K13" s="545">
        <f t="shared" si="5"/>
        <v>87260</v>
      </c>
      <c r="L13" s="201">
        <f t="shared" si="5"/>
        <v>0</v>
      </c>
      <c r="M13" s="546">
        <f t="shared" si="5"/>
        <v>87260</v>
      </c>
      <c r="N13" s="333">
        <f t="shared" si="2"/>
        <v>101.91544031768278</v>
      </c>
    </row>
    <row r="14" spans="1:16" ht="12.95" customHeight="1">
      <c r="B14" s="10"/>
      <c r="C14" s="11"/>
      <c r="D14" s="11"/>
      <c r="E14" s="293">
        <v>612100</v>
      </c>
      <c r="F14" s="319"/>
      <c r="G14" s="13" t="s">
        <v>83</v>
      </c>
      <c r="H14" s="515">
        <v>85620</v>
      </c>
      <c r="I14" s="515">
        <v>85620</v>
      </c>
      <c r="J14" s="564">
        <v>66064</v>
      </c>
      <c r="K14" s="547">
        <f>86760+500</f>
        <v>87260</v>
      </c>
      <c r="L14" s="203">
        <v>0</v>
      </c>
      <c r="M14" s="548">
        <f>SUM(K14:L14)</f>
        <v>87260</v>
      </c>
      <c r="N14" s="334">
        <f t="shared" si="2"/>
        <v>101.91544031768278</v>
      </c>
    </row>
    <row r="15" spans="1:16" ht="12.95" customHeight="1">
      <c r="B15" s="10"/>
      <c r="C15" s="11"/>
      <c r="D15" s="11"/>
      <c r="E15" s="293"/>
      <c r="F15" s="319"/>
      <c r="G15" s="11"/>
      <c r="H15" s="262"/>
      <c r="I15" s="262"/>
      <c r="J15" s="565"/>
      <c r="K15" s="558"/>
      <c r="L15" s="276"/>
      <c r="M15" s="553"/>
      <c r="N15" s="334" t="str">
        <f t="shared" si="2"/>
        <v/>
      </c>
    </row>
    <row r="16" spans="1:16" s="1" customFormat="1" ht="12.95" customHeight="1">
      <c r="A16" s="269"/>
      <c r="B16" s="12"/>
      <c r="C16" s="8"/>
      <c r="D16" s="8"/>
      <c r="E16" s="292">
        <v>613000</v>
      </c>
      <c r="F16" s="318"/>
      <c r="G16" s="8" t="s">
        <v>164</v>
      </c>
      <c r="H16" s="262">
        <f t="shared" ref="H16:I16" si="6">SUM(H17:H26)</f>
        <v>98650</v>
      </c>
      <c r="I16" s="262">
        <f t="shared" si="6"/>
        <v>98650</v>
      </c>
      <c r="J16" s="565">
        <v>46782</v>
      </c>
      <c r="K16" s="552">
        <f t="shared" ref="K16:M16" si="7">SUM(K17:K26)</f>
        <v>95650</v>
      </c>
      <c r="L16" s="281">
        <f t="shared" si="7"/>
        <v>0</v>
      </c>
      <c r="M16" s="553">
        <f t="shared" si="7"/>
        <v>95650</v>
      </c>
      <c r="N16" s="333">
        <f t="shared" si="2"/>
        <v>96.958945767866183</v>
      </c>
    </row>
    <row r="17" spans="1:14" ht="12.95" customHeight="1">
      <c r="B17" s="10"/>
      <c r="C17" s="11"/>
      <c r="D17" s="11"/>
      <c r="E17" s="293">
        <v>613100</v>
      </c>
      <c r="F17" s="319"/>
      <c r="G17" s="11" t="s">
        <v>84</v>
      </c>
      <c r="H17" s="515">
        <v>4000</v>
      </c>
      <c r="I17" s="515">
        <v>4000</v>
      </c>
      <c r="J17" s="536">
        <v>2683</v>
      </c>
      <c r="K17" s="637">
        <v>4000</v>
      </c>
      <c r="L17" s="350">
        <v>0</v>
      </c>
      <c r="M17" s="548">
        <f t="shared" ref="M17:M26" si="8">SUM(K17:L17)</f>
        <v>4000</v>
      </c>
      <c r="N17" s="334">
        <f t="shared" si="2"/>
        <v>100</v>
      </c>
    </row>
    <row r="18" spans="1:14" ht="12.95" customHeight="1">
      <c r="B18" s="10"/>
      <c r="C18" s="11"/>
      <c r="D18" s="11"/>
      <c r="E18" s="293">
        <v>613200</v>
      </c>
      <c r="F18" s="319"/>
      <c r="G18" s="11" t="s">
        <v>85</v>
      </c>
      <c r="H18" s="515">
        <v>55000</v>
      </c>
      <c r="I18" s="515">
        <v>55000</v>
      </c>
      <c r="J18" s="536">
        <v>20337</v>
      </c>
      <c r="K18" s="637">
        <v>55000</v>
      </c>
      <c r="L18" s="350">
        <v>0</v>
      </c>
      <c r="M18" s="548">
        <f t="shared" si="8"/>
        <v>55000</v>
      </c>
      <c r="N18" s="334">
        <f t="shared" si="2"/>
        <v>100</v>
      </c>
    </row>
    <row r="19" spans="1:14" ht="12.95" customHeight="1">
      <c r="B19" s="10"/>
      <c r="C19" s="11"/>
      <c r="D19" s="11"/>
      <c r="E19" s="293">
        <v>613300</v>
      </c>
      <c r="F19" s="319"/>
      <c r="G19" s="18" t="s">
        <v>200</v>
      </c>
      <c r="H19" s="515">
        <v>4500</v>
      </c>
      <c r="I19" s="515">
        <v>4500</v>
      </c>
      <c r="J19" s="536">
        <v>3023</v>
      </c>
      <c r="K19" s="637">
        <v>4000</v>
      </c>
      <c r="L19" s="350">
        <v>0</v>
      </c>
      <c r="M19" s="548">
        <f t="shared" si="8"/>
        <v>4000</v>
      </c>
      <c r="N19" s="334">
        <f t="shared" si="2"/>
        <v>88.888888888888886</v>
      </c>
    </row>
    <row r="20" spans="1:14" ht="12.95" customHeight="1">
      <c r="B20" s="10"/>
      <c r="C20" s="11"/>
      <c r="D20" s="11"/>
      <c r="E20" s="293">
        <v>613400</v>
      </c>
      <c r="F20" s="319"/>
      <c r="G20" s="11" t="s">
        <v>165</v>
      </c>
      <c r="H20" s="515">
        <v>12000</v>
      </c>
      <c r="I20" s="515">
        <v>12000</v>
      </c>
      <c r="J20" s="536">
        <v>8188</v>
      </c>
      <c r="K20" s="637">
        <v>11000</v>
      </c>
      <c r="L20" s="350">
        <v>0</v>
      </c>
      <c r="M20" s="548">
        <f t="shared" si="8"/>
        <v>11000</v>
      </c>
      <c r="N20" s="334">
        <f t="shared" si="2"/>
        <v>91.666666666666657</v>
      </c>
    </row>
    <row r="21" spans="1:14" ht="12.95" customHeight="1">
      <c r="B21" s="10"/>
      <c r="C21" s="11"/>
      <c r="D21" s="11"/>
      <c r="E21" s="293">
        <v>613500</v>
      </c>
      <c r="F21" s="319"/>
      <c r="G21" s="11" t="s">
        <v>86</v>
      </c>
      <c r="H21" s="515">
        <v>1000</v>
      </c>
      <c r="I21" s="515">
        <v>1000</v>
      </c>
      <c r="J21" s="536">
        <v>992</v>
      </c>
      <c r="K21" s="637">
        <v>1000</v>
      </c>
      <c r="L21" s="352">
        <v>0</v>
      </c>
      <c r="M21" s="548">
        <f t="shared" si="8"/>
        <v>1000</v>
      </c>
      <c r="N21" s="334">
        <f t="shared" si="2"/>
        <v>100</v>
      </c>
    </row>
    <row r="22" spans="1:14" ht="12.95" customHeight="1">
      <c r="B22" s="10"/>
      <c r="C22" s="11"/>
      <c r="D22" s="11"/>
      <c r="E22" s="293">
        <v>613600</v>
      </c>
      <c r="F22" s="319"/>
      <c r="G22" s="18" t="s">
        <v>201</v>
      </c>
      <c r="H22" s="515">
        <f t="shared" ref="H22:K26" si="9">SUM(F22:G22)</f>
        <v>0</v>
      </c>
      <c r="I22" s="515">
        <f t="shared" si="9"/>
        <v>0</v>
      </c>
      <c r="J22" s="536">
        <v>0</v>
      </c>
      <c r="K22" s="637">
        <f t="shared" si="9"/>
        <v>0</v>
      </c>
      <c r="L22" s="352">
        <v>0</v>
      </c>
      <c r="M22" s="548">
        <f t="shared" si="8"/>
        <v>0</v>
      </c>
      <c r="N22" s="334" t="str">
        <f t="shared" si="2"/>
        <v/>
      </c>
    </row>
    <row r="23" spans="1:14" ht="12.95" customHeight="1">
      <c r="B23" s="10"/>
      <c r="C23" s="11"/>
      <c r="D23" s="11"/>
      <c r="E23" s="293">
        <v>613700</v>
      </c>
      <c r="F23" s="319"/>
      <c r="G23" s="11" t="s">
        <v>87</v>
      </c>
      <c r="H23" s="515">
        <v>11100</v>
      </c>
      <c r="I23" s="515">
        <v>11100</v>
      </c>
      <c r="J23" s="536">
        <v>4300</v>
      </c>
      <c r="K23" s="637">
        <v>11100</v>
      </c>
      <c r="L23" s="352">
        <v>0</v>
      </c>
      <c r="M23" s="548">
        <f t="shared" si="8"/>
        <v>11100</v>
      </c>
      <c r="N23" s="334">
        <f t="shared" si="2"/>
        <v>100</v>
      </c>
    </row>
    <row r="24" spans="1:14" ht="12.95" customHeight="1">
      <c r="B24" s="10"/>
      <c r="C24" s="11"/>
      <c r="D24" s="11"/>
      <c r="E24" s="293">
        <v>613800</v>
      </c>
      <c r="F24" s="319"/>
      <c r="G24" s="11" t="s">
        <v>166</v>
      </c>
      <c r="H24" s="515">
        <v>1050</v>
      </c>
      <c r="I24" s="515">
        <v>1050</v>
      </c>
      <c r="J24" s="536">
        <v>1050</v>
      </c>
      <c r="K24" s="637">
        <v>1050</v>
      </c>
      <c r="L24" s="352">
        <v>0</v>
      </c>
      <c r="M24" s="548">
        <f t="shared" si="8"/>
        <v>1050</v>
      </c>
      <c r="N24" s="334">
        <f t="shared" si="2"/>
        <v>100</v>
      </c>
    </row>
    <row r="25" spans="1:14" ht="12.95" customHeight="1">
      <c r="B25" s="10"/>
      <c r="C25" s="11"/>
      <c r="D25" s="11"/>
      <c r="E25" s="293">
        <v>613900</v>
      </c>
      <c r="F25" s="319"/>
      <c r="G25" s="11" t="s">
        <v>167</v>
      </c>
      <c r="H25" s="515">
        <v>10000</v>
      </c>
      <c r="I25" s="515">
        <v>10000</v>
      </c>
      <c r="J25" s="536">
        <v>6209</v>
      </c>
      <c r="K25" s="637">
        <v>8500</v>
      </c>
      <c r="L25" s="352">
        <v>0</v>
      </c>
      <c r="M25" s="548">
        <f t="shared" si="8"/>
        <v>8500</v>
      </c>
      <c r="N25" s="334">
        <f t="shared" si="2"/>
        <v>85</v>
      </c>
    </row>
    <row r="26" spans="1:14" ht="12.95" customHeight="1">
      <c r="B26" s="10"/>
      <c r="C26" s="11"/>
      <c r="D26" s="11"/>
      <c r="E26" s="293">
        <v>613900</v>
      </c>
      <c r="F26" s="319"/>
      <c r="G26" s="180" t="s">
        <v>535</v>
      </c>
      <c r="H26" s="515">
        <f t="shared" si="9"/>
        <v>0</v>
      </c>
      <c r="I26" s="515">
        <f t="shared" si="9"/>
        <v>0</v>
      </c>
      <c r="J26" s="536">
        <v>0</v>
      </c>
      <c r="K26" s="637">
        <f t="shared" si="9"/>
        <v>0</v>
      </c>
      <c r="L26" s="348">
        <v>0</v>
      </c>
      <c r="M26" s="548">
        <f t="shared" si="8"/>
        <v>0</v>
      </c>
      <c r="N26" s="334" t="str">
        <f t="shared" si="2"/>
        <v/>
      </c>
    </row>
    <row r="27" spans="1:14" s="1" customFormat="1" ht="12.95" customHeight="1">
      <c r="A27" s="269"/>
      <c r="B27" s="12"/>
      <c r="C27" s="8"/>
      <c r="D27" s="8"/>
      <c r="E27" s="292"/>
      <c r="F27" s="318"/>
      <c r="G27" s="8"/>
      <c r="H27" s="516"/>
      <c r="I27" s="516"/>
      <c r="J27" s="537"/>
      <c r="K27" s="261"/>
      <c r="L27" s="283"/>
      <c r="M27" s="551"/>
      <c r="N27" s="334" t="str">
        <f t="shared" si="2"/>
        <v/>
      </c>
    </row>
    <row r="28" spans="1:14" s="1" customFormat="1" ht="12.95" customHeight="1">
      <c r="A28" s="269"/>
      <c r="B28" s="12"/>
      <c r="C28" s="8"/>
      <c r="D28" s="8"/>
      <c r="E28" s="292">
        <v>821000</v>
      </c>
      <c r="F28" s="318"/>
      <c r="G28" s="8" t="s">
        <v>90</v>
      </c>
      <c r="H28" s="262">
        <f t="shared" ref="H28:I28" si="10">SUM(H29:H30)</f>
        <v>16000</v>
      </c>
      <c r="I28" s="262">
        <f t="shared" si="10"/>
        <v>16000</v>
      </c>
      <c r="J28" s="565">
        <v>13992</v>
      </c>
      <c r="K28" s="557">
        <f t="shared" ref="K28:M28" si="11">SUM(K29:K30)</f>
        <v>30000</v>
      </c>
      <c r="L28" s="282">
        <f t="shared" si="11"/>
        <v>0</v>
      </c>
      <c r="M28" s="553">
        <f t="shared" si="11"/>
        <v>30000</v>
      </c>
      <c r="N28" s="333">
        <f t="shared" si="2"/>
        <v>187.5</v>
      </c>
    </row>
    <row r="29" spans="1:14" ht="12.95" customHeight="1">
      <c r="B29" s="10"/>
      <c r="C29" s="11"/>
      <c r="D29" s="11"/>
      <c r="E29" s="293">
        <v>821200</v>
      </c>
      <c r="F29" s="319"/>
      <c r="G29" s="11" t="s">
        <v>91</v>
      </c>
      <c r="H29" s="515">
        <v>11000</v>
      </c>
      <c r="I29" s="515">
        <v>11000</v>
      </c>
      <c r="J29" s="564">
        <v>10641</v>
      </c>
      <c r="K29" s="556">
        <f>10650+14000</f>
        <v>24650</v>
      </c>
      <c r="L29" s="283">
        <v>0</v>
      </c>
      <c r="M29" s="548">
        <f t="shared" ref="M29:M30" si="12">SUM(K29:L29)</f>
        <v>24650</v>
      </c>
      <c r="N29" s="334">
        <f t="shared" si="2"/>
        <v>224.09090909090907</v>
      </c>
    </row>
    <row r="30" spans="1:14" ht="12.95" customHeight="1">
      <c r="B30" s="10"/>
      <c r="C30" s="11"/>
      <c r="D30" s="11"/>
      <c r="E30" s="293">
        <v>821300</v>
      </c>
      <c r="F30" s="319"/>
      <c r="G30" s="11" t="s">
        <v>92</v>
      </c>
      <c r="H30" s="515">
        <v>5000</v>
      </c>
      <c r="I30" s="515">
        <v>5000</v>
      </c>
      <c r="J30" s="564">
        <v>3351</v>
      </c>
      <c r="K30" s="556">
        <v>5350</v>
      </c>
      <c r="L30" s="283">
        <v>0</v>
      </c>
      <c r="M30" s="548">
        <f t="shared" si="12"/>
        <v>5350</v>
      </c>
      <c r="N30" s="334">
        <f t="shared" si="2"/>
        <v>107</v>
      </c>
    </row>
    <row r="31" spans="1:14" ht="12.95" customHeight="1">
      <c r="B31" s="10"/>
      <c r="C31" s="11"/>
      <c r="D31" s="11"/>
      <c r="E31" s="293"/>
      <c r="F31" s="319"/>
      <c r="G31" s="11"/>
      <c r="H31" s="516"/>
      <c r="I31" s="516"/>
      <c r="J31" s="566"/>
      <c r="K31" s="550"/>
      <c r="L31" s="279"/>
      <c r="M31" s="551"/>
      <c r="N31" s="334" t="str">
        <f t="shared" si="2"/>
        <v/>
      </c>
    </row>
    <row r="32" spans="1:14" s="1" customFormat="1" ht="12.95" customHeight="1">
      <c r="A32" s="269"/>
      <c r="B32" s="12"/>
      <c r="C32" s="8"/>
      <c r="D32" s="8"/>
      <c r="E32" s="292"/>
      <c r="F32" s="318"/>
      <c r="G32" s="8" t="s">
        <v>93</v>
      </c>
      <c r="H32" s="517" t="s">
        <v>647</v>
      </c>
      <c r="I32" s="517" t="s">
        <v>647</v>
      </c>
      <c r="J32" s="579" t="s">
        <v>833</v>
      </c>
      <c r="K32" s="583" t="s">
        <v>833</v>
      </c>
      <c r="L32" s="284"/>
      <c r="M32" s="581" t="s">
        <v>833</v>
      </c>
      <c r="N32" s="334"/>
    </row>
    <row r="33" spans="1:14" s="1" customFormat="1" ht="12.95" customHeight="1">
      <c r="A33" s="269"/>
      <c r="B33" s="12"/>
      <c r="C33" s="8"/>
      <c r="D33" s="8"/>
      <c r="E33" s="292"/>
      <c r="F33" s="318"/>
      <c r="G33" s="8" t="s">
        <v>113</v>
      </c>
      <c r="H33" s="262">
        <f t="shared" ref="H33:M33" si="13">H8+H13+H16+H28</f>
        <v>1180080</v>
      </c>
      <c r="I33" s="276">
        <f t="shared" si="13"/>
        <v>1180080</v>
      </c>
      <c r="J33" s="565">
        <f t="shared" si="13"/>
        <v>828006</v>
      </c>
      <c r="K33" s="558">
        <f t="shared" si="13"/>
        <v>1169860</v>
      </c>
      <c r="L33" s="276">
        <f t="shared" si="13"/>
        <v>0</v>
      </c>
      <c r="M33" s="553">
        <f t="shared" si="13"/>
        <v>1169860</v>
      </c>
      <c r="N33" s="333">
        <f t="shared" si="2"/>
        <v>99.133957019863061</v>
      </c>
    </row>
    <row r="34" spans="1:14" s="1" customFormat="1" ht="12.95" customHeight="1">
      <c r="A34" s="269"/>
      <c r="B34" s="12"/>
      <c r="C34" s="8"/>
      <c r="D34" s="8"/>
      <c r="E34" s="292"/>
      <c r="F34" s="318"/>
      <c r="G34" s="8" t="s">
        <v>94</v>
      </c>
      <c r="H34" s="262"/>
      <c r="I34" s="276"/>
      <c r="J34" s="565"/>
      <c r="K34" s="558"/>
      <c r="L34" s="276"/>
      <c r="M34" s="553"/>
      <c r="N34" s="334" t="str">
        <f t="shared" si="2"/>
        <v/>
      </c>
    </row>
    <row r="35" spans="1:14" s="1" customFormat="1" ht="12.95" customHeight="1">
      <c r="A35" s="269"/>
      <c r="B35" s="12"/>
      <c r="C35" s="8"/>
      <c r="D35" s="8"/>
      <c r="E35" s="292"/>
      <c r="F35" s="318"/>
      <c r="G35" s="8" t="s">
        <v>95</v>
      </c>
      <c r="H35" s="516"/>
      <c r="I35" s="267"/>
      <c r="J35" s="566"/>
      <c r="K35" s="578"/>
      <c r="L35" s="267"/>
      <c r="M35" s="551"/>
      <c r="N35" s="334" t="str">
        <f t="shared" si="2"/>
        <v/>
      </c>
    </row>
    <row r="36" spans="1:14" ht="12.95" customHeight="1" thickBot="1">
      <c r="B36" s="15"/>
      <c r="C36" s="16"/>
      <c r="D36" s="16"/>
      <c r="E36" s="294"/>
      <c r="F36" s="320"/>
      <c r="G36" s="16"/>
      <c r="H36" s="518"/>
      <c r="I36" s="27"/>
      <c r="J36" s="567"/>
      <c r="K36" s="559"/>
      <c r="L36" s="27"/>
      <c r="M36" s="560"/>
      <c r="N36" s="336" t="str">
        <f t="shared" si="2"/>
        <v/>
      </c>
    </row>
    <row r="37" spans="1:14" ht="12.95" customHeight="1">
      <c r="E37" s="295"/>
      <c r="F37" s="321"/>
      <c r="M37" s="370"/>
      <c r="N37" s="337" t="str">
        <f t="shared" si="2"/>
        <v/>
      </c>
    </row>
    <row r="38" spans="1:14" ht="12.95" customHeight="1">
      <c r="B38" s="48"/>
      <c r="E38" s="295"/>
      <c r="F38" s="321"/>
      <c r="M38" s="370"/>
      <c r="N38" s="337" t="str">
        <f t="shared" si="2"/>
        <v/>
      </c>
    </row>
    <row r="39" spans="1:14" ht="12.95" customHeight="1">
      <c r="B39" s="48"/>
      <c r="E39" s="295"/>
      <c r="F39" s="321"/>
      <c r="M39" s="370"/>
      <c r="N39" s="337" t="str">
        <f t="shared" si="2"/>
        <v/>
      </c>
    </row>
    <row r="40" spans="1:14" ht="12.95" customHeight="1">
      <c r="B40" s="48"/>
      <c r="E40" s="295"/>
      <c r="F40" s="321"/>
      <c r="M40" s="370"/>
      <c r="N40" s="337" t="str">
        <f t="shared" si="2"/>
        <v/>
      </c>
    </row>
    <row r="41" spans="1:14" ht="12.95" customHeight="1">
      <c r="B41" s="48"/>
      <c r="E41" s="295"/>
      <c r="F41" s="321"/>
      <c r="M41" s="370"/>
      <c r="N41" s="337" t="str">
        <f t="shared" si="2"/>
        <v/>
      </c>
    </row>
    <row r="42" spans="1:14" ht="12.95" customHeight="1">
      <c r="B42" s="48"/>
      <c r="E42" s="295"/>
      <c r="F42" s="321"/>
      <c r="M42" s="370"/>
      <c r="N42" s="337" t="str">
        <f t="shared" si="2"/>
        <v/>
      </c>
    </row>
    <row r="43" spans="1:14" ht="12.95" customHeight="1">
      <c r="B43" s="48"/>
      <c r="E43" s="295"/>
      <c r="F43" s="321"/>
      <c r="M43" s="370"/>
      <c r="N43" s="337" t="str">
        <f t="shared" si="2"/>
        <v/>
      </c>
    </row>
    <row r="44" spans="1:14" ht="12.95" customHeight="1">
      <c r="B44" s="48"/>
      <c r="E44" s="295"/>
      <c r="F44" s="321"/>
      <c r="M44" s="370"/>
      <c r="N44" s="337" t="str">
        <f t="shared" si="2"/>
        <v/>
      </c>
    </row>
    <row r="45" spans="1:14" ht="12.95" customHeight="1">
      <c r="E45" s="295"/>
      <c r="F45" s="321"/>
      <c r="M45" s="370"/>
      <c r="N45" s="337" t="str">
        <f t="shared" si="2"/>
        <v/>
      </c>
    </row>
    <row r="46" spans="1:14" ht="12.95" customHeight="1">
      <c r="E46" s="295"/>
      <c r="F46" s="321"/>
      <c r="M46" s="370"/>
      <c r="N46" s="337" t="str">
        <f t="shared" si="2"/>
        <v/>
      </c>
    </row>
    <row r="47" spans="1:14" ht="12.95" customHeight="1">
      <c r="E47" s="295"/>
      <c r="F47" s="321"/>
      <c r="M47" s="370"/>
      <c r="N47" s="337" t="str">
        <f t="shared" si="2"/>
        <v/>
      </c>
    </row>
    <row r="48" spans="1:14" ht="12.95" customHeight="1">
      <c r="E48" s="295"/>
      <c r="F48" s="321"/>
      <c r="M48" s="370"/>
      <c r="N48" s="337" t="str">
        <f t="shared" si="2"/>
        <v/>
      </c>
    </row>
    <row r="49" spans="5:14" ht="12.95" customHeight="1">
      <c r="E49" s="295"/>
      <c r="F49" s="321"/>
      <c r="M49" s="370"/>
      <c r="N49" s="337" t="str">
        <f t="shared" si="2"/>
        <v/>
      </c>
    </row>
    <row r="50" spans="5:14" ht="12.95" customHeight="1">
      <c r="E50" s="295"/>
      <c r="F50" s="321"/>
      <c r="M50" s="370"/>
      <c r="N50" s="337" t="str">
        <f t="shared" si="2"/>
        <v/>
      </c>
    </row>
    <row r="51" spans="5:14" ht="12.95" customHeight="1">
      <c r="E51" s="295"/>
      <c r="F51" s="321"/>
      <c r="M51" s="370"/>
      <c r="N51" s="337" t="str">
        <f t="shared" si="2"/>
        <v/>
      </c>
    </row>
    <row r="52" spans="5:14" ht="12.95" customHeight="1">
      <c r="E52" s="295"/>
      <c r="F52" s="321"/>
      <c r="M52" s="370"/>
      <c r="N52" s="337" t="str">
        <f t="shared" si="2"/>
        <v/>
      </c>
    </row>
    <row r="53" spans="5:14" ht="12.95" customHeight="1">
      <c r="E53" s="295"/>
      <c r="F53" s="321"/>
      <c r="M53" s="370"/>
      <c r="N53" s="337" t="str">
        <f t="shared" si="2"/>
        <v/>
      </c>
    </row>
    <row r="54" spans="5:14" ht="12.95" customHeight="1">
      <c r="E54" s="295"/>
      <c r="F54" s="321"/>
      <c r="M54" s="370"/>
      <c r="N54" s="337" t="str">
        <f t="shared" si="2"/>
        <v/>
      </c>
    </row>
    <row r="55" spans="5:14" ht="12.95" customHeight="1">
      <c r="E55" s="295"/>
      <c r="F55" s="321"/>
      <c r="M55" s="370"/>
      <c r="N55" s="337" t="str">
        <f t="shared" si="2"/>
        <v/>
      </c>
    </row>
    <row r="56" spans="5:14" ht="12.95" customHeight="1">
      <c r="E56" s="295"/>
      <c r="F56" s="321"/>
      <c r="M56" s="370"/>
      <c r="N56" s="337" t="str">
        <f t="shared" si="2"/>
        <v/>
      </c>
    </row>
    <row r="57" spans="5:14" ht="12.95" customHeight="1">
      <c r="E57" s="295"/>
      <c r="F57" s="321"/>
      <c r="M57" s="370"/>
      <c r="N57" s="337" t="str">
        <f t="shared" si="2"/>
        <v/>
      </c>
    </row>
    <row r="58" spans="5:14" ht="12.95" customHeight="1">
      <c r="E58" s="295"/>
      <c r="F58" s="321"/>
      <c r="M58" s="370"/>
      <c r="N58" s="337" t="str">
        <f t="shared" si="2"/>
        <v/>
      </c>
    </row>
    <row r="59" spans="5:14" ht="12.95" customHeight="1">
      <c r="E59" s="295"/>
      <c r="F59" s="321"/>
      <c r="M59" s="370"/>
      <c r="N59" s="337" t="str">
        <f t="shared" si="2"/>
        <v/>
      </c>
    </row>
    <row r="60" spans="5:14" ht="17.100000000000001" customHeight="1">
      <c r="E60" s="295"/>
      <c r="F60" s="321"/>
      <c r="M60" s="370"/>
      <c r="N60" s="337" t="str">
        <f t="shared" si="2"/>
        <v/>
      </c>
    </row>
    <row r="61" spans="5:14" ht="14.25">
      <c r="E61" s="295"/>
      <c r="F61" s="321"/>
      <c r="M61" s="370"/>
      <c r="N61" s="337" t="str">
        <f t="shared" si="2"/>
        <v/>
      </c>
    </row>
    <row r="62" spans="5:14" ht="14.25">
      <c r="E62" s="295"/>
      <c r="F62" s="321"/>
      <c r="M62" s="370"/>
      <c r="N62" s="337" t="str">
        <f t="shared" si="2"/>
        <v/>
      </c>
    </row>
    <row r="63" spans="5:14" ht="14.25">
      <c r="E63" s="295"/>
      <c r="F63" s="321"/>
      <c r="M63" s="370"/>
      <c r="N63" s="337" t="str">
        <f t="shared" si="2"/>
        <v/>
      </c>
    </row>
    <row r="64" spans="5:14" ht="14.25">
      <c r="E64" s="295"/>
      <c r="F64" s="321"/>
      <c r="M64" s="370"/>
      <c r="N64" s="337" t="str">
        <f t="shared" si="2"/>
        <v/>
      </c>
    </row>
    <row r="65" spans="5:14" ht="14.25">
      <c r="E65" s="295"/>
      <c r="F65" s="321"/>
      <c r="M65" s="370"/>
      <c r="N65" s="337" t="str">
        <f t="shared" si="2"/>
        <v/>
      </c>
    </row>
    <row r="66" spans="5:14" ht="14.25">
      <c r="E66" s="295"/>
      <c r="F66" s="321"/>
      <c r="M66" s="370"/>
      <c r="N66" s="337" t="str">
        <f t="shared" si="2"/>
        <v/>
      </c>
    </row>
    <row r="67" spans="5:14" ht="14.25">
      <c r="E67" s="295"/>
      <c r="F67" s="321"/>
      <c r="M67" s="370"/>
      <c r="N67" s="337" t="str">
        <f t="shared" si="2"/>
        <v/>
      </c>
    </row>
    <row r="68" spans="5:14" ht="14.25">
      <c r="E68" s="295"/>
      <c r="F68" s="321"/>
      <c r="M68" s="370"/>
      <c r="N68" s="337" t="str">
        <f t="shared" si="2"/>
        <v/>
      </c>
    </row>
    <row r="69" spans="5:14" ht="14.25">
      <c r="E69" s="295"/>
      <c r="F69" s="321"/>
      <c r="M69" s="370"/>
      <c r="N69" s="337" t="str">
        <f t="shared" si="2"/>
        <v/>
      </c>
    </row>
    <row r="70" spans="5:14" ht="14.25">
      <c r="E70" s="295"/>
      <c r="F70" s="321"/>
      <c r="M70" s="370"/>
      <c r="N70" s="337" t="str">
        <f t="shared" si="2"/>
        <v/>
      </c>
    </row>
    <row r="71" spans="5:14" ht="14.25">
      <c r="E71" s="295"/>
      <c r="F71" s="321"/>
      <c r="M71" s="370"/>
      <c r="N71" s="337" t="str">
        <f t="shared" si="2"/>
        <v/>
      </c>
    </row>
    <row r="72" spans="5:14" ht="14.25">
      <c r="E72" s="295"/>
      <c r="F72" s="321"/>
      <c r="M72" s="370"/>
      <c r="N72" s="337" t="str">
        <f t="shared" si="2"/>
        <v/>
      </c>
    </row>
    <row r="73" spans="5:14" ht="14.25">
      <c r="E73" s="295"/>
      <c r="F73" s="321"/>
      <c r="M73" s="370"/>
      <c r="N73" s="337" t="str">
        <f t="shared" ref="N73:N77" si="14">IF(I73=0,"",M73/I73*100)</f>
        <v/>
      </c>
    </row>
    <row r="74" spans="5:14" ht="14.25">
      <c r="E74" s="295"/>
      <c r="F74" s="295"/>
      <c r="M74" s="370"/>
      <c r="N74" s="337" t="str">
        <f t="shared" si="14"/>
        <v/>
      </c>
    </row>
    <row r="75" spans="5:14" ht="14.25">
      <c r="E75" s="295"/>
      <c r="F75" s="295"/>
      <c r="M75" s="370"/>
      <c r="N75" s="337" t="str">
        <f t="shared" si="14"/>
        <v/>
      </c>
    </row>
    <row r="76" spans="5:14" ht="14.25">
      <c r="E76" s="295"/>
      <c r="F76" s="295"/>
      <c r="M76" s="370"/>
      <c r="N76" s="337" t="str">
        <f t="shared" si="14"/>
        <v/>
      </c>
    </row>
    <row r="77" spans="5:14" ht="14.25">
      <c r="E77" s="295"/>
      <c r="F77" s="295"/>
      <c r="M77" s="370"/>
      <c r="N77" s="337" t="str">
        <f t="shared" si="14"/>
        <v/>
      </c>
    </row>
    <row r="78" spans="5:14" ht="14.25">
      <c r="E78" s="295"/>
      <c r="F78" s="295"/>
      <c r="M78" s="370"/>
    </row>
    <row r="79" spans="5:14" ht="14.25">
      <c r="E79" s="295"/>
      <c r="F79" s="295"/>
      <c r="M79" s="370"/>
    </row>
    <row r="80" spans="5:14" ht="14.25">
      <c r="E80" s="295"/>
      <c r="F80" s="295"/>
      <c r="M80" s="370"/>
    </row>
    <row r="81" spans="5:13" ht="14.25">
      <c r="E81" s="295"/>
      <c r="F81" s="295"/>
      <c r="M81" s="370"/>
    </row>
    <row r="82" spans="5:13" ht="14.25">
      <c r="E82" s="295"/>
      <c r="F82" s="295"/>
      <c r="M82" s="370"/>
    </row>
    <row r="83" spans="5:13" ht="14.25">
      <c r="E83" s="295"/>
      <c r="F83" s="295"/>
      <c r="M83" s="370"/>
    </row>
    <row r="84" spans="5:13" ht="14.25">
      <c r="E84" s="295"/>
      <c r="F84" s="295"/>
      <c r="M84" s="370"/>
    </row>
    <row r="85" spans="5:13" ht="14.25">
      <c r="E85" s="295"/>
      <c r="F85" s="295"/>
      <c r="M85" s="370"/>
    </row>
    <row r="86" spans="5:13" ht="14.25">
      <c r="E86" s="295"/>
      <c r="F86" s="295"/>
      <c r="M86" s="370"/>
    </row>
    <row r="87" spans="5:13" ht="14.25">
      <c r="E87" s="295"/>
      <c r="F87" s="295"/>
      <c r="M87" s="370"/>
    </row>
    <row r="88" spans="5:13" ht="14.25">
      <c r="E88" s="295"/>
      <c r="F88" s="295"/>
      <c r="M88" s="370"/>
    </row>
    <row r="89" spans="5:13" ht="14.25">
      <c r="E89" s="295"/>
      <c r="F89" s="295"/>
      <c r="M89" s="370"/>
    </row>
    <row r="90" spans="5:13" ht="14.25">
      <c r="E90" s="295"/>
      <c r="F90" s="295"/>
      <c r="M90" s="370"/>
    </row>
    <row r="91" spans="5:13">
      <c r="F91" s="295"/>
    </row>
    <row r="92" spans="5:13">
      <c r="F92" s="295"/>
    </row>
    <row r="93" spans="5:13">
      <c r="F93" s="295"/>
    </row>
    <row r="94" spans="5:13">
      <c r="F94" s="295"/>
    </row>
    <row r="95" spans="5:13">
      <c r="F95" s="295"/>
    </row>
    <row r="96" spans="5:13">
      <c r="F96" s="295"/>
    </row>
  </sheetData>
  <mergeCells count="12">
    <mergeCell ref="B2:N2"/>
    <mergeCell ref="N4:N5"/>
    <mergeCell ref="G4:G5"/>
    <mergeCell ref="B4:B5"/>
    <mergeCell ref="C4:C5"/>
    <mergeCell ref="D4:D5"/>
    <mergeCell ref="F4:F5"/>
    <mergeCell ref="E4:E5"/>
    <mergeCell ref="K4:M4"/>
    <mergeCell ref="H4:H5"/>
    <mergeCell ref="I4:I5"/>
    <mergeCell ref="J4:J5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 codeName="Sheet31"/>
  <dimension ref="A1:P96"/>
  <sheetViews>
    <sheetView zoomScaleNormal="100" workbookViewId="0">
      <selection activeCell="K10" sqref="K10"/>
    </sheetView>
  </sheetViews>
  <sheetFormatPr defaultRowHeight="12.75"/>
  <cols>
    <col min="1" max="1" width="9.140625" style="272"/>
    <col min="2" max="2" width="4.7109375" style="9" customWidth="1"/>
    <col min="3" max="3" width="5.140625" style="9" customWidth="1"/>
    <col min="4" max="4" width="5" style="9" customWidth="1"/>
    <col min="5" max="5" width="8.7109375" style="17" customWidth="1"/>
    <col min="6" max="6" width="8.7109375" style="277" customWidth="1"/>
    <col min="7" max="7" width="50.7109375" style="9" customWidth="1"/>
    <col min="8" max="8" width="14.7109375" style="519" customWidth="1"/>
    <col min="9" max="9" width="14.7109375" style="54" customWidth="1"/>
    <col min="10" max="10" width="15.7109375" style="519" customWidth="1"/>
    <col min="11" max="12" width="14.7109375" style="54" customWidth="1"/>
    <col min="13" max="13" width="15.7109375" style="54" customWidth="1"/>
    <col min="14" max="14" width="7.7109375" style="337" customWidth="1"/>
    <col min="15" max="16384" width="9.140625" style="9"/>
  </cols>
  <sheetData>
    <row r="1" spans="1:16" ht="13.5" thickBot="1"/>
    <row r="2" spans="1:16" s="93" customFormat="1" ht="20.100000000000001" customHeight="1" thickTop="1" thickBot="1">
      <c r="A2" s="363"/>
      <c r="B2" s="725" t="s">
        <v>173</v>
      </c>
      <c r="C2" s="726"/>
      <c r="D2" s="726"/>
      <c r="E2" s="726"/>
      <c r="F2" s="726"/>
      <c r="G2" s="726"/>
      <c r="H2" s="508"/>
      <c r="I2" s="364"/>
      <c r="J2" s="508"/>
      <c r="K2" s="364"/>
      <c r="L2" s="364"/>
      <c r="M2" s="364"/>
      <c r="N2" s="367"/>
    </row>
    <row r="3" spans="1:16" s="1" customFormat="1" ht="8.1" customHeight="1" thickTop="1" thickBot="1">
      <c r="A3" s="269"/>
      <c r="E3" s="2"/>
      <c r="F3" s="270"/>
      <c r="G3" s="488"/>
      <c r="H3" s="511"/>
      <c r="I3" s="87"/>
      <c r="J3" s="511"/>
      <c r="K3" s="87"/>
      <c r="L3" s="87"/>
      <c r="M3" s="87"/>
      <c r="N3" s="331"/>
    </row>
    <row r="4" spans="1:16" s="1" customFormat="1" ht="39" customHeight="1">
      <c r="A4" s="269"/>
      <c r="B4" s="728" t="s">
        <v>78</v>
      </c>
      <c r="C4" s="746" t="s">
        <v>79</v>
      </c>
      <c r="D4" s="747" t="s">
        <v>110</v>
      </c>
      <c r="E4" s="748" t="s">
        <v>594</v>
      </c>
      <c r="F4" s="733" t="s">
        <v>650</v>
      </c>
      <c r="G4" s="734" t="s">
        <v>80</v>
      </c>
      <c r="H4" s="740" t="s">
        <v>644</v>
      </c>
      <c r="I4" s="742" t="s">
        <v>821</v>
      </c>
      <c r="J4" s="744" t="s">
        <v>822</v>
      </c>
      <c r="K4" s="749" t="s">
        <v>863</v>
      </c>
      <c r="L4" s="738"/>
      <c r="M4" s="739"/>
      <c r="N4" s="735" t="s">
        <v>823</v>
      </c>
    </row>
    <row r="5" spans="1:16" s="269" customFormat="1" ht="27" customHeight="1">
      <c r="B5" s="729"/>
      <c r="C5" s="731"/>
      <c r="D5" s="731"/>
      <c r="E5" s="722"/>
      <c r="F5" s="731"/>
      <c r="G5" s="722"/>
      <c r="H5" s="741"/>
      <c r="I5" s="743"/>
      <c r="J5" s="745"/>
      <c r="K5" s="540" t="s">
        <v>701</v>
      </c>
      <c r="L5" s="359" t="s">
        <v>702</v>
      </c>
      <c r="M5" s="541" t="s">
        <v>413</v>
      </c>
      <c r="N5" s="736"/>
    </row>
    <row r="6" spans="1:16" s="2" customFormat="1" ht="12.95" customHeight="1">
      <c r="A6" s="270"/>
      <c r="B6" s="464">
        <v>1</v>
      </c>
      <c r="C6" s="318">
        <v>2</v>
      </c>
      <c r="D6" s="318">
        <v>3</v>
      </c>
      <c r="E6" s="318">
        <v>4</v>
      </c>
      <c r="F6" s="318">
        <v>5</v>
      </c>
      <c r="G6" s="318">
        <v>6</v>
      </c>
      <c r="H6" s="512">
        <v>7</v>
      </c>
      <c r="I6" s="318">
        <v>8</v>
      </c>
      <c r="J6" s="561">
        <v>9</v>
      </c>
      <c r="K6" s="464">
        <v>10</v>
      </c>
      <c r="L6" s="318">
        <v>11</v>
      </c>
      <c r="M6" s="542" t="s">
        <v>703</v>
      </c>
      <c r="N6" s="465">
        <v>13</v>
      </c>
    </row>
    <row r="7" spans="1:16" s="2" customFormat="1" ht="12.95" customHeight="1">
      <c r="A7" s="270"/>
      <c r="B7" s="6" t="s">
        <v>143</v>
      </c>
      <c r="C7" s="7" t="s">
        <v>145</v>
      </c>
      <c r="D7" s="7" t="s">
        <v>147</v>
      </c>
      <c r="E7" s="5"/>
      <c r="F7" s="271"/>
      <c r="G7" s="5"/>
      <c r="H7" s="520"/>
      <c r="I7" s="81"/>
      <c r="J7" s="562"/>
      <c r="K7" s="543"/>
      <c r="L7" s="81"/>
      <c r="M7" s="544"/>
      <c r="N7" s="332"/>
    </row>
    <row r="8" spans="1:16" s="1" customFormat="1" ht="12.95" customHeight="1">
      <c r="A8" s="269"/>
      <c r="B8" s="12"/>
      <c r="C8" s="8"/>
      <c r="D8" s="8"/>
      <c r="E8" s="292">
        <v>611000</v>
      </c>
      <c r="F8" s="318"/>
      <c r="G8" s="8" t="s">
        <v>163</v>
      </c>
      <c r="H8" s="514">
        <f t="shared" ref="H8:I8" si="0">SUM(H9:H11)</f>
        <v>390200</v>
      </c>
      <c r="I8" s="514">
        <f t="shared" si="0"/>
        <v>390200</v>
      </c>
      <c r="J8" s="563">
        <v>283635</v>
      </c>
      <c r="K8" s="545">
        <f t="shared" ref="K8:M8" si="1">SUM(K9:K11)</f>
        <v>377070</v>
      </c>
      <c r="L8" s="201">
        <f t="shared" si="1"/>
        <v>0</v>
      </c>
      <c r="M8" s="546">
        <f t="shared" si="1"/>
        <v>377070</v>
      </c>
      <c r="N8" s="333">
        <f>IF(I8=0,"",M8/I8*100)</f>
        <v>96.635058944131217</v>
      </c>
    </row>
    <row r="9" spans="1:16" ht="12.95" customHeight="1">
      <c r="B9" s="10"/>
      <c r="C9" s="11"/>
      <c r="D9" s="11"/>
      <c r="E9" s="293">
        <v>611100</v>
      </c>
      <c r="F9" s="319"/>
      <c r="G9" s="18" t="s">
        <v>198</v>
      </c>
      <c r="H9" s="515">
        <v>315900</v>
      </c>
      <c r="I9" s="515">
        <v>315900</v>
      </c>
      <c r="J9" s="564">
        <v>233615</v>
      </c>
      <c r="K9" s="547">
        <f>302650+1500</f>
        <v>304150</v>
      </c>
      <c r="L9" s="203">
        <v>0</v>
      </c>
      <c r="M9" s="548">
        <f>SUM(K9:L9)</f>
        <v>304150</v>
      </c>
      <c r="N9" s="334">
        <f t="shared" ref="N9:N72" si="2">IF(I9=0,"",M9/I9*100)</f>
        <v>96.280468502690724</v>
      </c>
    </row>
    <row r="10" spans="1:16" ht="12.95" customHeight="1">
      <c r="B10" s="10"/>
      <c r="C10" s="11"/>
      <c r="D10" s="11"/>
      <c r="E10" s="293">
        <v>611200</v>
      </c>
      <c r="F10" s="319"/>
      <c r="G10" s="11" t="s">
        <v>199</v>
      </c>
      <c r="H10" s="515">
        <v>74300</v>
      </c>
      <c r="I10" s="515">
        <v>74300</v>
      </c>
      <c r="J10" s="564">
        <v>50020</v>
      </c>
      <c r="K10" s="547">
        <f>65850+1000+1820+17*250</f>
        <v>72920</v>
      </c>
      <c r="L10" s="203">
        <v>0</v>
      </c>
      <c r="M10" s="548">
        <f t="shared" ref="M10:M11" si="3">SUM(K10:L10)</f>
        <v>72920</v>
      </c>
      <c r="N10" s="334">
        <f t="shared" si="2"/>
        <v>98.142664872139974</v>
      </c>
    </row>
    <row r="11" spans="1:16" ht="12.95" customHeight="1">
      <c r="B11" s="10"/>
      <c r="C11" s="11"/>
      <c r="D11" s="11"/>
      <c r="E11" s="293">
        <v>611200</v>
      </c>
      <c r="F11" s="319"/>
      <c r="G11" s="180" t="s">
        <v>534</v>
      </c>
      <c r="H11" s="515">
        <f t="shared" ref="H11:I11" si="4">SUM(F11:G11)</f>
        <v>0</v>
      </c>
      <c r="I11" s="515">
        <f t="shared" si="4"/>
        <v>0</v>
      </c>
      <c r="J11" s="564">
        <v>0</v>
      </c>
      <c r="K11" s="549">
        <v>0</v>
      </c>
      <c r="L11" s="200">
        <v>0</v>
      </c>
      <c r="M11" s="548">
        <f t="shared" si="3"/>
        <v>0</v>
      </c>
      <c r="N11" s="334" t="str">
        <f t="shared" si="2"/>
        <v/>
      </c>
      <c r="P11" s="53"/>
    </row>
    <row r="12" spans="1:16" ht="12.95" customHeight="1">
      <c r="B12" s="10"/>
      <c r="C12" s="11"/>
      <c r="D12" s="11"/>
      <c r="E12" s="293"/>
      <c r="F12" s="319"/>
      <c r="G12" s="11"/>
      <c r="H12" s="514"/>
      <c r="I12" s="514"/>
      <c r="J12" s="563"/>
      <c r="K12" s="545"/>
      <c r="L12" s="201"/>
      <c r="M12" s="546"/>
      <c r="N12" s="334" t="str">
        <f t="shared" si="2"/>
        <v/>
      </c>
    </row>
    <row r="13" spans="1:16" s="1" customFormat="1" ht="12.95" customHeight="1">
      <c r="A13" s="269"/>
      <c r="B13" s="12"/>
      <c r="C13" s="8"/>
      <c r="D13" s="8"/>
      <c r="E13" s="292">
        <v>612000</v>
      </c>
      <c r="F13" s="318"/>
      <c r="G13" s="8" t="s">
        <v>162</v>
      </c>
      <c r="H13" s="514">
        <f t="shared" ref="H13:M13" si="5">H14</f>
        <v>35840</v>
      </c>
      <c r="I13" s="514">
        <f t="shared" si="5"/>
        <v>35840</v>
      </c>
      <c r="J13" s="563">
        <v>25784</v>
      </c>
      <c r="K13" s="545">
        <f t="shared" si="5"/>
        <v>33690</v>
      </c>
      <c r="L13" s="201">
        <f t="shared" si="5"/>
        <v>0</v>
      </c>
      <c r="M13" s="546">
        <f t="shared" si="5"/>
        <v>33690</v>
      </c>
      <c r="N13" s="333">
        <f t="shared" si="2"/>
        <v>94.001116071428569</v>
      </c>
    </row>
    <row r="14" spans="1:16" ht="12.95" customHeight="1">
      <c r="B14" s="10"/>
      <c r="C14" s="11"/>
      <c r="D14" s="11"/>
      <c r="E14" s="293">
        <v>612100</v>
      </c>
      <c r="F14" s="319"/>
      <c r="G14" s="13" t="s">
        <v>83</v>
      </c>
      <c r="H14" s="515">
        <v>35840</v>
      </c>
      <c r="I14" s="515">
        <v>35840</v>
      </c>
      <c r="J14" s="564">
        <v>25784</v>
      </c>
      <c r="K14" s="547">
        <f>33190+500</f>
        <v>33690</v>
      </c>
      <c r="L14" s="203">
        <v>0</v>
      </c>
      <c r="M14" s="548">
        <f>SUM(K14:L14)</f>
        <v>33690</v>
      </c>
      <c r="N14" s="334">
        <f t="shared" si="2"/>
        <v>94.001116071428569</v>
      </c>
    </row>
    <row r="15" spans="1:16" ht="12.95" customHeight="1">
      <c r="B15" s="10"/>
      <c r="C15" s="11"/>
      <c r="D15" s="11"/>
      <c r="E15" s="293"/>
      <c r="F15" s="319"/>
      <c r="G15" s="11"/>
      <c r="H15" s="262"/>
      <c r="I15" s="262"/>
      <c r="J15" s="565"/>
      <c r="K15" s="558"/>
      <c r="L15" s="276"/>
      <c r="M15" s="553"/>
      <c r="N15" s="334" t="str">
        <f t="shared" si="2"/>
        <v/>
      </c>
    </row>
    <row r="16" spans="1:16" s="1" customFormat="1" ht="12.95" customHeight="1">
      <c r="A16" s="269"/>
      <c r="B16" s="12"/>
      <c r="C16" s="8"/>
      <c r="D16" s="8"/>
      <c r="E16" s="292">
        <v>613000</v>
      </c>
      <c r="F16" s="318"/>
      <c r="G16" s="8" t="s">
        <v>164</v>
      </c>
      <c r="H16" s="262">
        <f t="shared" ref="H16:I16" si="6">SUM(H17:H26)</f>
        <v>47300</v>
      </c>
      <c r="I16" s="262">
        <f t="shared" si="6"/>
        <v>47300</v>
      </c>
      <c r="J16" s="565">
        <v>31402</v>
      </c>
      <c r="K16" s="552">
        <f t="shared" ref="K16:M16" si="7">SUM(K17:K26)</f>
        <v>45500</v>
      </c>
      <c r="L16" s="281">
        <f t="shared" si="7"/>
        <v>2080</v>
      </c>
      <c r="M16" s="553">
        <f t="shared" si="7"/>
        <v>47580</v>
      </c>
      <c r="N16" s="333">
        <f t="shared" si="2"/>
        <v>100.59196617336153</v>
      </c>
    </row>
    <row r="17" spans="1:14" ht="12.95" customHeight="1">
      <c r="B17" s="10"/>
      <c r="C17" s="11"/>
      <c r="D17" s="11"/>
      <c r="E17" s="293">
        <v>613100</v>
      </c>
      <c r="F17" s="319"/>
      <c r="G17" s="11" t="s">
        <v>84</v>
      </c>
      <c r="H17" s="515">
        <v>4000</v>
      </c>
      <c r="I17" s="515">
        <v>4000</v>
      </c>
      <c r="J17" s="564">
        <v>2181</v>
      </c>
      <c r="K17" s="554">
        <v>3200</v>
      </c>
      <c r="L17" s="350">
        <v>0</v>
      </c>
      <c r="M17" s="548">
        <f t="shared" ref="M17:M26" si="8">SUM(K17:L17)</f>
        <v>3200</v>
      </c>
      <c r="N17" s="334">
        <f t="shared" si="2"/>
        <v>80</v>
      </c>
    </row>
    <row r="18" spans="1:14" ht="12.95" customHeight="1">
      <c r="B18" s="10"/>
      <c r="C18" s="11"/>
      <c r="D18" s="11"/>
      <c r="E18" s="293">
        <v>613200</v>
      </c>
      <c r="F18" s="319"/>
      <c r="G18" s="11" t="s">
        <v>85</v>
      </c>
      <c r="H18" s="515">
        <v>16200</v>
      </c>
      <c r="I18" s="515">
        <v>16200</v>
      </c>
      <c r="J18" s="564">
        <v>8887</v>
      </c>
      <c r="K18" s="554">
        <v>16200</v>
      </c>
      <c r="L18" s="350">
        <v>0</v>
      </c>
      <c r="M18" s="548">
        <f t="shared" si="8"/>
        <v>16200</v>
      </c>
      <c r="N18" s="334">
        <f t="shared" si="2"/>
        <v>100</v>
      </c>
    </row>
    <row r="19" spans="1:14" ht="12.95" customHeight="1">
      <c r="B19" s="10"/>
      <c r="C19" s="11"/>
      <c r="D19" s="11"/>
      <c r="E19" s="293">
        <v>613300</v>
      </c>
      <c r="F19" s="319"/>
      <c r="G19" s="18" t="s">
        <v>200</v>
      </c>
      <c r="H19" s="515">
        <v>2500</v>
      </c>
      <c r="I19" s="515">
        <v>2500</v>
      </c>
      <c r="J19" s="564">
        <v>1759</v>
      </c>
      <c r="K19" s="554">
        <v>2500</v>
      </c>
      <c r="L19" s="350">
        <v>0</v>
      </c>
      <c r="M19" s="548">
        <f t="shared" si="8"/>
        <v>2500</v>
      </c>
      <c r="N19" s="334">
        <f t="shared" si="2"/>
        <v>100</v>
      </c>
    </row>
    <row r="20" spans="1:14" ht="12.95" customHeight="1">
      <c r="B20" s="10"/>
      <c r="C20" s="11"/>
      <c r="D20" s="11"/>
      <c r="E20" s="293">
        <v>613400</v>
      </c>
      <c r="F20" s="319"/>
      <c r="G20" s="11" t="s">
        <v>165</v>
      </c>
      <c r="H20" s="515">
        <v>10500</v>
      </c>
      <c r="I20" s="515">
        <v>10500</v>
      </c>
      <c r="J20" s="564">
        <v>6469</v>
      </c>
      <c r="K20" s="554">
        <v>9500</v>
      </c>
      <c r="L20" s="350">
        <v>0</v>
      </c>
      <c r="M20" s="548">
        <f t="shared" si="8"/>
        <v>9500</v>
      </c>
      <c r="N20" s="334">
        <f t="shared" si="2"/>
        <v>90.476190476190482</v>
      </c>
    </row>
    <row r="21" spans="1:14" ht="12.95" customHeight="1">
      <c r="B21" s="10"/>
      <c r="C21" s="11"/>
      <c r="D21" s="11"/>
      <c r="E21" s="293">
        <v>613500</v>
      </c>
      <c r="F21" s="319"/>
      <c r="G21" s="11" t="s">
        <v>86</v>
      </c>
      <c r="H21" s="515">
        <v>600</v>
      </c>
      <c r="I21" s="515">
        <v>600</v>
      </c>
      <c r="J21" s="564">
        <v>580</v>
      </c>
      <c r="K21" s="554">
        <v>600</v>
      </c>
      <c r="L21" s="350">
        <v>0</v>
      </c>
      <c r="M21" s="548">
        <f t="shared" si="8"/>
        <v>600</v>
      </c>
      <c r="N21" s="334">
        <f t="shared" si="2"/>
        <v>100</v>
      </c>
    </row>
    <row r="22" spans="1:14" ht="12.95" customHeight="1">
      <c r="B22" s="10"/>
      <c r="C22" s="11"/>
      <c r="D22" s="11"/>
      <c r="E22" s="293">
        <v>613600</v>
      </c>
      <c r="F22" s="319"/>
      <c r="G22" s="18" t="s">
        <v>201</v>
      </c>
      <c r="H22" s="515">
        <f t="shared" ref="H22:I26" si="9">SUM(F22:G22)</f>
        <v>0</v>
      </c>
      <c r="I22" s="515">
        <f t="shared" si="9"/>
        <v>0</v>
      </c>
      <c r="J22" s="564">
        <v>0</v>
      </c>
      <c r="K22" s="554">
        <v>0</v>
      </c>
      <c r="L22" s="350">
        <v>0</v>
      </c>
      <c r="M22" s="548">
        <f t="shared" si="8"/>
        <v>0</v>
      </c>
      <c r="N22" s="334" t="str">
        <f t="shared" si="2"/>
        <v/>
      </c>
    </row>
    <row r="23" spans="1:14" ht="12.95" customHeight="1">
      <c r="B23" s="10"/>
      <c r="C23" s="11"/>
      <c r="D23" s="11"/>
      <c r="E23" s="293">
        <v>613700</v>
      </c>
      <c r="F23" s="319"/>
      <c r="G23" s="11" t="s">
        <v>87</v>
      </c>
      <c r="H23" s="515">
        <v>6500</v>
      </c>
      <c r="I23" s="515">
        <v>6000</v>
      </c>
      <c r="J23" s="564">
        <v>4101</v>
      </c>
      <c r="K23" s="554">
        <v>6000</v>
      </c>
      <c r="L23" s="350">
        <v>0</v>
      </c>
      <c r="M23" s="548">
        <f t="shared" si="8"/>
        <v>6000</v>
      </c>
      <c r="N23" s="334">
        <f t="shared" si="2"/>
        <v>100</v>
      </c>
    </row>
    <row r="24" spans="1:14" ht="12.95" customHeight="1">
      <c r="B24" s="10"/>
      <c r="C24" s="11"/>
      <c r="D24" s="11"/>
      <c r="E24" s="293">
        <v>613800</v>
      </c>
      <c r="F24" s="319"/>
      <c r="G24" s="11" t="s">
        <v>166</v>
      </c>
      <c r="H24" s="515">
        <f t="shared" si="9"/>
        <v>0</v>
      </c>
      <c r="I24" s="515">
        <f t="shared" si="9"/>
        <v>0</v>
      </c>
      <c r="J24" s="564">
        <v>0</v>
      </c>
      <c r="K24" s="555">
        <v>0</v>
      </c>
      <c r="L24" s="352">
        <v>0</v>
      </c>
      <c r="M24" s="548">
        <f t="shared" si="8"/>
        <v>0</v>
      </c>
      <c r="N24" s="334" t="str">
        <f t="shared" si="2"/>
        <v/>
      </c>
    </row>
    <row r="25" spans="1:14" ht="12.95" customHeight="1">
      <c r="B25" s="10"/>
      <c r="C25" s="11"/>
      <c r="D25" s="11"/>
      <c r="E25" s="293">
        <v>613900</v>
      </c>
      <c r="F25" s="319"/>
      <c r="G25" s="11" t="s">
        <v>167</v>
      </c>
      <c r="H25" s="515">
        <v>7000</v>
      </c>
      <c r="I25" s="515">
        <v>7500</v>
      </c>
      <c r="J25" s="564">
        <v>7425</v>
      </c>
      <c r="K25" s="555">
        <v>7500</v>
      </c>
      <c r="L25" s="352">
        <v>2080</v>
      </c>
      <c r="M25" s="548">
        <f t="shared" si="8"/>
        <v>9580</v>
      </c>
      <c r="N25" s="334">
        <f t="shared" si="2"/>
        <v>127.73333333333335</v>
      </c>
    </row>
    <row r="26" spans="1:14" ht="12.95" customHeight="1">
      <c r="B26" s="10"/>
      <c r="C26" s="11"/>
      <c r="D26" s="11"/>
      <c r="E26" s="293">
        <v>613900</v>
      </c>
      <c r="F26" s="319"/>
      <c r="G26" s="180" t="s">
        <v>535</v>
      </c>
      <c r="H26" s="515">
        <f t="shared" si="9"/>
        <v>0</v>
      </c>
      <c r="I26" s="515">
        <f t="shared" si="9"/>
        <v>0</v>
      </c>
      <c r="J26" s="564">
        <v>0</v>
      </c>
      <c r="K26" s="555"/>
      <c r="L26" s="352"/>
      <c r="M26" s="548">
        <f t="shared" si="8"/>
        <v>0</v>
      </c>
      <c r="N26" s="334" t="str">
        <f t="shared" si="2"/>
        <v/>
      </c>
    </row>
    <row r="27" spans="1:14" ht="12.95" customHeight="1">
      <c r="B27" s="10"/>
      <c r="C27" s="11"/>
      <c r="D27" s="11"/>
      <c r="E27" s="293"/>
      <c r="F27" s="319"/>
      <c r="G27" s="11"/>
      <c r="H27" s="262"/>
      <c r="I27" s="262"/>
      <c r="J27" s="565"/>
      <c r="K27" s="557"/>
      <c r="L27" s="282"/>
      <c r="M27" s="553"/>
      <c r="N27" s="334" t="str">
        <f t="shared" si="2"/>
        <v/>
      </c>
    </row>
    <row r="28" spans="1:14" s="1" customFormat="1" ht="12.95" customHeight="1">
      <c r="A28" s="269"/>
      <c r="B28" s="12"/>
      <c r="C28" s="8"/>
      <c r="D28" s="8"/>
      <c r="E28" s="292">
        <v>821000</v>
      </c>
      <c r="F28" s="318"/>
      <c r="G28" s="8" t="s">
        <v>90</v>
      </c>
      <c r="H28" s="262">
        <f t="shared" ref="H28:I28" si="10">SUM(H29:H30)</f>
        <v>3000</v>
      </c>
      <c r="I28" s="262">
        <f t="shared" si="10"/>
        <v>6000</v>
      </c>
      <c r="J28" s="565">
        <v>5982</v>
      </c>
      <c r="K28" s="557">
        <f t="shared" ref="K28:M28" si="11">SUM(K29:K30)</f>
        <v>3000</v>
      </c>
      <c r="L28" s="282">
        <f t="shared" si="11"/>
        <v>5000</v>
      </c>
      <c r="M28" s="553">
        <f t="shared" si="11"/>
        <v>8000</v>
      </c>
      <c r="N28" s="333">
        <f t="shared" si="2"/>
        <v>133.33333333333331</v>
      </c>
    </row>
    <row r="29" spans="1:14" ht="12.95" customHeight="1">
      <c r="B29" s="10"/>
      <c r="C29" s="11"/>
      <c r="D29" s="11"/>
      <c r="E29" s="293">
        <v>821200</v>
      </c>
      <c r="F29" s="319"/>
      <c r="G29" s="11" t="s">
        <v>91</v>
      </c>
      <c r="H29" s="515">
        <f t="shared" ref="H29:I29" si="12">SUM(F29:G29)</f>
        <v>0</v>
      </c>
      <c r="I29" s="515">
        <f t="shared" si="12"/>
        <v>0</v>
      </c>
      <c r="J29" s="564">
        <v>0</v>
      </c>
      <c r="K29" s="556">
        <v>0</v>
      </c>
      <c r="L29" s="283">
        <v>0</v>
      </c>
      <c r="M29" s="548">
        <f t="shared" ref="M29:M30" si="13">SUM(K29:L29)</f>
        <v>0</v>
      </c>
      <c r="N29" s="334" t="str">
        <f t="shared" si="2"/>
        <v/>
      </c>
    </row>
    <row r="30" spans="1:14" ht="12.95" customHeight="1">
      <c r="B30" s="10"/>
      <c r="C30" s="11"/>
      <c r="D30" s="11"/>
      <c r="E30" s="293">
        <v>821300</v>
      </c>
      <c r="F30" s="319"/>
      <c r="G30" s="11" t="s">
        <v>92</v>
      </c>
      <c r="H30" s="515">
        <v>3000</v>
      </c>
      <c r="I30" s="515">
        <v>6000</v>
      </c>
      <c r="J30" s="564">
        <v>5982</v>
      </c>
      <c r="K30" s="556">
        <v>3000</v>
      </c>
      <c r="L30" s="283">
        <v>5000</v>
      </c>
      <c r="M30" s="548">
        <f t="shared" si="13"/>
        <v>8000</v>
      </c>
      <c r="N30" s="334">
        <f t="shared" si="2"/>
        <v>133.33333333333331</v>
      </c>
    </row>
    <row r="31" spans="1:14" ht="12.95" customHeight="1">
      <c r="B31" s="10"/>
      <c r="C31" s="11"/>
      <c r="D31" s="11"/>
      <c r="E31" s="293"/>
      <c r="F31" s="319"/>
      <c r="G31" s="11"/>
      <c r="H31" s="516"/>
      <c r="I31" s="516"/>
      <c r="J31" s="566"/>
      <c r="K31" s="550"/>
      <c r="L31" s="279"/>
      <c r="M31" s="551"/>
      <c r="N31" s="334" t="str">
        <f t="shared" si="2"/>
        <v/>
      </c>
    </row>
    <row r="32" spans="1:14" s="1" customFormat="1" ht="12.95" customHeight="1">
      <c r="A32" s="269"/>
      <c r="B32" s="12"/>
      <c r="C32" s="8"/>
      <c r="D32" s="8"/>
      <c r="E32" s="292"/>
      <c r="F32" s="318"/>
      <c r="G32" s="8" t="s">
        <v>93</v>
      </c>
      <c r="H32" s="517" t="s">
        <v>648</v>
      </c>
      <c r="I32" s="517" t="s">
        <v>648</v>
      </c>
      <c r="J32" s="579" t="s">
        <v>834</v>
      </c>
      <c r="K32" s="580" t="s">
        <v>834</v>
      </c>
      <c r="L32" s="266"/>
      <c r="M32" s="581" t="s">
        <v>834</v>
      </c>
      <c r="N32" s="334"/>
    </row>
    <row r="33" spans="1:14" s="1" customFormat="1" ht="12.95" customHeight="1">
      <c r="A33" s="269"/>
      <c r="B33" s="12"/>
      <c r="C33" s="8"/>
      <c r="D33" s="8"/>
      <c r="E33" s="292"/>
      <c r="F33" s="318"/>
      <c r="G33" s="8" t="s">
        <v>113</v>
      </c>
      <c r="H33" s="262">
        <f t="shared" ref="H33:M33" si="14">H8+H13+H16+H28</f>
        <v>476340</v>
      </c>
      <c r="I33" s="276">
        <f t="shared" si="14"/>
        <v>479340</v>
      </c>
      <c r="J33" s="565">
        <f t="shared" si="14"/>
        <v>346803</v>
      </c>
      <c r="K33" s="558">
        <f t="shared" si="14"/>
        <v>459260</v>
      </c>
      <c r="L33" s="276">
        <f t="shared" si="14"/>
        <v>7080</v>
      </c>
      <c r="M33" s="553">
        <f t="shared" si="14"/>
        <v>466340</v>
      </c>
      <c r="N33" s="333">
        <f t="shared" si="2"/>
        <v>97.287937580840321</v>
      </c>
    </row>
    <row r="34" spans="1:14" s="1" customFormat="1" ht="12.95" customHeight="1">
      <c r="A34" s="269"/>
      <c r="B34" s="12"/>
      <c r="C34" s="8"/>
      <c r="D34" s="8"/>
      <c r="E34" s="292"/>
      <c r="F34" s="318"/>
      <c r="G34" s="8" t="s">
        <v>94</v>
      </c>
      <c r="H34" s="262"/>
      <c r="I34" s="276"/>
      <c r="J34" s="565"/>
      <c r="K34" s="558"/>
      <c r="L34" s="276"/>
      <c r="M34" s="553"/>
      <c r="N34" s="334" t="str">
        <f t="shared" si="2"/>
        <v/>
      </c>
    </row>
    <row r="35" spans="1:14" s="1" customFormat="1" ht="12.95" customHeight="1">
      <c r="A35" s="269"/>
      <c r="B35" s="12"/>
      <c r="C35" s="8"/>
      <c r="D35" s="8"/>
      <c r="E35" s="292"/>
      <c r="F35" s="318"/>
      <c r="G35" s="8" t="s">
        <v>95</v>
      </c>
      <c r="H35" s="516"/>
      <c r="I35" s="267"/>
      <c r="J35" s="566"/>
      <c r="K35" s="578"/>
      <c r="L35" s="267"/>
      <c r="M35" s="551"/>
      <c r="N35" s="334" t="str">
        <f t="shared" si="2"/>
        <v/>
      </c>
    </row>
    <row r="36" spans="1:14" ht="12.95" customHeight="1" thickBot="1">
      <c r="B36" s="15"/>
      <c r="C36" s="16"/>
      <c r="D36" s="16"/>
      <c r="E36" s="294"/>
      <c r="F36" s="320"/>
      <c r="G36" s="16"/>
      <c r="H36" s="518"/>
      <c r="I36" s="27"/>
      <c r="J36" s="567"/>
      <c r="K36" s="559"/>
      <c r="L36" s="27"/>
      <c r="M36" s="560"/>
      <c r="N36" s="336" t="str">
        <f t="shared" si="2"/>
        <v/>
      </c>
    </row>
    <row r="37" spans="1:14" ht="12.95" customHeight="1">
      <c r="E37" s="295"/>
      <c r="F37" s="321"/>
      <c r="M37" s="370"/>
      <c r="N37" s="337" t="str">
        <f t="shared" si="2"/>
        <v/>
      </c>
    </row>
    <row r="38" spans="1:14" ht="12.95" customHeight="1">
      <c r="E38" s="295"/>
      <c r="F38" s="321"/>
      <c r="M38" s="370"/>
      <c r="N38" s="337" t="str">
        <f t="shared" si="2"/>
        <v/>
      </c>
    </row>
    <row r="39" spans="1:14" ht="12.95" customHeight="1">
      <c r="B39" s="48"/>
      <c r="E39" s="295"/>
      <c r="F39" s="321"/>
      <c r="M39" s="370"/>
      <c r="N39" s="337" t="str">
        <f t="shared" si="2"/>
        <v/>
      </c>
    </row>
    <row r="40" spans="1:14" ht="12.95" customHeight="1">
      <c r="B40" s="48"/>
      <c r="E40" s="295"/>
      <c r="F40" s="321"/>
      <c r="M40" s="370"/>
      <c r="N40" s="337" t="str">
        <f t="shared" si="2"/>
        <v/>
      </c>
    </row>
    <row r="41" spans="1:14" ht="12.95" customHeight="1">
      <c r="B41" s="48"/>
      <c r="E41" s="295"/>
      <c r="F41" s="321"/>
      <c r="M41" s="370"/>
      <c r="N41" s="337" t="str">
        <f t="shared" si="2"/>
        <v/>
      </c>
    </row>
    <row r="42" spans="1:14" ht="12.95" customHeight="1">
      <c r="B42" s="48"/>
      <c r="E42" s="295"/>
      <c r="F42" s="321"/>
      <c r="M42" s="370"/>
      <c r="N42" s="337" t="str">
        <f t="shared" si="2"/>
        <v/>
      </c>
    </row>
    <row r="43" spans="1:14" ht="12.95" customHeight="1">
      <c r="B43" s="48"/>
      <c r="E43" s="295"/>
      <c r="F43" s="321"/>
      <c r="M43" s="370"/>
      <c r="N43" s="337" t="str">
        <f t="shared" si="2"/>
        <v/>
      </c>
    </row>
    <row r="44" spans="1:14" ht="12.95" customHeight="1">
      <c r="B44" s="48"/>
      <c r="E44" s="295"/>
      <c r="F44" s="321"/>
      <c r="M44" s="370"/>
      <c r="N44" s="337" t="str">
        <f t="shared" si="2"/>
        <v/>
      </c>
    </row>
    <row r="45" spans="1:14" ht="12.95" customHeight="1">
      <c r="B45" s="48"/>
      <c r="E45" s="295"/>
      <c r="F45" s="321"/>
      <c r="M45" s="370"/>
      <c r="N45" s="337" t="str">
        <f t="shared" si="2"/>
        <v/>
      </c>
    </row>
    <row r="46" spans="1:14" ht="12.95" customHeight="1">
      <c r="E46" s="295"/>
      <c r="F46" s="321"/>
      <c r="M46" s="370"/>
      <c r="N46" s="337" t="str">
        <f t="shared" si="2"/>
        <v/>
      </c>
    </row>
    <row r="47" spans="1:14" ht="12.95" customHeight="1">
      <c r="E47" s="295"/>
      <c r="F47" s="321"/>
      <c r="M47" s="370"/>
      <c r="N47" s="337" t="str">
        <f t="shared" si="2"/>
        <v/>
      </c>
    </row>
    <row r="48" spans="1:14" ht="12.95" customHeight="1">
      <c r="E48" s="295"/>
      <c r="F48" s="321"/>
      <c r="M48" s="370"/>
      <c r="N48" s="337" t="str">
        <f t="shared" si="2"/>
        <v/>
      </c>
    </row>
    <row r="49" spans="5:14" ht="12.95" customHeight="1">
      <c r="E49" s="295"/>
      <c r="F49" s="321"/>
      <c r="M49" s="370"/>
      <c r="N49" s="337" t="str">
        <f t="shared" si="2"/>
        <v/>
      </c>
    </row>
    <row r="50" spans="5:14" ht="12.95" customHeight="1">
      <c r="E50" s="295"/>
      <c r="F50" s="321"/>
      <c r="M50" s="370"/>
      <c r="N50" s="337" t="str">
        <f t="shared" si="2"/>
        <v/>
      </c>
    </row>
    <row r="51" spans="5:14" ht="12.95" customHeight="1">
      <c r="E51" s="295"/>
      <c r="F51" s="321"/>
      <c r="M51" s="370"/>
      <c r="N51" s="337" t="str">
        <f t="shared" si="2"/>
        <v/>
      </c>
    </row>
    <row r="52" spans="5:14" ht="12.95" customHeight="1">
      <c r="E52" s="295"/>
      <c r="F52" s="321"/>
      <c r="M52" s="370"/>
      <c r="N52" s="337" t="str">
        <f t="shared" si="2"/>
        <v/>
      </c>
    </row>
    <row r="53" spans="5:14" ht="12.95" customHeight="1">
      <c r="E53" s="295"/>
      <c r="F53" s="321"/>
      <c r="M53" s="370"/>
      <c r="N53" s="337" t="str">
        <f t="shared" si="2"/>
        <v/>
      </c>
    </row>
    <row r="54" spans="5:14" ht="12.95" customHeight="1">
      <c r="E54" s="295"/>
      <c r="F54" s="321"/>
      <c r="M54" s="370"/>
      <c r="N54" s="337" t="str">
        <f t="shared" si="2"/>
        <v/>
      </c>
    </row>
    <row r="55" spans="5:14" ht="12.95" customHeight="1">
      <c r="E55" s="295"/>
      <c r="F55" s="321"/>
      <c r="M55" s="370"/>
      <c r="N55" s="337" t="str">
        <f t="shared" si="2"/>
        <v/>
      </c>
    </row>
    <row r="56" spans="5:14" ht="12.95" customHeight="1">
      <c r="E56" s="295"/>
      <c r="F56" s="321"/>
      <c r="M56" s="370"/>
      <c r="N56" s="337" t="str">
        <f t="shared" si="2"/>
        <v/>
      </c>
    </row>
    <row r="57" spans="5:14" ht="12.95" customHeight="1">
      <c r="E57" s="295"/>
      <c r="F57" s="321"/>
      <c r="M57" s="370"/>
      <c r="N57" s="337" t="str">
        <f t="shared" si="2"/>
        <v/>
      </c>
    </row>
    <row r="58" spans="5:14" ht="12.95" customHeight="1">
      <c r="E58" s="295"/>
      <c r="F58" s="321"/>
      <c r="M58" s="370"/>
      <c r="N58" s="337" t="str">
        <f t="shared" si="2"/>
        <v/>
      </c>
    </row>
    <row r="59" spans="5:14" ht="12.95" customHeight="1">
      <c r="E59" s="295"/>
      <c r="F59" s="321"/>
      <c r="M59" s="370"/>
      <c r="N59" s="337" t="str">
        <f t="shared" si="2"/>
        <v/>
      </c>
    </row>
    <row r="60" spans="5:14" ht="17.100000000000001" customHeight="1">
      <c r="E60" s="295"/>
      <c r="F60" s="321"/>
      <c r="M60" s="370"/>
      <c r="N60" s="337" t="str">
        <f t="shared" si="2"/>
        <v/>
      </c>
    </row>
    <row r="61" spans="5:14" ht="14.25">
      <c r="E61" s="295"/>
      <c r="F61" s="321"/>
      <c r="M61" s="370"/>
      <c r="N61" s="337" t="str">
        <f t="shared" si="2"/>
        <v/>
      </c>
    </row>
    <row r="62" spans="5:14" ht="14.25">
      <c r="E62" s="295"/>
      <c r="F62" s="321"/>
      <c r="M62" s="370"/>
      <c r="N62" s="337" t="str">
        <f t="shared" si="2"/>
        <v/>
      </c>
    </row>
    <row r="63" spans="5:14" ht="14.25">
      <c r="E63" s="295"/>
      <c r="F63" s="321"/>
      <c r="M63" s="370"/>
      <c r="N63" s="337" t="str">
        <f t="shared" si="2"/>
        <v/>
      </c>
    </row>
    <row r="64" spans="5:14" ht="14.25">
      <c r="E64" s="295"/>
      <c r="F64" s="321"/>
      <c r="M64" s="370"/>
      <c r="N64" s="337" t="str">
        <f t="shared" si="2"/>
        <v/>
      </c>
    </row>
    <row r="65" spans="5:14" ht="14.25">
      <c r="E65" s="295"/>
      <c r="F65" s="321"/>
      <c r="M65" s="370"/>
      <c r="N65" s="337" t="str">
        <f t="shared" si="2"/>
        <v/>
      </c>
    </row>
    <row r="66" spans="5:14" ht="14.25">
      <c r="E66" s="295"/>
      <c r="F66" s="321"/>
      <c r="M66" s="370"/>
      <c r="N66" s="337" t="str">
        <f t="shared" si="2"/>
        <v/>
      </c>
    </row>
    <row r="67" spans="5:14" ht="14.25">
      <c r="E67" s="295"/>
      <c r="F67" s="321"/>
      <c r="M67" s="370"/>
      <c r="N67" s="337" t="str">
        <f t="shared" si="2"/>
        <v/>
      </c>
    </row>
    <row r="68" spans="5:14" ht="14.25">
      <c r="E68" s="295"/>
      <c r="F68" s="321"/>
      <c r="M68" s="370"/>
      <c r="N68" s="337" t="str">
        <f t="shared" si="2"/>
        <v/>
      </c>
    </row>
    <row r="69" spans="5:14" ht="14.25">
      <c r="E69" s="295"/>
      <c r="F69" s="321"/>
      <c r="M69" s="370"/>
      <c r="N69" s="337" t="str">
        <f t="shared" si="2"/>
        <v/>
      </c>
    </row>
    <row r="70" spans="5:14" ht="14.25">
      <c r="E70" s="295"/>
      <c r="F70" s="321"/>
      <c r="M70" s="370"/>
      <c r="N70" s="337" t="str">
        <f t="shared" si="2"/>
        <v/>
      </c>
    </row>
    <row r="71" spans="5:14" ht="14.25">
      <c r="E71" s="295"/>
      <c r="F71" s="321"/>
      <c r="M71" s="370"/>
      <c r="N71" s="337" t="str">
        <f t="shared" si="2"/>
        <v/>
      </c>
    </row>
    <row r="72" spans="5:14" ht="14.25">
      <c r="E72" s="295"/>
      <c r="F72" s="321"/>
      <c r="M72" s="370"/>
      <c r="N72" s="337" t="str">
        <f t="shared" si="2"/>
        <v/>
      </c>
    </row>
    <row r="73" spans="5:14" ht="14.25">
      <c r="E73" s="295"/>
      <c r="F73" s="321"/>
      <c r="M73" s="370"/>
      <c r="N73" s="337" t="str">
        <f t="shared" ref="N73:N77" si="15">IF(I73=0,"",M73/I73*100)</f>
        <v/>
      </c>
    </row>
    <row r="74" spans="5:14" ht="14.25">
      <c r="E74" s="295"/>
      <c r="F74" s="295"/>
      <c r="M74" s="370"/>
      <c r="N74" s="337" t="str">
        <f t="shared" si="15"/>
        <v/>
      </c>
    </row>
    <row r="75" spans="5:14" ht="14.25">
      <c r="E75" s="295"/>
      <c r="F75" s="295"/>
      <c r="M75" s="370"/>
      <c r="N75" s="337" t="str">
        <f t="shared" si="15"/>
        <v/>
      </c>
    </row>
    <row r="76" spans="5:14" ht="14.25">
      <c r="E76" s="295"/>
      <c r="F76" s="295"/>
      <c r="M76" s="370"/>
      <c r="N76" s="337" t="str">
        <f t="shared" si="15"/>
        <v/>
      </c>
    </row>
    <row r="77" spans="5:14" ht="14.25">
      <c r="E77" s="295"/>
      <c r="F77" s="295"/>
      <c r="M77" s="370"/>
      <c r="N77" s="337" t="str">
        <f t="shared" si="15"/>
        <v/>
      </c>
    </row>
    <row r="78" spans="5:14" ht="14.25">
      <c r="E78" s="295"/>
      <c r="F78" s="295"/>
      <c r="M78" s="370"/>
    </row>
    <row r="79" spans="5:14" ht="14.25">
      <c r="E79" s="295"/>
      <c r="F79" s="295"/>
      <c r="M79" s="370"/>
    </row>
    <row r="80" spans="5:14" ht="14.25">
      <c r="E80" s="295"/>
      <c r="F80" s="295"/>
      <c r="M80" s="370"/>
    </row>
    <row r="81" spans="5:13" ht="14.25">
      <c r="E81" s="295"/>
      <c r="F81" s="295"/>
      <c r="M81" s="370"/>
    </row>
    <row r="82" spans="5:13" ht="14.25">
      <c r="E82" s="295"/>
      <c r="F82" s="295"/>
      <c r="M82" s="370"/>
    </row>
    <row r="83" spans="5:13" ht="14.25">
      <c r="E83" s="295"/>
      <c r="F83" s="295"/>
      <c r="M83" s="370"/>
    </row>
    <row r="84" spans="5:13" ht="14.25">
      <c r="E84" s="295"/>
      <c r="F84" s="295"/>
      <c r="M84" s="370"/>
    </row>
    <row r="85" spans="5:13" ht="14.25">
      <c r="E85" s="295"/>
      <c r="F85" s="295"/>
      <c r="M85" s="370"/>
    </row>
    <row r="86" spans="5:13" ht="14.25">
      <c r="E86" s="295"/>
      <c r="F86" s="295"/>
      <c r="M86" s="370"/>
    </row>
    <row r="87" spans="5:13" ht="14.25">
      <c r="E87" s="295"/>
      <c r="F87" s="295"/>
      <c r="M87" s="370"/>
    </row>
    <row r="88" spans="5:13" ht="14.25">
      <c r="E88" s="295"/>
      <c r="F88" s="295"/>
      <c r="M88" s="370"/>
    </row>
    <row r="89" spans="5:13" ht="14.25">
      <c r="E89" s="295"/>
      <c r="F89" s="295"/>
      <c r="M89" s="370"/>
    </row>
    <row r="90" spans="5:13" ht="14.25">
      <c r="E90" s="295"/>
      <c r="F90" s="295"/>
      <c r="M90" s="370"/>
    </row>
    <row r="91" spans="5:13">
      <c r="F91" s="295"/>
    </row>
    <row r="92" spans="5:13">
      <c r="F92" s="295"/>
    </row>
    <row r="93" spans="5:13">
      <c r="F93" s="295"/>
    </row>
    <row r="94" spans="5:13">
      <c r="F94" s="295"/>
    </row>
    <row r="95" spans="5:13">
      <c r="F95" s="295"/>
    </row>
    <row r="96" spans="5:13">
      <c r="F96" s="295"/>
    </row>
  </sheetData>
  <mergeCells count="12">
    <mergeCell ref="N4:N5"/>
    <mergeCell ref="G4:G5"/>
    <mergeCell ref="B2:G2"/>
    <mergeCell ref="B4:B5"/>
    <mergeCell ref="C4:C5"/>
    <mergeCell ref="D4:D5"/>
    <mergeCell ref="F4:F5"/>
    <mergeCell ref="E4:E5"/>
    <mergeCell ref="K4:M4"/>
    <mergeCell ref="H4:H5"/>
    <mergeCell ref="I4:I5"/>
    <mergeCell ref="J4:J5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 codeName="Sheet32"/>
  <dimension ref="A1:P96"/>
  <sheetViews>
    <sheetView zoomScaleNormal="100" workbookViewId="0">
      <selection activeCell="K10" sqref="K10"/>
    </sheetView>
  </sheetViews>
  <sheetFormatPr defaultRowHeight="12.75"/>
  <cols>
    <col min="1" max="1" width="9.140625" style="272"/>
    <col min="2" max="2" width="4.7109375" style="9" customWidth="1"/>
    <col min="3" max="3" width="5.140625" style="9" customWidth="1"/>
    <col min="4" max="4" width="5" style="9" customWidth="1"/>
    <col min="5" max="5" width="8.7109375" style="17" customWidth="1"/>
    <col min="6" max="6" width="8.7109375" style="277" customWidth="1"/>
    <col min="7" max="7" width="50.7109375" style="9" customWidth="1"/>
    <col min="8" max="8" width="14.7109375" style="519" customWidth="1"/>
    <col min="9" max="9" width="14.7109375" style="54" customWidth="1"/>
    <col min="10" max="10" width="15.7109375" style="519" customWidth="1"/>
    <col min="11" max="12" width="14.7109375" style="54" customWidth="1"/>
    <col min="13" max="13" width="15.7109375" style="54" customWidth="1"/>
    <col min="14" max="14" width="7.7109375" style="337" customWidth="1"/>
    <col min="15" max="16384" width="9.140625" style="9"/>
  </cols>
  <sheetData>
    <row r="1" spans="1:16" ht="13.5" thickBot="1"/>
    <row r="2" spans="1:16" s="93" customFormat="1" ht="20.100000000000001" customHeight="1" thickTop="1" thickBot="1">
      <c r="A2" s="363"/>
      <c r="B2" s="725" t="s">
        <v>174</v>
      </c>
      <c r="C2" s="726"/>
      <c r="D2" s="726"/>
      <c r="E2" s="726"/>
      <c r="F2" s="726"/>
      <c r="G2" s="726"/>
      <c r="H2" s="750"/>
      <c r="I2" s="364"/>
      <c r="J2" s="508"/>
      <c r="K2" s="364"/>
      <c r="L2" s="364"/>
      <c r="M2" s="364"/>
      <c r="N2" s="367"/>
    </row>
    <row r="3" spans="1:16" s="1" customFormat="1" ht="8.1" customHeight="1" thickTop="1" thickBot="1">
      <c r="A3" s="269"/>
      <c r="E3" s="2"/>
      <c r="F3" s="270"/>
      <c r="G3" s="488"/>
      <c r="H3" s="511"/>
      <c r="I3" s="87"/>
      <c r="J3" s="511"/>
      <c r="K3" s="87"/>
      <c r="L3" s="87"/>
      <c r="M3" s="87"/>
      <c r="N3" s="331"/>
    </row>
    <row r="4" spans="1:16" s="1" customFormat="1" ht="39" customHeight="1">
      <c r="A4" s="269"/>
      <c r="B4" s="728" t="s">
        <v>78</v>
      </c>
      <c r="C4" s="746" t="s">
        <v>79</v>
      </c>
      <c r="D4" s="747" t="s">
        <v>110</v>
      </c>
      <c r="E4" s="748" t="s">
        <v>594</v>
      </c>
      <c r="F4" s="733" t="s">
        <v>650</v>
      </c>
      <c r="G4" s="734" t="s">
        <v>80</v>
      </c>
      <c r="H4" s="740" t="s">
        <v>644</v>
      </c>
      <c r="I4" s="742" t="s">
        <v>821</v>
      </c>
      <c r="J4" s="744" t="s">
        <v>822</v>
      </c>
      <c r="K4" s="749" t="s">
        <v>863</v>
      </c>
      <c r="L4" s="738"/>
      <c r="M4" s="739"/>
      <c r="N4" s="735" t="s">
        <v>823</v>
      </c>
    </row>
    <row r="5" spans="1:16" s="269" customFormat="1" ht="27" customHeight="1">
      <c r="B5" s="729"/>
      <c r="C5" s="731"/>
      <c r="D5" s="731"/>
      <c r="E5" s="722"/>
      <c r="F5" s="731"/>
      <c r="G5" s="722"/>
      <c r="H5" s="741"/>
      <c r="I5" s="743"/>
      <c r="J5" s="745"/>
      <c r="K5" s="540" t="s">
        <v>701</v>
      </c>
      <c r="L5" s="359" t="s">
        <v>702</v>
      </c>
      <c r="M5" s="541" t="s">
        <v>413</v>
      </c>
      <c r="N5" s="736"/>
    </row>
    <row r="6" spans="1:16" s="2" customFormat="1" ht="12.95" customHeight="1">
      <c r="A6" s="270"/>
      <c r="B6" s="464">
        <v>1</v>
      </c>
      <c r="C6" s="318">
        <v>2</v>
      </c>
      <c r="D6" s="318">
        <v>3</v>
      </c>
      <c r="E6" s="318">
        <v>4</v>
      </c>
      <c r="F6" s="318">
        <v>5</v>
      </c>
      <c r="G6" s="318">
        <v>6</v>
      </c>
      <c r="H6" s="512">
        <v>7</v>
      </c>
      <c r="I6" s="318">
        <v>8</v>
      </c>
      <c r="J6" s="561">
        <v>9</v>
      </c>
      <c r="K6" s="464">
        <v>10</v>
      </c>
      <c r="L6" s="318">
        <v>11</v>
      </c>
      <c r="M6" s="542" t="s">
        <v>703</v>
      </c>
      <c r="N6" s="465">
        <v>13</v>
      </c>
    </row>
    <row r="7" spans="1:16" s="2" customFormat="1" ht="12.95" customHeight="1">
      <c r="A7" s="270"/>
      <c r="B7" s="6" t="s">
        <v>143</v>
      </c>
      <c r="C7" s="7" t="s">
        <v>145</v>
      </c>
      <c r="D7" s="7" t="s">
        <v>148</v>
      </c>
      <c r="E7" s="5"/>
      <c r="F7" s="271"/>
      <c r="G7" s="5"/>
      <c r="H7" s="520"/>
      <c r="I7" s="81"/>
      <c r="J7" s="562"/>
      <c r="K7" s="543"/>
      <c r="L7" s="81"/>
      <c r="M7" s="544"/>
      <c r="N7" s="332"/>
    </row>
    <row r="8" spans="1:16" s="1" customFormat="1" ht="12.95" customHeight="1">
      <c r="A8" s="269"/>
      <c r="B8" s="12"/>
      <c r="C8" s="8"/>
      <c r="D8" s="8"/>
      <c r="E8" s="292">
        <v>611000</v>
      </c>
      <c r="F8" s="318"/>
      <c r="G8" s="8" t="s">
        <v>163</v>
      </c>
      <c r="H8" s="514">
        <f t="shared" ref="H8:I8" si="0">SUM(H9:H11)</f>
        <v>579860</v>
      </c>
      <c r="I8" s="514">
        <f t="shared" si="0"/>
        <v>579860</v>
      </c>
      <c r="J8" s="563">
        <v>419939</v>
      </c>
      <c r="K8" s="545">
        <f t="shared" ref="K8:M8" si="1">SUM(K9:K11)</f>
        <v>574690</v>
      </c>
      <c r="L8" s="201">
        <f t="shared" si="1"/>
        <v>0</v>
      </c>
      <c r="M8" s="546">
        <f t="shared" si="1"/>
        <v>574690</v>
      </c>
      <c r="N8" s="333">
        <f>IF(I8=0,"",M8/I8*100)</f>
        <v>99.108405477184149</v>
      </c>
    </row>
    <row r="9" spans="1:16" ht="12.95" customHeight="1">
      <c r="B9" s="10"/>
      <c r="C9" s="11"/>
      <c r="D9" s="11"/>
      <c r="E9" s="293">
        <v>611100</v>
      </c>
      <c r="F9" s="319"/>
      <c r="G9" s="18" t="s">
        <v>198</v>
      </c>
      <c r="H9" s="515">
        <v>477000</v>
      </c>
      <c r="I9" s="515">
        <v>477000</v>
      </c>
      <c r="J9" s="564">
        <v>348864</v>
      </c>
      <c r="K9" s="547">
        <f>461780+2000</f>
        <v>463780</v>
      </c>
      <c r="L9" s="203">
        <v>0</v>
      </c>
      <c r="M9" s="548">
        <f>SUM(K9:L9)</f>
        <v>463780</v>
      </c>
      <c r="N9" s="334">
        <f t="shared" ref="N9:N72" si="2">IF(I9=0,"",M9/I9*100)</f>
        <v>97.228511530398322</v>
      </c>
    </row>
    <row r="10" spans="1:16" ht="12.95" customHeight="1">
      <c r="B10" s="10"/>
      <c r="C10" s="11"/>
      <c r="D10" s="11"/>
      <c r="E10" s="293">
        <v>611200</v>
      </c>
      <c r="F10" s="319"/>
      <c r="G10" s="11" t="s">
        <v>199</v>
      </c>
      <c r="H10" s="515">
        <v>102860</v>
      </c>
      <c r="I10" s="515">
        <v>102860</v>
      </c>
      <c r="J10" s="564">
        <v>71075</v>
      </c>
      <c r="K10" s="547">
        <f>94160+1000+3*1800+3850+26*250</f>
        <v>110910</v>
      </c>
      <c r="L10" s="203">
        <v>0</v>
      </c>
      <c r="M10" s="548">
        <f t="shared" ref="M10:M11" si="3">SUM(K10:L10)</f>
        <v>110910</v>
      </c>
      <c r="N10" s="334">
        <f t="shared" si="2"/>
        <v>107.82617149523624</v>
      </c>
    </row>
    <row r="11" spans="1:16" ht="12.95" customHeight="1">
      <c r="B11" s="10"/>
      <c r="C11" s="11"/>
      <c r="D11" s="11"/>
      <c r="E11" s="293">
        <v>611200</v>
      </c>
      <c r="F11" s="319"/>
      <c r="G11" s="180" t="s">
        <v>534</v>
      </c>
      <c r="H11" s="515">
        <f t="shared" ref="H11:I11" si="4">SUM(F11:G11)</f>
        <v>0</v>
      </c>
      <c r="I11" s="515">
        <f t="shared" si="4"/>
        <v>0</v>
      </c>
      <c r="J11" s="564">
        <v>0</v>
      </c>
      <c r="K11" s="549">
        <v>0</v>
      </c>
      <c r="L11" s="200">
        <v>0</v>
      </c>
      <c r="M11" s="548">
        <f t="shared" si="3"/>
        <v>0</v>
      </c>
      <c r="N11" s="334" t="str">
        <f t="shared" si="2"/>
        <v/>
      </c>
      <c r="P11" s="53"/>
    </row>
    <row r="12" spans="1:16" ht="12.95" customHeight="1">
      <c r="B12" s="10"/>
      <c r="C12" s="11"/>
      <c r="D12" s="11"/>
      <c r="E12" s="293"/>
      <c r="F12" s="319"/>
      <c r="G12" s="11"/>
      <c r="H12" s="514"/>
      <c r="I12" s="514"/>
      <c r="J12" s="563"/>
      <c r="K12" s="545"/>
      <c r="L12" s="201"/>
      <c r="M12" s="546"/>
      <c r="N12" s="334" t="str">
        <f t="shared" si="2"/>
        <v/>
      </c>
    </row>
    <row r="13" spans="1:16" s="1" customFormat="1" ht="12.95" customHeight="1">
      <c r="A13" s="269"/>
      <c r="B13" s="12"/>
      <c r="C13" s="8"/>
      <c r="D13" s="8"/>
      <c r="E13" s="292">
        <v>612000</v>
      </c>
      <c r="F13" s="318"/>
      <c r="G13" s="8" t="s">
        <v>162</v>
      </c>
      <c r="H13" s="514">
        <f t="shared" ref="H13:M13" si="5">H14</f>
        <v>50890</v>
      </c>
      <c r="I13" s="514">
        <f t="shared" si="5"/>
        <v>50890</v>
      </c>
      <c r="J13" s="563">
        <v>37216</v>
      </c>
      <c r="K13" s="545">
        <f t="shared" si="5"/>
        <v>49800</v>
      </c>
      <c r="L13" s="201">
        <f t="shared" si="5"/>
        <v>0</v>
      </c>
      <c r="M13" s="546">
        <f t="shared" si="5"/>
        <v>49800</v>
      </c>
      <c r="N13" s="333">
        <f t="shared" si="2"/>
        <v>97.858125368441733</v>
      </c>
    </row>
    <row r="14" spans="1:16" ht="12.95" customHeight="1">
      <c r="B14" s="10"/>
      <c r="C14" s="11"/>
      <c r="D14" s="11"/>
      <c r="E14" s="293">
        <v>612100</v>
      </c>
      <c r="F14" s="319"/>
      <c r="G14" s="13" t="s">
        <v>83</v>
      </c>
      <c r="H14" s="515">
        <v>50890</v>
      </c>
      <c r="I14" s="515">
        <v>50890</v>
      </c>
      <c r="J14" s="564">
        <v>37216</v>
      </c>
      <c r="K14" s="547">
        <f>49200+600</f>
        <v>49800</v>
      </c>
      <c r="L14" s="203">
        <v>0</v>
      </c>
      <c r="M14" s="548">
        <f>SUM(K14:L14)</f>
        <v>49800</v>
      </c>
      <c r="N14" s="334">
        <f t="shared" si="2"/>
        <v>97.858125368441733</v>
      </c>
    </row>
    <row r="15" spans="1:16" ht="12.95" customHeight="1">
      <c r="B15" s="10"/>
      <c r="C15" s="11"/>
      <c r="D15" s="11"/>
      <c r="E15" s="293"/>
      <c r="F15" s="319"/>
      <c r="G15" s="11"/>
      <c r="H15" s="262"/>
      <c r="I15" s="262"/>
      <c r="J15" s="565"/>
      <c r="K15" s="558"/>
      <c r="L15" s="276"/>
      <c r="M15" s="553"/>
      <c r="N15" s="334" t="str">
        <f t="shared" si="2"/>
        <v/>
      </c>
    </row>
    <row r="16" spans="1:16" s="1" customFormat="1" ht="12.95" customHeight="1">
      <c r="A16" s="269"/>
      <c r="B16" s="12"/>
      <c r="C16" s="8"/>
      <c r="D16" s="8"/>
      <c r="E16" s="292">
        <v>613000</v>
      </c>
      <c r="F16" s="318"/>
      <c r="G16" s="8" t="s">
        <v>164</v>
      </c>
      <c r="H16" s="262">
        <f t="shared" ref="H16:I16" si="6">SUM(H17:H26)</f>
        <v>63400</v>
      </c>
      <c r="I16" s="262">
        <f t="shared" si="6"/>
        <v>63400</v>
      </c>
      <c r="J16" s="565">
        <v>43905</v>
      </c>
      <c r="K16" s="552">
        <f t="shared" ref="K16:M16" si="7">SUM(K17:K26)</f>
        <v>63200</v>
      </c>
      <c r="L16" s="281">
        <f t="shared" si="7"/>
        <v>0</v>
      </c>
      <c r="M16" s="553">
        <f t="shared" si="7"/>
        <v>63200</v>
      </c>
      <c r="N16" s="333">
        <f t="shared" si="2"/>
        <v>99.684542586750794</v>
      </c>
    </row>
    <row r="17" spans="1:14" ht="12.95" customHeight="1">
      <c r="B17" s="10"/>
      <c r="C17" s="11"/>
      <c r="D17" s="11"/>
      <c r="E17" s="293">
        <v>613100</v>
      </c>
      <c r="F17" s="319"/>
      <c r="G17" s="11" t="s">
        <v>84</v>
      </c>
      <c r="H17" s="515">
        <v>4500</v>
      </c>
      <c r="I17" s="515">
        <v>4500</v>
      </c>
      <c r="J17" s="564">
        <v>1712</v>
      </c>
      <c r="K17" s="554">
        <v>3500</v>
      </c>
      <c r="L17" s="350">
        <v>0</v>
      </c>
      <c r="M17" s="548">
        <f t="shared" ref="M17:M26" si="8">SUM(K17:L17)</f>
        <v>3500</v>
      </c>
      <c r="N17" s="334">
        <f t="shared" si="2"/>
        <v>77.777777777777786</v>
      </c>
    </row>
    <row r="18" spans="1:14" ht="12.95" customHeight="1">
      <c r="B18" s="10"/>
      <c r="C18" s="11"/>
      <c r="D18" s="11"/>
      <c r="E18" s="293">
        <v>613200</v>
      </c>
      <c r="F18" s="319"/>
      <c r="G18" s="11" t="s">
        <v>85</v>
      </c>
      <c r="H18" s="515">
        <v>30500</v>
      </c>
      <c r="I18" s="515">
        <v>30500</v>
      </c>
      <c r="J18" s="564">
        <v>21526</v>
      </c>
      <c r="K18" s="554">
        <v>30500</v>
      </c>
      <c r="L18" s="350">
        <v>0</v>
      </c>
      <c r="M18" s="548">
        <f t="shared" si="8"/>
        <v>30500</v>
      </c>
      <c r="N18" s="334">
        <f t="shared" si="2"/>
        <v>100</v>
      </c>
    </row>
    <row r="19" spans="1:14" ht="12.95" customHeight="1">
      <c r="B19" s="10"/>
      <c r="C19" s="11"/>
      <c r="D19" s="11"/>
      <c r="E19" s="293">
        <v>613300</v>
      </c>
      <c r="F19" s="319"/>
      <c r="G19" s="18" t="s">
        <v>200</v>
      </c>
      <c r="H19" s="515">
        <v>2400</v>
      </c>
      <c r="I19" s="515">
        <v>2400</v>
      </c>
      <c r="J19" s="564">
        <v>1996</v>
      </c>
      <c r="K19" s="554">
        <v>3200</v>
      </c>
      <c r="L19" s="350">
        <v>0</v>
      </c>
      <c r="M19" s="548">
        <f t="shared" si="8"/>
        <v>3200</v>
      </c>
      <c r="N19" s="334">
        <f t="shared" si="2"/>
        <v>133.33333333333331</v>
      </c>
    </row>
    <row r="20" spans="1:14" ht="12.95" customHeight="1">
      <c r="B20" s="10"/>
      <c r="C20" s="11"/>
      <c r="D20" s="11"/>
      <c r="E20" s="293">
        <v>613400</v>
      </c>
      <c r="F20" s="319"/>
      <c r="G20" s="11" t="s">
        <v>165</v>
      </c>
      <c r="H20" s="515">
        <v>9000</v>
      </c>
      <c r="I20" s="515">
        <v>9000</v>
      </c>
      <c r="J20" s="564">
        <v>6831</v>
      </c>
      <c r="K20" s="555">
        <v>9000</v>
      </c>
      <c r="L20" s="352">
        <v>0</v>
      </c>
      <c r="M20" s="548">
        <f t="shared" si="8"/>
        <v>9000</v>
      </c>
      <c r="N20" s="334">
        <f t="shared" si="2"/>
        <v>100</v>
      </c>
    </row>
    <row r="21" spans="1:14" ht="12.95" customHeight="1">
      <c r="B21" s="10"/>
      <c r="C21" s="11"/>
      <c r="D21" s="11"/>
      <c r="E21" s="293">
        <v>613500</v>
      </c>
      <c r="F21" s="319"/>
      <c r="G21" s="11" t="s">
        <v>86</v>
      </c>
      <c r="H21" s="515">
        <v>1000</v>
      </c>
      <c r="I21" s="515">
        <v>1000</v>
      </c>
      <c r="J21" s="564">
        <v>713</v>
      </c>
      <c r="K21" s="555">
        <v>1000</v>
      </c>
      <c r="L21" s="352">
        <v>0</v>
      </c>
      <c r="M21" s="548">
        <f t="shared" si="8"/>
        <v>1000</v>
      </c>
      <c r="N21" s="334">
        <f t="shared" si="2"/>
        <v>100</v>
      </c>
    </row>
    <row r="22" spans="1:14" ht="12.95" customHeight="1">
      <c r="B22" s="10"/>
      <c r="C22" s="11"/>
      <c r="D22" s="11"/>
      <c r="E22" s="293">
        <v>613600</v>
      </c>
      <c r="F22" s="319"/>
      <c r="G22" s="18" t="s">
        <v>201</v>
      </c>
      <c r="H22" s="515">
        <f t="shared" ref="H22:I26" si="9">SUM(F22:G22)</f>
        <v>0</v>
      </c>
      <c r="I22" s="515">
        <f t="shared" si="9"/>
        <v>0</v>
      </c>
      <c r="J22" s="564">
        <v>0</v>
      </c>
      <c r="K22" s="555">
        <v>0</v>
      </c>
      <c r="L22" s="352">
        <v>0</v>
      </c>
      <c r="M22" s="548">
        <f t="shared" si="8"/>
        <v>0</v>
      </c>
      <c r="N22" s="334" t="str">
        <f t="shared" si="2"/>
        <v/>
      </c>
    </row>
    <row r="23" spans="1:14" ht="12.95" customHeight="1">
      <c r="B23" s="10"/>
      <c r="C23" s="11"/>
      <c r="D23" s="11"/>
      <c r="E23" s="293">
        <v>613700</v>
      </c>
      <c r="F23" s="319"/>
      <c r="G23" s="11" t="s">
        <v>87</v>
      </c>
      <c r="H23" s="515">
        <v>8500</v>
      </c>
      <c r="I23" s="515">
        <v>8500</v>
      </c>
      <c r="J23" s="564">
        <v>6048</v>
      </c>
      <c r="K23" s="555">
        <v>8500</v>
      </c>
      <c r="L23" s="352">
        <v>0</v>
      </c>
      <c r="M23" s="548">
        <f t="shared" si="8"/>
        <v>8500</v>
      </c>
      <c r="N23" s="334">
        <f t="shared" si="2"/>
        <v>100</v>
      </c>
    </row>
    <row r="24" spans="1:14" ht="12.95" customHeight="1">
      <c r="B24" s="10"/>
      <c r="C24" s="11"/>
      <c r="D24" s="11"/>
      <c r="E24" s="293">
        <v>613800</v>
      </c>
      <c r="F24" s="319"/>
      <c r="G24" s="11" t="s">
        <v>166</v>
      </c>
      <c r="H24" s="515">
        <f t="shared" si="9"/>
        <v>0</v>
      </c>
      <c r="I24" s="515">
        <f t="shared" si="9"/>
        <v>0</v>
      </c>
      <c r="J24" s="564">
        <v>0</v>
      </c>
      <c r="K24" s="555">
        <v>0</v>
      </c>
      <c r="L24" s="352">
        <v>0</v>
      </c>
      <c r="M24" s="548">
        <f t="shared" si="8"/>
        <v>0</v>
      </c>
      <c r="N24" s="334" t="str">
        <f t="shared" si="2"/>
        <v/>
      </c>
    </row>
    <row r="25" spans="1:14" ht="12.95" customHeight="1">
      <c r="B25" s="10"/>
      <c r="C25" s="11"/>
      <c r="D25" s="11"/>
      <c r="E25" s="293">
        <v>613900</v>
      </c>
      <c r="F25" s="319"/>
      <c r="G25" s="11" t="s">
        <v>167</v>
      </c>
      <c r="H25" s="515">
        <v>7500</v>
      </c>
      <c r="I25" s="515">
        <v>7500</v>
      </c>
      <c r="J25" s="564">
        <v>5079</v>
      </c>
      <c r="K25" s="555">
        <v>7500</v>
      </c>
      <c r="L25" s="352">
        <v>0</v>
      </c>
      <c r="M25" s="548">
        <f t="shared" si="8"/>
        <v>7500</v>
      </c>
      <c r="N25" s="334">
        <f t="shared" si="2"/>
        <v>100</v>
      </c>
    </row>
    <row r="26" spans="1:14" ht="12.95" customHeight="1">
      <c r="B26" s="10"/>
      <c r="C26" s="11"/>
      <c r="D26" s="11"/>
      <c r="E26" s="293">
        <v>613900</v>
      </c>
      <c r="F26" s="319"/>
      <c r="G26" s="180" t="s">
        <v>535</v>
      </c>
      <c r="H26" s="515">
        <f t="shared" si="9"/>
        <v>0</v>
      </c>
      <c r="I26" s="515">
        <f t="shared" si="9"/>
        <v>0</v>
      </c>
      <c r="J26" s="564">
        <v>0</v>
      </c>
      <c r="K26" s="555">
        <v>0</v>
      </c>
      <c r="L26" s="352">
        <v>0</v>
      </c>
      <c r="M26" s="548">
        <f t="shared" si="8"/>
        <v>0</v>
      </c>
      <c r="N26" s="334" t="str">
        <f t="shared" si="2"/>
        <v/>
      </c>
    </row>
    <row r="27" spans="1:14" s="1" customFormat="1" ht="12.95" customHeight="1">
      <c r="A27" s="269"/>
      <c r="B27" s="12"/>
      <c r="C27" s="8"/>
      <c r="D27" s="8"/>
      <c r="E27" s="292"/>
      <c r="F27" s="318"/>
      <c r="G27" s="8"/>
      <c r="H27" s="516"/>
      <c r="I27" s="516"/>
      <c r="J27" s="566"/>
      <c r="K27" s="556"/>
      <c r="L27" s="283"/>
      <c r="M27" s="551"/>
      <c r="N27" s="334" t="str">
        <f t="shared" si="2"/>
        <v/>
      </c>
    </row>
    <row r="28" spans="1:14" s="1" customFormat="1" ht="12.95" customHeight="1">
      <c r="A28" s="269"/>
      <c r="B28" s="12"/>
      <c r="C28" s="8"/>
      <c r="D28" s="8"/>
      <c r="E28" s="292">
        <v>821000</v>
      </c>
      <c r="F28" s="318"/>
      <c r="G28" s="8" t="s">
        <v>90</v>
      </c>
      <c r="H28" s="262">
        <f t="shared" ref="H28:I28" si="10">SUM(H29:H31)</f>
        <v>3000</v>
      </c>
      <c r="I28" s="262">
        <f t="shared" si="10"/>
        <v>5000</v>
      </c>
      <c r="J28" s="565">
        <v>2899</v>
      </c>
      <c r="K28" s="557">
        <f t="shared" ref="K28:M28" si="11">SUM(K29:K31)</f>
        <v>3000</v>
      </c>
      <c r="L28" s="282">
        <f t="shared" si="11"/>
        <v>2000</v>
      </c>
      <c r="M28" s="553">
        <f t="shared" si="11"/>
        <v>5000</v>
      </c>
      <c r="N28" s="333">
        <f t="shared" si="2"/>
        <v>100</v>
      </c>
    </row>
    <row r="29" spans="1:14" ht="12.95" customHeight="1">
      <c r="B29" s="10"/>
      <c r="C29" s="11"/>
      <c r="D29" s="11"/>
      <c r="E29" s="293">
        <v>821200</v>
      </c>
      <c r="F29" s="319"/>
      <c r="G29" s="11" t="s">
        <v>91</v>
      </c>
      <c r="H29" s="515">
        <f t="shared" ref="H29:I29" si="12">SUM(F29:G29)</f>
        <v>0</v>
      </c>
      <c r="I29" s="515">
        <f t="shared" si="12"/>
        <v>0</v>
      </c>
      <c r="J29" s="564">
        <v>0</v>
      </c>
      <c r="K29" s="556">
        <v>0</v>
      </c>
      <c r="L29" s="283">
        <v>0</v>
      </c>
      <c r="M29" s="548">
        <f t="shared" ref="M29:M30" si="13">SUM(K29:L29)</f>
        <v>0</v>
      </c>
      <c r="N29" s="334" t="str">
        <f t="shared" si="2"/>
        <v/>
      </c>
    </row>
    <row r="30" spans="1:14" ht="12.95" customHeight="1">
      <c r="B30" s="10"/>
      <c r="C30" s="11"/>
      <c r="D30" s="11"/>
      <c r="E30" s="293">
        <v>821300</v>
      </c>
      <c r="F30" s="319"/>
      <c r="G30" s="11" t="s">
        <v>92</v>
      </c>
      <c r="H30" s="515">
        <v>3000</v>
      </c>
      <c r="I30" s="515">
        <v>5000</v>
      </c>
      <c r="J30" s="564">
        <v>2899</v>
      </c>
      <c r="K30" s="556">
        <v>3000</v>
      </c>
      <c r="L30" s="283">
        <v>2000</v>
      </c>
      <c r="M30" s="548">
        <f t="shared" si="13"/>
        <v>5000</v>
      </c>
      <c r="N30" s="334">
        <f t="shared" si="2"/>
        <v>100</v>
      </c>
    </row>
    <row r="31" spans="1:14" ht="12.95" customHeight="1">
      <c r="B31" s="10"/>
      <c r="C31" s="11"/>
      <c r="D31" s="11"/>
      <c r="E31" s="293"/>
      <c r="F31" s="319"/>
      <c r="G31" s="18"/>
      <c r="H31" s="516"/>
      <c r="I31" s="516"/>
      <c r="J31" s="566"/>
      <c r="K31" s="556"/>
      <c r="L31" s="283"/>
      <c r="M31" s="551"/>
      <c r="N31" s="334" t="str">
        <f t="shared" si="2"/>
        <v/>
      </c>
    </row>
    <row r="32" spans="1:14" s="1" customFormat="1" ht="12.95" customHeight="1">
      <c r="A32" s="269"/>
      <c r="B32" s="12"/>
      <c r="C32" s="8"/>
      <c r="D32" s="8"/>
      <c r="E32" s="292"/>
      <c r="F32" s="318"/>
      <c r="G32" s="8" t="s">
        <v>93</v>
      </c>
      <c r="H32" s="517" t="s">
        <v>597</v>
      </c>
      <c r="I32" s="517" t="s">
        <v>597</v>
      </c>
      <c r="J32" s="579" t="s">
        <v>835</v>
      </c>
      <c r="K32" s="580" t="s">
        <v>866</v>
      </c>
      <c r="L32" s="266"/>
      <c r="M32" s="581" t="s">
        <v>866</v>
      </c>
      <c r="N32" s="334"/>
    </row>
    <row r="33" spans="1:14" s="1" customFormat="1" ht="12.95" customHeight="1">
      <c r="A33" s="269"/>
      <c r="B33" s="12"/>
      <c r="C33" s="8"/>
      <c r="D33" s="8"/>
      <c r="E33" s="292"/>
      <c r="F33" s="318"/>
      <c r="G33" s="8" t="s">
        <v>113</v>
      </c>
      <c r="H33" s="262">
        <f t="shared" ref="H33:M33" si="14">H8+H13+H16+H28</f>
        <v>697150</v>
      </c>
      <c r="I33" s="276">
        <f t="shared" si="14"/>
        <v>699150</v>
      </c>
      <c r="J33" s="565">
        <f t="shared" si="14"/>
        <v>503959</v>
      </c>
      <c r="K33" s="558">
        <f t="shared" si="14"/>
        <v>690690</v>
      </c>
      <c r="L33" s="276">
        <f t="shared" si="14"/>
        <v>2000</v>
      </c>
      <c r="M33" s="553">
        <f t="shared" si="14"/>
        <v>692690</v>
      </c>
      <c r="N33" s="333">
        <f t="shared" si="2"/>
        <v>99.076020882500188</v>
      </c>
    </row>
    <row r="34" spans="1:14" s="1" customFormat="1" ht="12.95" customHeight="1">
      <c r="A34" s="269"/>
      <c r="B34" s="12"/>
      <c r="C34" s="8"/>
      <c r="D34" s="8"/>
      <c r="E34" s="292"/>
      <c r="F34" s="318"/>
      <c r="G34" s="8" t="s">
        <v>94</v>
      </c>
      <c r="H34" s="262">
        <f>H33+'29'!H33+'28'!H33+'27'!H33+'26'!H33+'25'!H33+'24'!H33</f>
        <v>7976890</v>
      </c>
      <c r="I34" s="276">
        <f>I33+'29'!I33+'28'!I33+'27'!I33+'26'!I33+'25'!I33+'24'!I33</f>
        <v>7981890</v>
      </c>
      <c r="J34" s="565">
        <f>J33+'29'!J33+'28'!J33+'27'!J33+'26'!J33+'25'!J33+'24'!J33</f>
        <v>5642922</v>
      </c>
      <c r="K34" s="558">
        <f>K33+'29'!N33+'28'!N33+'27'!N33+'26'!N33+'25'!N33+'24'!N33</f>
        <v>691284.09655350423</v>
      </c>
      <c r="L34" s="276">
        <f>L33+'29'!O33+'28'!O33+'27'!O33+'26'!O33+'25'!O33+'24'!O33</f>
        <v>2000</v>
      </c>
      <c r="M34" s="553">
        <f>M33+'29'!P33+'28'!P33+'27'!P33+'26'!P33+'25'!P33+'24'!P33</f>
        <v>692690</v>
      </c>
      <c r="N34" s="333">
        <f t="shared" si="2"/>
        <v>8.6782704346965449</v>
      </c>
    </row>
    <row r="35" spans="1:14" s="1" customFormat="1" ht="12.95" customHeight="1">
      <c r="A35" s="269"/>
      <c r="B35" s="12"/>
      <c r="C35" s="8"/>
      <c r="D35" s="8"/>
      <c r="E35" s="292"/>
      <c r="F35" s="318"/>
      <c r="G35" s="8" t="s">
        <v>95</v>
      </c>
      <c r="H35" s="262">
        <f>H34+'23'!H35+'20'!H52</f>
        <v>13501280</v>
      </c>
      <c r="I35" s="276">
        <f>I34+'23'!I35+'20'!I52</f>
        <v>13519440</v>
      </c>
      <c r="J35" s="565">
        <f>J34+'23'!J35+'20'!J52</f>
        <v>9656992</v>
      </c>
      <c r="K35" s="558">
        <f>K34+'23'!N35+'20'!N52</f>
        <v>691427.0002409002</v>
      </c>
      <c r="L35" s="276">
        <f>L34+'23'!O35+'20'!O52</f>
        <v>2000</v>
      </c>
      <c r="M35" s="553">
        <f>M34+'23'!P35+'20'!P52</f>
        <v>692690</v>
      </c>
      <c r="N35" s="333">
        <f t="shared" si="2"/>
        <v>5.1236589681229399</v>
      </c>
    </row>
    <row r="36" spans="1:14" ht="12.95" customHeight="1" thickBot="1">
      <c r="B36" s="15"/>
      <c r="C36" s="16"/>
      <c r="D36" s="16"/>
      <c r="E36" s="294"/>
      <c r="F36" s="320"/>
      <c r="G36" s="16"/>
      <c r="H36" s="518"/>
      <c r="I36" s="27"/>
      <c r="J36" s="567"/>
      <c r="K36" s="559"/>
      <c r="L36" s="27"/>
      <c r="M36" s="560"/>
      <c r="N36" s="336" t="str">
        <f t="shared" si="2"/>
        <v/>
      </c>
    </row>
    <row r="37" spans="1:14" ht="12.95" customHeight="1">
      <c r="E37" s="295"/>
      <c r="F37" s="321"/>
      <c r="M37" s="370"/>
      <c r="N37" s="337" t="str">
        <f t="shared" si="2"/>
        <v/>
      </c>
    </row>
    <row r="38" spans="1:14" ht="12.95" customHeight="1">
      <c r="B38" s="48"/>
      <c r="E38" s="295"/>
      <c r="F38" s="321"/>
      <c r="M38" s="370"/>
      <c r="N38" s="337" t="str">
        <f t="shared" si="2"/>
        <v/>
      </c>
    </row>
    <row r="39" spans="1:14" ht="12.95" customHeight="1">
      <c r="B39" s="48"/>
      <c r="E39" s="295"/>
      <c r="F39" s="321"/>
      <c r="M39" s="370"/>
      <c r="N39" s="337" t="str">
        <f t="shared" si="2"/>
        <v/>
      </c>
    </row>
    <row r="40" spans="1:14" ht="12.95" customHeight="1">
      <c r="B40" s="48"/>
      <c r="E40" s="295"/>
      <c r="F40" s="321"/>
      <c r="M40" s="370"/>
      <c r="N40" s="337" t="str">
        <f t="shared" si="2"/>
        <v/>
      </c>
    </row>
    <row r="41" spans="1:14" ht="12.95" customHeight="1">
      <c r="B41" s="48"/>
      <c r="E41" s="295"/>
      <c r="F41" s="321"/>
      <c r="M41" s="370"/>
      <c r="N41" s="337" t="str">
        <f t="shared" si="2"/>
        <v/>
      </c>
    </row>
    <row r="42" spans="1:14" ht="12.95" customHeight="1">
      <c r="B42" s="48"/>
      <c r="E42" s="295"/>
      <c r="F42" s="321"/>
      <c r="M42" s="370"/>
      <c r="N42" s="337" t="str">
        <f t="shared" si="2"/>
        <v/>
      </c>
    </row>
    <row r="43" spans="1:14" ht="12.95" customHeight="1">
      <c r="B43" s="48"/>
      <c r="E43" s="295"/>
      <c r="F43" s="321"/>
      <c r="M43" s="370"/>
      <c r="N43" s="337" t="str">
        <f t="shared" si="2"/>
        <v/>
      </c>
    </row>
    <row r="44" spans="1:14" ht="12.95" customHeight="1">
      <c r="B44" s="48"/>
      <c r="E44" s="295"/>
      <c r="F44" s="321"/>
      <c r="M44" s="370"/>
      <c r="N44" s="337" t="str">
        <f t="shared" si="2"/>
        <v/>
      </c>
    </row>
    <row r="45" spans="1:14" ht="12.95" customHeight="1">
      <c r="E45" s="295"/>
      <c r="F45" s="321"/>
      <c r="M45" s="370"/>
      <c r="N45" s="337" t="str">
        <f t="shared" si="2"/>
        <v/>
      </c>
    </row>
    <row r="46" spans="1:14" ht="12.95" customHeight="1">
      <c r="E46" s="295"/>
      <c r="F46" s="321"/>
      <c r="M46" s="370"/>
      <c r="N46" s="337" t="str">
        <f t="shared" si="2"/>
        <v/>
      </c>
    </row>
    <row r="47" spans="1:14" ht="12.95" customHeight="1">
      <c r="E47" s="295"/>
      <c r="F47" s="321"/>
      <c r="M47" s="370"/>
      <c r="N47" s="337" t="str">
        <f t="shared" si="2"/>
        <v/>
      </c>
    </row>
    <row r="48" spans="1:14" ht="12.95" customHeight="1">
      <c r="E48" s="295"/>
      <c r="F48" s="321"/>
      <c r="M48" s="370"/>
      <c r="N48" s="337" t="str">
        <f t="shared" si="2"/>
        <v/>
      </c>
    </row>
    <row r="49" spans="5:14" ht="12.95" customHeight="1">
      <c r="E49" s="295"/>
      <c r="F49" s="321"/>
      <c r="M49" s="370"/>
      <c r="N49" s="337" t="str">
        <f t="shared" si="2"/>
        <v/>
      </c>
    </row>
    <row r="50" spans="5:14" ht="12.95" customHeight="1">
      <c r="E50" s="295"/>
      <c r="F50" s="321"/>
      <c r="M50" s="370"/>
      <c r="N50" s="337" t="str">
        <f t="shared" si="2"/>
        <v/>
      </c>
    </row>
    <row r="51" spans="5:14" ht="12.95" customHeight="1">
      <c r="E51" s="295"/>
      <c r="F51" s="321"/>
      <c r="M51" s="370"/>
      <c r="N51" s="337" t="str">
        <f t="shared" si="2"/>
        <v/>
      </c>
    </row>
    <row r="52" spans="5:14" ht="12.95" customHeight="1">
      <c r="E52" s="295"/>
      <c r="F52" s="321"/>
      <c r="M52" s="370"/>
      <c r="N52" s="337" t="str">
        <f t="shared" si="2"/>
        <v/>
      </c>
    </row>
    <row r="53" spans="5:14" ht="12.95" customHeight="1">
      <c r="E53" s="295"/>
      <c r="F53" s="321"/>
      <c r="M53" s="370"/>
      <c r="N53" s="337" t="str">
        <f t="shared" si="2"/>
        <v/>
      </c>
    </row>
    <row r="54" spans="5:14" ht="12.95" customHeight="1">
      <c r="E54" s="295"/>
      <c r="F54" s="321"/>
      <c r="M54" s="370"/>
      <c r="N54" s="337" t="str">
        <f t="shared" si="2"/>
        <v/>
      </c>
    </row>
    <row r="55" spans="5:14" ht="12.95" customHeight="1">
      <c r="E55" s="295"/>
      <c r="F55" s="321"/>
      <c r="M55" s="370"/>
      <c r="N55" s="337" t="str">
        <f t="shared" si="2"/>
        <v/>
      </c>
    </row>
    <row r="56" spans="5:14" ht="12.95" customHeight="1">
      <c r="E56" s="295"/>
      <c r="F56" s="321"/>
      <c r="M56" s="370"/>
      <c r="N56" s="337" t="str">
        <f t="shared" si="2"/>
        <v/>
      </c>
    </row>
    <row r="57" spans="5:14" ht="12.95" customHeight="1">
      <c r="E57" s="295"/>
      <c r="F57" s="321"/>
      <c r="M57" s="370"/>
      <c r="N57" s="337" t="str">
        <f t="shared" si="2"/>
        <v/>
      </c>
    </row>
    <row r="58" spans="5:14" ht="12.95" customHeight="1">
      <c r="E58" s="295"/>
      <c r="F58" s="321"/>
      <c r="M58" s="370"/>
      <c r="N58" s="337" t="str">
        <f t="shared" si="2"/>
        <v/>
      </c>
    </row>
    <row r="59" spans="5:14" ht="12.95" customHeight="1">
      <c r="E59" s="295"/>
      <c r="F59" s="321"/>
      <c r="M59" s="370"/>
      <c r="N59" s="337" t="str">
        <f t="shared" si="2"/>
        <v/>
      </c>
    </row>
    <row r="60" spans="5:14" ht="17.100000000000001" customHeight="1">
      <c r="E60" s="295"/>
      <c r="F60" s="321"/>
      <c r="M60" s="370"/>
      <c r="N60" s="337" t="str">
        <f t="shared" si="2"/>
        <v/>
      </c>
    </row>
    <row r="61" spans="5:14" ht="14.25">
      <c r="E61" s="295"/>
      <c r="F61" s="321"/>
      <c r="M61" s="370"/>
      <c r="N61" s="337" t="str">
        <f t="shared" si="2"/>
        <v/>
      </c>
    </row>
    <row r="62" spans="5:14" ht="14.25">
      <c r="E62" s="295"/>
      <c r="F62" s="321"/>
      <c r="M62" s="370"/>
      <c r="N62" s="337" t="str">
        <f t="shared" si="2"/>
        <v/>
      </c>
    </row>
    <row r="63" spans="5:14" ht="14.25">
      <c r="E63" s="295"/>
      <c r="F63" s="321"/>
      <c r="M63" s="370"/>
      <c r="N63" s="337" t="str">
        <f t="shared" si="2"/>
        <v/>
      </c>
    </row>
    <row r="64" spans="5:14" ht="14.25">
      <c r="E64" s="295"/>
      <c r="F64" s="321"/>
      <c r="M64" s="370"/>
      <c r="N64" s="337" t="str">
        <f t="shared" si="2"/>
        <v/>
      </c>
    </row>
    <row r="65" spans="5:14" ht="14.25">
      <c r="E65" s="295"/>
      <c r="F65" s="321"/>
      <c r="M65" s="370"/>
      <c r="N65" s="337" t="str">
        <f t="shared" si="2"/>
        <v/>
      </c>
    </row>
    <row r="66" spans="5:14" ht="14.25">
      <c r="E66" s="295"/>
      <c r="F66" s="321"/>
      <c r="M66" s="370"/>
      <c r="N66" s="337" t="str">
        <f t="shared" si="2"/>
        <v/>
      </c>
    </row>
    <row r="67" spans="5:14" ht="14.25">
      <c r="E67" s="295"/>
      <c r="F67" s="321"/>
      <c r="M67" s="370"/>
      <c r="N67" s="337" t="str">
        <f t="shared" si="2"/>
        <v/>
      </c>
    </row>
    <row r="68" spans="5:14" ht="14.25">
      <c r="E68" s="295"/>
      <c r="F68" s="321"/>
      <c r="M68" s="370"/>
      <c r="N68" s="337" t="str">
        <f t="shared" si="2"/>
        <v/>
      </c>
    </row>
    <row r="69" spans="5:14" ht="14.25">
      <c r="E69" s="295"/>
      <c r="F69" s="321"/>
      <c r="M69" s="370"/>
      <c r="N69" s="337" t="str">
        <f t="shared" si="2"/>
        <v/>
      </c>
    </row>
    <row r="70" spans="5:14" ht="14.25">
      <c r="E70" s="295"/>
      <c r="F70" s="321"/>
      <c r="M70" s="370"/>
      <c r="N70" s="337" t="str">
        <f t="shared" si="2"/>
        <v/>
      </c>
    </row>
    <row r="71" spans="5:14" ht="14.25">
      <c r="E71" s="295"/>
      <c r="F71" s="321"/>
      <c r="M71" s="370"/>
      <c r="N71" s="337" t="str">
        <f t="shared" si="2"/>
        <v/>
      </c>
    </row>
    <row r="72" spans="5:14" ht="14.25">
      <c r="E72" s="295"/>
      <c r="F72" s="321"/>
      <c r="M72" s="370"/>
      <c r="N72" s="337" t="str">
        <f t="shared" si="2"/>
        <v/>
      </c>
    </row>
    <row r="73" spans="5:14" ht="14.25">
      <c r="E73" s="295"/>
      <c r="F73" s="321"/>
      <c r="M73" s="370"/>
      <c r="N73" s="337" t="str">
        <f t="shared" ref="N73:N77" si="15">IF(I73=0,"",M73/I73*100)</f>
        <v/>
      </c>
    </row>
    <row r="74" spans="5:14" ht="14.25">
      <c r="E74" s="295"/>
      <c r="F74" s="295"/>
      <c r="M74" s="370"/>
      <c r="N74" s="337" t="str">
        <f t="shared" si="15"/>
        <v/>
      </c>
    </row>
    <row r="75" spans="5:14" ht="14.25">
      <c r="E75" s="295"/>
      <c r="F75" s="295"/>
      <c r="M75" s="370"/>
      <c r="N75" s="337" t="str">
        <f t="shared" si="15"/>
        <v/>
      </c>
    </row>
    <row r="76" spans="5:14" ht="14.25">
      <c r="E76" s="295"/>
      <c r="F76" s="295"/>
      <c r="M76" s="370"/>
      <c r="N76" s="337" t="str">
        <f t="shared" si="15"/>
        <v/>
      </c>
    </row>
    <row r="77" spans="5:14" ht="14.25">
      <c r="E77" s="295"/>
      <c r="F77" s="295"/>
      <c r="M77" s="370"/>
      <c r="N77" s="337" t="str">
        <f t="shared" si="15"/>
        <v/>
      </c>
    </row>
    <row r="78" spans="5:14" ht="14.25">
      <c r="E78" s="295"/>
      <c r="F78" s="295"/>
      <c r="M78" s="370"/>
    </row>
    <row r="79" spans="5:14" ht="14.25">
      <c r="E79" s="295"/>
      <c r="F79" s="295"/>
      <c r="M79" s="370"/>
    </row>
    <row r="80" spans="5:14" ht="14.25">
      <c r="E80" s="295"/>
      <c r="F80" s="295"/>
      <c r="M80" s="370"/>
    </row>
    <row r="81" spans="5:13" ht="14.25">
      <c r="E81" s="295"/>
      <c r="F81" s="295"/>
      <c r="M81" s="370"/>
    </row>
    <row r="82" spans="5:13" ht="14.25">
      <c r="E82" s="295"/>
      <c r="F82" s="295"/>
      <c r="M82" s="370"/>
    </row>
    <row r="83" spans="5:13" ht="14.25">
      <c r="E83" s="295"/>
      <c r="F83" s="295"/>
      <c r="M83" s="370"/>
    </row>
    <row r="84" spans="5:13" ht="14.25">
      <c r="E84" s="295"/>
      <c r="F84" s="295"/>
      <c r="M84" s="370"/>
    </row>
    <row r="85" spans="5:13" ht="14.25">
      <c r="E85" s="295"/>
      <c r="F85" s="295"/>
      <c r="M85" s="370"/>
    </row>
    <row r="86" spans="5:13" ht="14.25">
      <c r="E86" s="295"/>
      <c r="F86" s="295"/>
      <c r="M86" s="370"/>
    </row>
    <row r="87" spans="5:13" ht="14.25">
      <c r="E87" s="295"/>
      <c r="F87" s="295"/>
      <c r="M87" s="370"/>
    </row>
    <row r="88" spans="5:13" ht="14.25">
      <c r="E88" s="295"/>
      <c r="F88" s="295"/>
      <c r="M88" s="370"/>
    </row>
    <row r="89" spans="5:13" ht="14.25">
      <c r="E89" s="295"/>
      <c r="F89" s="295"/>
      <c r="M89" s="370"/>
    </row>
    <row r="90" spans="5:13" ht="14.25">
      <c r="E90" s="295"/>
      <c r="F90" s="295"/>
      <c r="M90" s="370"/>
    </row>
    <row r="91" spans="5:13">
      <c r="F91" s="295"/>
    </row>
    <row r="92" spans="5:13">
      <c r="F92" s="295"/>
    </row>
    <row r="93" spans="5:13">
      <c r="F93" s="295"/>
    </row>
    <row r="94" spans="5:13">
      <c r="F94" s="295"/>
    </row>
    <row r="95" spans="5:13">
      <c r="F95" s="295"/>
    </row>
    <row r="96" spans="5:13">
      <c r="F96" s="295"/>
    </row>
  </sheetData>
  <mergeCells count="12">
    <mergeCell ref="B2:H2"/>
    <mergeCell ref="N4:N5"/>
    <mergeCell ref="G4:G5"/>
    <mergeCell ref="B4:B5"/>
    <mergeCell ref="C4:C5"/>
    <mergeCell ref="D4:D5"/>
    <mergeCell ref="F4:F5"/>
    <mergeCell ref="E4:E5"/>
    <mergeCell ref="K4:M4"/>
    <mergeCell ref="H4:H5"/>
    <mergeCell ref="I4:I5"/>
    <mergeCell ref="J4:J5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 codeName="Sheet36"/>
  <dimension ref="A1:P96"/>
  <sheetViews>
    <sheetView zoomScaleNormal="100" workbookViewId="0">
      <selection activeCell="K10" sqref="K10"/>
    </sheetView>
  </sheetViews>
  <sheetFormatPr defaultRowHeight="12.75"/>
  <cols>
    <col min="1" max="1" width="9.140625" style="272"/>
    <col min="2" max="2" width="4.7109375" style="9" customWidth="1"/>
    <col min="3" max="3" width="5.140625" style="9" customWidth="1"/>
    <col min="4" max="4" width="5" style="9" customWidth="1"/>
    <col min="5" max="5" width="8.7109375" style="17" customWidth="1"/>
    <col min="6" max="6" width="8.7109375" style="277" customWidth="1"/>
    <col min="7" max="7" width="50.7109375" style="9" customWidth="1"/>
    <col min="8" max="8" width="14.7109375" style="519" customWidth="1"/>
    <col min="9" max="9" width="14.7109375" style="54" customWidth="1"/>
    <col min="10" max="10" width="15.7109375" style="519" customWidth="1"/>
    <col min="11" max="12" width="14.7109375" style="54" customWidth="1"/>
    <col min="13" max="13" width="15.7109375" style="54" customWidth="1"/>
    <col min="14" max="14" width="7.7109375" style="337" customWidth="1"/>
    <col min="15" max="16384" width="9.140625" style="9"/>
  </cols>
  <sheetData>
    <row r="1" spans="1:16" ht="13.5" thickBot="1"/>
    <row r="2" spans="1:16" s="93" customFormat="1" ht="20.100000000000001" customHeight="1" thickTop="1" thickBot="1">
      <c r="A2" s="363"/>
      <c r="B2" s="725" t="s">
        <v>179</v>
      </c>
      <c r="C2" s="726"/>
      <c r="D2" s="726"/>
      <c r="E2" s="726"/>
      <c r="F2" s="726"/>
      <c r="G2" s="726"/>
      <c r="H2" s="508"/>
      <c r="I2" s="364"/>
      <c r="J2" s="508"/>
      <c r="K2" s="364"/>
      <c r="L2" s="364"/>
      <c r="M2" s="364"/>
      <c r="N2" s="367"/>
    </row>
    <row r="3" spans="1:16" s="1" customFormat="1" ht="8.1" customHeight="1" thickTop="1" thickBot="1">
      <c r="A3" s="269"/>
      <c r="E3" s="2"/>
      <c r="F3" s="270"/>
      <c r="G3" s="488"/>
      <c r="H3" s="511"/>
      <c r="I3" s="87"/>
      <c r="J3" s="511"/>
      <c r="K3" s="87"/>
      <c r="L3" s="87"/>
      <c r="M3" s="87"/>
      <c r="N3" s="331"/>
    </row>
    <row r="4" spans="1:16" s="1" customFormat="1" ht="39" customHeight="1">
      <c r="A4" s="269"/>
      <c r="B4" s="728" t="s">
        <v>78</v>
      </c>
      <c r="C4" s="746" t="s">
        <v>79</v>
      </c>
      <c r="D4" s="747" t="s">
        <v>110</v>
      </c>
      <c r="E4" s="748" t="s">
        <v>594</v>
      </c>
      <c r="F4" s="733" t="s">
        <v>650</v>
      </c>
      <c r="G4" s="734" t="s">
        <v>80</v>
      </c>
      <c r="H4" s="740" t="s">
        <v>644</v>
      </c>
      <c r="I4" s="742" t="s">
        <v>821</v>
      </c>
      <c r="J4" s="744" t="s">
        <v>822</v>
      </c>
      <c r="K4" s="749" t="s">
        <v>863</v>
      </c>
      <c r="L4" s="738"/>
      <c r="M4" s="739"/>
      <c r="N4" s="735" t="s">
        <v>823</v>
      </c>
    </row>
    <row r="5" spans="1:16" s="269" customFormat="1" ht="27" customHeight="1">
      <c r="B5" s="729"/>
      <c r="C5" s="731"/>
      <c r="D5" s="731"/>
      <c r="E5" s="722"/>
      <c r="F5" s="731"/>
      <c r="G5" s="722"/>
      <c r="H5" s="741"/>
      <c r="I5" s="743"/>
      <c r="J5" s="745"/>
      <c r="K5" s="540" t="s">
        <v>701</v>
      </c>
      <c r="L5" s="359" t="s">
        <v>702</v>
      </c>
      <c r="M5" s="541" t="s">
        <v>413</v>
      </c>
      <c r="N5" s="736"/>
    </row>
    <row r="6" spans="1:16" s="2" customFormat="1" ht="12.95" customHeight="1">
      <c r="A6" s="270"/>
      <c r="B6" s="464">
        <v>1</v>
      </c>
      <c r="C6" s="318">
        <v>2</v>
      </c>
      <c r="D6" s="318">
        <v>3</v>
      </c>
      <c r="E6" s="318">
        <v>4</v>
      </c>
      <c r="F6" s="318">
        <v>5</v>
      </c>
      <c r="G6" s="318">
        <v>6</v>
      </c>
      <c r="H6" s="512">
        <v>7</v>
      </c>
      <c r="I6" s="318">
        <v>8</v>
      </c>
      <c r="J6" s="561">
        <v>9</v>
      </c>
      <c r="K6" s="464">
        <v>10</v>
      </c>
      <c r="L6" s="318">
        <v>11</v>
      </c>
      <c r="M6" s="542" t="s">
        <v>703</v>
      </c>
      <c r="N6" s="465">
        <v>13</v>
      </c>
    </row>
    <row r="7" spans="1:16" s="2" customFormat="1" ht="12.95" customHeight="1">
      <c r="A7" s="270"/>
      <c r="B7" s="6" t="s">
        <v>149</v>
      </c>
      <c r="C7" s="7" t="s">
        <v>81</v>
      </c>
      <c r="D7" s="7" t="s">
        <v>82</v>
      </c>
      <c r="E7" s="5"/>
      <c r="F7" s="271"/>
      <c r="G7" s="5"/>
      <c r="H7" s="520"/>
      <c r="I7" s="81"/>
      <c r="J7" s="562"/>
      <c r="K7" s="543"/>
      <c r="L7" s="81"/>
      <c r="M7" s="544"/>
      <c r="N7" s="332"/>
    </row>
    <row r="8" spans="1:16" s="1" customFormat="1" ht="12.95" customHeight="1">
      <c r="A8" s="269"/>
      <c r="B8" s="12"/>
      <c r="C8" s="8"/>
      <c r="D8" s="8"/>
      <c r="E8" s="292">
        <v>611000</v>
      </c>
      <c r="F8" s="318"/>
      <c r="G8" s="8" t="s">
        <v>163</v>
      </c>
      <c r="H8" s="514">
        <f t="shared" ref="H8:I8" si="0">SUM(H9:H11)</f>
        <v>263080</v>
      </c>
      <c r="I8" s="514">
        <f t="shared" si="0"/>
        <v>263080</v>
      </c>
      <c r="J8" s="563">
        <v>193085</v>
      </c>
      <c r="K8" s="545">
        <f t="shared" ref="K8:M8" si="1">SUM(K9:K11)</f>
        <v>267760</v>
      </c>
      <c r="L8" s="201">
        <f t="shared" si="1"/>
        <v>0</v>
      </c>
      <c r="M8" s="546">
        <f t="shared" si="1"/>
        <v>267760</v>
      </c>
      <c r="N8" s="333">
        <f>IF(I8=0,"",M8/I8*100)</f>
        <v>101.77892656226244</v>
      </c>
    </row>
    <row r="9" spans="1:16" ht="12.95" customHeight="1">
      <c r="B9" s="10"/>
      <c r="C9" s="11"/>
      <c r="D9" s="11"/>
      <c r="E9" s="293">
        <v>611100</v>
      </c>
      <c r="F9" s="319"/>
      <c r="G9" s="18" t="s">
        <v>198</v>
      </c>
      <c r="H9" s="515">
        <v>209550</v>
      </c>
      <c r="I9" s="515">
        <v>209550</v>
      </c>
      <c r="J9" s="564">
        <v>151670</v>
      </c>
      <c r="K9" s="547">
        <f>205020+1000-2250+740</f>
        <v>204510</v>
      </c>
      <c r="L9" s="203">
        <v>0</v>
      </c>
      <c r="M9" s="548">
        <f>SUM(K9:L9)</f>
        <v>204510</v>
      </c>
      <c r="N9" s="334">
        <f t="shared" ref="N9:N72" si="2">IF(I9=0,"",M9/I9*100)</f>
        <v>97.594846098783108</v>
      </c>
    </row>
    <row r="10" spans="1:16" ht="12.95" customHeight="1">
      <c r="B10" s="10"/>
      <c r="C10" s="11"/>
      <c r="D10" s="11"/>
      <c r="E10" s="293">
        <v>611200</v>
      </c>
      <c r="F10" s="319"/>
      <c r="G10" s="11" t="s">
        <v>199</v>
      </c>
      <c r="H10" s="515">
        <v>53530</v>
      </c>
      <c r="I10" s="515">
        <v>53530</v>
      </c>
      <c r="J10" s="564">
        <v>41415</v>
      </c>
      <c r="K10" s="547">
        <f>54800+600-680+4150+1630+11*250</f>
        <v>63250</v>
      </c>
      <c r="L10" s="203">
        <v>0</v>
      </c>
      <c r="M10" s="548">
        <f t="shared" ref="M10:M11" si="3">SUM(K10:L10)</f>
        <v>63250</v>
      </c>
      <c r="N10" s="334">
        <f t="shared" si="2"/>
        <v>118.15804221931627</v>
      </c>
    </row>
    <row r="11" spans="1:16" ht="12.95" customHeight="1">
      <c r="B11" s="10"/>
      <c r="C11" s="11"/>
      <c r="D11" s="11"/>
      <c r="E11" s="293">
        <v>611200</v>
      </c>
      <c r="F11" s="319"/>
      <c r="G11" s="180" t="s">
        <v>534</v>
      </c>
      <c r="H11" s="515">
        <f t="shared" ref="H11:I11" si="4">SUM(F11:G11)</f>
        <v>0</v>
      </c>
      <c r="I11" s="515">
        <f t="shared" si="4"/>
        <v>0</v>
      </c>
      <c r="J11" s="564">
        <v>0</v>
      </c>
      <c r="K11" s="549">
        <v>0</v>
      </c>
      <c r="L11" s="200">
        <v>0</v>
      </c>
      <c r="M11" s="548">
        <f t="shared" si="3"/>
        <v>0</v>
      </c>
      <c r="N11" s="334" t="str">
        <f t="shared" si="2"/>
        <v/>
      </c>
      <c r="P11" s="53"/>
    </row>
    <row r="12" spans="1:16" ht="12.95" customHeight="1">
      <c r="B12" s="10"/>
      <c r="C12" s="11"/>
      <c r="D12" s="11"/>
      <c r="E12" s="293"/>
      <c r="F12" s="319"/>
      <c r="G12" s="11"/>
      <c r="H12" s="514"/>
      <c r="I12" s="514"/>
      <c r="J12" s="563"/>
      <c r="K12" s="545"/>
      <c r="L12" s="201"/>
      <c r="M12" s="546"/>
      <c r="N12" s="334" t="str">
        <f t="shared" si="2"/>
        <v/>
      </c>
    </row>
    <row r="13" spans="1:16" s="1" customFormat="1" ht="12.95" customHeight="1">
      <c r="A13" s="269"/>
      <c r="B13" s="12"/>
      <c r="C13" s="8"/>
      <c r="D13" s="8"/>
      <c r="E13" s="292">
        <v>612000</v>
      </c>
      <c r="F13" s="318"/>
      <c r="G13" s="8" t="s">
        <v>162</v>
      </c>
      <c r="H13" s="514">
        <f t="shared" ref="H13:M13" si="5">H14</f>
        <v>22580</v>
      </c>
      <c r="I13" s="514">
        <f t="shared" si="5"/>
        <v>22580</v>
      </c>
      <c r="J13" s="563">
        <v>16089</v>
      </c>
      <c r="K13" s="545">
        <f t="shared" si="5"/>
        <v>22060</v>
      </c>
      <c r="L13" s="201">
        <f t="shared" si="5"/>
        <v>0</v>
      </c>
      <c r="M13" s="546">
        <f t="shared" si="5"/>
        <v>22060</v>
      </c>
      <c r="N13" s="333">
        <f t="shared" si="2"/>
        <v>97.697077059344551</v>
      </c>
    </row>
    <row r="14" spans="1:16" ht="12.95" customHeight="1">
      <c r="B14" s="10"/>
      <c r="C14" s="11"/>
      <c r="D14" s="11"/>
      <c r="E14" s="293">
        <v>612100</v>
      </c>
      <c r="F14" s="319"/>
      <c r="G14" s="13" t="s">
        <v>83</v>
      </c>
      <c r="H14" s="515">
        <v>22580</v>
      </c>
      <c r="I14" s="515">
        <v>22580</v>
      </c>
      <c r="J14" s="564">
        <v>16089</v>
      </c>
      <c r="K14" s="547">
        <f>21750+300-240+250</f>
        <v>22060</v>
      </c>
      <c r="L14" s="203">
        <v>0</v>
      </c>
      <c r="M14" s="548">
        <f>SUM(K14:L14)</f>
        <v>22060</v>
      </c>
      <c r="N14" s="334">
        <f t="shared" si="2"/>
        <v>97.697077059344551</v>
      </c>
    </row>
    <row r="15" spans="1:16" ht="12.95" customHeight="1">
      <c r="B15" s="10"/>
      <c r="C15" s="11"/>
      <c r="D15" s="11"/>
      <c r="E15" s="293"/>
      <c r="F15" s="319"/>
      <c r="G15" s="11"/>
      <c r="H15" s="262"/>
      <c r="I15" s="262"/>
      <c r="J15" s="565"/>
      <c r="K15" s="557"/>
      <c r="L15" s="282"/>
      <c r="M15" s="553"/>
      <c r="N15" s="334" t="str">
        <f t="shared" si="2"/>
        <v/>
      </c>
    </row>
    <row r="16" spans="1:16" s="1" customFormat="1" ht="12.95" customHeight="1">
      <c r="A16" s="269"/>
      <c r="B16" s="12"/>
      <c r="C16" s="8"/>
      <c r="D16" s="8"/>
      <c r="E16" s="292">
        <v>613000</v>
      </c>
      <c r="F16" s="318"/>
      <c r="G16" s="8" t="s">
        <v>164</v>
      </c>
      <c r="H16" s="262">
        <f t="shared" ref="H16:I16" si="6">SUM(H17:H26)</f>
        <v>39800</v>
      </c>
      <c r="I16" s="262">
        <f t="shared" si="6"/>
        <v>39800</v>
      </c>
      <c r="J16" s="565">
        <v>28337</v>
      </c>
      <c r="K16" s="557">
        <f t="shared" ref="K16:M16" si="7">SUM(K17:K26)</f>
        <v>48300</v>
      </c>
      <c r="L16" s="282">
        <f t="shared" si="7"/>
        <v>0</v>
      </c>
      <c r="M16" s="553">
        <f t="shared" si="7"/>
        <v>48300</v>
      </c>
      <c r="N16" s="333">
        <f t="shared" si="2"/>
        <v>121.35678391959799</v>
      </c>
    </row>
    <row r="17" spans="1:15" ht="12.95" customHeight="1">
      <c r="B17" s="10"/>
      <c r="C17" s="11"/>
      <c r="D17" s="11"/>
      <c r="E17" s="293">
        <v>613100</v>
      </c>
      <c r="F17" s="319"/>
      <c r="G17" s="11" t="s">
        <v>84</v>
      </c>
      <c r="H17" s="515">
        <v>3500</v>
      </c>
      <c r="I17" s="515">
        <v>3500</v>
      </c>
      <c r="J17" s="564">
        <v>1128</v>
      </c>
      <c r="K17" s="555">
        <v>3500</v>
      </c>
      <c r="L17" s="352">
        <v>0</v>
      </c>
      <c r="M17" s="548">
        <f t="shared" ref="M17:M26" si="8">SUM(K17:L17)</f>
        <v>3500</v>
      </c>
      <c r="N17" s="334">
        <f t="shared" si="2"/>
        <v>100</v>
      </c>
    </row>
    <row r="18" spans="1:15" ht="12.95" customHeight="1">
      <c r="B18" s="10"/>
      <c r="C18" s="11"/>
      <c r="D18" s="11"/>
      <c r="E18" s="293">
        <v>613200</v>
      </c>
      <c r="F18" s="319"/>
      <c r="G18" s="11" t="s">
        <v>85</v>
      </c>
      <c r="H18" s="515">
        <f t="shared" ref="H18:I26" si="9">SUM(F18:G18)</f>
        <v>0</v>
      </c>
      <c r="I18" s="515">
        <f t="shared" si="9"/>
        <v>0</v>
      </c>
      <c r="J18" s="564">
        <v>0</v>
      </c>
      <c r="K18" s="555">
        <v>0</v>
      </c>
      <c r="L18" s="352">
        <v>0</v>
      </c>
      <c r="M18" s="548">
        <f t="shared" si="8"/>
        <v>0</v>
      </c>
      <c r="N18" s="334" t="str">
        <f t="shared" si="2"/>
        <v/>
      </c>
    </row>
    <row r="19" spans="1:15" ht="12.95" customHeight="1">
      <c r="B19" s="10"/>
      <c r="C19" s="11"/>
      <c r="D19" s="11"/>
      <c r="E19" s="293">
        <v>613300</v>
      </c>
      <c r="F19" s="319"/>
      <c r="G19" s="18" t="s">
        <v>200</v>
      </c>
      <c r="H19" s="515">
        <v>3300</v>
      </c>
      <c r="I19" s="515">
        <v>3300</v>
      </c>
      <c r="J19" s="564">
        <v>2413</v>
      </c>
      <c r="K19" s="555">
        <v>3300</v>
      </c>
      <c r="L19" s="352">
        <v>0</v>
      </c>
      <c r="M19" s="548">
        <f t="shared" si="8"/>
        <v>3300</v>
      </c>
      <c r="N19" s="334">
        <f t="shared" si="2"/>
        <v>100</v>
      </c>
    </row>
    <row r="20" spans="1:15" ht="12.95" customHeight="1">
      <c r="B20" s="10"/>
      <c r="C20" s="11"/>
      <c r="D20" s="11"/>
      <c r="E20" s="293">
        <v>613400</v>
      </c>
      <c r="F20" s="319"/>
      <c r="G20" s="11" t="s">
        <v>165</v>
      </c>
      <c r="H20" s="515">
        <v>1500</v>
      </c>
      <c r="I20" s="515">
        <v>1500</v>
      </c>
      <c r="J20" s="564">
        <v>584</v>
      </c>
      <c r="K20" s="555">
        <v>1000</v>
      </c>
      <c r="L20" s="352">
        <v>0</v>
      </c>
      <c r="M20" s="548">
        <f t="shared" si="8"/>
        <v>1000</v>
      </c>
      <c r="N20" s="334">
        <f t="shared" si="2"/>
        <v>66.666666666666657</v>
      </c>
    </row>
    <row r="21" spans="1:15" ht="12.95" customHeight="1">
      <c r="B21" s="10"/>
      <c r="C21" s="11"/>
      <c r="D21" s="11"/>
      <c r="E21" s="293">
        <v>613500</v>
      </c>
      <c r="F21" s="319"/>
      <c r="G21" s="11" t="s">
        <v>86</v>
      </c>
      <c r="H21" s="515">
        <f t="shared" si="9"/>
        <v>0</v>
      </c>
      <c r="I21" s="515">
        <f t="shared" si="9"/>
        <v>0</v>
      </c>
      <c r="J21" s="564">
        <v>0</v>
      </c>
      <c r="K21" s="555">
        <v>0</v>
      </c>
      <c r="L21" s="352">
        <v>0</v>
      </c>
      <c r="M21" s="548">
        <f t="shared" si="8"/>
        <v>0</v>
      </c>
      <c r="N21" s="334" t="str">
        <f t="shared" si="2"/>
        <v/>
      </c>
    </row>
    <row r="22" spans="1:15" ht="12.95" customHeight="1">
      <c r="B22" s="10"/>
      <c r="C22" s="11"/>
      <c r="D22" s="11"/>
      <c r="E22" s="293">
        <v>613600</v>
      </c>
      <c r="F22" s="319"/>
      <c r="G22" s="18" t="s">
        <v>201</v>
      </c>
      <c r="H22" s="515">
        <f t="shared" si="9"/>
        <v>0</v>
      </c>
      <c r="I22" s="515">
        <f t="shared" si="9"/>
        <v>0</v>
      </c>
      <c r="J22" s="564">
        <v>0</v>
      </c>
      <c r="K22" s="555">
        <v>0</v>
      </c>
      <c r="L22" s="352">
        <v>0</v>
      </c>
      <c r="M22" s="548">
        <f t="shared" si="8"/>
        <v>0</v>
      </c>
      <c r="N22" s="334" t="str">
        <f t="shared" si="2"/>
        <v/>
      </c>
    </row>
    <row r="23" spans="1:15" ht="12.95" customHeight="1">
      <c r="B23" s="10"/>
      <c r="C23" s="11"/>
      <c r="D23" s="11"/>
      <c r="E23" s="293">
        <v>613700</v>
      </c>
      <c r="F23" s="319"/>
      <c r="G23" s="11" t="s">
        <v>87</v>
      </c>
      <c r="H23" s="515">
        <v>2500</v>
      </c>
      <c r="I23" s="515">
        <v>2500</v>
      </c>
      <c r="J23" s="564">
        <v>433</v>
      </c>
      <c r="K23" s="555">
        <v>1500</v>
      </c>
      <c r="L23" s="352">
        <v>0</v>
      </c>
      <c r="M23" s="548">
        <f t="shared" si="8"/>
        <v>1500</v>
      </c>
      <c r="N23" s="334">
        <f t="shared" si="2"/>
        <v>60</v>
      </c>
    </row>
    <row r="24" spans="1:15" ht="12.95" customHeight="1">
      <c r="B24" s="10"/>
      <c r="C24" s="11"/>
      <c r="D24" s="11"/>
      <c r="E24" s="293">
        <v>613800</v>
      </c>
      <c r="F24" s="319"/>
      <c r="G24" s="11" t="s">
        <v>166</v>
      </c>
      <c r="H24" s="515">
        <f t="shared" si="9"/>
        <v>0</v>
      </c>
      <c r="I24" s="515">
        <f t="shared" si="9"/>
        <v>0</v>
      </c>
      <c r="J24" s="564">
        <v>0</v>
      </c>
      <c r="K24" s="555">
        <v>0</v>
      </c>
      <c r="L24" s="352">
        <v>0</v>
      </c>
      <c r="M24" s="548">
        <f t="shared" si="8"/>
        <v>0</v>
      </c>
      <c r="N24" s="334" t="str">
        <f t="shared" si="2"/>
        <v/>
      </c>
    </row>
    <row r="25" spans="1:15" ht="12.95" customHeight="1">
      <c r="B25" s="10"/>
      <c r="C25" s="11"/>
      <c r="D25" s="11"/>
      <c r="E25" s="293">
        <v>613900</v>
      </c>
      <c r="F25" s="319"/>
      <c r="G25" s="11" t="s">
        <v>167</v>
      </c>
      <c r="H25" s="515">
        <v>29000</v>
      </c>
      <c r="I25" s="515">
        <v>29000</v>
      </c>
      <c r="J25" s="564">
        <v>23779</v>
      </c>
      <c r="K25" s="555">
        <v>39000</v>
      </c>
      <c r="L25" s="352">
        <v>0</v>
      </c>
      <c r="M25" s="548">
        <f t="shared" si="8"/>
        <v>39000</v>
      </c>
      <c r="N25" s="334">
        <f t="shared" si="2"/>
        <v>134.48275862068965</v>
      </c>
      <c r="O25" s="63"/>
    </row>
    <row r="26" spans="1:15" ht="12.95" customHeight="1">
      <c r="B26" s="10"/>
      <c r="C26" s="11"/>
      <c r="D26" s="11"/>
      <c r="E26" s="293">
        <v>613900</v>
      </c>
      <c r="F26" s="319"/>
      <c r="G26" s="180" t="s">
        <v>535</v>
      </c>
      <c r="H26" s="515">
        <f t="shared" si="9"/>
        <v>0</v>
      </c>
      <c r="I26" s="515">
        <f t="shared" si="9"/>
        <v>0</v>
      </c>
      <c r="J26" s="564">
        <v>0</v>
      </c>
      <c r="K26" s="555">
        <v>0</v>
      </c>
      <c r="L26" s="352">
        <v>0</v>
      </c>
      <c r="M26" s="548">
        <f t="shared" si="8"/>
        <v>0</v>
      </c>
      <c r="N26" s="334" t="str">
        <f t="shared" si="2"/>
        <v/>
      </c>
    </row>
    <row r="27" spans="1:15" ht="12.95" customHeight="1">
      <c r="B27" s="10"/>
      <c r="C27" s="11"/>
      <c r="D27" s="11"/>
      <c r="E27" s="293"/>
      <c r="F27" s="319"/>
      <c r="G27" s="11"/>
      <c r="H27" s="262"/>
      <c r="I27" s="262"/>
      <c r="J27" s="565"/>
      <c r="K27" s="557"/>
      <c r="L27" s="282"/>
      <c r="M27" s="553"/>
      <c r="N27" s="334" t="str">
        <f t="shared" si="2"/>
        <v/>
      </c>
    </row>
    <row r="28" spans="1:15" s="1" customFormat="1" ht="12.95" customHeight="1">
      <c r="A28" s="269"/>
      <c r="B28" s="12"/>
      <c r="C28" s="8"/>
      <c r="D28" s="8"/>
      <c r="E28" s="292">
        <v>614000</v>
      </c>
      <c r="F28" s="318"/>
      <c r="G28" s="8" t="s">
        <v>202</v>
      </c>
      <c r="H28" s="262">
        <f t="shared" ref="H28:M28" si="10">H29</f>
        <v>1100000</v>
      </c>
      <c r="I28" s="262">
        <f t="shared" si="10"/>
        <v>1100000</v>
      </c>
      <c r="J28" s="565">
        <v>738134</v>
      </c>
      <c r="K28" s="557">
        <f t="shared" si="10"/>
        <v>1100000</v>
      </c>
      <c r="L28" s="282">
        <f t="shared" si="10"/>
        <v>0</v>
      </c>
      <c r="M28" s="553">
        <f t="shared" si="10"/>
        <v>1100000</v>
      </c>
      <c r="N28" s="333">
        <f t="shared" si="2"/>
        <v>100</v>
      </c>
    </row>
    <row r="29" spans="1:15" ht="12.95" customHeight="1">
      <c r="B29" s="10"/>
      <c r="C29" s="11"/>
      <c r="D29" s="11"/>
      <c r="E29" s="293">
        <v>614200</v>
      </c>
      <c r="F29" s="319" t="s">
        <v>690</v>
      </c>
      <c r="G29" s="21" t="s">
        <v>114</v>
      </c>
      <c r="H29" s="515">
        <v>1100000</v>
      </c>
      <c r="I29" s="515">
        <v>1100000</v>
      </c>
      <c r="J29" s="564">
        <v>738134</v>
      </c>
      <c r="K29" s="556">
        <v>1100000</v>
      </c>
      <c r="L29" s="283">
        <v>0</v>
      </c>
      <c r="M29" s="548">
        <f>SUM(K29:L29)</f>
        <v>1100000</v>
      </c>
      <c r="N29" s="334">
        <f t="shared" si="2"/>
        <v>100</v>
      </c>
    </row>
    <row r="30" spans="1:15" ht="12.95" customHeight="1">
      <c r="B30" s="10"/>
      <c r="C30" s="11"/>
      <c r="D30" s="11"/>
      <c r="E30" s="293"/>
      <c r="F30" s="319"/>
      <c r="G30" s="11"/>
      <c r="H30" s="516"/>
      <c r="I30" s="516"/>
      <c r="J30" s="566"/>
      <c r="K30" s="556"/>
      <c r="L30" s="283"/>
      <c r="M30" s="551"/>
      <c r="N30" s="334" t="str">
        <f t="shared" si="2"/>
        <v/>
      </c>
    </row>
    <row r="31" spans="1:15" s="1" customFormat="1" ht="12.95" customHeight="1">
      <c r="A31" s="269"/>
      <c r="B31" s="12"/>
      <c r="C31" s="8"/>
      <c r="D31" s="8"/>
      <c r="E31" s="292">
        <v>821000</v>
      </c>
      <c r="F31" s="318"/>
      <c r="G31" s="8" t="s">
        <v>90</v>
      </c>
      <c r="H31" s="262">
        <f t="shared" ref="H31:I31" si="11">SUM(H32:H33)</f>
        <v>3000</v>
      </c>
      <c r="I31" s="262">
        <f t="shared" si="11"/>
        <v>3000</v>
      </c>
      <c r="J31" s="565">
        <v>1846</v>
      </c>
      <c r="K31" s="557">
        <f t="shared" ref="K31:M31" si="12">SUM(K32:K33)</f>
        <v>3000</v>
      </c>
      <c r="L31" s="282">
        <f t="shared" si="12"/>
        <v>0</v>
      </c>
      <c r="M31" s="553">
        <f t="shared" si="12"/>
        <v>3000</v>
      </c>
      <c r="N31" s="334">
        <f t="shared" si="2"/>
        <v>100</v>
      </c>
    </row>
    <row r="32" spans="1:15" ht="12.95" customHeight="1">
      <c r="B32" s="10"/>
      <c r="C32" s="11"/>
      <c r="D32" s="11"/>
      <c r="E32" s="293">
        <v>821200</v>
      </c>
      <c r="F32" s="319"/>
      <c r="G32" s="11" t="s">
        <v>91</v>
      </c>
      <c r="H32" s="515">
        <f t="shared" ref="H32:I32" si="13">SUM(F32:G32)</f>
        <v>0</v>
      </c>
      <c r="I32" s="515">
        <f t="shared" si="13"/>
        <v>0</v>
      </c>
      <c r="J32" s="564">
        <v>0</v>
      </c>
      <c r="K32" s="556">
        <v>0</v>
      </c>
      <c r="L32" s="283">
        <v>0</v>
      </c>
      <c r="M32" s="548">
        <f t="shared" ref="M32:M33" si="14">SUM(K32:L32)</f>
        <v>0</v>
      </c>
      <c r="N32" s="334" t="str">
        <f t="shared" si="2"/>
        <v/>
      </c>
    </row>
    <row r="33" spans="1:14" ht="12.95" customHeight="1">
      <c r="B33" s="10"/>
      <c r="C33" s="11"/>
      <c r="D33" s="11"/>
      <c r="E33" s="293">
        <v>821300</v>
      </c>
      <c r="F33" s="319"/>
      <c r="G33" s="11" t="s">
        <v>92</v>
      </c>
      <c r="H33" s="516">
        <v>3000</v>
      </c>
      <c r="I33" s="516">
        <v>3000</v>
      </c>
      <c r="J33" s="564">
        <v>1846</v>
      </c>
      <c r="K33" s="556">
        <v>3000</v>
      </c>
      <c r="L33" s="283">
        <v>0</v>
      </c>
      <c r="M33" s="548">
        <f t="shared" si="14"/>
        <v>3000</v>
      </c>
      <c r="N33" s="334">
        <f t="shared" si="2"/>
        <v>100</v>
      </c>
    </row>
    <row r="34" spans="1:14" ht="12.95" customHeight="1">
      <c r="B34" s="10"/>
      <c r="C34" s="11"/>
      <c r="D34" s="11"/>
      <c r="E34" s="293"/>
      <c r="F34" s="319"/>
      <c r="G34" s="11"/>
      <c r="H34" s="516"/>
      <c r="I34" s="516"/>
      <c r="J34" s="566"/>
      <c r="K34" s="556"/>
      <c r="L34" s="283"/>
      <c r="M34" s="551"/>
      <c r="N34" s="334" t="str">
        <f t="shared" si="2"/>
        <v/>
      </c>
    </row>
    <row r="35" spans="1:14" s="1" customFormat="1" ht="12.95" customHeight="1">
      <c r="A35" s="269"/>
      <c r="B35" s="12"/>
      <c r="C35" s="8"/>
      <c r="D35" s="8"/>
      <c r="E35" s="292"/>
      <c r="F35" s="318"/>
      <c r="G35" s="8" t="s">
        <v>93</v>
      </c>
      <c r="H35" s="262">
        <v>12</v>
      </c>
      <c r="I35" s="262">
        <v>12</v>
      </c>
      <c r="J35" s="565">
        <v>12</v>
      </c>
      <c r="K35" s="558">
        <v>12</v>
      </c>
      <c r="L35" s="276"/>
      <c r="M35" s="553">
        <v>12</v>
      </c>
      <c r="N35" s="334"/>
    </row>
    <row r="36" spans="1:14" s="1" customFormat="1" ht="12.95" customHeight="1">
      <c r="A36" s="269"/>
      <c r="B36" s="12"/>
      <c r="C36" s="8"/>
      <c r="D36" s="8"/>
      <c r="E36" s="292"/>
      <c r="F36" s="318"/>
      <c r="G36" s="8" t="s">
        <v>113</v>
      </c>
      <c r="H36" s="262">
        <f t="shared" ref="H36:M36" si="15">H8+H13+H16+H28+H31</f>
        <v>1428460</v>
      </c>
      <c r="I36" s="276">
        <f t="shared" si="15"/>
        <v>1428460</v>
      </c>
      <c r="J36" s="565">
        <f t="shared" si="15"/>
        <v>977491</v>
      </c>
      <c r="K36" s="558">
        <f t="shared" si="15"/>
        <v>1441120</v>
      </c>
      <c r="L36" s="276">
        <f t="shared" si="15"/>
        <v>0</v>
      </c>
      <c r="M36" s="553">
        <f t="shared" si="15"/>
        <v>1441120</v>
      </c>
      <c r="N36" s="333">
        <f t="shared" si="2"/>
        <v>100.88626912899205</v>
      </c>
    </row>
    <row r="37" spans="1:14" s="1" customFormat="1" ht="12.95" customHeight="1">
      <c r="A37" s="269"/>
      <c r="B37" s="12"/>
      <c r="C37" s="8"/>
      <c r="D37" s="8"/>
      <c r="E37" s="292"/>
      <c r="F37" s="318"/>
      <c r="G37" s="8" t="s">
        <v>94</v>
      </c>
      <c r="H37" s="262">
        <f t="shared" ref="H37:J38" si="16">H36</f>
        <v>1428460</v>
      </c>
      <c r="I37" s="276">
        <f t="shared" si="16"/>
        <v>1428460</v>
      </c>
      <c r="J37" s="565">
        <f t="shared" si="16"/>
        <v>977491</v>
      </c>
      <c r="K37" s="558">
        <f t="shared" ref="K37:M37" si="17">K36</f>
        <v>1441120</v>
      </c>
      <c r="L37" s="276">
        <f t="shared" si="17"/>
        <v>0</v>
      </c>
      <c r="M37" s="553">
        <f t="shared" si="17"/>
        <v>1441120</v>
      </c>
      <c r="N37" s="333">
        <f t="shared" si="2"/>
        <v>100.88626912899205</v>
      </c>
    </row>
    <row r="38" spans="1:14" s="1" customFormat="1" ht="12.95" customHeight="1">
      <c r="A38" s="269"/>
      <c r="B38" s="12"/>
      <c r="C38" s="8"/>
      <c r="D38" s="8"/>
      <c r="E38" s="292"/>
      <c r="F38" s="318"/>
      <c r="G38" s="8" t="s">
        <v>95</v>
      </c>
      <c r="H38" s="262">
        <f t="shared" si="16"/>
        <v>1428460</v>
      </c>
      <c r="I38" s="276">
        <f t="shared" si="16"/>
        <v>1428460</v>
      </c>
      <c r="J38" s="565">
        <f t="shared" si="16"/>
        <v>977491</v>
      </c>
      <c r="K38" s="558">
        <f t="shared" ref="K38:M38" si="18">K37</f>
        <v>1441120</v>
      </c>
      <c r="L38" s="276">
        <f t="shared" si="18"/>
        <v>0</v>
      </c>
      <c r="M38" s="553">
        <f t="shared" si="18"/>
        <v>1441120</v>
      </c>
      <c r="N38" s="333">
        <f t="shared" si="2"/>
        <v>100.88626912899205</v>
      </c>
    </row>
    <row r="39" spans="1:14" ht="12.95" customHeight="1" thickBot="1">
      <c r="B39" s="15"/>
      <c r="C39" s="16"/>
      <c r="D39" s="16"/>
      <c r="E39" s="294"/>
      <c r="F39" s="320"/>
      <c r="G39" s="16"/>
      <c r="H39" s="518"/>
      <c r="I39" s="27"/>
      <c r="J39" s="567"/>
      <c r="K39" s="559"/>
      <c r="L39" s="27"/>
      <c r="M39" s="560"/>
      <c r="N39" s="336" t="str">
        <f t="shared" si="2"/>
        <v/>
      </c>
    </row>
    <row r="40" spans="1:14" ht="12.95" customHeight="1">
      <c r="E40" s="295"/>
      <c r="F40" s="321"/>
      <c r="I40" s="56"/>
      <c r="K40" s="56"/>
      <c r="L40" s="56"/>
      <c r="M40" s="370"/>
      <c r="N40" s="337" t="str">
        <f t="shared" si="2"/>
        <v/>
      </c>
    </row>
    <row r="41" spans="1:14" ht="12.95" customHeight="1">
      <c r="E41" s="295"/>
      <c r="F41" s="321"/>
      <c r="M41" s="370"/>
      <c r="N41" s="337" t="str">
        <f t="shared" si="2"/>
        <v/>
      </c>
    </row>
    <row r="42" spans="1:14" ht="12.95" customHeight="1">
      <c r="E42" s="295"/>
      <c r="F42" s="321"/>
      <c r="M42" s="370"/>
      <c r="N42" s="337" t="str">
        <f t="shared" si="2"/>
        <v/>
      </c>
    </row>
    <row r="43" spans="1:14" ht="12.95" customHeight="1">
      <c r="E43" s="295"/>
      <c r="F43" s="321"/>
      <c r="M43" s="370"/>
      <c r="N43" s="337" t="str">
        <f t="shared" si="2"/>
        <v/>
      </c>
    </row>
    <row r="44" spans="1:14" ht="12.95" customHeight="1">
      <c r="E44" s="295"/>
      <c r="F44" s="321"/>
      <c r="M44" s="370"/>
      <c r="N44" s="337" t="str">
        <f t="shared" si="2"/>
        <v/>
      </c>
    </row>
    <row r="45" spans="1:14" ht="12.95" customHeight="1">
      <c r="E45" s="295"/>
      <c r="F45" s="321"/>
      <c r="M45" s="370"/>
      <c r="N45" s="337" t="str">
        <f t="shared" si="2"/>
        <v/>
      </c>
    </row>
    <row r="46" spans="1:14" ht="12.95" customHeight="1">
      <c r="E46" s="295"/>
      <c r="F46" s="321"/>
      <c r="M46" s="370"/>
      <c r="N46" s="337" t="str">
        <f t="shared" si="2"/>
        <v/>
      </c>
    </row>
    <row r="47" spans="1:14" ht="12.95" customHeight="1">
      <c r="E47" s="295"/>
      <c r="F47" s="321"/>
      <c r="M47" s="370"/>
      <c r="N47" s="337" t="str">
        <f t="shared" si="2"/>
        <v/>
      </c>
    </row>
    <row r="48" spans="1:14" ht="12.95" customHeight="1">
      <c r="E48" s="295"/>
      <c r="F48" s="321"/>
      <c r="M48" s="370"/>
      <c r="N48" s="337" t="str">
        <f t="shared" si="2"/>
        <v/>
      </c>
    </row>
    <row r="49" spans="5:14" ht="12.95" customHeight="1">
      <c r="E49" s="295"/>
      <c r="F49" s="321"/>
      <c r="M49" s="370"/>
      <c r="N49" s="337" t="str">
        <f t="shared" si="2"/>
        <v/>
      </c>
    </row>
    <row r="50" spans="5:14" ht="12.95" customHeight="1">
      <c r="E50" s="295"/>
      <c r="F50" s="321"/>
      <c r="M50" s="370"/>
      <c r="N50" s="337" t="str">
        <f t="shared" si="2"/>
        <v/>
      </c>
    </row>
    <row r="51" spans="5:14" ht="12.95" customHeight="1">
      <c r="E51" s="295"/>
      <c r="F51" s="321"/>
      <c r="M51" s="370"/>
      <c r="N51" s="337" t="str">
        <f t="shared" si="2"/>
        <v/>
      </c>
    </row>
    <row r="52" spans="5:14" ht="12.95" customHeight="1">
      <c r="E52" s="295"/>
      <c r="F52" s="321"/>
      <c r="M52" s="370"/>
      <c r="N52" s="337" t="str">
        <f t="shared" si="2"/>
        <v/>
      </c>
    </row>
    <row r="53" spans="5:14" ht="12.95" customHeight="1">
      <c r="E53" s="295"/>
      <c r="F53" s="321"/>
      <c r="M53" s="370"/>
      <c r="N53" s="337" t="str">
        <f t="shared" si="2"/>
        <v/>
      </c>
    </row>
    <row r="54" spans="5:14" ht="12.95" customHeight="1">
      <c r="E54" s="295"/>
      <c r="F54" s="321"/>
      <c r="M54" s="370"/>
      <c r="N54" s="337" t="str">
        <f t="shared" si="2"/>
        <v/>
      </c>
    </row>
    <row r="55" spans="5:14" ht="12.95" customHeight="1">
      <c r="E55" s="295"/>
      <c r="F55" s="321"/>
      <c r="M55" s="370"/>
      <c r="N55" s="337" t="str">
        <f t="shared" si="2"/>
        <v/>
      </c>
    </row>
    <row r="56" spans="5:14" ht="12.95" customHeight="1">
      <c r="E56" s="295"/>
      <c r="F56" s="321"/>
      <c r="M56" s="370"/>
      <c r="N56" s="337" t="str">
        <f t="shared" si="2"/>
        <v/>
      </c>
    </row>
    <row r="57" spans="5:14" ht="12.95" customHeight="1">
      <c r="E57" s="295"/>
      <c r="F57" s="321"/>
      <c r="M57" s="370"/>
      <c r="N57" s="337" t="str">
        <f t="shared" si="2"/>
        <v/>
      </c>
    </row>
    <row r="58" spans="5:14" ht="12.95" customHeight="1">
      <c r="E58" s="295"/>
      <c r="F58" s="321"/>
      <c r="M58" s="370"/>
      <c r="N58" s="337" t="str">
        <f t="shared" si="2"/>
        <v/>
      </c>
    </row>
    <row r="59" spans="5:14" ht="12.95" customHeight="1">
      <c r="E59" s="295"/>
      <c r="F59" s="321"/>
      <c r="M59" s="370"/>
      <c r="N59" s="337" t="str">
        <f t="shared" si="2"/>
        <v/>
      </c>
    </row>
    <row r="60" spans="5:14" ht="17.100000000000001" customHeight="1">
      <c r="E60" s="295"/>
      <c r="F60" s="321"/>
      <c r="M60" s="370"/>
      <c r="N60" s="337" t="str">
        <f t="shared" si="2"/>
        <v/>
      </c>
    </row>
    <row r="61" spans="5:14" ht="14.25">
      <c r="E61" s="295"/>
      <c r="F61" s="321"/>
      <c r="M61" s="370"/>
      <c r="N61" s="337" t="str">
        <f t="shared" si="2"/>
        <v/>
      </c>
    </row>
    <row r="62" spans="5:14" ht="14.25">
      <c r="E62" s="295"/>
      <c r="F62" s="321"/>
      <c r="M62" s="370"/>
      <c r="N62" s="337" t="str">
        <f t="shared" si="2"/>
        <v/>
      </c>
    </row>
    <row r="63" spans="5:14" ht="14.25">
      <c r="E63" s="295"/>
      <c r="F63" s="321"/>
      <c r="M63" s="370"/>
      <c r="N63" s="337" t="str">
        <f t="shared" si="2"/>
        <v/>
      </c>
    </row>
    <row r="64" spans="5:14" ht="14.25">
      <c r="E64" s="295"/>
      <c r="F64" s="321"/>
      <c r="M64" s="370"/>
      <c r="N64" s="337" t="str">
        <f t="shared" si="2"/>
        <v/>
      </c>
    </row>
    <row r="65" spans="5:14" ht="14.25">
      <c r="E65" s="295"/>
      <c r="F65" s="321"/>
      <c r="M65" s="370"/>
      <c r="N65" s="337" t="str">
        <f t="shared" si="2"/>
        <v/>
      </c>
    </row>
    <row r="66" spans="5:14" ht="14.25">
      <c r="E66" s="295"/>
      <c r="F66" s="321"/>
      <c r="M66" s="370"/>
      <c r="N66" s="337" t="str">
        <f t="shared" si="2"/>
        <v/>
      </c>
    </row>
    <row r="67" spans="5:14" ht="14.25">
      <c r="E67" s="295"/>
      <c r="F67" s="321"/>
      <c r="M67" s="370"/>
      <c r="N67" s="337" t="str">
        <f t="shared" si="2"/>
        <v/>
      </c>
    </row>
    <row r="68" spans="5:14" ht="14.25">
      <c r="E68" s="295"/>
      <c r="F68" s="321"/>
      <c r="M68" s="370"/>
      <c r="N68" s="337" t="str">
        <f t="shared" si="2"/>
        <v/>
      </c>
    </row>
    <row r="69" spans="5:14" ht="14.25">
      <c r="E69" s="295"/>
      <c r="F69" s="321"/>
      <c r="M69" s="370"/>
      <c r="N69" s="337" t="str">
        <f t="shared" si="2"/>
        <v/>
      </c>
    </row>
    <row r="70" spans="5:14" ht="14.25">
      <c r="E70" s="295"/>
      <c r="F70" s="321"/>
      <c r="M70" s="370"/>
      <c r="N70" s="337" t="str">
        <f t="shared" si="2"/>
        <v/>
      </c>
    </row>
    <row r="71" spans="5:14" ht="14.25">
      <c r="E71" s="295"/>
      <c r="F71" s="321"/>
      <c r="M71" s="370"/>
      <c r="N71" s="337" t="str">
        <f t="shared" si="2"/>
        <v/>
      </c>
    </row>
    <row r="72" spans="5:14" ht="14.25">
      <c r="E72" s="295"/>
      <c r="F72" s="321"/>
      <c r="M72" s="370"/>
      <c r="N72" s="337" t="str">
        <f t="shared" si="2"/>
        <v/>
      </c>
    </row>
    <row r="73" spans="5:14" ht="14.25">
      <c r="E73" s="295"/>
      <c r="F73" s="321"/>
      <c r="M73" s="370"/>
      <c r="N73" s="337" t="str">
        <f t="shared" ref="N73:N77" si="19">IF(I73=0,"",M73/I73*100)</f>
        <v/>
      </c>
    </row>
    <row r="74" spans="5:14" ht="14.25">
      <c r="E74" s="295"/>
      <c r="F74" s="295"/>
      <c r="M74" s="370"/>
      <c r="N74" s="337" t="str">
        <f t="shared" si="19"/>
        <v/>
      </c>
    </row>
    <row r="75" spans="5:14" ht="14.25">
      <c r="E75" s="295"/>
      <c r="F75" s="295"/>
      <c r="M75" s="370"/>
      <c r="N75" s="337" t="str">
        <f t="shared" si="19"/>
        <v/>
      </c>
    </row>
    <row r="76" spans="5:14" ht="14.25">
      <c r="E76" s="295"/>
      <c r="F76" s="295"/>
      <c r="M76" s="370"/>
      <c r="N76" s="337" t="str">
        <f t="shared" si="19"/>
        <v/>
      </c>
    </row>
    <row r="77" spans="5:14" ht="14.25">
      <c r="E77" s="295"/>
      <c r="F77" s="295"/>
      <c r="M77" s="370"/>
      <c r="N77" s="337" t="str">
        <f t="shared" si="19"/>
        <v/>
      </c>
    </row>
    <row r="78" spans="5:14" ht="14.25">
      <c r="E78" s="295"/>
      <c r="F78" s="295"/>
      <c r="M78" s="370"/>
    </row>
    <row r="79" spans="5:14" ht="14.25">
      <c r="E79" s="295"/>
      <c r="F79" s="295"/>
      <c r="M79" s="370"/>
    </row>
    <row r="80" spans="5:14" ht="14.25">
      <c r="E80" s="295"/>
      <c r="F80" s="295"/>
      <c r="M80" s="370"/>
    </row>
    <row r="81" spans="5:13" ht="14.25">
      <c r="E81" s="295"/>
      <c r="F81" s="295"/>
      <c r="M81" s="370"/>
    </row>
    <row r="82" spans="5:13" ht="14.25">
      <c r="E82" s="295"/>
      <c r="F82" s="295"/>
      <c r="M82" s="370"/>
    </row>
    <row r="83" spans="5:13" ht="14.25">
      <c r="E83" s="295"/>
      <c r="F83" s="295"/>
      <c r="M83" s="370"/>
    </row>
    <row r="84" spans="5:13" ht="14.25">
      <c r="E84" s="295"/>
      <c r="F84" s="295"/>
      <c r="M84" s="370"/>
    </row>
    <row r="85" spans="5:13" ht="14.25">
      <c r="E85" s="295"/>
      <c r="F85" s="295"/>
      <c r="M85" s="370"/>
    </row>
    <row r="86" spans="5:13" ht="14.25">
      <c r="E86" s="295"/>
      <c r="F86" s="295"/>
      <c r="M86" s="370"/>
    </row>
    <row r="87" spans="5:13" ht="14.25">
      <c r="E87" s="295"/>
      <c r="F87" s="295"/>
      <c r="M87" s="370"/>
    </row>
    <row r="88" spans="5:13" ht="14.25">
      <c r="E88" s="295"/>
      <c r="F88" s="295"/>
      <c r="M88" s="370"/>
    </row>
    <row r="89" spans="5:13" ht="14.25">
      <c r="E89" s="295"/>
      <c r="F89" s="295"/>
      <c r="M89" s="370"/>
    </row>
    <row r="90" spans="5:13" ht="14.25">
      <c r="E90" s="295"/>
      <c r="F90" s="295"/>
      <c r="M90" s="370"/>
    </row>
    <row r="91" spans="5:13">
      <c r="F91" s="295"/>
    </row>
    <row r="92" spans="5:13">
      <c r="F92" s="295"/>
    </row>
    <row r="93" spans="5:13">
      <c r="F93" s="295"/>
    </row>
    <row r="94" spans="5:13">
      <c r="F94" s="295"/>
    </row>
    <row r="95" spans="5:13">
      <c r="F95" s="295"/>
    </row>
    <row r="96" spans="5:13">
      <c r="F96" s="295"/>
    </row>
  </sheetData>
  <mergeCells count="12">
    <mergeCell ref="N4:N5"/>
    <mergeCell ref="G4:G5"/>
    <mergeCell ref="B2:G2"/>
    <mergeCell ref="B4:B5"/>
    <mergeCell ref="C4:C5"/>
    <mergeCell ref="D4:D5"/>
    <mergeCell ref="F4:F5"/>
    <mergeCell ref="E4:E5"/>
    <mergeCell ref="K4:M4"/>
    <mergeCell ref="H4:H5"/>
    <mergeCell ref="I4:I5"/>
    <mergeCell ref="J4:J5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 codeName="Sheet37"/>
  <dimension ref="A1:P96"/>
  <sheetViews>
    <sheetView zoomScaleNormal="100" workbookViewId="0">
      <selection activeCell="K10" sqref="K10"/>
    </sheetView>
  </sheetViews>
  <sheetFormatPr defaultRowHeight="12.75"/>
  <cols>
    <col min="1" max="1" width="9.140625" style="272"/>
    <col min="2" max="2" width="4.7109375" style="9" customWidth="1"/>
    <col min="3" max="3" width="5.140625" style="9" customWidth="1"/>
    <col min="4" max="4" width="5" style="9" customWidth="1"/>
    <col min="5" max="5" width="8.7109375" style="17" customWidth="1"/>
    <col min="6" max="6" width="8.7109375" style="277" customWidth="1"/>
    <col min="7" max="7" width="50.7109375" style="9" customWidth="1"/>
    <col min="8" max="8" width="14.7109375" style="510" customWidth="1"/>
    <col min="9" max="9" width="14.7109375" style="272" customWidth="1"/>
    <col min="10" max="10" width="15.7109375" style="510" customWidth="1"/>
    <col min="11" max="12" width="14.7109375" style="272" customWidth="1"/>
    <col min="13" max="13" width="15.7109375" style="272" customWidth="1"/>
    <col min="14" max="14" width="7.7109375" style="337" customWidth="1"/>
    <col min="15" max="16384" width="9.140625" style="9"/>
  </cols>
  <sheetData>
    <row r="1" spans="1:16" ht="13.5" thickBot="1"/>
    <row r="2" spans="1:16" s="363" customFormat="1" ht="20.100000000000001" customHeight="1" thickTop="1" thickBot="1">
      <c r="B2" s="725" t="s">
        <v>151</v>
      </c>
      <c r="C2" s="726"/>
      <c r="D2" s="726"/>
      <c r="E2" s="726"/>
      <c r="F2" s="726"/>
      <c r="G2" s="726"/>
      <c r="H2" s="726"/>
      <c r="I2" s="726"/>
      <c r="J2" s="726"/>
      <c r="K2" s="487"/>
      <c r="L2" s="487"/>
      <c r="M2" s="487"/>
      <c r="N2" s="366"/>
    </row>
    <row r="3" spans="1:16" s="1" customFormat="1" ht="8.1" customHeight="1" thickTop="1" thickBot="1">
      <c r="A3" s="269"/>
      <c r="E3" s="2"/>
      <c r="F3" s="270"/>
      <c r="G3" s="488"/>
      <c r="H3" s="511"/>
      <c r="I3" s="87"/>
      <c r="J3" s="511"/>
      <c r="K3" s="87"/>
      <c r="L3" s="87"/>
      <c r="M3" s="87"/>
      <c r="N3" s="331"/>
    </row>
    <row r="4" spans="1:16" s="1" customFormat="1" ht="39" customHeight="1">
      <c r="A4" s="269"/>
      <c r="B4" s="728" t="s">
        <v>78</v>
      </c>
      <c r="C4" s="746" t="s">
        <v>79</v>
      </c>
      <c r="D4" s="747" t="s">
        <v>110</v>
      </c>
      <c r="E4" s="748" t="s">
        <v>594</v>
      </c>
      <c r="F4" s="733" t="s">
        <v>650</v>
      </c>
      <c r="G4" s="734" t="s">
        <v>80</v>
      </c>
      <c r="H4" s="740" t="s">
        <v>644</v>
      </c>
      <c r="I4" s="742" t="s">
        <v>821</v>
      </c>
      <c r="J4" s="744" t="s">
        <v>822</v>
      </c>
      <c r="K4" s="749" t="s">
        <v>863</v>
      </c>
      <c r="L4" s="738"/>
      <c r="M4" s="739"/>
      <c r="N4" s="735" t="s">
        <v>823</v>
      </c>
    </row>
    <row r="5" spans="1:16" s="269" customFormat="1" ht="27" customHeight="1">
      <c r="B5" s="729"/>
      <c r="C5" s="731"/>
      <c r="D5" s="731"/>
      <c r="E5" s="722"/>
      <c r="F5" s="731"/>
      <c r="G5" s="722"/>
      <c r="H5" s="741"/>
      <c r="I5" s="743"/>
      <c r="J5" s="745"/>
      <c r="K5" s="540" t="s">
        <v>701</v>
      </c>
      <c r="L5" s="359" t="s">
        <v>702</v>
      </c>
      <c r="M5" s="541" t="s">
        <v>413</v>
      </c>
      <c r="N5" s="736"/>
    </row>
    <row r="6" spans="1:16" s="2" customFormat="1" ht="12.95" customHeight="1">
      <c r="A6" s="270"/>
      <c r="B6" s="464">
        <v>1</v>
      </c>
      <c r="C6" s="318">
        <v>2</v>
      </c>
      <c r="D6" s="318">
        <v>3</v>
      </c>
      <c r="E6" s="318">
        <v>4</v>
      </c>
      <c r="F6" s="318">
        <v>5</v>
      </c>
      <c r="G6" s="318">
        <v>6</v>
      </c>
      <c r="H6" s="512">
        <v>7</v>
      </c>
      <c r="I6" s="318">
        <v>8</v>
      </c>
      <c r="J6" s="561">
        <v>9</v>
      </c>
      <c r="K6" s="464">
        <v>10</v>
      </c>
      <c r="L6" s="318">
        <v>11</v>
      </c>
      <c r="M6" s="542" t="s">
        <v>703</v>
      </c>
      <c r="N6" s="465">
        <v>13</v>
      </c>
    </row>
    <row r="7" spans="1:16" s="2" customFormat="1" ht="12.95" customHeight="1">
      <c r="A7" s="270"/>
      <c r="B7" s="6" t="s">
        <v>150</v>
      </c>
      <c r="C7" s="7" t="s">
        <v>81</v>
      </c>
      <c r="D7" s="7" t="s">
        <v>82</v>
      </c>
      <c r="E7" s="5"/>
      <c r="F7" s="271"/>
      <c r="G7" s="5"/>
      <c r="H7" s="513"/>
      <c r="I7" s="271"/>
      <c r="J7" s="568"/>
      <c r="K7" s="4"/>
      <c r="L7" s="271"/>
      <c r="M7" s="570"/>
      <c r="N7" s="332"/>
    </row>
    <row r="8" spans="1:16" s="1" customFormat="1" ht="12.95" customHeight="1">
      <c r="A8" s="269"/>
      <c r="B8" s="12"/>
      <c r="C8" s="8"/>
      <c r="D8" s="8"/>
      <c r="E8" s="292">
        <v>611000</v>
      </c>
      <c r="F8" s="318"/>
      <c r="G8" s="8" t="s">
        <v>163</v>
      </c>
      <c r="H8" s="514">
        <f t="shared" ref="H8:I8" si="0">SUM(H9:H11)</f>
        <v>131350</v>
      </c>
      <c r="I8" s="514">
        <f t="shared" si="0"/>
        <v>131350</v>
      </c>
      <c r="J8" s="563">
        <v>78849</v>
      </c>
      <c r="K8" s="545">
        <f t="shared" ref="K8:M8" si="1">SUM(K9:K11)</f>
        <v>105800</v>
      </c>
      <c r="L8" s="201">
        <f t="shared" si="1"/>
        <v>0</v>
      </c>
      <c r="M8" s="546">
        <f t="shared" si="1"/>
        <v>105800</v>
      </c>
      <c r="N8" s="333">
        <f>IF(I8=0,"",M8/I8*100)</f>
        <v>80.548153787590408</v>
      </c>
    </row>
    <row r="9" spans="1:16" ht="12.95" customHeight="1">
      <c r="B9" s="10"/>
      <c r="C9" s="11"/>
      <c r="D9" s="11"/>
      <c r="E9" s="293">
        <v>611100</v>
      </c>
      <c r="F9" s="319"/>
      <c r="G9" s="18" t="s">
        <v>198</v>
      </c>
      <c r="H9" s="515">
        <v>108990</v>
      </c>
      <c r="I9" s="515">
        <v>108990</v>
      </c>
      <c r="J9" s="564">
        <v>63382</v>
      </c>
      <c r="K9" s="549">
        <f>84300+300</f>
        <v>84600</v>
      </c>
      <c r="L9" s="200">
        <v>0</v>
      </c>
      <c r="M9" s="548">
        <f>SUM(K9:L9)</f>
        <v>84600</v>
      </c>
      <c r="N9" s="334">
        <f t="shared" ref="N9:N72" si="2">IF(I9=0,"",M9/I9*100)</f>
        <v>77.621800165152763</v>
      </c>
    </row>
    <row r="10" spans="1:16" ht="12.95" customHeight="1">
      <c r="B10" s="10"/>
      <c r="C10" s="11"/>
      <c r="D10" s="11"/>
      <c r="E10" s="293">
        <v>611200</v>
      </c>
      <c r="F10" s="319"/>
      <c r="G10" s="11" t="s">
        <v>199</v>
      </c>
      <c r="H10" s="515">
        <v>22360</v>
      </c>
      <c r="I10" s="515">
        <v>22360</v>
      </c>
      <c r="J10" s="564">
        <v>15467</v>
      </c>
      <c r="K10" s="549">
        <f>19900+300+4*250</f>
        <v>21200</v>
      </c>
      <c r="L10" s="200">
        <v>0</v>
      </c>
      <c r="M10" s="548">
        <f t="shared" ref="M10:M11" si="3">SUM(K10:L10)</f>
        <v>21200</v>
      </c>
      <c r="N10" s="334">
        <f t="shared" si="2"/>
        <v>94.812164579606446</v>
      </c>
    </row>
    <row r="11" spans="1:16" ht="12.95" customHeight="1">
      <c r="B11" s="10"/>
      <c r="C11" s="11"/>
      <c r="D11" s="11"/>
      <c r="E11" s="293">
        <v>611200</v>
      </c>
      <c r="F11" s="319"/>
      <c r="G11" s="180" t="s">
        <v>534</v>
      </c>
      <c r="H11" s="515">
        <f t="shared" ref="H11:I11" si="4">SUM(F11:G11)</f>
        <v>0</v>
      </c>
      <c r="I11" s="515">
        <f t="shared" si="4"/>
        <v>0</v>
      </c>
      <c r="J11" s="564">
        <v>0</v>
      </c>
      <c r="K11" s="549">
        <v>0</v>
      </c>
      <c r="L11" s="200">
        <v>0</v>
      </c>
      <c r="M11" s="548">
        <f t="shared" si="3"/>
        <v>0</v>
      </c>
      <c r="N11" s="334" t="str">
        <f t="shared" si="2"/>
        <v/>
      </c>
      <c r="P11" s="53"/>
    </row>
    <row r="12" spans="1:16" ht="12.95" customHeight="1">
      <c r="B12" s="10"/>
      <c r="C12" s="11"/>
      <c r="D12" s="11"/>
      <c r="E12" s="293"/>
      <c r="F12" s="319"/>
      <c r="G12" s="11"/>
      <c r="H12" s="515"/>
      <c r="I12" s="515"/>
      <c r="J12" s="564"/>
      <c r="K12" s="549"/>
      <c r="L12" s="200"/>
      <c r="M12" s="548"/>
      <c r="N12" s="334" t="str">
        <f t="shared" si="2"/>
        <v/>
      </c>
    </row>
    <row r="13" spans="1:16" ht="12.95" customHeight="1">
      <c r="B13" s="12"/>
      <c r="C13" s="8"/>
      <c r="D13" s="8"/>
      <c r="E13" s="292">
        <v>612000</v>
      </c>
      <c r="F13" s="318"/>
      <c r="G13" s="8" t="s">
        <v>162</v>
      </c>
      <c r="H13" s="514">
        <f t="shared" ref="H13:M13" si="5">H14</f>
        <v>11780</v>
      </c>
      <c r="I13" s="514">
        <f t="shared" si="5"/>
        <v>11780</v>
      </c>
      <c r="J13" s="563">
        <v>6884</v>
      </c>
      <c r="K13" s="545">
        <f t="shared" si="5"/>
        <v>9200</v>
      </c>
      <c r="L13" s="201">
        <f t="shared" si="5"/>
        <v>0</v>
      </c>
      <c r="M13" s="546">
        <f t="shared" si="5"/>
        <v>9200</v>
      </c>
      <c r="N13" s="333">
        <f t="shared" si="2"/>
        <v>78.098471986417664</v>
      </c>
    </row>
    <row r="14" spans="1:16" s="1" customFormat="1" ht="12.95" customHeight="1">
      <c r="A14" s="269"/>
      <c r="B14" s="10"/>
      <c r="C14" s="11"/>
      <c r="D14" s="11"/>
      <c r="E14" s="293">
        <v>612100</v>
      </c>
      <c r="F14" s="319"/>
      <c r="G14" s="13" t="s">
        <v>83</v>
      </c>
      <c r="H14" s="515">
        <v>11780</v>
      </c>
      <c r="I14" s="515">
        <v>11780</v>
      </c>
      <c r="J14" s="564">
        <v>6884</v>
      </c>
      <c r="K14" s="549">
        <f>9100+100</f>
        <v>9200</v>
      </c>
      <c r="L14" s="200">
        <v>0</v>
      </c>
      <c r="M14" s="548">
        <f>SUM(K14:L14)</f>
        <v>9200</v>
      </c>
      <c r="N14" s="334">
        <f t="shared" si="2"/>
        <v>78.098471986417664</v>
      </c>
    </row>
    <row r="15" spans="1:16" ht="12.95" customHeight="1">
      <c r="B15" s="10"/>
      <c r="C15" s="11"/>
      <c r="D15" s="11"/>
      <c r="E15" s="293"/>
      <c r="F15" s="319"/>
      <c r="G15" s="11"/>
      <c r="H15" s="516"/>
      <c r="I15" s="516"/>
      <c r="J15" s="566"/>
      <c r="K15" s="578"/>
      <c r="L15" s="267"/>
      <c r="M15" s="551"/>
      <c r="N15" s="334" t="str">
        <f t="shared" si="2"/>
        <v/>
      </c>
    </row>
    <row r="16" spans="1:16" ht="12.95" customHeight="1">
      <c r="B16" s="12"/>
      <c r="C16" s="8"/>
      <c r="D16" s="8"/>
      <c r="E16" s="292">
        <v>613000</v>
      </c>
      <c r="F16" s="318"/>
      <c r="G16" s="8" t="s">
        <v>164</v>
      </c>
      <c r="H16" s="262">
        <f t="shared" ref="H16:I16" si="6">SUM(H17:H26)</f>
        <v>15700</v>
      </c>
      <c r="I16" s="262">
        <f t="shared" si="6"/>
        <v>15700</v>
      </c>
      <c r="J16" s="565">
        <v>9143</v>
      </c>
      <c r="K16" s="552">
        <f t="shared" ref="K16:M16" si="7">SUM(K17:K26)</f>
        <v>15700</v>
      </c>
      <c r="L16" s="281">
        <f t="shared" si="7"/>
        <v>0</v>
      </c>
      <c r="M16" s="553">
        <f t="shared" si="7"/>
        <v>15700</v>
      </c>
      <c r="N16" s="333">
        <f t="shared" si="2"/>
        <v>100</v>
      </c>
    </row>
    <row r="17" spans="1:14" s="1" customFormat="1" ht="12.95" customHeight="1">
      <c r="A17" s="269"/>
      <c r="B17" s="10"/>
      <c r="C17" s="11"/>
      <c r="D17" s="11"/>
      <c r="E17" s="293">
        <v>613100</v>
      </c>
      <c r="F17" s="319"/>
      <c r="G17" s="11" t="s">
        <v>84</v>
      </c>
      <c r="H17" s="515">
        <v>400</v>
      </c>
      <c r="I17" s="515">
        <v>400</v>
      </c>
      <c r="J17" s="564">
        <v>0</v>
      </c>
      <c r="K17" s="572">
        <v>400</v>
      </c>
      <c r="L17" s="351">
        <v>0</v>
      </c>
      <c r="M17" s="548">
        <f t="shared" ref="M17:M26" si="8">SUM(K17:L17)</f>
        <v>400</v>
      </c>
      <c r="N17" s="334">
        <f t="shared" si="2"/>
        <v>100</v>
      </c>
    </row>
    <row r="18" spans="1:14" ht="12.95" customHeight="1">
      <c r="B18" s="10"/>
      <c r="C18" s="11"/>
      <c r="D18" s="11"/>
      <c r="E18" s="293">
        <v>613200</v>
      </c>
      <c r="F18" s="319"/>
      <c r="G18" s="11" t="s">
        <v>85</v>
      </c>
      <c r="H18" s="515">
        <v>5500</v>
      </c>
      <c r="I18" s="515">
        <v>5500</v>
      </c>
      <c r="J18" s="564">
        <v>3351</v>
      </c>
      <c r="K18" s="572">
        <v>5500</v>
      </c>
      <c r="L18" s="351">
        <v>0</v>
      </c>
      <c r="M18" s="548">
        <f t="shared" si="8"/>
        <v>5500</v>
      </c>
      <c r="N18" s="334">
        <f t="shared" si="2"/>
        <v>100</v>
      </c>
    </row>
    <row r="19" spans="1:14" ht="12.95" customHeight="1">
      <c r="B19" s="10"/>
      <c r="C19" s="11"/>
      <c r="D19" s="11"/>
      <c r="E19" s="293">
        <v>613300</v>
      </c>
      <c r="F19" s="319"/>
      <c r="G19" s="18" t="s">
        <v>200</v>
      </c>
      <c r="H19" s="515">
        <v>3000</v>
      </c>
      <c r="I19" s="515">
        <v>3000</v>
      </c>
      <c r="J19" s="564">
        <v>1956</v>
      </c>
      <c r="K19" s="572">
        <v>3000</v>
      </c>
      <c r="L19" s="351">
        <v>0</v>
      </c>
      <c r="M19" s="548">
        <f t="shared" si="8"/>
        <v>3000</v>
      </c>
      <c r="N19" s="334">
        <f t="shared" si="2"/>
        <v>100</v>
      </c>
    </row>
    <row r="20" spans="1:14" ht="12.95" customHeight="1">
      <c r="B20" s="10"/>
      <c r="C20" s="11"/>
      <c r="D20" s="11"/>
      <c r="E20" s="293">
        <v>613400</v>
      </c>
      <c r="F20" s="319"/>
      <c r="G20" s="11" t="s">
        <v>165</v>
      </c>
      <c r="H20" s="515">
        <v>1000</v>
      </c>
      <c r="I20" s="515">
        <v>1000</v>
      </c>
      <c r="J20" s="564">
        <v>743</v>
      </c>
      <c r="K20" s="572">
        <v>1200</v>
      </c>
      <c r="L20" s="351">
        <v>0</v>
      </c>
      <c r="M20" s="548">
        <f t="shared" si="8"/>
        <v>1200</v>
      </c>
      <c r="N20" s="334">
        <f t="shared" si="2"/>
        <v>120</v>
      </c>
    </row>
    <row r="21" spans="1:14" ht="12.95" customHeight="1">
      <c r="B21" s="10"/>
      <c r="C21" s="11"/>
      <c r="D21" s="11"/>
      <c r="E21" s="293">
        <v>613500</v>
      </c>
      <c r="F21" s="319"/>
      <c r="G21" s="11" t="s">
        <v>86</v>
      </c>
      <c r="H21" s="515">
        <f t="shared" ref="H21:I26" si="9">SUM(F21:G21)</f>
        <v>0</v>
      </c>
      <c r="I21" s="515">
        <f t="shared" si="9"/>
        <v>0</v>
      </c>
      <c r="J21" s="564">
        <v>0</v>
      </c>
      <c r="K21" s="572">
        <v>0</v>
      </c>
      <c r="L21" s="351">
        <v>0</v>
      </c>
      <c r="M21" s="548">
        <f t="shared" si="8"/>
        <v>0</v>
      </c>
      <c r="N21" s="334" t="str">
        <f t="shared" si="2"/>
        <v/>
      </c>
    </row>
    <row r="22" spans="1:14" ht="12.95" customHeight="1">
      <c r="B22" s="10"/>
      <c r="C22" s="11"/>
      <c r="D22" s="11"/>
      <c r="E22" s="293">
        <v>613600</v>
      </c>
      <c r="F22" s="319"/>
      <c r="G22" s="18" t="s">
        <v>201</v>
      </c>
      <c r="H22" s="515">
        <f t="shared" si="9"/>
        <v>0</v>
      </c>
      <c r="I22" s="515">
        <f t="shared" si="9"/>
        <v>0</v>
      </c>
      <c r="J22" s="564">
        <v>0</v>
      </c>
      <c r="K22" s="572">
        <v>0</v>
      </c>
      <c r="L22" s="351">
        <v>0</v>
      </c>
      <c r="M22" s="548">
        <f t="shared" si="8"/>
        <v>0</v>
      </c>
      <c r="N22" s="334" t="str">
        <f t="shared" si="2"/>
        <v/>
      </c>
    </row>
    <row r="23" spans="1:14" ht="12.95" customHeight="1">
      <c r="B23" s="10"/>
      <c r="C23" s="11"/>
      <c r="D23" s="11"/>
      <c r="E23" s="293">
        <v>613700</v>
      </c>
      <c r="F23" s="319"/>
      <c r="G23" s="11" t="s">
        <v>87</v>
      </c>
      <c r="H23" s="515">
        <v>500</v>
      </c>
      <c r="I23" s="515">
        <v>1000</v>
      </c>
      <c r="J23" s="564">
        <v>31</v>
      </c>
      <c r="K23" s="572">
        <v>800</v>
      </c>
      <c r="L23" s="351">
        <v>0</v>
      </c>
      <c r="M23" s="548">
        <f t="shared" si="8"/>
        <v>800</v>
      </c>
      <c r="N23" s="334">
        <f t="shared" si="2"/>
        <v>80</v>
      </c>
    </row>
    <row r="24" spans="1:14" ht="12.95" customHeight="1">
      <c r="B24" s="10"/>
      <c r="C24" s="11"/>
      <c r="D24" s="11"/>
      <c r="E24" s="293">
        <v>613800</v>
      </c>
      <c r="F24" s="319"/>
      <c r="G24" s="11" t="s">
        <v>166</v>
      </c>
      <c r="H24" s="515">
        <f t="shared" si="9"/>
        <v>0</v>
      </c>
      <c r="I24" s="515">
        <f t="shared" si="9"/>
        <v>0</v>
      </c>
      <c r="J24" s="564">
        <v>0</v>
      </c>
      <c r="K24" s="572">
        <v>0</v>
      </c>
      <c r="L24" s="351">
        <v>0</v>
      </c>
      <c r="M24" s="548">
        <f t="shared" si="8"/>
        <v>0</v>
      </c>
      <c r="N24" s="334" t="str">
        <f t="shared" si="2"/>
        <v/>
      </c>
    </row>
    <row r="25" spans="1:14" ht="12.95" customHeight="1">
      <c r="B25" s="10"/>
      <c r="C25" s="11"/>
      <c r="D25" s="11"/>
      <c r="E25" s="293">
        <v>613900</v>
      </c>
      <c r="F25" s="319"/>
      <c r="G25" s="11" t="s">
        <v>167</v>
      </c>
      <c r="H25" s="515">
        <v>5300</v>
      </c>
      <c r="I25" s="515">
        <v>4800</v>
      </c>
      <c r="J25" s="564">
        <v>3062</v>
      </c>
      <c r="K25" s="572">
        <v>4800</v>
      </c>
      <c r="L25" s="351">
        <v>0</v>
      </c>
      <c r="M25" s="548">
        <f t="shared" si="8"/>
        <v>4800</v>
      </c>
      <c r="N25" s="334">
        <f t="shared" si="2"/>
        <v>100</v>
      </c>
    </row>
    <row r="26" spans="1:14" ht="12.95" customHeight="1">
      <c r="B26" s="10"/>
      <c r="C26" s="11"/>
      <c r="D26" s="11"/>
      <c r="E26" s="293">
        <v>613900</v>
      </c>
      <c r="F26" s="319"/>
      <c r="G26" s="180" t="s">
        <v>535</v>
      </c>
      <c r="H26" s="515">
        <f t="shared" si="9"/>
        <v>0</v>
      </c>
      <c r="I26" s="515">
        <f t="shared" si="9"/>
        <v>0</v>
      </c>
      <c r="J26" s="564">
        <v>0</v>
      </c>
      <c r="K26" s="572">
        <v>0</v>
      </c>
      <c r="L26" s="351">
        <v>0</v>
      </c>
      <c r="M26" s="548">
        <f t="shared" si="8"/>
        <v>0</v>
      </c>
      <c r="N26" s="334" t="str">
        <f t="shared" si="2"/>
        <v/>
      </c>
    </row>
    <row r="27" spans="1:14" ht="12.95" customHeight="1">
      <c r="B27" s="12"/>
      <c r="C27" s="8"/>
      <c r="D27" s="8"/>
      <c r="E27" s="292"/>
      <c r="F27" s="318"/>
      <c r="G27" s="8"/>
      <c r="H27" s="262"/>
      <c r="I27" s="262"/>
      <c r="J27" s="565"/>
      <c r="K27" s="557"/>
      <c r="L27" s="282"/>
      <c r="M27" s="553"/>
      <c r="N27" s="334" t="str">
        <f t="shared" si="2"/>
        <v/>
      </c>
    </row>
    <row r="28" spans="1:14" ht="12.95" customHeight="1">
      <c r="B28" s="12"/>
      <c r="C28" s="8"/>
      <c r="D28" s="8"/>
      <c r="E28" s="292">
        <v>821000</v>
      </c>
      <c r="F28" s="318"/>
      <c r="G28" s="8" t="s">
        <v>90</v>
      </c>
      <c r="H28" s="262">
        <f t="shared" ref="H28:I28" si="10">SUM(H29:H30)</f>
        <v>0</v>
      </c>
      <c r="I28" s="262">
        <f t="shared" si="10"/>
        <v>0</v>
      </c>
      <c r="J28" s="565">
        <v>0</v>
      </c>
      <c r="K28" s="557">
        <f t="shared" ref="K28:M28" si="11">SUM(K29:K30)</f>
        <v>0</v>
      </c>
      <c r="L28" s="282">
        <f t="shared" si="11"/>
        <v>0</v>
      </c>
      <c r="M28" s="553">
        <f t="shared" si="11"/>
        <v>0</v>
      </c>
      <c r="N28" s="333" t="str">
        <f t="shared" si="2"/>
        <v/>
      </c>
    </row>
    <row r="29" spans="1:14" s="1" customFormat="1" ht="12.95" customHeight="1">
      <c r="A29" s="269"/>
      <c r="B29" s="10"/>
      <c r="C29" s="11"/>
      <c r="D29" s="11"/>
      <c r="E29" s="293">
        <v>821200</v>
      </c>
      <c r="F29" s="319"/>
      <c r="G29" s="11" t="s">
        <v>91</v>
      </c>
      <c r="H29" s="515">
        <f t="shared" ref="H29:I30" si="12">SUM(F29:G29)</f>
        <v>0</v>
      </c>
      <c r="I29" s="515">
        <f t="shared" si="12"/>
        <v>0</v>
      </c>
      <c r="J29" s="564">
        <v>0</v>
      </c>
      <c r="K29" s="573">
        <v>0</v>
      </c>
      <c r="L29" s="268">
        <v>0</v>
      </c>
      <c r="M29" s="548">
        <f t="shared" ref="M29:M30" si="13">SUM(K29:L29)</f>
        <v>0</v>
      </c>
      <c r="N29" s="334" t="str">
        <f t="shared" si="2"/>
        <v/>
      </c>
    </row>
    <row r="30" spans="1:14" ht="12.95" customHeight="1">
      <c r="B30" s="10"/>
      <c r="C30" s="11"/>
      <c r="D30" s="11"/>
      <c r="E30" s="293">
        <v>821300</v>
      </c>
      <c r="F30" s="319"/>
      <c r="G30" s="11" t="s">
        <v>92</v>
      </c>
      <c r="H30" s="515">
        <f t="shared" si="12"/>
        <v>0</v>
      </c>
      <c r="I30" s="515">
        <f t="shared" si="12"/>
        <v>0</v>
      </c>
      <c r="J30" s="564">
        <v>0</v>
      </c>
      <c r="K30" s="573">
        <v>0</v>
      </c>
      <c r="L30" s="268">
        <v>0</v>
      </c>
      <c r="M30" s="548">
        <f t="shared" si="13"/>
        <v>0</v>
      </c>
      <c r="N30" s="334" t="str">
        <f t="shared" si="2"/>
        <v/>
      </c>
    </row>
    <row r="31" spans="1:14" ht="12.95" customHeight="1">
      <c r="B31" s="10"/>
      <c r="C31" s="11"/>
      <c r="D31" s="11"/>
      <c r="E31" s="293"/>
      <c r="F31" s="319"/>
      <c r="G31" s="11"/>
      <c r="H31" s="516"/>
      <c r="I31" s="516"/>
      <c r="J31" s="566"/>
      <c r="K31" s="573"/>
      <c r="L31" s="268"/>
      <c r="M31" s="551"/>
      <c r="N31" s="334" t="str">
        <f t="shared" si="2"/>
        <v/>
      </c>
    </row>
    <row r="32" spans="1:14" ht="12.95" customHeight="1">
      <c r="B32" s="12"/>
      <c r="C32" s="8"/>
      <c r="D32" s="8"/>
      <c r="E32" s="292"/>
      <c r="F32" s="318"/>
      <c r="G32" s="8" t="s">
        <v>93</v>
      </c>
      <c r="H32" s="262">
        <v>5</v>
      </c>
      <c r="I32" s="262">
        <v>5</v>
      </c>
      <c r="J32" s="565">
        <v>4</v>
      </c>
      <c r="K32" s="557">
        <v>4</v>
      </c>
      <c r="L32" s="282"/>
      <c r="M32" s="553">
        <v>4</v>
      </c>
      <c r="N32" s="334"/>
    </row>
    <row r="33" spans="1:14" s="1" customFormat="1" ht="12.95" customHeight="1">
      <c r="A33" s="269"/>
      <c r="B33" s="12"/>
      <c r="C33" s="8"/>
      <c r="D33" s="8"/>
      <c r="E33" s="292"/>
      <c r="F33" s="318"/>
      <c r="G33" s="8" t="s">
        <v>113</v>
      </c>
      <c r="H33" s="262">
        <f t="shared" ref="H33:M33" si="14">H8+H13+H16+H28</f>
        <v>158830</v>
      </c>
      <c r="I33" s="276">
        <f t="shared" si="14"/>
        <v>158830</v>
      </c>
      <c r="J33" s="565">
        <f t="shared" si="14"/>
        <v>94876</v>
      </c>
      <c r="K33" s="558">
        <f t="shared" si="14"/>
        <v>130700</v>
      </c>
      <c r="L33" s="276">
        <f t="shared" si="14"/>
        <v>0</v>
      </c>
      <c r="M33" s="553">
        <f t="shared" si="14"/>
        <v>130700</v>
      </c>
      <c r="N33" s="333">
        <f t="shared" si="2"/>
        <v>82.289240067997227</v>
      </c>
    </row>
    <row r="34" spans="1:14" s="1" customFormat="1" ht="12.95" customHeight="1">
      <c r="A34" s="269"/>
      <c r="B34" s="12"/>
      <c r="C34" s="8"/>
      <c r="D34" s="8"/>
      <c r="E34" s="292"/>
      <c r="F34" s="318"/>
      <c r="G34" s="8" t="s">
        <v>94</v>
      </c>
      <c r="H34" s="262">
        <f t="shared" ref="H34:J35" si="15">H33</f>
        <v>158830</v>
      </c>
      <c r="I34" s="276">
        <f t="shared" si="15"/>
        <v>158830</v>
      </c>
      <c r="J34" s="565">
        <f t="shared" si="15"/>
        <v>94876</v>
      </c>
      <c r="K34" s="558">
        <f t="shared" ref="K34:M34" si="16">K33</f>
        <v>130700</v>
      </c>
      <c r="L34" s="276">
        <f t="shared" si="16"/>
        <v>0</v>
      </c>
      <c r="M34" s="553">
        <f t="shared" si="16"/>
        <v>130700</v>
      </c>
      <c r="N34" s="333">
        <f t="shared" si="2"/>
        <v>82.289240067997227</v>
      </c>
    </row>
    <row r="35" spans="1:14" s="1" customFormat="1" ht="12.95" customHeight="1">
      <c r="A35" s="269"/>
      <c r="B35" s="12"/>
      <c r="C35" s="8"/>
      <c r="D35" s="8"/>
      <c r="E35" s="292"/>
      <c r="F35" s="318"/>
      <c r="G35" s="8" t="s">
        <v>95</v>
      </c>
      <c r="H35" s="262">
        <f t="shared" si="15"/>
        <v>158830</v>
      </c>
      <c r="I35" s="276">
        <f t="shared" si="15"/>
        <v>158830</v>
      </c>
      <c r="J35" s="565">
        <f t="shared" si="15"/>
        <v>94876</v>
      </c>
      <c r="K35" s="558">
        <f t="shared" ref="K35:M35" si="17">K34</f>
        <v>130700</v>
      </c>
      <c r="L35" s="276">
        <f t="shared" si="17"/>
        <v>0</v>
      </c>
      <c r="M35" s="553">
        <f t="shared" si="17"/>
        <v>130700</v>
      </c>
      <c r="N35" s="333">
        <f t="shared" si="2"/>
        <v>82.289240067997227</v>
      </c>
    </row>
    <row r="36" spans="1:14" s="1" customFormat="1" ht="12.95" customHeight="1" thickBot="1">
      <c r="A36" s="269"/>
      <c r="B36" s="15"/>
      <c r="C36" s="16"/>
      <c r="D36" s="16"/>
      <c r="E36" s="294"/>
      <c r="F36" s="320"/>
      <c r="G36" s="16"/>
      <c r="H36" s="518"/>
      <c r="I36" s="27"/>
      <c r="J36" s="567"/>
      <c r="K36" s="559"/>
      <c r="L36" s="27"/>
      <c r="M36" s="560"/>
      <c r="N36" s="336" t="str">
        <f t="shared" si="2"/>
        <v/>
      </c>
    </row>
    <row r="37" spans="1:14" ht="12.95" customHeight="1">
      <c r="E37" s="295"/>
      <c r="F37" s="321"/>
      <c r="M37" s="369"/>
      <c r="N37" s="337" t="str">
        <f t="shared" si="2"/>
        <v/>
      </c>
    </row>
    <row r="38" spans="1:14" ht="12.95" customHeight="1">
      <c r="B38" s="48"/>
      <c r="E38" s="295"/>
      <c r="F38" s="321"/>
      <c r="M38" s="369"/>
      <c r="N38" s="337" t="str">
        <f t="shared" si="2"/>
        <v/>
      </c>
    </row>
    <row r="39" spans="1:14" ht="12.95" customHeight="1">
      <c r="B39" s="48"/>
      <c r="E39" s="295"/>
      <c r="F39" s="321"/>
      <c r="M39" s="369"/>
      <c r="N39" s="337" t="str">
        <f t="shared" si="2"/>
        <v/>
      </c>
    </row>
    <row r="40" spans="1:14" ht="12.95" customHeight="1">
      <c r="B40" s="48"/>
      <c r="E40" s="295"/>
      <c r="F40" s="321"/>
      <c r="M40" s="369"/>
      <c r="N40" s="337" t="str">
        <f t="shared" si="2"/>
        <v/>
      </c>
    </row>
    <row r="41" spans="1:14" ht="12.95" customHeight="1">
      <c r="B41" s="48"/>
      <c r="E41" s="295"/>
      <c r="F41" s="321"/>
      <c r="M41" s="369"/>
      <c r="N41" s="337" t="str">
        <f t="shared" si="2"/>
        <v/>
      </c>
    </row>
    <row r="42" spans="1:14" ht="12.95" customHeight="1">
      <c r="E42" s="295"/>
      <c r="F42" s="321"/>
      <c r="M42" s="369"/>
      <c r="N42" s="337" t="str">
        <f t="shared" si="2"/>
        <v/>
      </c>
    </row>
    <row r="43" spans="1:14" ht="12.95" customHeight="1">
      <c r="E43" s="295"/>
      <c r="F43" s="321"/>
      <c r="M43" s="369"/>
      <c r="N43" s="337" t="str">
        <f t="shared" si="2"/>
        <v/>
      </c>
    </row>
    <row r="44" spans="1:14" ht="12.95" customHeight="1">
      <c r="E44" s="295"/>
      <c r="F44" s="321"/>
      <c r="M44" s="369"/>
      <c r="N44" s="337" t="str">
        <f t="shared" si="2"/>
        <v/>
      </c>
    </row>
    <row r="45" spans="1:14" ht="12.95" customHeight="1">
      <c r="E45" s="295"/>
      <c r="F45" s="321"/>
      <c r="M45" s="369"/>
      <c r="N45" s="337" t="str">
        <f t="shared" si="2"/>
        <v/>
      </c>
    </row>
    <row r="46" spans="1:14" ht="12.95" customHeight="1">
      <c r="E46" s="295"/>
      <c r="F46" s="321"/>
      <c r="M46" s="369"/>
      <c r="N46" s="337" t="str">
        <f t="shared" si="2"/>
        <v/>
      </c>
    </row>
    <row r="47" spans="1:14" ht="12.95" customHeight="1">
      <c r="E47" s="295"/>
      <c r="F47" s="321"/>
      <c r="M47" s="369"/>
      <c r="N47" s="337" t="str">
        <f t="shared" si="2"/>
        <v/>
      </c>
    </row>
    <row r="48" spans="1:14" ht="12.95" customHeight="1">
      <c r="E48" s="295"/>
      <c r="F48" s="321"/>
      <c r="M48" s="369"/>
      <c r="N48" s="337" t="str">
        <f t="shared" si="2"/>
        <v/>
      </c>
    </row>
    <row r="49" spans="5:14" ht="12.95" customHeight="1">
      <c r="E49" s="295"/>
      <c r="F49" s="321"/>
      <c r="M49" s="369"/>
      <c r="N49" s="337" t="str">
        <f t="shared" si="2"/>
        <v/>
      </c>
    </row>
    <row r="50" spans="5:14" ht="12.95" customHeight="1">
      <c r="E50" s="295"/>
      <c r="F50" s="321"/>
      <c r="M50" s="369"/>
      <c r="N50" s="337" t="str">
        <f t="shared" si="2"/>
        <v/>
      </c>
    </row>
    <row r="51" spans="5:14" ht="12.95" customHeight="1">
      <c r="E51" s="295"/>
      <c r="F51" s="321"/>
      <c r="M51" s="369"/>
      <c r="N51" s="337" t="str">
        <f t="shared" si="2"/>
        <v/>
      </c>
    </row>
    <row r="52" spans="5:14" ht="12.95" customHeight="1">
      <c r="E52" s="295"/>
      <c r="F52" s="321"/>
      <c r="M52" s="369"/>
      <c r="N52" s="337" t="str">
        <f t="shared" si="2"/>
        <v/>
      </c>
    </row>
    <row r="53" spans="5:14" ht="12.95" customHeight="1">
      <c r="E53" s="295"/>
      <c r="F53" s="321"/>
      <c r="M53" s="369"/>
      <c r="N53" s="337" t="str">
        <f t="shared" si="2"/>
        <v/>
      </c>
    </row>
    <row r="54" spans="5:14" ht="12.95" customHeight="1">
      <c r="E54" s="295"/>
      <c r="F54" s="321"/>
      <c r="M54" s="369"/>
      <c r="N54" s="337" t="str">
        <f t="shared" si="2"/>
        <v/>
      </c>
    </row>
    <row r="55" spans="5:14" ht="12.95" customHeight="1">
      <c r="E55" s="295"/>
      <c r="F55" s="321"/>
      <c r="M55" s="369"/>
      <c r="N55" s="337" t="str">
        <f t="shared" si="2"/>
        <v/>
      </c>
    </row>
    <row r="56" spans="5:14" ht="12.95" customHeight="1">
      <c r="E56" s="295"/>
      <c r="F56" s="321"/>
      <c r="M56" s="369"/>
      <c r="N56" s="337" t="str">
        <f t="shared" si="2"/>
        <v/>
      </c>
    </row>
    <row r="57" spans="5:14" ht="12.95" customHeight="1">
      <c r="E57" s="295"/>
      <c r="F57" s="321"/>
      <c r="M57" s="369"/>
      <c r="N57" s="337" t="str">
        <f t="shared" si="2"/>
        <v/>
      </c>
    </row>
    <row r="58" spans="5:14" ht="12.95" customHeight="1">
      <c r="E58" s="295"/>
      <c r="F58" s="321"/>
      <c r="M58" s="369"/>
      <c r="N58" s="337" t="str">
        <f t="shared" si="2"/>
        <v/>
      </c>
    </row>
    <row r="59" spans="5:14" ht="12.95" customHeight="1">
      <c r="E59" s="295"/>
      <c r="F59" s="321"/>
      <c r="M59" s="369"/>
      <c r="N59" s="337" t="str">
        <f t="shared" si="2"/>
        <v/>
      </c>
    </row>
    <row r="60" spans="5:14" ht="17.100000000000001" customHeight="1">
      <c r="E60" s="295"/>
      <c r="F60" s="321"/>
      <c r="M60" s="369"/>
      <c r="N60" s="337" t="str">
        <f t="shared" si="2"/>
        <v/>
      </c>
    </row>
    <row r="61" spans="5:14" ht="14.25">
      <c r="E61" s="295"/>
      <c r="F61" s="321"/>
      <c r="M61" s="369"/>
      <c r="N61" s="337" t="str">
        <f t="shared" si="2"/>
        <v/>
      </c>
    </row>
    <row r="62" spans="5:14" ht="14.25">
      <c r="E62" s="295"/>
      <c r="F62" s="321"/>
      <c r="M62" s="369"/>
      <c r="N62" s="337" t="str">
        <f t="shared" si="2"/>
        <v/>
      </c>
    </row>
    <row r="63" spans="5:14" ht="14.25">
      <c r="E63" s="295"/>
      <c r="F63" s="321"/>
      <c r="M63" s="369"/>
      <c r="N63" s="337" t="str">
        <f t="shared" si="2"/>
        <v/>
      </c>
    </row>
    <row r="64" spans="5:14" ht="14.25">
      <c r="E64" s="295"/>
      <c r="F64" s="321"/>
      <c r="M64" s="369"/>
      <c r="N64" s="337" t="str">
        <f t="shared" si="2"/>
        <v/>
      </c>
    </row>
    <row r="65" spans="5:14" ht="14.25">
      <c r="E65" s="295"/>
      <c r="F65" s="321"/>
      <c r="M65" s="369"/>
      <c r="N65" s="337" t="str">
        <f t="shared" si="2"/>
        <v/>
      </c>
    </row>
    <row r="66" spans="5:14" ht="14.25">
      <c r="E66" s="295"/>
      <c r="F66" s="321"/>
      <c r="M66" s="369"/>
      <c r="N66" s="337" t="str">
        <f t="shared" si="2"/>
        <v/>
      </c>
    </row>
    <row r="67" spans="5:14" ht="14.25">
      <c r="E67" s="295"/>
      <c r="F67" s="321"/>
      <c r="M67" s="369"/>
      <c r="N67" s="337" t="str">
        <f t="shared" si="2"/>
        <v/>
      </c>
    </row>
    <row r="68" spans="5:14" ht="14.25">
      <c r="E68" s="295"/>
      <c r="F68" s="321"/>
      <c r="M68" s="369"/>
      <c r="N68" s="337" t="str">
        <f t="shared" si="2"/>
        <v/>
      </c>
    </row>
    <row r="69" spans="5:14" ht="14.25">
      <c r="E69" s="295"/>
      <c r="F69" s="321"/>
      <c r="M69" s="369"/>
      <c r="N69" s="337" t="str">
        <f t="shared" si="2"/>
        <v/>
      </c>
    </row>
    <row r="70" spans="5:14" ht="14.25">
      <c r="E70" s="295"/>
      <c r="F70" s="321"/>
      <c r="M70" s="369"/>
      <c r="N70" s="337" t="str">
        <f t="shared" si="2"/>
        <v/>
      </c>
    </row>
    <row r="71" spans="5:14" ht="14.25">
      <c r="E71" s="295"/>
      <c r="F71" s="321"/>
      <c r="M71" s="369"/>
      <c r="N71" s="337" t="str">
        <f t="shared" si="2"/>
        <v/>
      </c>
    </row>
    <row r="72" spans="5:14" ht="14.25">
      <c r="E72" s="295"/>
      <c r="F72" s="321"/>
      <c r="M72" s="369"/>
      <c r="N72" s="337" t="str">
        <f t="shared" si="2"/>
        <v/>
      </c>
    </row>
    <row r="73" spans="5:14" ht="14.25">
      <c r="E73" s="295"/>
      <c r="F73" s="321"/>
      <c r="M73" s="369"/>
      <c r="N73" s="337" t="str">
        <f t="shared" ref="N73:N77" si="18">IF(I73=0,"",M73/I73*100)</f>
        <v/>
      </c>
    </row>
    <row r="74" spans="5:14" ht="14.25">
      <c r="E74" s="295"/>
      <c r="F74" s="295"/>
      <c r="M74" s="369"/>
      <c r="N74" s="337" t="str">
        <f t="shared" si="18"/>
        <v/>
      </c>
    </row>
    <row r="75" spans="5:14" ht="14.25">
      <c r="E75" s="295"/>
      <c r="F75" s="295"/>
      <c r="M75" s="369"/>
      <c r="N75" s="337" t="str">
        <f t="shared" si="18"/>
        <v/>
      </c>
    </row>
    <row r="76" spans="5:14" ht="14.25">
      <c r="E76" s="295"/>
      <c r="F76" s="295"/>
      <c r="M76" s="369"/>
      <c r="N76" s="337" t="str">
        <f t="shared" si="18"/>
        <v/>
      </c>
    </row>
    <row r="77" spans="5:14" ht="14.25">
      <c r="E77" s="295"/>
      <c r="F77" s="295"/>
      <c r="M77" s="369"/>
      <c r="N77" s="337" t="str">
        <f t="shared" si="18"/>
        <v/>
      </c>
    </row>
    <row r="78" spans="5:14" ht="14.25">
      <c r="E78" s="295"/>
      <c r="F78" s="295"/>
      <c r="M78" s="369"/>
    </row>
    <row r="79" spans="5:14" ht="14.25">
      <c r="E79" s="295"/>
      <c r="F79" s="295"/>
      <c r="M79" s="369"/>
    </row>
    <row r="80" spans="5:14" ht="14.25">
      <c r="E80" s="295"/>
      <c r="F80" s="295"/>
      <c r="M80" s="369"/>
    </row>
    <row r="81" spans="5:13" ht="14.25">
      <c r="E81" s="295"/>
      <c r="F81" s="295"/>
      <c r="M81" s="369"/>
    </row>
    <row r="82" spans="5:13" ht="14.25">
      <c r="E82" s="295"/>
      <c r="F82" s="295"/>
      <c r="M82" s="369"/>
    </row>
    <row r="83" spans="5:13" ht="14.25">
      <c r="E83" s="295"/>
      <c r="F83" s="295"/>
      <c r="M83" s="369"/>
    </row>
    <row r="84" spans="5:13" ht="14.25">
      <c r="E84" s="295"/>
      <c r="F84" s="295"/>
      <c r="M84" s="369"/>
    </row>
    <row r="85" spans="5:13" ht="14.25">
      <c r="E85" s="295"/>
      <c r="F85" s="295"/>
      <c r="M85" s="369"/>
    </row>
    <row r="86" spans="5:13" ht="14.25">
      <c r="E86" s="295"/>
      <c r="F86" s="295"/>
      <c r="M86" s="369"/>
    </row>
    <row r="87" spans="5:13" ht="14.25">
      <c r="E87" s="295"/>
      <c r="F87" s="295"/>
      <c r="M87" s="369"/>
    </row>
    <row r="88" spans="5:13" ht="14.25">
      <c r="E88" s="295"/>
      <c r="F88" s="295"/>
      <c r="M88" s="369"/>
    </row>
    <row r="89" spans="5:13" ht="14.25">
      <c r="E89" s="295"/>
      <c r="F89" s="295"/>
      <c r="M89" s="369"/>
    </row>
    <row r="90" spans="5:13" ht="14.25">
      <c r="E90" s="295"/>
      <c r="F90" s="295"/>
      <c r="M90" s="369"/>
    </row>
    <row r="91" spans="5:13">
      <c r="F91" s="295"/>
    </row>
    <row r="92" spans="5:13">
      <c r="F92" s="295"/>
    </row>
    <row r="93" spans="5:13">
      <c r="F93" s="295"/>
    </row>
    <row r="94" spans="5:13">
      <c r="F94" s="295"/>
    </row>
    <row r="95" spans="5:13">
      <c r="F95" s="295"/>
    </row>
    <row r="96" spans="5:13">
      <c r="F96" s="295"/>
    </row>
  </sheetData>
  <mergeCells count="12">
    <mergeCell ref="N4:N5"/>
    <mergeCell ref="G4:G5"/>
    <mergeCell ref="B2:J2"/>
    <mergeCell ref="B4:B5"/>
    <mergeCell ref="C4:C5"/>
    <mergeCell ref="D4:D5"/>
    <mergeCell ref="F4:F5"/>
    <mergeCell ref="E4:E5"/>
    <mergeCell ref="K4:M4"/>
    <mergeCell ref="H4:H5"/>
    <mergeCell ref="I4:I5"/>
    <mergeCell ref="J4:J5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 codeName="Sheet38"/>
  <dimension ref="A1:P96"/>
  <sheetViews>
    <sheetView zoomScaleNormal="100" workbookViewId="0">
      <selection activeCell="L34" sqref="L34"/>
    </sheetView>
  </sheetViews>
  <sheetFormatPr defaultRowHeight="12.75"/>
  <cols>
    <col min="1" max="1" width="9.140625" style="272"/>
    <col min="2" max="2" width="4.7109375" style="9" customWidth="1"/>
    <col min="3" max="3" width="5.140625" style="9" customWidth="1"/>
    <col min="4" max="4" width="5" style="9" customWidth="1"/>
    <col min="5" max="5" width="8.7109375" style="17" customWidth="1"/>
    <col min="6" max="6" width="8.7109375" style="277" customWidth="1"/>
    <col min="7" max="7" width="50.7109375" style="9" customWidth="1"/>
    <col min="8" max="8" width="14.7109375" style="510" customWidth="1"/>
    <col min="9" max="9" width="14.7109375" style="272" customWidth="1"/>
    <col min="10" max="10" width="15.7109375" style="510" customWidth="1"/>
    <col min="11" max="12" width="14.7109375" style="272" customWidth="1"/>
    <col min="13" max="13" width="15.7109375" style="272" customWidth="1"/>
    <col min="14" max="14" width="7.7109375" style="337" customWidth="1"/>
    <col min="15" max="16384" width="9.140625" style="9"/>
  </cols>
  <sheetData>
    <row r="1" spans="1:16" ht="13.5" thickBot="1"/>
    <row r="2" spans="1:16" s="363" customFormat="1" ht="20.100000000000001" customHeight="1" thickTop="1" thickBot="1">
      <c r="B2" s="725" t="s">
        <v>152</v>
      </c>
      <c r="C2" s="726"/>
      <c r="D2" s="726"/>
      <c r="E2" s="726"/>
      <c r="F2" s="726"/>
      <c r="G2" s="726"/>
      <c r="H2" s="726"/>
      <c r="I2" s="726"/>
      <c r="J2" s="726"/>
      <c r="K2" s="487"/>
      <c r="L2" s="487"/>
      <c r="M2" s="487"/>
      <c r="N2" s="366"/>
    </row>
    <row r="3" spans="1:16" s="1" customFormat="1" ht="8.1" customHeight="1" thickTop="1" thickBot="1">
      <c r="A3" s="269"/>
      <c r="E3" s="2"/>
      <c r="F3" s="270"/>
      <c r="G3" s="488"/>
      <c r="H3" s="511"/>
      <c r="I3" s="87"/>
      <c r="J3" s="511"/>
      <c r="K3" s="87"/>
      <c r="L3" s="87"/>
      <c r="M3" s="87"/>
      <c r="N3" s="331"/>
    </row>
    <row r="4" spans="1:16" s="1" customFormat="1" ht="39" customHeight="1">
      <c r="A4" s="269"/>
      <c r="B4" s="728" t="s">
        <v>78</v>
      </c>
      <c r="C4" s="746" t="s">
        <v>79</v>
      </c>
      <c r="D4" s="747" t="s">
        <v>110</v>
      </c>
      <c r="E4" s="748" t="s">
        <v>594</v>
      </c>
      <c r="F4" s="733" t="s">
        <v>650</v>
      </c>
      <c r="G4" s="734" t="s">
        <v>80</v>
      </c>
      <c r="H4" s="740" t="s">
        <v>644</v>
      </c>
      <c r="I4" s="742" t="s">
        <v>821</v>
      </c>
      <c r="J4" s="744" t="s">
        <v>822</v>
      </c>
      <c r="K4" s="749" t="s">
        <v>863</v>
      </c>
      <c r="L4" s="738"/>
      <c r="M4" s="739"/>
      <c r="N4" s="735" t="s">
        <v>823</v>
      </c>
    </row>
    <row r="5" spans="1:16" s="269" customFormat="1" ht="27" customHeight="1">
      <c r="B5" s="729"/>
      <c r="C5" s="731"/>
      <c r="D5" s="731"/>
      <c r="E5" s="722"/>
      <c r="F5" s="731"/>
      <c r="G5" s="722"/>
      <c r="H5" s="741"/>
      <c r="I5" s="743"/>
      <c r="J5" s="745"/>
      <c r="K5" s="540" t="s">
        <v>701</v>
      </c>
      <c r="L5" s="359" t="s">
        <v>702</v>
      </c>
      <c r="M5" s="541" t="s">
        <v>413</v>
      </c>
      <c r="N5" s="736"/>
    </row>
    <row r="6" spans="1:16" s="2" customFormat="1" ht="12.95" customHeight="1">
      <c r="A6" s="270"/>
      <c r="B6" s="464">
        <v>1</v>
      </c>
      <c r="C6" s="318">
        <v>2</v>
      </c>
      <c r="D6" s="318">
        <v>3</v>
      </c>
      <c r="E6" s="318">
        <v>4</v>
      </c>
      <c r="F6" s="318">
        <v>5</v>
      </c>
      <c r="G6" s="318">
        <v>6</v>
      </c>
      <c r="H6" s="512">
        <v>7</v>
      </c>
      <c r="I6" s="318">
        <v>8</v>
      </c>
      <c r="J6" s="561">
        <v>9</v>
      </c>
      <c r="K6" s="464">
        <v>10</v>
      </c>
      <c r="L6" s="318">
        <v>11</v>
      </c>
      <c r="M6" s="542" t="s">
        <v>703</v>
      </c>
      <c r="N6" s="465">
        <v>13</v>
      </c>
    </row>
    <row r="7" spans="1:16" s="2" customFormat="1" ht="12.95" customHeight="1">
      <c r="A7" s="270"/>
      <c r="B7" s="6" t="s">
        <v>153</v>
      </c>
      <c r="C7" s="7" t="s">
        <v>81</v>
      </c>
      <c r="D7" s="7" t="s">
        <v>82</v>
      </c>
      <c r="E7" s="5"/>
      <c r="F7" s="271"/>
      <c r="G7" s="5"/>
      <c r="H7" s="513"/>
      <c r="I7" s="271"/>
      <c r="J7" s="568"/>
      <c r="K7" s="4"/>
      <c r="L7" s="271"/>
      <c r="M7" s="570"/>
      <c r="N7" s="332"/>
    </row>
    <row r="8" spans="1:16" s="1" customFormat="1" ht="12.95" customHeight="1">
      <c r="A8" s="269"/>
      <c r="B8" s="12"/>
      <c r="C8" s="8"/>
      <c r="D8" s="8"/>
      <c r="E8" s="292">
        <v>611000</v>
      </c>
      <c r="F8" s="318"/>
      <c r="G8" s="8" t="s">
        <v>163</v>
      </c>
      <c r="H8" s="514">
        <f t="shared" ref="H8:I8" si="0">SUM(H9:H12)</f>
        <v>235800</v>
      </c>
      <c r="I8" s="514">
        <f t="shared" si="0"/>
        <v>235800</v>
      </c>
      <c r="J8" s="563">
        <v>164076</v>
      </c>
      <c r="K8" s="545">
        <f t="shared" ref="K8:M8" si="1">SUM(K9:K12)</f>
        <v>228750</v>
      </c>
      <c r="L8" s="201">
        <f t="shared" si="1"/>
        <v>0</v>
      </c>
      <c r="M8" s="546">
        <f t="shared" si="1"/>
        <v>228750</v>
      </c>
      <c r="N8" s="333">
        <f>IF(I8=0,"",M8/I8*100)</f>
        <v>97.010178117048355</v>
      </c>
    </row>
    <row r="9" spans="1:16" ht="12.95" customHeight="1">
      <c r="B9" s="10"/>
      <c r="C9" s="11"/>
      <c r="D9" s="11"/>
      <c r="E9" s="293">
        <v>611100</v>
      </c>
      <c r="F9" s="319"/>
      <c r="G9" s="18" t="s">
        <v>198</v>
      </c>
      <c r="H9" s="515">
        <v>189700</v>
      </c>
      <c r="I9" s="515">
        <v>189700</v>
      </c>
      <c r="J9" s="564">
        <v>131061</v>
      </c>
      <c r="K9" s="549">
        <f>177100+3*420+1000</f>
        <v>179360</v>
      </c>
      <c r="L9" s="200">
        <v>0</v>
      </c>
      <c r="M9" s="548">
        <f>SUM(K9:L9)</f>
        <v>179360</v>
      </c>
      <c r="N9" s="334">
        <f t="shared" ref="N9:N72" si="2">IF(I9=0,"",M9/I9*100)</f>
        <v>94.549288350026359</v>
      </c>
    </row>
    <row r="10" spans="1:16" ht="12.95" customHeight="1">
      <c r="B10" s="10"/>
      <c r="C10" s="11"/>
      <c r="D10" s="11"/>
      <c r="E10" s="293">
        <v>611200</v>
      </c>
      <c r="F10" s="319"/>
      <c r="G10" s="11" t="s">
        <v>199</v>
      </c>
      <c r="H10" s="515">
        <v>46100</v>
      </c>
      <c r="I10" s="515">
        <v>46100</v>
      </c>
      <c r="J10" s="564">
        <v>33015</v>
      </c>
      <c r="K10" s="549">
        <f>43100+3*930+500+12*250</f>
        <v>49390</v>
      </c>
      <c r="L10" s="200">
        <v>0</v>
      </c>
      <c r="M10" s="548">
        <f t="shared" ref="M10:M11" si="3">SUM(K10:L10)</f>
        <v>49390</v>
      </c>
      <c r="N10" s="334">
        <f t="shared" si="2"/>
        <v>107.13665943600867</v>
      </c>
    </row>
    <row r="11" spans="1:16" ht="12.95" customHeight="1">
      <c r="B11" s="10"/>
      <c r="C11" s="11"/>
      <c r="D11" s="11"/>
      <c r="E11" s="293">
        <v>611200</v>
      </c>
      <c r="F11" s="319"/>
      <c r="G11" s="180" t="s">
        <v>534</v>
      </c>
      <c r="H11" s="515">
        <f t="shared" ref="H11:I11" si="4">SUM(F11:G11)</f>
        <v>0</v>
      </c>
      <c r="I11" s="515">
        <f t="shared" si="4"/>
        <v>0</v>
      </c>
      <c r="J11" s="564">
        <v>0</v>
      </c>
      <c r="K11" s="549">
        <v>0</v>
      </c>
      <c r="L11" s="200">
        <v>0</v>
      </c>
      <c r="M11" s="548">
        <f t="shared" si="3"/>
        <v>0</v>
      </c>
      <c r="N11" s="334" t="str">
        <f t="shared" si="2"/>
        <v/>
      </c>
      <c r="P11" s="53"/>
    </row>
    <row r="12" spans="1:16" ht="12.95" customHeight="1">
      <c r="B12" s="10"/>
      <c r="C12" s="11"/>
      <c r="D12" s="11"/>
      <c r="E12" s="293"/>
      <c r="F12" s="319"/>
      <c r="G12" s="18"/>
      <c r="H12" s="515"/>
      <c r="I12" s="515"/>
      <c r="J12" s="564"/>
      <c r="K12" s="549"/>
      <c r="L12" s="200"/>
      <c r="M12" s="548"/>
      <c r="N12" s="334" t="str">
        <f t="shared" si="2"/>
        <v/>
      </c>
    </row>
    <row r="13" spans="1:16" s="1" customFormat="1" ht="12.95" customHeight="1">
      <c r="A13" s="269"/>
      <c r="B13" s="12"/>
      <c r="C13" s="8"/>
      <c r="D13" s="8"/>
      <c r="E13" s="292">
        <v>612000</v>
      </c>
      <c r="F13" s="318"/>
      <c r="G13" s="8" t="s">
        <v>162</v>
      </c>
      <c r="H13" s="514">
        <f t="shared" ref="H13:M13" si="5">H14</f>
        <v>20390</v>
      </c>
      <c r="I13" s="514">
        <f t="shared" si="5"/>
        <v>20390</v>
      </c>
      <c r="J13" s="563">
        <v>14794</v>
      </c>
      <c r="K13" s="545">
        <f t="shared" si="5"/>
        <v>19980</v>
      </c>
      <c r="L13" s="201">
        <f t="shared" si="5"/>
        <v>0</v>
      </c>
      <c r="M13" s="546">
        <f t="shared" si="5"/>
        <v>19980</v>
      </c>
      <c r="N13" s="333">
        <f t="shared" si="2"/>
        <v>97.989210397253558</v>
      </c>
    </row>
    <row r="14" spans="1:16" ht="12.95" customHeight="1">
      <c r="B14" s="10"/>
      <c r="C14" s="11"/>
      <c r="D14" s="11"/>
      <c r="E14" s="293">
        <v>612100</v>
      </c>
      <c r="F14" s="319"/>
      <c r="G14" s="13" t="s">
        <v>83</v>
      </c>
      <c r="H14" s="515">
        <v>20390</v>
      </c>
      <c r="I14" s="515">
        <v>20390</v>
      </c>
      <c r="J14" s="564">
        <v>14794</v>
      </c>
      <c r="K14" s="549">
        <f>19780+200</f>
        <v>19980</v>
      </c>
      <c r="L14" s="200">
        <v>0</v>
      </c>
      <c r="M14" s="548">
        <f>SUM(K14:L14)</f>
        <v>19980</v>
      </c>
      <c r="N14" s="334">
        <f t="shared" si="2"/>
        <v>97.989210397253558</v>
      </c>
    </row>
    <row r="15" spans="1:16" ht="12.95" customHeight="1">
      <c r="B15" s="10"/>
      <c r="C15" s="11"/>
      <c r="D15" s="11"/>
      <c r="E15" s="293"/>
      <c r="F15" s="319"/>
      <c r="G15" s="11"/>
      <c r="H15" s="262"/>
      <c r="I15" s="262"/>
      <c r="J15" s="565"/>
      <c r="K15" s="552"/>
      <c r="L15" s="281"/>
      <c r="M15" s="553"/>
      <c r="N15" s="334" t="str">
        <f t="shared" si="2"/>
        <v/>
      </c>
    </row>
    <row r="16" spans="1:16" s="1" customFormat="1" ht="12.95" customHeight="1">
      <c r="A16" s="269"/>
      <c r="B16" s="12"/>
      <c r="C16" s="8"/>
      <c r="D16" s="8"/>
      <c r="E16" s="292">
        <v>613000</v>
      </c>
      <c r="F16" s="318"/>
      <c r="G16" s="8" t="s">
        <v>164</v>
      </c>
      <c r="H16" s="262">
        <f t="shared" ref="H16:I16" si="6">SUM(H17:H26)</f>
        <v>49900</v>
      </c>
      <c r="I16" s="262">
        <f t="shared" si="6"/>
        <v>49900</v>
      </c>
      <c r="J16" s="565">
        <v>39187</v>
      </c>
      <c r="K16" s="552">
        <f t="shared" ref="K16:M16" si="7">SUM(K17:K26)</f>
        <v>56200</v>
      </c>
      <c r="L16" s="281">
        <f t="shared" si="7"/>
        <v>0</v>
      </c>
      <c r="M16" s="553">
        <f t="shared" si="7"/>
        <v>56200</v>
      </c>
      <c r="N16" s="333">
        <f t="shared" si="2"/>
        <v>112.625250501002</v>
      </c>
    </row>
    <row r="17" spans="1:16" ht="12.95" customHeight="1">
      <c r="B17" s="10"/>
      <c r="C17" s="11"/>
      <c r="D17" s="11"/>
      <c r="E17" s="293">
        <v>613100</v>
      </c>
      <c r="F17" s="319"/>
      <c r="G17" s="11" t="s">
        <v>84</v>
      </c>
      <c r="H17" s="515">
        <v>1500</v>
      </c>
      <c r="I17" s="515">
        <v>1500</v>
      </c>
      <c r="J17" s="564">
        <v>943</v>
      </c>
      <c r="K17" s="571">
        <v>1500</v>
      </c>
      <c r="L17" s="349">
        <v>0</v>
      </c>
      <c r="M17" s="548">
        <f t="shared" ref="M17:M26" si="8">SUM(K17:L17)</f>
        <v>1500</v>
      </c>
      <c r="N17" s="334">
        <f t="shared" si="2"/>
        <v>100</v>
      </c>
    </row>
    <row r="18" spans="1:16" ht="12.95" customHeight="1">
      <c r="B18" s="10"/>
      <c r="C18" s="11"/>
      <c r="D18" s="11"/>
      <c r="E18" s="293">
        <v>613200</v>
      </c>
      <c r="F18" s="319"/>
      <c r="G18" s="11" t="s">
        <v>85</v>
      </c>
      <c r="H18" s="515">
        <v>8500</v>
      </c>
      <c r="I18" s="515">
        <v>8500</v>
      </c>
      <c r="J18" s="564">
        <v>7501</v>
      </c>
      <c r="K18" s="571">
        <v>8500</v>
      </c>
      <c r="L18" s="349">
        <v>0</v>
      </c>
      <c r="M18" s="548">
        <f t="shared" si="8"/>
        <v>8500</v>
      </c>
      <c r="N18" s="334">
        <f t="shared" si="2"/>
        <v>100</v>
      </c>
    </row>
    <row r="19" spans="1:16" ht="12.95" customHeight="1">
      <c r="B19" s="10"/>
      <c r="C19" s="11"/>
      <c r="D19" s="11"/>
      <c r="E19" s="293">
        <v>613300</v>
      </c>
      <c r="F19" s="319"/>
      <c r="G19" s="18" t="s">
        <v>200</v>
      </c>
      <c r="H19" s="515">
        <v>4500</v>
      </c>
      <c r="I19" s="515">
        <v>4500</v>
      </c>
      <c r="J19" s="564">
        <v>3513</v>
      </c>
      <c r="K19" s="572">
        <v>5700</v>
      </c>
      <c r="L19" s="351">
        <v>0</v>
      </c>
      <c r="M19" s="548">
        <f t="shared" si="8"/>
        <v>5700</v>
      </c>
      <c r="N19" s="334">
        <f t="shared" si="2"/>
        <v>126.66666666666666</v>
      </c>
    </row>
    <row r="20" spans="1:16" ht="12.95" customHeight="1">
      <c r="B20" s="10"/>
      <c r="C20" s="11"/>
      <c r="D20" s="11"/>
      <c r="E20" s="293">
        <v>613400</v>
      </c>
      <c r="F20" s="319"/>
      <c r="G20" s="11" t="s">
        <v>165</v>
      </c>
      <c r="H20" s="515">
        <v>1000</v>
      </c>
      <c r="I20" s="515">
        <v>1000</v>
      </c>
      <c r="J20" s="564">
        <v>536</v>
      </c>
      <c r="K20" s="572">
        <v>1000</v>
      </c>
      <c r="L20" s="351">
        <v>0</v>
      </c>
      <c r="M20" s="548">
        <f t="shared" si="8"/>
        <v>1000</v>
      </c>
      <c r="N20" s="334">
        <f t="shared" si="2"/>
        <v>100</v>
      </c>
    </row>
    <row r="21" spans="1:16" ht="12.95" customHeight="1">
      <c r="B21" s="10"/>
      <c r="C21" s="11"/>
      <c r="D21" s="11"/>
      <c r="E21" s="293">
        <v>613500</v>
      </c>
      <c r="F21" s="319"/>
      <c r="G21" s="11" t="s">
        <v>86</v>
      </c>
      <c r="H21" s="515">
        <v>1000</v>
      </c>
      <c r="I21" s="515">
        <v>1000</v>
      </c>
      <c r="J21" s="564">
        <v>647</v>
      </c>
      <c r="K21" s="572">
        <v>1200</v>
      </c>
      <c r="L21" s="351">
        <v>0</v>
      </c>
      <c r="M21" s="548">
        <f t="shared" si="8"/>
        <v>1200</v>
      </c>
      <c r="N21" s="334">
        <f t="shared" si="2"/>
        <v>120</v>
      </c>
    </row>
    <row r="22" spans="1:16" ht="12.95" customHeight="1">
      <c r="B22" s="10"/>
      <c r="C22" s="11"/>
      <c r="D22" s="11"/>
      <c r="E22" s="293">
        <v>613600</v>
      </c>
      <c r="F22" s="319"/>
      <c r="G22" s="18" t="s">
        <v>201</v>
      </c>
      <c r="H22" s="515">
        <f t="shared" ref="H22:I26" si="9">SUM(F22:G22)</f>
        <v>0</v>
      </c>
      <c r="I22" s="515">
        <f t="shared" si="9"/>
        <v>0</v>
      </c>
      <c r="J22" s="564">
        <v>0</v>
      </c>
      <c r="K22" s="572">
        <v>0</v>
      </c>
      <c r="L22" s="351">
        <v>0</v>
      </c>
      <c r="M22" s="548">
        <f t="shared" si="8"/>
        <v>0</v>
      </c>
      <c r="N22" s="334" t="str">
        <f t="shared" si="2"/>
        <v/>
      </c>
    </row>
    <row r="23" spans="1:16" ht="12.95" customHeight="1">
      <c r="B23" s="10"/>
      <c r="C23" s="11"/>
      <c r="D23" s="11"/>
      <c r="E23" s="293">
        <v>613700</v>
      </c>
      <c r="F23" s="319"/>
      <c r="G23" s="11" t="s">
        <v>87</v>
      </c>
      <c r="H23" s="515">
        <v>4000</v>
      </c>
      <c r="I23" s="515">
        <v>4000</v>
      </c>
      <c r="J23" s="564">
        <v>1311</v>
      </c>
      <c r="K23" s="572">
        <v>3000</v>
      </c>
      <c r="L23" s="351">
        <v>0</v>
      </c>
      <c r="M23" s="548">
        <f t="shared" si="8"/>
        <v>3000</v>
      </c>
      <c r="N23" s="334">
        <f t="shared" si="2"/>
        <v>75</v>
      </c>
    </row>
    <row r="24" spans="1:16" ht="12.95" customHeight="1">
      <c r="B24" s="10"/>
      <c r="C24" s="11"/>
      <c r="D24" s="11"/>
      <c r="E24" s="293">
        <v>613800</v>
      </c>
      <c r="F24" s="319"/>
      <c r="G24" s="11" t="s">
        <v>166</v>
      </c>
      <c r="H24" s="515">
        <v>400</v>
      </c>
      <c r="I24" s="515">
        <v>400</v>
      </c>
      <c r="J24" s="564">
        <v>0</v>
      </c>
      <c r="K24" s="572">
        <v>400</v>
      </c>
      <c r="L24" s="351">
        <v>0</v>
      </c>
      <c r="M24" s="548">
        <f t="shared" si="8"/>
        <v>400</v>
      </c>
      <c r="N24" s="334">
        <f t="shared" si="2"/>
        <v>100</v>
      </c>
    </row>
    <row r="25" spans="1:16" ht="12.95" customHeight="1">
      <c r="B25" s="10"/>
      <c r="C25" s="11"/>
      <c r="D25" s="11"/>
      <c r="E25" s="293">
        <v>613900</v>
      </c>
      <c r="F25" s="319"/>
      <c r="G25" s="11" t="s">
        <v>167</v>
      </c>
      <c r="H25" s="515">
        <v>29000</v>
      </c>
      <c r="I25" s="515">
        <v>29000</v>
      </c>
      <c r="J25" s="564">
        <v>24736</v>
      </c>
      <c r="K25" s="572">
        <v>34900</v>
      </c>
      <c r="L25" s="351">
        <v>0</v>
      </c>
      <c r="M25" s="548">
        <f t="shared" si="8"/>
        <v>34900</v>
      </c>
      <c r="N25" s="334">
        <f t="shared" si="2"/>
        <v>120.3448275862069</v>
      </c>
      <c r="O25" s="48"/>
    </row>
    <row r="26" spans="1:16" ht="12.95" customHeight="1">
      <c r="B26" s="10"/>
      <c r="C26" s="11"/>
      <c r="D26" s="11"/>
      <c r="E26" s="293">
        <v>613900</v>
      </c>
      <c r="F26" s="319"/>
      <c r="G26" s="180" t="s">
        <v>535</v>
      </c>
      <c r="H26" s="515">
        <f t="shared" si="9"/>
        <v>0</v>
      </c>
      <c r="I26" s="515">
        <f t="shared" si="9"/>
        <v>0</v>
      </c>
      <c r="J26" s="564">
        <v>0</v>
      </c>
      <c r="K26" s="572">
        <v>0</v>
      </c>
      <c r="L26" s="351">
        <v>0</v>
      </c>
      <c r="M26" s="548">
        <f t="shared" si="8"/>
        <v>0</v>
      </c>
      <c r="N26" s="334" t="str">
        <f t="shared" si="2"/>
        <v/>
      </c>
    </row>
    <row r="27" spans="1:16" ht="12.95" customHeight="1">
      <c r="B27" s="10"/>
      <c r="C27" s="11"/>
      <c r="D27" s="11"/>
      <c r="E27" s="293"/>
      <c r="F27" s="319"/>
      <c r="G27" s="11"/>
      <c r="H27" s="262"/>
      <c r="I27" s="262"/>
      <c r="J27" s="565"/>
      <c r="K27" s="557"/>
      <c r="L27" s="282"/>
      <c r="M27" s="553"/>
      <c r="N27" s="334" t="str">
        <f t="shared" si="2"/>
        <v/>
      </c>
    </row>
    <row r="28" spans="1:16" s="1" customFormat="1" ht="12.95" customHeight="1">
      <c r="A28" s="269"/>
      <c r="B28" s="12"/>
      <c r="C28" s="8"/>
      <c r="D28" s="8"/>
      <c r="E28" s="292">
        <v>614000</v>
      </c>
      <c r="F28" s="318"/>
      <c r="G28" s="8" t="s">
        <v>202</v>
      </c>
      <c r="H28" s="262">
        <f t="shared" ref="H28:I28" si="10">H29+H30</f>
        <v>40000</v>
      </c>
      <c r="I28" s="262">
        <f t="shared" si="10"/>
        <v>40000</v>
      </c>
      <c r="J28" s="565">
        <v>1324</v>
      </c>
      <c r="K28" s="557">
        <f t="shared" ref="K28" si="11">K29+K30</f>
        <v>0</v>
      </c>
      <c r="L28" s="282">
        <f t="shared" ref="L28:M28" si="12">L29+L30</f>
        <v>40000</v>
      </c>
      <c r="M28" s="553">
        <f t="shared" si="12"/>
        <v>40000</v>
      </c>
      <c r="N28" s="333">
        <f t="shared" si="2"/>
        <v>100</v>
      </c>
    </row>
    <row r="29" spans="1:16" ht="12.95" customHeight="1">
      <c r="B29" s="10"/>
      <c r="C29" s="11"/>
      <c r="D29" s="11"/>
      <c r="E29" s="293">
        <v>614200</v>
      </c>
      <c r="F29" s="319" t="s">
        <v>691</v>
      </c>
      <c r="G29" s="18" t="s">
        <v>115</v>
      </c>
      <c r="H29" s="515">
        <v>40000</v>
      </c>
      <c r="I29" s="515">
        <v>40000</v>
      </c>
      <c r="J29" s="564">
        <v>1324</v>
      </c>
      <c r="K29" s="573">
        <v>0</v>
      </c>
      <c r="L29" s="268">
        <v>40000</v>
      </c>
      <c r="M29" s="548">
        <f t="shared" ref="M29:M30" si="13">SUM(K29:L29)</f>
        <v>40000</v>
      </c>
      <c r="N29" s="334">
        <f t="shared" si="2"/>
        <v>100</v>
      </c>
    </row>
    <row r="30" spans="1:16" ht="12.75" customHeight="1">
      <c r="B30" s="10"/>
      <c r="C30" s="11"/>
      <c r="D30" s="11"/>
      <c r="E30" s="293">
        <v>614300</v>
      </c>
      <c r="F30" s="319" t="s">
        <v>692</v>
      </c>
      <c r="G30" s="484" t="s">
        <v>775</v>
      </c>
      <c r="H30" s="515">
        <f t="shared" ref="H30:I30" si="14">SUM(F30:G30)</f>
        <v>0</v>
      </c>
      <c r="I30" s="515">
        <f t="shared" si="14"/>
        <v>0</v>
      </c>
      <c r="J30" s="564">
        <v>0</v>
      </c>
      <c r="K30" s="573">
        <v>0</v>
      </c>
      <c r="L30" s="268">
        <v>0</v>
      </c>
      <c r="M30" s="548">
        <f t="shared" si="13"/>
        <v>0</v>
      </c>
      <c r="N30" s="334" t="str">
        <f t="shared" si="2"/>
        <v/>
      </c>
      <c r="P30" s="54"/>
    </row>
    <row r="31" spans="1:16" ht="12.95" customHeight="1">
      <c r="B31" s="10"/>
      <c r="C31" s="11"/>
      <c r="D31" s="11"/>
      <c r="E31" s="292"/>
      <c r="F31" s="318"/>
      <c r="G31" s="8"/>
      <c r="H31" s="516"/>
      <c r="I31" s="516"/>
      <c r="J31" s="566"/>
      <c r="K31" s="573"/>
      <c r="L31" s="268"/>
      <c r="M31" s="551"/>
      <c r="N31" s="334" t="str">
        <f t="shared" si="2"/>
        <v/>
      </c>
    </row>
    <row r="32" spans="1:16" ht="12.95" customHeight="1">
      <c r="B32" s="12"/>
      <c r="C32" s="8"/>
      <c r="D32" s="8"/>
      <c r="E32" s="292">
        <v>821000</v>
      </c>
      <c r="F32" s="318"/>
      <c r="G32" s="8" t="s">
        <v>90</v>
      </c>
      <c r="H32" s="262">
        <f t="shared" ref="H32:I32" si="15">SUM(H33:H35)</f>
        <v>38500</v>
      </c>
      <c r="I32" s="262">
        <f t="shared" si="15"/>
        <v>48500</v>
      </c>
      <c r="J32" s="565">
        <v>0</v>
      </c>
      <c r="K32" s="557">
        <f t="shared" ref="K32:M32" si="16">SUM(K33:K35)</f>
        <v>0</v>
      </c>
      <c r="L32" s="282">
        <f t="shared" si="16"/>
        <v>34400</v>
      </c>
      <c r="M32" s="553">
        <f t="shared" si="16"/>
        <v>34400</v>
      </c>
      <c r="N32" s="333">
        <f t="shared" si="2"/>
        <v>70.927835051546396</v>
      </c>
    </row>
    <row r="33" spans="1:14" ht="12.95" customHeight="1">
      <c r="B33" s="10"/>
      <c r="C33" s="11"/>
      <c r="D33" s="11"/>
      <c r="E33" s="293">
        <v>821200</v>
      </c>
      <c r="F33" s="319"/>
      <c r="G33" s="11" t="s">
        <v>91</v>
      </c>
      <c r="H33" s="516">
        <v>0</v>
      </c>
      <c r="I33" s="516">
        <v>0</v>
      </c>
      <c r="J33" s="564">
        <v>0</v>
      </c>
      <c r="K33" s="556">
        <v>0</v>
      </c>
      <c r="L33" s="283">
        <v>0</v>
      </c>
      <c r="M33" s="548">
        <f t="shared" ref="M33:M34" si="17">SUM(K33:L33)</f>
        <v>0</v>
      </c>
      <c r="N33" s="334" t="str">
        <f t="shared" si="2"/>
        <v/>
      </c>
    </row>
    <row r="34" spans="1:14" s="1" customFormat="1" ht="12.95" customHeight="1">
      <c r="A34" s="269"/>
      <c r="B34" s="10"/>
      <c r="C34" s="11"/>
      <c r="D34" s="11"/>
      <c r="E34" s="293">
        <v>821300</v>
      </c>
      <c r="F34" s="319"/>
      <c r="G34" s="11" t="s">
        <v>92</v>
      </c>
      <c r="H34" s="516">
        <v>38500</v>
      </c>
      <c r="I34" s="516">
        <v>48500</v>
      </c>
      <c r="J34" s="564">
        <v>0</v>
      </c>
      <c r="K34" s="573">
        <v>0</v>
      </c>
      <c r="L34" s="268">
        <v>34400</v>
      </c>
      <c r="M34" s="548">
        <f t="shared" si="17"/>
        <v>34400</v>
      </c>
      <c r="N34" s="334">
        <f t="shared" si="2"/>
        <v>70.927835051546396</v>
      </c>
    </row>
    <row r="35" spans="1:14" ht="12.95" customHeight="1">
      <c r="B35" s="10"/>
      <c r="C35" s="11"/>
      <c r="D35" s="11"/>
      <c r="E35" s="293"/>
      <c r="F35" s="319"/>
      <c r="G35" s="18"/>
      <c r="H35" s="516"/>
      <c r="I35" s="516"/>
      <c r="J35" s="566"/>
      <c r="K35" s="573"/>
      <c r="L35" s="268"/>
      <c r="M35" s="551"/>
      <c r="N35" s="334" t="str">
        <f t="shared" si="2"/>
        <v/>
      </c>
    </row>
    <row r="36" spans="1:14" ht="12.95" customHeight="1">
      <c r="B36" s="12"/>
      <c r="C36" s="8"/>
      <c r="D36" s="8"/>
      <c r="E36" s="292"/>
      <c r="F36" s="318"/>
      <c r="G36" s="8" t="s">
        <v>93</v>
      </c>
      <c r="H36" s="262">
        <v>12</v>
      </c>
      <c r="I36" s="262">
        <v>12</v>
      </c>
      <c r="J36" s="565">
        <v>12</v>
      </c>
      <c r="K36" s="558">
        <v>12</v>
      </c>
      <c r="L36" s="276"/>
      <c r="M36" s="553">
        <v>12</v>
      </c>
      <c r="N36" s="334"/>
    </row>
    <row r="37" spans="1:14" ht="12.95" customHeight="1">
      <c r="B37" s="12"/>
      <c r="C37" s="8"/>
      <c r="D37" s="8"/>
      <c r="E37" s="292"/>
      <c r="F37" s="318"/>
      <c r="G37" s="8" t="s">
        <v>113</v>
      </c>
      <c r="H37" s="262">
        <f t="shared" ref="H37:M37" si="18">H8+H13+H16+H28+H32</f>
        <v>384590</v>
      </c>
      <c r="I37" s="276">
        <f t="shared" si="18"/>
        <v>394590</v>
      </c>
      <c r="J37" s="565">
        <f t="shared" si="18"/>
        <v>219381</v>
      </c>
      <c r="K37" s="558">
        <f t="shared" si="18"/>
        <v>304930</v>
      </c>
      <c r="L37" s="276">
        <f t="shared" si="18"/>
        <v>74400</v>
      </c>
      <c r="M37" s="553">
        <f t="shared" si="18"/>
        <v>379330</v>
      </c>
      <c r="N37" s="333">
        <f t="shared" si="2"/>
        <v>96.132694695760151</v>
      </c>
    </row>
    <row r="38" spans="1:14" s="1" customFormat="1" ht="12.95" customHeight="1">
      <c r="A38" s="269"/>
      <c r="B38" s="12"/>
      <c r="C38" s="8"/>
      <c r="D38" s="8"/>
      <c r="E38" s="292"/>
      <c r="F38" s="318"/>
      <c r="G38" s="8" t="s">
        <v>94</v>
      </c>
      <c r="H38" s="262">
        <f t="shared" ref="H38:J39" si="19">H37</f>
        <v>384590</v>
      </c>
      <c r="I38" s="276">
        <f t="shared" si="19"/>
        <v>394590</v>
      </c>
      <c r="J38" s="565">
        <f t="shared" si="19"/>
        <v>219381</v>
      </c>
      <c r="K38" s="558">
        <f t="shared" ref="K38:M38" si="20">K37</f>
        <v>304930</v>
      </c>
      <c r="L38" s="276">
        <f t="shared" si="20"/>
        <v>74400</v>
      </c>
      <c r="M38" s="553">
        <f t="shared" si="20"/>
        <v>379330</v>
      </c>
      <c r="N38" s="333">
        <f t="shared" si="2"/>
        <v>96.132694695760151</v>
      </c>
    </row>
    <row r="39" spans="1:14" s="1" customFormat="1" ht="12.95" customHeight="1">
      <c r="A39" s="269"/>
      <c r="B39" s="12"/>
      <c r="C39" s="8"/>
      <c r="D39" s="8"/>
      <c r="E39" s="292"/>
      <c r="F39" s="318"/>
      <c r="G39" s="8" t="s">
        <v>95</v>
      </c>
      <c r="H39" s="262">
        <f t="shared" si="19"/>
        <v>384590</v>
      </c>
      <c r="I39" s="276">
        <f t="shared" si="19"/>
        <v>394590</v>
      </c>
      <c r="J39" s="565">
        <f t="shared" si="19"/>
        <v>219381</v>
      </c>
      <c r="K39" s="558">
        <f t="shared" ref="K39:M39" si="21">K38</f>
        <v>304930</v>
      </c>
      <c r="L39" s="276">
        <f t="shared" si="21"/>
        <v>74400</v>
      </c>
      <c r="M39" s="553">
        <f t="shared" si="21"/>
        <v>379330</v>
      </c>
      <c r="N39" s="333">
        <f t="shared" si="2"/>
        <v>96.132694695760151</v>
      </c>
    </row>
    <row r="40" spans="1:14" s="1" customFormat="1" ht="12.95" customHeight="1" thickBot="1">
      <c r="A40" s="269"/>
      <c r="B40" s="15"/>
      <c r="C40" s="16"/>
      <c r="D40" s="16"/>
      <c r="E40" s="294"/>
      <c r="F40" s="320"/>
      <c r="G40" s="16"/>
      <c r="H40" s="522"/>
      <c r="I40" s="83"/>
      <c r="J40" s="575"/>
      <c r="K40" s="576"/>
      <c r="L40" s="83"/>
      <c r="M40" s="577"/>
      <c r="N40" s="338" t="str">
        <f t="shared" si="2"/>
        <v/>
      </c>
    </row>
    <row r="41" spans="1:14" s="1" customFormat="1" ht="12.95" customHeight="1">
      <c r="A41" s="269"/>
      <c r="B41" s="9"/>
      <c r="C41" s="9"/>
      <c r="D41" s="9"/>
      <c r="E41" s="295"/>
      <c r="F41" s="321"/>
      <c r="G41" s="9"/>
      <c r="H41" s="523"/>
      <c r="I41" s="52"/>
      <c r="J41" s="523"/>
      <c r="K41" s="52"/>
      <c r="L41" s="52"/>
      <c r="M41" s="371"/>
      <c r="N41" s="339" t="str">
        <f t="shared" si="2"/>
        <v/>
      </c>
    </row>
    <row r="42" spans="1:14" ht="12.95" customHeight="1">
      <c r="B42" s="48"/>
      <c r="E42" s="295"/>
      <c r="F42" s="321"/>
      <c r="M42" s="369"/>
      <c r="N42" s="337" t="str">
        <f t="shared" si="2"/>
        <v/>
      </c>
    </row>
    <row r="43" spans="1:14" ht="12.95" customHeight="1">
      <c r="B43" s="48"/>
      <c r="E43" s="295"/>
      <c r="F43" s="321"/>
      <c r="M43" s="369"/>
      <c r="N43" s="337" t="str">
        <f t="shared" si="2"/>
        <v/>
      </c>
    </row>
    <row r="44" spans="1:14" ht="12.95" customHeight="1">
      <c r="B44" s="48"/>
      <c r="E44" s="295"/>
      <c r="F44" s="321"/>
      <c r="M44" s="369"/>
      <c r="N44" s="337" t="str">
        <f t="shared" si="2"/>
        <v/>
      </c>
    </row>
    <row r="45" spans="1:14" ht="12.95" customHeight="1">
      <c r="B45" s="48"/>
      <c r="E45" s="295"/>
      <c r="F45" s="321"/>
      <c r="M45" s="369"/>
      <c r="N45" s="337" t="str">
        <f t="shared" si="2"/>
        <v/>
      </c>
    </row>
    <row r="46" spans="1:14" ht="12.95" customHeight="1">
      <c r="B46" s="48"/>
      <c r="E46" s="295"/>
      <c r="F46" s="321"/>
      <c r="M46" s="369"/>
      <c r="N46" s="337" t="str">
        <f t="shared" si="2"/>
        <v/>
      </c>
    </row>
    <row r="47" spans="1:14" ht="12.95" customHeight="1">
      <c r="B47" s="48"/>
      <c r="E47" s="295"/>
      <c r="F47" s="321"/>
      <c r="M47" s="369"/>
      <c r="N47" s="337" t="str">
        <f t="shared" si="2"/>
        <v/>
      </c>
    </row>
    <row r="48" spans="1:14" ht="12.95" customHeight="1">
      <c r="B48" s="48"/>
      <c r="E48" s="295"/>
      <c r="F48" s="321"/>
      <c r="M48" s="369"/>
      <c r="N48" s="337" t="str">
        <f t="shared" si="2"/>
        <v/>
      </c>
    </row>
    <row r="49" spans="2:14" ht="12.95" customHeight="1">
      <c r="B49" s="48"/>
      <c r="E49" s="295"/>
      <c r="F49" s="321"/>
      <c r="M49" s="369"/>
      <c r="N49" s="337" t="str">
        <f t="shared" si="2"/>
        <v/>
      </c>
    </row>
    <row r="50" spans="2:14" ht="12.95" customHeight="1">
      <c r="B50" s="48"/>
      <c r="E50" s="295"/>
      <c r="F50" s="321"/>
      <c r="M50" s="369"/>
      <c r="N50" s="337" t="str">
        <f t="shared" si="2"/>
        <v/>
      </c>
    </row>
    <row r="51" spans="2:14" ht="12.95" customHeight="1">
      <c r="B51" s="48"/>
      <c r="E51" s="295"/>
      <c r="F51" s="321"/>
      <c r="M51" s="369"/>
      <c r="N51" s="337" t="str">
        <f t="shared" si="2"/>
        <v/>
      </c>
    </row>
    <row r="52" spans="2:14" ht="12.95" customHeight="1">
      <c r="E52" s="295"/>
      <c r="F52" s="321"/>
      <c r="M52" s="369"/>
      <c r="N52" s="337" t="str">
        <f t="shared" si="2"/>
        <v/>
      </c>
    </row>
    <row r="53" spans="2:14" ht="12.95" customHeight="1">
      <c r="E53" s="295"/>
      <c r="F53" s="321"/>
      <c r="M53" s="369"/>
      <c r="N53" s="337" t="str">
        <f t="shared" si="2"/>
        <v/>
      </c>
    </row>
    <row r="54" spans="2:14" ht="12.95" customHeight="1">
      <c r="E54" s="295"/>
      <c r="F54" s="321"/>
      <c r="M54" s="369"/>
      <c r="N54" s="337" t="str">
        <f t="shared" si="2"/>
        <v/>
      </c>
    </row>
    <row r="55" spans="2:14" ht="12.95" customHeight="1">
      <c r="E55" s="295"/>
      <c r="F55" s="321"/>
      <c r="M55" s="369"/>
      <c r="N55" s="337" t="str">
        <f t="shared" si="2"/>
        <v/>
      </c>
    </row>
    <row r="56" spans="2:14" ht="12.95" customHeight="1">
      <c r="E56" s="295"/>
      <c r="F56" s="321"/>
      <c r="M56" s="369"/>
      <c r="N56" s="337" t="str">
        <f t="shared" si="2"/>
        <v/>
      </c>
    </row>
    <row r="57" spans="2:14" ht="12.95" customHeight="1">
      <c r="E57" s="295"/>
      <c r="F57" s="321"/>
      <c r="M57" s="369"/>
      <c r="N57" s="337" t="str">
        <f t="shared" si="2"/>
        <v/>
      </c>
    </row>
    <row r="58" spans="2:14" ht="12.95" customHeight="1">
      <c r="E58" s="295"/>
      <c r="F58" s="321"/>
      <c r="M58" s="369"/>
      <c r="N58" s="337" t="str">
        <f t="shared" si="2"/>
        <v/>
      </c>
    </row>
    <row r="59" spans="2:14" ht="12.95" customHeight="1">
      <c r="E59" s="295"/>
      <c r="F59" s="321"/>
      <c r="M59" s="369"/>
      <c r="N59" s="337" t="str">
        <f t="shared" si="2"/>
        <v/>
      </c>
    </row>
    <row r="60" spans="2:14" ht="17.100000000000001" customHeight="1">
      <c r="E60" s="295"/>
      <c r="F60" s="321"/>
      <c r="M60" s="369"/>
      <c r="N60" s="337" t="str">
        <f t="shared" si="2"/>
        <v/>
      </c>
    </row>
    <row r="61" spans="2:14" ht="17.100000000000001" customHeight="1">
      <c r="E61" s="295"/>
      <c r="F61" s="321"/>
      <c r="M61" s="369"/>
      <c r="N61" s="337" t="str">
        <f t="shared" si="2"/>
        <v/>
      </c>
    </row>
    <row r="62" spans="2:14" ht="14.25">
      <c r="E62" s="295"/>
      <c r="F62" s="321"/>
      <c r="M62" s="369"/>
      <c r="N62" s="337" t="str">
        <f t="shared" si="2"/>
        <v/>
      </c>
    </row>
    <row r="63" spans="2:14" ht="14.25">
      <c r="E63" s="295"/>
      <c r="F63" s="321"/>
      <c r="M63" s="369"/>
      <c r="N63" s="337" t="str">
        <f t="shared" si="2"/>
        <v/>
      </c>
    </row>
    <row r="64" spans="2:14" ht="14.25">
      <c r="E64" s="295"/>
      <c r="F64" s="321"/>
      <c r="M64" s="369"/>
      <c r="N64" s="337" t="str">
        <f t="shared" si="2"/>
        <v/>
      </c>
    </row>
    <row r="65" spans="5:14" ht="14.25">
      <c r="E65" s="295"/>
      <c r="F65" s="321"/>
      <c r="M65" s="369"/>
      <c r="N65" s="337" t="str">
        <f t="shared" si="2"/>
        <v/>
      </c>
    </row>
    <row r="66" spans="5:14" ht="14.25">
      <c r="E66" s="295"/>
      <c r="F66" s="321"/>
      <c r="M66" s="369"/>
      <c r="N66" s="337" t="str">
        <f t="shared" si="2"/>
        <v/>
      </c>
    </row>
    <row r="67" spans="5:14" ht="14.25">
      <c r="E67" s="295"/>
      <c r="F67" s="321"/>
      <c r="M67" s="369"/>
      <c r="N67" s="337" t="str">
        <f t="shared" si="2"/>
        <v/>
      </c>
    </row>
    <row r="68" spans="5:14" ht="14.25">
      <c r="E68" s="295"/>
      <c r="F68" s="321"/>
      <c r="M68" s="369"/>
      <c r="N68" s="337" t="str">
        <f t="shared" si="2"/>
        <v/>
      </c>
    </row>
    <row r="69" spans="5:14" ht="14.25">
      <c r="E69" s="295"/>
      <c r="F69" s="321"/>
      <c r="M69" s="369"/>
      <c r="N69" s="337" t="str">
        <f t="shared" si="2"/>
        <v/>
      </c>
    </row>
    <row r="70" spans="5:14" ht="14.25">
      <c r="E70" s="295"/>
      <c r="F70" s="321"/>
      <c r="M70" s="369"/>
      <c r="N70" s="337" t="str">
        <f t="shared" si="2"/>
        <v/>
      </c>
    </row>
    <row r="71" spans="5:14" ht="14.25">
      <c r="E71" s="295"/>
      <c r="F71" s="321"/>
      <c r="M71" s="369"/>
      <c r="N71" s="337" t="str">
        <f t="shared" si="2"/>
        <v/>
      </c>
    </row>
    <row r="72" spans="5:14" ht="14.25">
      <c r="E72" s="295"/>
      <c r="F72" s="321"/>
      <c r="M72" s="369"/>
      <c r="N72" s="337" t="str">
        <f t="shared" si="2"/>
        <v/>
      </c>
    </row>
    <row r="73" spans="5:14" ht="14.25">
      <c r="E73" s="295"/>
      <c r="F73" s="321"/>
      <c r="M73" s="369"/>
      <c r="N73" s="337" t="str">
        <f t="shared" ref="N73:N77" si="22">IF(I73=0,"",M73/I73*100)</f>
        <v/>
      </c>
    </row>
    <row r="74" spans="5:14" ht="14.25">
      <c r="E74" s="295"/>
      <c r="F74" s="295"/>
      <c r="M74" s="369"/>
      <c r="N74" s="337" t="str">
        <f t="shared" si="22"/>
        <v/>
      </c>
    </row>
    <row r="75" spans="5:14" ht="14.25">
      <c r="E75" s="295"/>
      <c r="F75" s="295"/>
      <c r="M75" s="369"/>
      <c r="N75" s="337" t="str">
        <f t="shared" si="22"/>
        <v/>
      </c>
    </row>
    <row r="76" spans="5:14" ht="14.25">
      <c r="E76" s="295"/>
      <c r="F76" s="295"/>
      <c r="M76" s="369"/>
      <c r="N76" s="337" t="str">
        <f t="shared" si="22"/>
        <v/>
      </c>
    </row>
    <row r="77" spans="5:14" ht="14.25">
      <c r="E77" s="295"/>
      <c r="F77" s="295"/>
      <c r="M77" s="369"/>
      <c r="N77" s="337" t="str">
        <f t="shared" si="22"/>
        <v/>
      </c>
    </row>
    <row r="78" spans="5:14" ht="14.25">
      <c r="E78" s="295"/>
      <c r="F78" s="295"/>
      <c r="M78" s="369"/>
    </row>
    <row r="79" spans="5:14" ht="14.25">
      <c r="E79" s="295"/>
      <c r="F79" s="295"/>
      <c r="M79" s="369"/>
    </row>
    <row r="80" spans="5:14" ht="14.25">
      <c r="E80" s="295"/>
      <c r="F80" s="295"/>
      <c r="M80" s="369"/>
    </row>
    <row r="81" spans="5:13" ht="14.25">
      <c r="E81" s="295"/>
      <c r="F81" s="295"/>
      <c r="M81" s="369"/>
    </row>
    <row r="82" spans="5:13" ht="14.25">
      <c r="E82" s="295"/>
      <c r="F82" s="295"/>
      <c r="M82" s="369"/>
    </row>
    <row r="83" spans="5:13" ht="14.25">
      <c r="E83" s="295"/>
      <c r="F83" s="295"/>
      <c r="M83" s="369"/>
    </row>
    <row r="84" spans="5:13" ht="14.25">
      <c r="E84" s="295"/>
      <c r="F84" s="295"/>
      <c r="M84" s="369"/>
    </row>
    <row r="85" spans="5:13" ht="14.25">
      <c r="E85" s="295"/>
      <c r="F85" s="295"/>
      <c r="M85" s="369"/>
    </row>
    <row r="86" spans="5:13" ht="14.25">
      <c r="E86" s="295"/>
      <c r="F86" s="295"/>
      <c r="M86" s="369"/>
    </row>
    <row r="87" spans="5:13" ht="14.25">
      <c r="E87" s="295"/>
      <c r="F87" s="295"/>
      <c r="M87" s="369"/>
    </row>
    <row r="88" spans="5:13" ht="14.25">
      <c r="E88" s="295"/>
      <c r="F88" s="295"/>
      <c r="M88" s="369"/>
    </row>
    <row r="89" spans="5:13" ht="14.25">
      <c r="E89" s="295"/>
      <c r="F89" s="295"/>
      <c r="M89" s="369"/>
    </row>
    <row r="90" spans="5:13" ht="14.25">
      <c r="E90" s="295"/>
      <c r="F90" s="295"/>
      <c r="M90" s="369"/>
    </row>
    <row r="91" spans="5:13">
      <c r="F91" s="295"/>
    </row>
    <row r="92" spans="5:13">
      <c r="F92" s="295"/>
    </row>
    <row r="93" spans="5:13">
      <c r="F93" s="295"/>
    </row>
    <row r="94" spans="5:13">
      <c r="F94" s="295"/>
    </row>
    <row r="95" spans="5:13">
      <c r="F95" s="295"/>
    </row>
    <row r="96" spans="5:13">
      <c r="F96" s="295"/>
    </row>
  </sheetData>
  <mergeCells count="12">
    <mergeCell ref="N4:N5"/>
    <mergeCell ref="G4:G5"/>
    <mergeCell ref="B2:J2"/>
    <mergeCell ref="B4:B5"/>
    <mergeCell ref="C4:C5"/>
    <mergeCell ref="D4:D5"/>
    <mergeCell ref="F4:F5"/>
    <mergeCell ref="E4:E5"/>
    <mergeCell ref="K4:M4"/>
    <mergeCell ref="H4:H5"/>
    <mergeCell ref="I4:I5"/>
    <mergeCell ref="J4:J5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 codeName="Sheet39"/>
  <dimension ref="A1:P96"/>
  <sheetViews>
    <sheetView zoomScaleNormal="100" workbookViewId="0">
      <selection activeCell="K10" sqref="K10"/>
    </sheetView>
  </sheetViews>
  <sheetFormatPr defaultRowHeight="12.75"/>
  <cols>
    <col min="1" max="1" width="9.140625" style="272"/>
    <col min="2" max="2" width="4.7109375" style="9" customWidth="1"/>
    <col min="3" max="3" width="5.140625" style="9" customWidth="1"/>
    <col min="4" max="4" width="5" style="9" customWidth="1"/>
    <col min="5" max="5" width="8.7109375" style="17" customWidth="1"/>
    <col min="6" max="6" width="8.7109375" style="277" customWidth="1"/>
    <col min="7" max="7" width="50.7109375" style="9" customWidth="1"/>
    <col min="8" max="8" width="14.7109375" style="519" customWidth="1"/>
    <col min="9" max="9" width="14.7109375" style="54" customWidth="1"/>
    <col min="10" max="10" width="15.7109375" style="519" customWidth="1"/>
    <col min="11" max="12" width="14.7109375" style="54" customWidth="1"/>
    <col min="13" max="13" width="15.7109375" style="54" customWidth="1"/>
    <col min="14" max="14" width="7.7109375" style="337" customWidth="1"/>
    <col min="15" max="16384" width="9.140625" style="9"/>
  </cols>
  <sheetData>
    <row r="1" spans="1:16" ht="13.5" thickBot="1"/>
    <row r="2" spans="1:16" s="363" customFormat="1" ht="20.100000000000001" customHeight="1" thickTop="1" thickBot="1">
      <c r="B2" s="725" t="s">
        <v>154</v>
      </c>
      <c r="C2" s="726"/>
      <c r="D2" s="726"/>
      <c r="E2" s="726"/>
      <c r="F2" s="726"/>
      <c r="G2" s="726"/>
      <c r="H2" s="508"/>
      <c r="I2" s="364"/>
      <c r="J2" s="508"/>
      <c r="K2" s="364"/>
      <c r="L2" s="364"/>
      <c r="M2" s="364"/>
      <c r="N2" s="367"/>
    </row>
    <row r="3" spans="1:16" s="1" customFormat="1" ht="8.1" customHeight="1" thickTop="1" thickBot="1">
      <c r="A3" s="269"/>
      <c r="E3" s="2"/>
      <c r="F3" s="270"/>
      <c r="G3" s="488"/>
      <c r="H3" s="511"/>
      <c r="I3" s="87"/>
      <c r="J3" s="511"/>
      <c r="K3" s="87"/>
      <c r="L3" s="87"/>
      <c r="M3" s="87"/>
      <c r="N3" s="331"/>
    </row>
    <row r="4" spans="1:16" s="1" customFormat="1" ht="39" customHeight="1">
      <c r="A4" s="269"/>
      <c r="B4" s="728" t="s">
        <v>78</v>
      </c>
      <c r="C4" s="746" t="s">
        <v>79</v>
      </c>
      <c r="D4" s="747" t="s">
        <v>110</v>
      </c>
      <c r="E4" s="748" t="s">
        <v>594</v>
      </c>
      <c r="F4" s="733" t="s">
        <v>650</v>
      </c>
      <c r="G4" s="734" t="s">
        <v>80</v>
      </c>
      <c r="H4" s="740" t="s">
        <v>644</v>
      </c>
      <c r="I4" s="742" t="s">
        <v>821</v>
      </c>
      <c r="J4" s="744" t="s">
        <v>822</v>
      </c>
      <c r="K4" s="749" t="s">
        <v>863</v>
      </c>
      <c r="L4" s="738"/>
      <c r="M4" s="739"/>
      <c r="N4" s="735" t="s">
        <v>823</v>
      </c>
    </row>
    <row r="5" spans="1:16" s="269" customFormat="1" ht="27" customHeight="1">
      <c r="B5" s="729"/>
      <c r="C5" s="731"/>
      <c r="D5" s="731"/>
      <c r="E5" s="722"/>
      <c r="F5" s="731"/>
      <c r="G5" s="722"/>
      <c r="H5" s="741"/>
      <c r="I5" s="743"/>
      <c r="J5" s="745"/>
      <c r="K5" s="540" t="s">
        <v>701</v>
      </c>
      <c r="L5" s="359" t="s">
        <v>702</v>
      </c>
      <c r="M5" s="541" t="s">
        <v>413</v>
      </c>
      <c r="N5" s="736"/>
    </row>
    <row r="6" spans="1:16" s="2" customFormat="1" ht="12.95" customHeight="1">
      <c r="A6" s="270"/>
      <c r="B6" s="464">
        <v>1</v>
      </c>
      <c r="C6" s="318">
        <v>2</v>
      </c>
      <c r="D6" s="318">
        <v>3</v>
      </c>
      <c r="E6" s="318">
        <v>4</v>
      </c>
      <c r="F6" s="318">
        <v>5</v>
      </c>
      <c r="G6" s="318">
        <v>6</v>
      </c>
      <c r="H6" s="512">
        <v>7</v>
      </c>
      <c r="I6" s="318">
        <v>8</v>
      </c>
      <c r="J6" s="561">
        <v>9</v>
      </c>
      <c r="K6" s="464">
        <v>10</v>
      </c>
      <c r="L6" s="318">
        <v>11</v>
      </c>
      <c r="M6" s="542" t="s">
        <v>703</v>
      </c>
      <c r="N6" s="465">
        <v>13</v>
      </c>
    </row>
    <row r="7" spans="1:16" s="2" customFormat="1" ht="12.95" customHeight="1">
      <c r="A7" s="270"/>
      <c r="B7" s="6" t="s">
        <v>155</v>
      </c>
      <c r="C7" s="7" t="s">
        <v>81</v>
      </c>
      <c r="D7" s="7" t="s">
        <v>82</v>
      </c>
      <c r="E7" s="5"/>
      <c r="F7" s="271"/>
      <c r="G7" s="5"/>
      <c r="H7" s="520"/>
      <c r="I7" s="81"/>
      <c r="J7" s="562"/>
      <c r="K7" s="543"/>
      <c r="L7" s="81"/>
      <c r="M7" s="544"/>
      <c r="N7" s="332"/>
    </row>
    <row r="8" spans="1:16" s="1" customFormat="1" ht="12.95" customHeight="1">
      <c r="A8" s="269"/>
      <c r="B8" s="12"/>
      <c r="C8" s="8"/>
      <c r="D8" s="8"/>
      <c r="E8" s="292">
        <v>611000</v>
      </c>
      <c r="F8" s="318"/>
      <c r="G8" s="8" t="s">
        <v>163</v>
      </c>
      <c r="H8" s="514">
        <f t="shared" ref="H8:I8" si="0">SUM(H9:H11)</f>
        <v>514860</v>
      </c>
      <c r="I8" s="514">
        <f t="shared" si="0"/>
        <v>514860</v>
      </c>
      <c r="J8" s="563">
        <v>385993</v>
      </c>
      <c r="K8" s="545">
        <f t="shared" ref="K8:M8" si="1">SUM(K9:K11)</f>
        <v>521950</v>
      </c>
      <c r="L8" s="201">
        <f t="shared" si="1"/>
        <v>0</v>
      </c>
      <c r="M8" s="546">
        <f t="shared" si="1"/>
        <v>521950</v>
      </c>
      <c r="N8" s="333">
        <f>IF(I8=0,"",M8/I8*100)</f>
        <v>101.37707337917104</v>
      </c>
    </row>
    <row r="9" spans="1:16" ht="12.95" customHeight="1">
      <c r="B9" s="10"/>
      <c r="C9" s="11"/>
      <c r="D9" s="11"/>
      <c r="E9" s="293">
        <v>611100</v>
      </c>
      <c r="F9" s="319"/>
      <c r="G9" s="18" t="s">
        <v>198</v>
      </c>
      <c r="H9" s="515">
        <v>444360</v>
      </c>
      <c r="I9" s="515">
        <v>444360</v>
      </c>
      <c r="J9" s="564">
        <v>335398</v>
      </c>
      <c r="K9" s="547">
        <f>448470+1600</f>
        <v>450070</v>
      </c>
      <c r="L9" s="203">
        <v>0</v>
      </c>
      <c r="M9" s="548">
        <f>SUM(K9:L9)</f>
        <v>450070</v>
      </c>
      <c r="N9" s="334">
        <f t="shared" ref="N9:N72" si="2">IF(I9=0,"",M9/I9*100)</f>
        <v>101.2849941488883</v>
      </c>
    </row>
    <row r="10" spans="1:16" ht="12.95" customHeight="1">
      <c r="B10" s="10"/>
      <c r="C10" s="11"/>
      <c r="D10" s="11"/>
      <c r="E10" s="293">
        <v>611200</v>
      </c>
      <c r="F10" s="319"/>
      <c r="G10" s="11" t="s">
        <v>199</v>
      </c>
      <c r="H10" s="515">
        <v>70500</v>
      </c>
      <c r="I10" s="515">
        <v>70500</v>
      </c>
      <c r="J10" s="564">
        <v>50595</v>
      </c>
      <c r="K10" s="547">
        <f>67080+800+16*250</f>
        <v>71880</v>
      </c>
      <c r="L10" s="203">
        <v>0</v>
      </c>
      <c r="M10" s="548">
        <f t="shared" ref="M10:M11" si="3">SUM(K10:L10)</f>
        <v>71880</v>
      </c>
      <c r="N10" s="334">
        <f t="shared" si="2"/>
        <v>101.95744680851064</v>
      </c>
    </row>
    <row r="11" spans="1:16" ht="12.95" customHeight="1">
      <c r="B11" s="10"/>
      <c r="C11" s="11"/>
      <c r="D11" s="11"/>
      <c r="E11" s="293">
        <v>611200</v>
      </c>
      <c r="F11" s="319"/>
      <c r="G11" s="180" t="s">
        <v>534</v>
      </c>
      <c r="H11" s="515">
        <f t="shared" ref="H11:I11" si="4">SUM(F11:G11)</f>
        <v>0</v>
      </c>
      <c r="I11" s="515">
        <f t="shared" si="4"/>
        <v>0</v>
      </c>
      <c r="J11" s="564">
        <v>0</v>
      </c>
      <c r="K11" s="549">
        <v>0</v>
      </c>
      <c r="L11" s="200">
        <v>0</v>
      </c>
      <c r="M11" s="548">
        <f t="shared" si="3"/>
        <v>0</v>
      </c>
      <c r="N11" s="334" t="str">
        <f t="shared" si="2"/>
        <v/>
      </c>
      <c r="P11" s="53"/>
    </row>
    <row r="12" spans="1:16" ht="12.95" customHeight="1">
      <c r="B12" s="10"/>
      <c r="C12" s="11"/>
      <c r="D12" s="11"/>
      <c r="E12" s="293"/>
      <c r="F12" s="319"/>
      <c r="G12" s="11"/>
      <c r="H12" s="514"/>
      <c r="I12" s="514"/>
      <c r="J12" s="563"/>
      <c r="K12" s="545"/>
      <c r="L12" s="201"/>
      <c r="M12" s="546"/>
      <c r="N12" s="334" t="str">
        <f t="shared" si="2"/>
        <v/>
      </c>
    </row>
    <row r="13" spans="1:16" s="1" customFormat="1" ht="12.95" customHeight="1">
      <c r="A13" s="269"/>
      <c r="B13" s="12"/>
      <c r="C13" s="8"/>
      <c r="D13" s="8"/>
      <c r="E13" s="292">
        <v>612000</v>
      </c>
      <c r="F13" s="318"/>
      <c r="G13" s="8" t="s">
        <v>162</v>
      </c>
      <c r="H13" s="514">
        <f t="shared" ref="H13:M13" si="5">H14</f>
        <v>47180</v>
      </c>
      <c r="I13" s="514">
        <f t="shared" si="5"/>
        <v>47180</v>
      </c>
      <c r="J13" s="563">
        <v>35785</v>
      </c>
      <c r="K13" s="545">
        <f t="shared" si="5"/>
        <v>48310</v>
      </c>
      <c r="L13" s="201">
        <f t="shared" si="5"/>
        <v>0</v>
      </c>
      <c r="M13" s="546">
        <f t="shared" si="5"/>
        <v>48310</v>
      </c>
      <c r="N13" s="333">
        <f t="shared" si="2"/>
        <v>102.39508266214499</v>
      </c>
    </row>
    <row r="14" spans="1:16" ht="12.95" customHeight="1">
      <c r="B14" s="10"/>
      <c r="C14" s="11"/>
      <c r="D14" s="11"/>
      <c r="E14" s="293">
        <v>612100</v>
      </c>
      <c r="F14" s="319"/>
      <c r="G14" s="13" t="s">
        <v>83</v>
      </c>
      <c r="H14" s="515">
        <v>47180</v>
      </c>
      <c r="I14" s="515">
        <v>47180</v>
      </c>
      <c r="J14" s="564">
        <v>35785</v>
      </c>
      <c r="K14" s="547">
        <f>47810+500</f>
        <v>48310</v>
      </c>
      <c r="L14" s="203"/>
      <c r="M14" s="548">
        <f>SUM(K14:L14)</f>
        <v>48310</v>
      </c>
      <c r="N14" s="334">
        <f t="shared" si="2"/>
        <v>102.39508266214499</v>
      </c>
    </row>
    <row r="15" spans="1:16" ht="12.95" customHeight="1">
      <c r="B15" s="10"/>
      <c r="C15" s="11"/>
      <c r="D15" s="11"/>
      <c r="E15" s="293"/>
      <c r="F15" s="319"/>
      <c r="G15" s="11"/>
      <c r="H15" s="262"/>
      <c r="I15" s="262"/>
      <c r="J15" s="565"/>
      <c r="K15" s="558"/>
      <c r="L15" s="276"/>
      <c r="M15" s="553"/>
      <c r="N15" s="334" t="str">
        <f t="shared" si="2"/>
        <v/>
      </c>
    </row>
    <row r="16" spans="1:16" s="1" customFormat="1" ht="12.95" customHeight="1">
      <c r="A16" s="269"/>
      <c r="B16" s="12"/>
      <c r="C16" s="8"/>
      <c r="D16" s="8"/>
      <c r="E16" s="292">
        <v>613000</v>
      </c>
      <c r="F16" s="318"/>
      <c r="G16" s="8" t="s">
        <v>164</v>
      </c>
      <c r="H16" s="262">
        <f t="shared" ref="H16:I16" si="6">SUM(H17:H26)</f>
        <v>117100</v>
      </c>
      <c r="I16" s="262">
        <f t="shared" si="6"/>
        <v>117100</v>
      </c>
      <c r="J16" s="565">
        <v>46883</v>
      </c>
      <c r="K16" s="552">
        <f t="shared" ref="K16:M16" si="7">SUM(K17:K26)</f>
        <v>109100</v>
      </c>
      <c r="L16" s="281">
        <f t="shared" si="7"/>
        <v>0</v>
      </c>
      <c r="M16" s="553">
        <f t="shared" si="7"/>
        <v>109100</v>
      </c>
      <c r="N16" s="333">
        <f t="shared" si="2"/>
        <v>93.168232280102487</v>
      </c>
    </row>
    <row r="17" spans="1:15" ht="12.95" customHeight="1">
      <c r="B17" s="10"/>
      <c r="C17" s="11"/>
      <c r="D17" s="11"/>
      <c r="E17" s="293">
        <v>613100</v>
      </c>
      <c r="F17" s="319"/>
      <c r="G17" s="11" t="s">
        <v>84</v>
      </c>
      <c r="H17" s="515">
        <v>4000</v>
      </c>
      <c r="I17" s="515">
        <v>4000</v>
      </c>
      <c r="J17" s="564">
        <v>2339</v>
      </c>
      <c r="K17" s="554">
        <v>4000</v>
      </c>
      <c r="L17" s="350">
        <v>0</v>
      </c>
      <c r="M17" s="548">
        <f t="shared" ref="M17:M26" si="8">SUM(K17:L17)</f>
        <v>4000</v>
      </c>
      <c r="N17" s="334">
        <f t="shared" si="2"/>
        <v>100</v>
      </c>
    </row>
    <row r="18" spans="1:15" ht="12.95" customHeight="1">
      <c r="B18" s="10"/>
      <c r="C18" s="11"/>
      <c r="D18" s="11"/>
      <c r="E18" s="293">
        <v>613200</v>
      </c>
      <c r="F18" s="319"/>
      <c r="G18" s="11" t="s">
        <v>85</v>
      </c>
      <c r="H18" s="515">
        <v>28000</v>
      </c>
      <c r="I18" s="515">
        <v>28000</v>
      </c>
      <c r="J18" s="564">
        <v>11372</v>
      </c>
      <c r="K18" s="554">
        <v>28000</v>
      </c>
      <c r="L18" s="350">
        <v>0</v>
      </c>
      <c r="M18" s="548">
        <f t="shared" si="8"/>
        <v>28000</v>
      </c>
      <c r="N18" s="334">
        <f t="shared" si="2"/>
        <v>100</v>
      </c>
    </row>
    <row r="19" spans="1:15" ht="12.95" customHeight="1">
      <c r="B19" s="10"/>
      <c r="C19" s="11"/>
      <c r="D19" s="11"/>
      <c r="E19" s="293">
        <v>613300</v>
      </c>
      <c r="F19" s="319"/>
      <c r="G19" s="18" t="s">
        <v>200</v>
      </c>
      <c r="H19" s="515">
        <v>15000</v>
      </c>
      <c r="I19" s="515">
        <v>15000</v>
      </c>
      <c r="J19" s="564">
        <v>8955</v>
      </c>
      <c r="K19" s="554">
        <v>15000</v>
      </c>
      <c r="L19" s="350">
        <v>0</v>
      </c>
      <c r="M19" s="548">
        <f t="shared" si="8"/>
        <v>15000</v>
      </c>
      <c r="N19" s="334">
        <f t="shared" si="2"/>
        <v>100</v>
      </c>
    </row>
    <row r="20" spans="1:15" ht="12.95" customHeight="1">
      <c r="B20" s="10"/>
      <c r="C20" s="11"/>
      <c r="D20" s="11"/>
      <c r="E20" s="293">
        <v>613400</v>
      </c>
      <c r="F20" s="319"/>
      <c r="G20" s="11" t="s">
        <v>165</v>
      </c>
      <c r="H20" s="515">
        <v>6000</v>
      </c>
      <c r="I20" s="515">
        <v>6000</v>
      </c>
      <c r="J20" s="564">
        <v>4107</v>
      </c>
      <c r="K20" s="554">
        <v>6000</v>
      </c>
      <c r="L20" s="350">
        <v>0</v>
      </c>
      <c r="M20" s="548">
        <f t="shared" si="8"/>
        <v>6000</v>
      </c>
      <c r="N20" s="334">
        <f t="shared" si="2"/>
        <v>100</v>
      </c>
    </row>
    <row r="21" spans="1:15" ht="12.95" customHeight="1">
      <c r="B21" s="10"/>
      <c r="C21" s="11"/>
      <c r="D21" s="11"/>
      <c r="E21" s="293">
        <v>613500</v>
      </c>
      <c r="F21" s="319"/>
      <c r="G21" s="11" t="s">
        <v>86</v>
      </c>
      <c r="H21" s="515">
        <v>4500</v>
      </c>
      <c r="I21" s="515">
        <v>4500</v>
      </c>
      <c r="J21" s="564">
        <v>2190</v>
      </c>
      <c r="K21" s="555">
        <v>4500</v>
      </c>
      <c r="L21" s="352">
        <v>0</v>
      </c>
      <c r="M21" s="548">
        <f t="shared" si="8"/>
        <v>4500</v>
      </c>
      <c r="N21" s="334">
        <f t="shared" si="2"/>
        <v>100</v>
      </c>
      <c r="O21" s="48"/>
    </row>
    <row r="22" spans="1:15" ht="12.95" customHeight="1">
      <c r="B22" s="10"/>
      <c r="C22" s="11"/>
      <c r="D22" s="11"/>
      <c r="E22" s="293">
        <v>613600</v>
      </c>
      <c r="F22" s="319"/>
      <c r="G22" s="18" t="s">
        <v>201</v>
      </c>
      <c r="H22" s="515">
        <f t="shared" ref="H22:I26" si="9">SUM(F22:G22)</f>
        <v>0</v>
      </c>
      <c r="I22" s="515">
        <f t="shared" si="9"/>
        <v>0</v>
      </c>
      <c r="J22" s="564">
        <v>0</v>
      </c>
      <c r="K22" s="554">
        <v>0</v>
      </c>
      <c r="L22" s="350">
        <v>0</v>
      </c>
      <c r="M22" s="548">
        <f t="shared" si="8"/>
        <v>0</v>
      </c>
      <c r="N22" s="334" t="str">
        <f t="shared" si="2"/>
        <v/>
      </c>
    </row>
    <row r="23" spans="1:15" ht="12.95" customHeight="1">
      <c r="B23" s="10"/>
      <c r="C23" s="11"/>
      <c r="D23" s="11"/>
      <c r="E23" s="293">
        <v>613700</v>
      </c>
      <c r="F23" s="319"/>
      <c r="G23" s="11" t="s">
        <v>87</v>
      </c>
      <c r="H23" s="515">
        <v>8000</v>
      </c>
      <c r="I23" s="515">
        <v>8000</v>
      </c>
      <c r="J23" s="564">
        <v>4995</v>
      </c>
      <c r="K23" s="555">
        <v>8000</v>
      </c>
      <c r="L23" s="352">
        <v>0</v>
      </c>
      <c r="M23" s="548">
        <f t="shared" si="8"/>
        <v>8000</v>
      </c>
      <c r="N23" s="334">
        <f t="shared" si="2"/>
        <v>100</v>
      </c>
    </row>
    <row r="24" spans="1:15" ht="12.95" customHeight="1">
      <c r="B24" s="10"/>
      <c r="C24" s="11"/>
      <c r="D24" s="11"/>
      <c r="E24" s="293">
        <v>613800</v>
      </c>
      <c r="F24" s="319"/>
      <c r="G24" s="11" t="s">
        <v>166</v>
      </c>
      <c r="H24" s="515">
        <v>1600</v>
      </c>
      <c r="I24" s="515">
        <v>1600</v>
      </c>
      <c r="J24" s="564">
        <v>0</v>
      </c>
      <c r="K24" s="555">
        <v>1600</v>
      </c>
      <c r="L24" s="352">
        <v>0</v>
      </c>
      <c r="M24" s="548">
        <f t="shared" si="8"/>
        <v>1600</v>
      </c>
      <c r="N24" s="334">
        <f t="shared" si="2"/>
        <v>100</v>
      </c>
    </row>
    <row r="25" spans="1:15" ht="12.95" customHeight="1">
      <c r="B25" s="10"/>
      <c r="C25" s="11"/>
      <c r="D25" s="11"/>
      <c r="E25" s="293">
        <v>613900</v>
      </c>
      <c r="F25" s="319"/>
      <c r="G25" s="11" t="s">
        <v>167</v>
      </c>
      <c r="H25" s="515">
        <v>50000</v>
      </c>
      <c r="I25" s="515">
        <v>50000</v>
      </c>
      <c r="J25" s="564">
        <v>12925</v>
      </c>
      <c r="K25" s="555">
        <v>42000</v>
      </c>
      <c r="L25" s="352">
        <v>0</v>
      </c>
      <c r="M25" s="548">
        <f t="shared" si="8"/>
        <v>42000</v>
      </c>
      <c r="N25" s="334">
        <f t="shared" si="2"/>
        <v>84</v>
      </c>
    </row>
    <row r="26" spans="1:15" ht="12.95" customHeight="1">
      <c r="B26" s="10"/>
      <c r="C26" s="11"/>
      <c r="D26" s="11"/>
      <c r="E26" s="293">
        <v>613900</v>
      </c>
      <c r="F26" s="319"/>
      <c r="G26" s="180" t="s">
        <v>535</v>
      </c>
      <c r="H26" s="515">
        <f t="shared" si="9"/>
        <v>0</v>
      </c>
      <c r="I26" s="515">
        <f t="shared" si="9"/>
        <v>0</v>
      </c>
      <c r="J26" s="564">
        <v>0</v>
      </c>
      <c r="K26" s="555">
        <v>0</v>
      </c>
      <c r="L26" s="352">
        <v>0</v>
      </c>
      <c r="M26" s="548">
        <f t="shared" si="8"/>
        <v>0</v>
      </c>
      <c r="N26" s="334" t="str">
        <f t="shared" si="2"/>
        <v/>
      </c>
    </row>
    <row r="27" spans="1:15" s="1" customFormat="1" ht="12.95" customHeight="1">
      <c r="A27" s="269"/>
      <c r="B27" s="12"/>
      <c r="C27" s="8"/>
      <c r="D27" s="8"/>
      <c r="E27" s="292"/>
      <c r="F27" s="318"/>
      <c r="G27" s="8"/>
      <c r="H27" s="516"/>
      <c r="I27" s="516"/>
      <c r="J27" s="566"/>
      <c r="K27" s="556"/>
      <c r="L27" s="283"/>
      <c r="M27" s="551"/>
      <c r="N27" s="334" t="str">
        <f t="shared" si="2"/>
        <v/>
      </c>
    </row>
    <row r="28" spans="1:15" s="1" customFormat="1" ht="12.95" customHeight="1">
      <c r="A28" s="269"/>
      <c r="B28" s="12"/>
      <c r="C28" s="8"/>
      <c r="D28" s="8"/>
      <c r="E28" s="292">
        <v>821000</v>
      </c>
      <c r="F28" s="318"/>
      <c r="G28" s="8" t="s">
        <v>90</v>
      </c>
      <c r="H28" s="262">
        <f t="shared" ref="H28:I28" si="10">SUM(H29:H30)</f>
        <v>10000</v>
      </c>
      <c r="I28" s="262">
        <f t="shared" si="10"/>
        <v>10000</v>
      </c>
      <c r="J28" s="565">
        <v>2996</v>
      </c>
      <c r="K28" s="557">
        <f t="shared" ref="K28:M28" si="11">SUM(K29:K30)</f>
        <v>10000</v>
      </c>
      <c r="L28" s="282">
        <f t="shared" si="11"/>
        <v>0</v>
      </c>
      <c r="M28" s="553">
        <f t="shared" si="11"/>
        <v>10000</v>
      </c>
      <c r="N28" s="333">
        <f t="shared" si="2"/>
        <v>100</v>
      </c>
    </row>
    <row r="29" spans="1:15" ht="12.95" customHeight="1">
      <c r="B29" s="10"/>
      <c r="C29" s="11"/>
      <c r="D29" s="11"/>
      <c r="E29" s="293">
        <v>821200</v>
      </c>
      <c r="F29" s="319"/>
      <c r="G29" s="11" t="s">
        <v>91</v>
      </c>
      <c r="H29" s="515">
        <v>5000</v>
      </c>
      <c r="I29" s="515">
        <v>5000</v>
      </c>
      <c r="J29" s="564">
        <v>0</v>
      </c>
      <c r="K29" s="556">
        <v>5000</v>
      </c>
      <c r="L29" s="283">
        <v>0</v>
      </c>
      <c r="M29" s="548">
        <f t="shared" ref="M29:M30" si="12">SUM(K29:L29)</f>
        <v>5000</v>
      </c>
      <c r="N29" s="334">
        <f t="shared" si="2"/>
        <v>100</v>
      </c>
    </row>
    <row r="30" spans="1:15" ht="12.95" customHeight="1">
      <c r="B30" s="10"/>
      <c r="C30" s="11"/>
      <c r="D30" s="11"/>
      <c r="E30" s="293">
        <v>821300</v>
      </c>
      <c r="F30" s="319"/>
      <c r="G30" s="11" t="s">
        <v>92</v>
      </c>
      <c r="H30" s="515">
        <v>5000</v>
      </c>
      <c r="I30" s="515">
        <v>5000</v>
      </c>
      <c r="J30" s="564">
        <v>2996</v>
      </c>
      <c r="K30" s="556">
        <v>5000</v>
      </c>
      <c r="L30" s="283">
        <v>0</v>
      </c>
      <c r="M30" s="548">
        <f t="shared" si="12"/>
        <v>5000</v>
      </c>
      <c r="N30" s="334">
        <f t="shared" si="2"/>
        <v>100</v>
      </c>
    </row>
    <row r="31" spans="1:15" ht="12.95" customHeight="1">
      <c r="B31" s="10"/>
      <c r="C31" s="11"/>
      <c r="D31" s="11"/>
      <c r="E31" s="293"/>
      <c r="F31" s="319"/>
      <c r="G31" s="11"/>
      <c r="H31" s="516"/>
      <c r="I31" s="516"/>
      <c r="J31" s="566"/>
      <c r="K31" s="550"/>
      <c r="L31" s="279"/>
      <c r="M31" s="551"/>
      <c r="N31" s="334" t="str">
        <f t="shared" si="2"/>
        <v/>
      </c>
    </row>
    <row r="32" spans="1:15" s="1" customFormat="1" ht="12.95" customHeight="1">
      <c r="A32" s="269"/>
      <c r="B32" s="12"/>
      <c r="C32" s="8"/>
      <c r="D32" s="8"/>
      <c r="E32" s="292"/>
      <c r="F32" s="318"/>
      <c r="G32" s="8" t="s">
        <v>93</v>
      </c>
      <c r="H32" s="262">
        <v>16</v>
      </c>
      <c r="I32" s="262">
        <v>16</v>
      </c>
      <c r="J32" s="565">
        <v>16</v>
      </c>
      <c r="K32" s="558">
        <v>16</v>
      </c>
      <c r="L32" s="276"/>
      <c r="M32" s="553">
        <v>16</v>
      </c>
      <c r="N32" s="334"/>
    </row>
    <row r="33" spans="1:14" s="1" customFormat="1" ht="12.95" customHeight="1">
      <c r="A33" s="269"/>
      <c r="B33" s="12"/>
      <c r="C33" s="8"/>
      <c r="D33" s="8"/>
      <c r="E33" s="292"/>
      <c r="F33" s="318"/>
      <c r="G33" s="8" t="s">
        <v>113</v>
      </c>
      <c r="H33" s="262">
        <f t="shared" ref="H33:M33" si="13">H8+H13+H16+H28</f>
        <v>689140</v>
      </c>
      <c r="I33" s="276">
        <f t="shared" si="13"/>
        <v>689140</v>
      </c>
      <c r="J33" s="565">
        <f t="shared" si="13"/>
        <v>471657</v>
      </c>
      <c r="K33" s="558">
        <f t="shared" si="13"/>
        <v>689360</v>
      </c>
      <c r="L33" s="276">
        <f t="shared" si="13"/>
        <v>0</v>
      </c>
      <c r="M33" s="553">
        <f t="shared" si="13"/>
        <v>689360</v>
      </c>
      <c r="N33" s="333">
        <f t="shared" si="2"/>
        <v>100.03192384711379</v>
      </c>
    </row>
    <row r="34" spans="1:14" s="1" customFormat="1" ht="12.95" customHeight="1">
      <c r="A34" s="269"/>
      <c r="B34" s="12"/>
      <c r="C34" s="8"/>
      <c r="D34" s="8"/>
      <c r="E34" s="292"/>
      <c r="F34" s="318"/>
      <c r="G34" s="8" t="s">
        <v>94</v>
      </c>
      <c r="H34" s="262">
        <f t="shared" ref="H34:J35" si="14">H33</f>
        <v>689140</v>
      </c>
      <c r="I34" s="276">
        <f t="shared" si="14"/>
        <v>689140</v>
      </c>
      <c r="J34" s="565">
        <f t="shared" si="14"/>
        <v>471657</v>
      </c>
      <c r="K34" s="558">
        <f t="shared" ref="K34:M34" si="15">K33</f>
        <v>689360</v>
      </c>
      <c r="L34" s="276">
        <f t="shared" si="15"/>
        <v>0</v>
      </c>
      <c r="M34" s="553">
        <f t="shared" si="15"/>
        <v>689360</v>
      </c>
      <c r="N34" s="333">
        <f t="shared" si="2"/>
        <v>100.03192384711379</v>
      </c>
    </row>
    <row r="35" spans="1:14" s="1" customFormat="1" ht="12.95" customHeight="1">
      <c r="A35" s="269"/>
      <c r="B35" s="12"/>
      <c r="C35" s="8"/>
      <c r="D35" s="8"/>
      <c r="E35" s="292"/>
      <c r="F35" s="318"/>
      <c r="G35" s="8" t="s">
        <v>95</v>
      </c>
      <c r="H35" s="262">
        <f t="shared" si="14"/>
        <v>689140</v>
      </c>
      <c r="I35" s="276">
        <f t="shared" si="14"/>
        <v>689140</v>
      </c>
      <c r="J35" s="565">
        <f t="shared" si="14"/>
        <v>471657</v>
      </c>
      <c r="K35" s="558">
        <f t="shared" ref="K35:M35" si="16">K34</f>
        <v>689360</v>
      </c>
      <c r="L35" s="276">
        <f t="shared" si="16"/>
        <v>0</v>
      </c>
      <c r="M35" s="553">
        <f t="shared" si="16"/>
        <v>689360</v>
      </c>
      <c r="N35" s="333">
        <f t="shared" si="2"/>
        <v>100.03192384711379</v>
      </c>
    </row>
    <row r="36" spans="1:14" ht="12.95" customHeight="1" thickBot="1">
      <c r="B36" s="15"/>
      <c r="C36" s="16"/>
      <c r="D36" s="16"/>
      <c r="E36" s="294"/>
      <c r="F36" s="320"/>
      <c r="G36" s="16"/>
      <c r="H36" s="518"/>
      <c r="I36" s="27"/>
      <c r="J36" s="567"/>
      <c r="K36" s="559"/>
      <c r="L36" s="27"/>
      <c r="M36" s="560"/>
      <c r="N36" s="336" t="str">
        <f t="shared" si="2"/>
        <v/>
      </c>
    </row>
    <row r="37" spans="1:14" ht="12.95" customHeight="1">
      <c r="E37" s="295"/>
      <c r="F37" s="321"/>
      <c r="M37" s="370"/>
      <c r="N37" s="337" t="str">
        <f t="shared" si="2"/>
        <v/>
      </c>
    </row>
    <row r="38" spans="1:14" ht="12.95" customHeight="1">
      <c r="E38" s="295"/>
      <c r="F38" s="321"/>
      <c r="M38" s="370"/>
      <c r="N38" s="337" t="str">
        <f t="shared" si="2"/>
        <v/>
      </c>
    </row>
    <row r="39" spans="1:14" ht="12.95" customHeight="1">
      <c r="B39" s="48"/>
      <c r="E39" s="295"/>
      <c r="F39" s="321"/>
      <c r="M39" s="370"/>
      <c r="N39" s="337" t="str">
        <f t="shared" si="2"/>
        <v/>
      </c>
    </row>
    <row r="40" spans="1:14" ht="12.95" customHeight="1">
      <c r="B40" s="48"/>
      <c r="E40" s="295"/>
      <c r="F40" s="321"/>
      <c r="M40" s="370"/>
      <c r="N40" s="337" t="str">
        <f t="shared" si="2"/>
        <v/>
      </c>
    </row>
    <row r="41" spans="1:14" ht="12.95" customHeight="1">
      <c r="B41" s="48"/>
      <c r="E41" s="295"/>
      <c r="F41" s="321"/>
      <c r="M41" s="370"/>
      <c r="N41" s="337" t="str">
        <f t="shared" si="2"/>
        <v/>
      </c>
    </row>
    <row r="42" spans="1:14" ht="12.95" customHeight="1">
      <c r="B42" s="48"/>
      <c r="E42" s="295"/>
      <c r="F42" s="321"/>
      <c r="M42" s="370"/>
      <c r="N42" s="337" t="str">
        <f t="shared" si="2"/>
        <v/>
      </c>
    </row>
    <row r="43" spans="1:14" ht="12.95" customHeight="1">
      <c r="B43" s="48"/>
      <c r="E43" s="295"/>
      <c r="F43" s="321"/>
      <c r="M43" s="370"/>
      <c r="N43" s="337" t="str">
        <f t="shared" si="2"/>
        <v/>
      </c>
    </row>
    <row r="44" spans="1:14" ht="12.95" customHeight="1">
      <c r="E44" s="295"/>
      <c r="F44" s="321"/>
      <c r="M44" s="370"/>
      <c r="N44" s="337" t="str">
        <f t="shared" si="2"/>
        <v/>
      </c>
    </row>
    <row r="45" spans="1:14" ht="12.95" customHeight="1">
      <c r="E45" s="295"/>
      <c r="F45" s="321"/>
      <c r="M45" s="370"/>
      <c r="N45" s="337" t="str">
        <f t="shared" si="2"/>
        <v/>
      </c>
    </row>
    <row r="46" spans="1:14" ht="12.95" customHeight="1">
      <c r="E46" s="295"/>
      <c r="F46" s="321"/>
      <c r="M46" s="370"/>
      <c r="N46" s="337" t="str">
        <f t="shared" si="2"/>
        <v/>
      </c>
    </row>
    <row r="47" spans="1:14" ht="12.95" customHeight="1">
      <c r="E47" s="295"/>
      <c r="F47" s="321"/>
      <c r="M47" s="370"/>
      <c r="N47" s="337" t="str">
        <f t="shared" si="2"/>
        <v/>
      </c>
    </row>
    <row r="48" spans="1:14" ht="12.95" customHeight="1">
      <c r="E48" s="295"/>
      <c r="F48" s="321"/>
      <c r="M48" s="370"/>
      <c r="N48" s="337" t="str">
        <f t="shared" si="2"/>
        <v/>
      </c>
    </row>
    <row r="49" spans="5:14" ht="12.95" customHeight="1">
      <c r="E49" s="295"/>
      <c r="F49" s="321"/>
      <c r="M49" s="370"/>
      <c r="N49" s="337" t="str">
        <f t="shared" si="2"/>
        <v/>
      </c>
    </row>
    <row r="50" spans="5:14" ht="12.95" customHeight="1">
      <c r="E50" s="295"/>
      <c r="F50" s="321"/>
      <c r="M50" s="370"/>
      <c r="N50" s="337" t="str">
        <f t="shared" si="2"/>
        <v/>
      </c>
    </row>
    <row r="51" spans="5:14" ht="12.95" customHeight="1">
      <c r="E51" s="295"/>
      <c r="F51" s="321"/>
      <c r="M51" s="370"/>
      <c r="N51" s="337" t="str">
        <f t="shared" si="2"/>
        <v/>
      </c>
    </row>
    <row r="52" spans="5:14" ht="12.95" customHeight="1">
      <c r="E52" s="295"/>
      <c r="F52" s="321"/>
      <c r="M52" s="370"/>
      <c r="N52" s="337" t="str">
        <f t="shared" si="2"/>
        <v/>
      </c>
    </row>
    <row r="53" spans="5:14" ht="12.95" customHeight="1">
      <c r="E53" s="295"/>
      <c r="F53" s="321"/>
      <c r="M53" s="370"/>
      <c r="N53" s="337" t="str">
        <f t="shared" si="2"/>
        <v/>
      </c>
    </row>
    <row r="54" spans="5:14" ht="12.95" customHeight="1">
      <c r="E54" s="295"/>
      <c r="F54" s="321"/>
      <c r="M54" s="370"/>
      <c r="N54" s="337" t="str">
        <f t="shared" si="2"/>
        <v/>
      </c>
    </row>
    <row r="55" spans="5:14" ht="12.95" customHeight="1">
      <c r="E55" s="295"/>
      <c r="F55" s="321"/>
      <c r="M55" s="370"/>
      <c r="N55" s="337" t="str">
        <f t="shared" si="2"/>
        <v/>
      </c>
    </row>
    <row r="56" spans="5:14" ht="12.95" customHeight="1">
      <c r="E56" s="295"/>
      <c r="F56" s="321"/>
      <c r="M56" s="370"/>
      <c r="N56" s="337" t="str">
        <f t="shared" si="2"/>
        <v/>
      </c>
    </row>
    <row r="57" spans="5:14" ht="12.95" customHeight="1">
      <c r="E57" s="295"/>
      <c r="F57" s="321"/>
      <c r="M57" s="370"/>
      <c r="N57" s="337" t="str">
        <f t="shared" si="2"/>
        <v/>
      </c>
    </row>
    <row r="58" spans="5:14" ht="12.95" customHeight="1">
      <c r="E58" s="295"/>
      <c r="F58" s="321"/>
      <c r="M58" s="370"/>
      <c r="N58" s="337" t="str">
        <f t="shared" si="2"/>
        <v/>
      </c>
    </row>
    <row r="59" spans="5:14" ht="12.95" customHeight="1">
      <c r="E59" s="295"/>
      <c r="F59" s="321"/>
      <c r="M59" s="370"/>
      <c r="N59" s="337" t="str">
        <f t="shared" si="2"/>
        <v/>
      </c>
    </row>
    <row r="60" spans="5:14" ht="17.100000000000001" customHeight="1">
      <c r="E60" s="295"/>
      <c r="F60" s="321"/>
      <c r="M60" s="370"/>
      <c r="N60" s="337" t="str">
        <f t="shared" si="2"/>
        <v/>
      </c>
    </row>
    <row r="61" spans="5:14" ht="14.25">
      <c r="E61" s="295"/>
      <c r="F61" s="321"/>
      <c r="M61" s="370"/>
      <c r="N61" s="337" t="str">
        <f t="shared" si="2"/>
        <v/>
      </c>
    </row>
    <row r="62" spans="5:14" ht="14.25">
      <c r="E62" s="295"/>
      <c r="F62" s="321"/>
      <c r="M62" s="370"/>
      <c r="N62" s="337" t="str">
        <f t="shared" si="2"/>
        <v/>
      </c>
    </row>
    <row r="63" spans="5:14" ht="14.25">
      <c r="E63" s="295"/>
      <c r="F63" s="321"/>
      <c r="M63" s="370"/>
      <c r="N63" s="337" t="str">
        <f t="shared" si="2"/>
        <v/>
      </c>
    </row>
    <row r="64" spans="5:14" ht="14.25">
      <c r="E64" s="295"/>
      <c r="F64" s="321"/>
      <c r="M64" s="370"/>
      <c r="N64" s="337" t="str">
        <f t="shared" si="2"/>
        <v/>
      </c>
    </row>
    <row r="65" spans="5:14" ht="14.25">
      <c r="E65" s="295"/>
      <c r="F65" s="321"/>
      <c r="M65" s="370"/>
      <c r="N65" s="337" t="str">
        <f t="shared" si="2"/>
        <v/>
      </c>
    </row>
    <row r="66" spans="5:14" ht="14.25">
      <c r="E66" s="295"/>
      <c r="F66" s="321"/>
      <c r="M66" s="370"/>
      <c r="N66" s="337" t="str">
        <f t="shared" si="2"/>
        <v/>
      </c>
    </row>
    <row r="67" spans="5:14" ht="14.25">
      <c r="E67" s="295"/>
      <c r="F67" s="321"/>
      <c r="M67" s="370"/>
      <c r="N67" s="337" t="str">
        <f t="shared" si="2"/>
        <v/>
      </c>
    </row>
    <row r="68" spans="5:14" ht="14.25">
      <c r="E68" s="295"/>
      <c r="F68" s="321"/>
      <c r="M68" s="370"/>
      <c r="N68" s="337" t="str">
        <f t="shared" si="2"/>
        <v/>
      </c>
    </row>
    <row r="69" spans="5:14" ht="14.25">
      <c r="E69" s="295"/>
      <c r="F69" s="321"/>
      <c r="M69" s="370"/>
      <c r="N69" s="337" t="str">
        <f t="shared" si="2"/>
        <v/>
      </c>
    </row>
    <row r="70" spans="5:14" ht="14.25">
      <c r="E70" s="295"/>
      <c r="F70" s="321"/>
      <c r="M70" s="370"/>
      <c r="N70" s="337" t="str">
        <f t="shared" si="2"/>
        <v/>
      </c>
    </row>
    <row r="71" spans="5:14" ht="14.25">
      <c r="E71" s="295"/>
      <c r="F71" s="321"/>
      <c r="M71" s="370"/>
      <c r="N71" s="337" t="str">
        <f t="shared" si="2"/>
        <v/>
      </c>
    </row>
    <row r="72" spans="5:14" ht="14.25">
      <c r="E72" s="295"/>
      <c r="F72" s="321"/>
      <c r="M72" s="370"/>
      <c r="N72" s="337" t="str">
        <f t="shared" si="2"/>
        <v/>
      </c>
    </row>
    <row r="73" spans="5:14" ht="14.25">
      <c r="E73" s="295"/>
      <c r="F73" s="321"/>
      <c r="M73" s="370"/>
      <c r="N73" s="337" t="str">
        <f t="shared" ref="N73:N77" si="17">IF(I73=0,"",M73/I73*100)</f>
        <v/>
      </c>
    </row>
    <row r="74" spans="5:14" ht="14.25">
      <c r="E74" s="295"/>
      <c r="F74" s="295"/>
      <c r="M74" s="370"/>
      <c r="N74" s="337" t="str">
        <f t="shared" si="17"/>
        <v/>
      </c>
    </row>
    <row r="75" spans="5:14" ht="14.25">
      <c r="E75" s="295"/>
      <c r="F75" s="295"/>
      <c r="M75" s="370"/>
      <c r="N75" s="337" t="str">
        <f t="shared" si="17"/>
        <v/>
      </c>
    </row>
    <row r="76" spans="5:14" ht="14.25">
      <c r="E76" s="295"/>
      <c r="F76" s="295"/>
      <c r="M76" s="370"/>
      <c r="N76" s="337" t="str">
        <f t="shared" si="17"/>
        <v/>
      </c>
    </row>
    <row r="77" spans="5:14" ht="14.25">
      <c r="E77" s="295"/>
      <c r="F77" s="295"/>
      <c r="M77" s="370"/>
      <c r="N77" s="337" t="str">
        <f t="shared" si="17"/>
        <v/>
      </c>
    </row>
    <row r="78" spans="5:14" ht="14.25">
      <c r="E78" s="295"/>
      <c r="F78" s="295"/>
      <c r="M78" s="370"/>
    </row>
    <row r="79" spans="5:14" ht="14.25">
      <c r="E79" s="295"/>
      <c r="F79" s="295"/>
      <c r="M79" s="370"/>
    </row>
    <row r="80" spans="5:14" ht="14.25">
      <c r="E80" s="295"/>
      <c r="F80" s="295"/>
      <c r="M80" s="370"/>
    </row>
    <row r="81" spans="5:13" ht="14.25">
      <c r="E81" s="295"/>
      <c r="F81" s="295"/>
      <c r="M81" s="370"/>
    </row>
    <row r="82" spans="5:13" ht="14.25">
      <c r="E82" s="295"/>
      <c r="F82" s="295"/>
      <c r="M82" s="370"/>
    </row>
    <row r="83" spans="5:13" ht="14.25">
      <c r="E83" s="295"/>
      <c r="F83" s="295"/>
      <c r="M83" s="370"/>
    </row>
    <row r="84" spans="5:13" ht="14.25">
      <c r="E84" s="295"/>
      <c r="F84" s="295"/>
      <c r="M84" s="370"/>
    </row>
    <row r="85" spans="5:13" ht="14.25">
      <c r="E85" s="295"/>
      <c r="F85" s="295"/>
      <c r="M85" s="370"/>
    </row>
    <row r="86" spans="5:13" ht="14.25">
      <c r="E86" s="295"/>
      <c r="F86" s="295"/>
      <c r="M86" s="370"/>
    </row>
    <row r="87" spans="5:13" ht="14.25">
      <c r="E87" s="295"/>
      <c r="F87" s="295"/>
      <c r="M87" s="370"/>
    </row>
    <row r="88" spans="5:13" ht="14.25">
      <c r="E88" s="295"/>
      <c r="F88" s="295"/>
      <c r="M88" s="370"/>
    </row>
    <row r="89" spans="5:13" ht="14.25">
      <c r="E89" s="295"/>
      <c r="F89" s="295"/>
      <c r="M89" s="370"/>
    </row>
    <row r="90" spans="5:13" ht="14.25">
      <c r="E90" s="295"/>
      <c r="F90" s="295"/>
      <c r="M90" s="370"/>
    </row>
    <row r="91" spans="5:13">
      <c r="F91" s="295"/>
    </row>
    <row r="92" spans="5:13">
      <c r="F92" s="295"/>
    </row>
    <row r="93" spans="5:13">
      <c r="F93" s="295"/>
    </row>
    <row r="94" spans="5:13">
      <c r="F94" s="295"/>
    </row>
    <row r="95" spans="5:13">
      <c r="F95" s="295"/>
    </row>
    <row r="96" spans="5:13">
      <c r="F96" s="295"/>
    </row>
  </sheetData>
  <mergeCells count="12">
    <mergeCell ref="N4:N5"/>
    <mergeCell ref="G4:G5"/>
    <mergeCell ref="B2:G2"/>
    <mergeCell ref="B4:B5"/>
    <mergeCell ref="C4:C5"/>
    <mergeCell ref="D4:D5"/>
    <mergeCell ref="F4:F5"/>
    <mergeCell ref="E4:E5"/>
    <mergeCell ref="K4:M4"/>
    <mergeCell ref="H4:H5"/>
    <mergeCell ref="I4:I5"/>
    <mergeCell ref="J4:J5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>
  <sheetPr codeName="Sheet40"/>
  <dimension ref="A1:P96"/>
  <sheetViews>
    <sheetView zoomScaleNormal="100" workbookViewId="0">
      <selection activeCell="K10" sqref="K10"/>
    </sheetView>
  </sheetViews>
  <sheetFormatPr defaultRowHeight="12.75"/>
  <cols>
    <col min="1" max="1" width="9.140625" style="272"/>
    <col min="2" max="2" width="4.7109375" style="9" customWidth="1"/>
    <col min="3" max="3" width="5.140625" style="9" customWidth="1"/>
    <col min="4" max="4" width="5" style="9" customWidth="1"/>
    <col min="5" max="5" width="8.7109375" style="17" customWidth="1"/>
    <col min="6" max="6" width="8.7109375" style="277" customWidth="1"/>
    <col min="7" max="7" width="50.7109375" style="9" customWidth="1"/>
    <col min="8" max="8" width="14.7109375" style="510" customWidth="1"/>
    <col min="9" max="9" width="14.7109375" style="272" customWidth="1"/>
    <col min="10" max="10" width="15.7109375" style="510" customWidth="1"/>
    <col min="11" max="12" width="14.7109375" style="272" customWidth="1"/>
    <col min="13" max="13" width="15.7109375" style="272" customWidth="1"/>
    <col min="14" max="14" width="7.7109375" style="337" customWidth="1"/>
    <col min="15" max="16384" width="9.140625" style="9"/>
  </cols>
  <sheetData>
    <row r="1" spans="1:16" ht="13.5" thickBot="1"/>
    <row r="2" spans="1:16" s="363" customFormat="1" ht="20.100000000000001" customHeight="1" thickTop="1" thickBot="1">
      <c r="B2" s="725" t="s">
        <v>220</v>
      </c>
      <c r="C2" s="726"/>
      <c r="D2" s="726"/>
      <c r="E2" s="726"/>
      <c r="F2" s="726"/>
      <c r="G2" s="726"/>
      <c r="H2" s="726"/>
      <c r="I2" s="726"/>
      <c r="J2" s="726"/>
      <c r="K2" s="487"/>
      <c r="L2" s="487"/>
      <c r="M2" s="487"/>
      <c r="N2" s="366"/>
    </row>
    <row r="3" spans="1:16" s="1" customFormat="1" ht="8.1" customHeight="1" thickTop="1" thickBot="1">
      <c r="A3" s="269"/>
      <c r="E3" s="2"/>
      <c r="F3" s="270"/>
      <c r="G3" s="488"/>
      <c r="H3" s="511"/>
      <c r="I3" s="87"/>
      <c r="J3" s="511"/>
      <c r="K3" s="87"/>
      <c r="L3" s="87"/>
      <c r="M3" s="87"/>
      <c r="N3" s="331"/>
    </row>
    <row r="4" spans="1:16" s="1" customFormat="1" ht="39" customHeight="1">
      <c r="A4" s="269"/>
      <c r="B4" s="728" t="s">
        <v>78</v>
      </c>
      <c r="C4" s="746" t="s">
        <v>79</v>
      </c>
      <c r="D4" s="747" t="s">
        <v>110</v>
      </c>
      <c r="E4" s="748" t="s">
        <v>594</v>
      </c>
      <c r="F4" s="733" t="s">
        <v>650</v>
      </c>
      <c r="G4" s="734" t="s">
        <v>80</v>
      </c>
      <c r="H4" s="740" t="s">
        <v>644</v>
      </c>
      <c r="I4" s="742" t="s">
        <v>821</v>
      </c>
      <c r="J4" s="744" t="s">
        <v>822</v>
      </c>
      <c r="K4" s="749" t="s">
        <v>863</v>
      </c>
      <c r="L4" s="738"/>
      <c r="M4" s="739"/>
      <c r="N4" s="735" t="s">
        <v>823</v>
      </c>
    </row>
    <row r="5" spans="1:16" s="269" customFormat="1" ht="27" customHeight="1">
      <c r="B5" s="729"/>
      <c r="C5" s="731"/>
      <c r="D5" s="731"/>
      <c r="E5" s="722"/>
      <c r="F5" s="731"/>
      <c r="G5" s="722"/>
      <c r="H5" s="741"/>
      <c r="I5" s="743"/>
      <c r="J5" s="745"/>
      <c r="K5" s="540" t="s">
        <v>701</v>
      </c>
      <c r="L5" s="359" t="s">
        <v>702</v>
      </c>
      <c r="M5" s="541" t="s">
        <v>413</v>
      </c>
      <c r="N5" s="736"/>
    </row>
    <row r="6" spans="1:16" s="2" customFormat="1" ht="12.95" customHeight="1">
      <c r="A6" s="270"/>
      <c r="B6" s="464">
        <v>1</v>
      </c>
      <c r="C6" s="318">
        <v>2</v>
      </c>
      <c r="D6" s="318">
        <v>3</v>
      </c>
      <c r="E6" s="318">
        <v>4</v>
      </c>
      <c r="F6" s="318">
        <v>5</v>
      </c>
      <c r="G6" s="318">
        <v>6</v>
      </c>
      <c r="H6" s="512">
        <v>7</v>
      </c>
      <c r="I6" s="318">
        <v>8</v>
      </c>
      <c r="J6" s="561">
        <v>9</v>
      </c>
      <c r="K6" s="464">
        <v>10</v>
      </c>
      <c r="L6" s="318">
        <v>11</v>
      </c>
      <c r="M6" s="542" t="s">
        <v>703</v>
      </c>
      <c r="N6" s="465">
        <v>13</v>
      </c>
    </row>
    <row r="7" spans="1:16" s="2" customFormat="1" ht="12.95" customHeight="1">
      <c r="A7" s="270"/>
      <c r="B7" s="6" t="s">
        <v>156</v>
      </c>
      <c r="C7" s="7" t="s">
        <v>81</v>
      </c>
      <c r="D7" s="7" t="s">
        <v>82</v>
      </c>
      <c r="E7" s="5"/>
      <c r="F7" s="271"/>
      <c r="G7" s="5"/>
      <c r="H7" s="513"/>
      <c r="I7" s="271"/>
      <c r="J7" s="568"/>
      <c r="K7" s="4"/>
      <c r="L7" s="271"/>
      <c r="M7" s="570"/>
      <c r="N7" s="332"/>
    </row>
    <row r="8" spans="1:16" s="1" customFormat="1" ht="12.95" customHeight="1">
      <c r="A8" s="269"/>
      <c r="B8" s="12"/>
      <c r="C8" s="8"/>
      <c r="D8" s="8"/>
      <c r="E8" s="292">
        <v>611000</v>
      </c>
      <c r="F8" s="318"/>
      <c r="G8" s="8" t="s">
        <v>163</v>
      </c>
      <c r="H8" s="514">
        <f t="shared" ref="H8:I8" si="0">SUM(H9:H11)</f>
        <v>70000</v>
      </c>
      <c r="I8" s="514">
        <f t="shared" si="0"/>
        <v>70000</v>
      </c>
      <c r="J8" s="563">
        <v>50733</v>
      </c>
      <c r="K8" s="545">
        <f t="shared" ref="K8:M8" si="1">SUM(K9:K11)</f>
        <v>68540</v>
      </c>
      <c r="L8" s="201">
        <f t="shared" si="1"/>
        <v>0</v>
      </c>
      <c r="M8" s="546">
        <f t="shared" si="1"/>
        <v>68540</v>
      </c>
      <c r="N8" s="333">
        <f>IF(I8=0,"",M8/I8*100)</f>
        <v>97.914285714285711</v>
      </c>
    </row>
    <row r="9" spans="1:16" ht="12.95" customHeight="1">
      <c r="B9" s="10"/>
      <c r="C9" s="11"/>
      <c r="D9" s="11"/>
      <c r="E9" s="293">
        <v>611100</v>
      </c>
      <c r="F9" s="319"/>
      <c r="G9" s="18" t="s">
        <v>198</v>
      </c>
      <c r="H9" s="515">
        <v>59800</v>
      </c>
      <c r="I9" s="515">
        <v>59800</v>
      </c>
      <c r="J9" s="564">
        <v>44377</v>
      </c>
      <c r="K9" s="549">
        <f>59100+200</f>
        <v>59300</v>
      </c>
      <c r="L9" s="200">
        <v>0</v>
      </c>
      <c r="M9" s="548">
        <f>SUM(K9:L9)</f>
        <v>59300</v>
      </c>
      <c r="N9" s="334">
        <f t="shared" ref="N9:N72" si="2">IF(I9=0,"",M9/I9*100)</f>
        <v>99.163879598662206</v>
      </c>
    </row>
    <row r="10" spans="1:16" ht="12.95" customHeight="1">
      <c r="B10" s="10"/>
      <c r="C10" s="11"/>
      <c r="D10" s="11"/>
      <c r="E10" s="293">
        <v>611200</v>
      </c>
      <c r="F10" s="319"/>
      <c r="G10" s="11" t="s">
        <v>199</v>
      </c>
      <c r="H10" s="515">
        <v>10200</v>
      </c>
      <c r="I10" s="515">
        <v>10200</v>
      </c>
      <c r="J10" s="564">
        <v>6356</v>
      </c>
      <c r="K10" s="549">
        <f>8340+150+3*250</f>
        <v>9240</v>
      </c>
      <c r="L10" s="200">
        <v>0</v>
      </c>
      <c r="M10" s="548">
        <f t="shared" ref="M10:M11" si="3">SUM(K10:L10)</f>
        <v>9240</v>
      </c>
      <c r="N10" s="334">
        <f t="shared" si="2"/>
        <v>90.588235294117652</v>
      </c>
    </row>
    <row r="11" spans="1:16" ht="12.95" customHeight="1">
      <c r="B11" s="10"/>
      <c r="C11" s="11"/>
      <c r="D11" s="11"/>
      <c r="E11" s="293">
        <v>611200</v>
      </c>
      <c r="F11" s="319"/>
      <c r="G11" s="343" t="s">
        <v>534</v>
      </c>
      <c r="H11" s="515">
        <f t="shared" ref="H11:I11" si="4">SUM(F11:G11)</f>
        <v>0</v>
      </c>
      <c r="I11" s="515">
        <f t="shared" si="4"/>
        <v>0</v>
      </c>
      <c r="J11" s="564">
        <v>0</v>
      </c>
      <c r="K11" s="549">
        <v>0</v>
      </c>
      <c r="L11" s="200">
        <v>0</v>
      </c>
      <c r="M11" s="548">
        <f t="shared" si="3"/>
        <v>0</v>
      </c>
      <c r="N11" s="334" t="str">
        <f t="shared" si="2"/>
        <v/>
      </c>
      <c r="P11" s="53"/>
    </row>
    <row r="12" spans="1:16" ht="12.95" customHeight="1">
      <c r="B12" s="10"/>
      <c r="C12" s="11"/>
      <c r="D12" s="11"/>
      <c r="E12" s="293"/>
      <c r="F12" s="319"/>
      <c r="G12" s="11"/>
      <c r="H12" s="514"/>
      <c r="I12" s="514"/>
      <c r="J12" s="563"/>
      <c r="K12" s="545"/>
      <c r="L12" s="201"/>
      <c r="M12" s="546"/>
      <c r="N12" s="334" t="str">
        <f t="shared" si="2"/>
        <v/>
      </c>
    </row>
    <row r="13" spans="1:16" s="1" customFormat="1" ht="12.95" customHeight="1">
      <c r="A13" s="269"/>
      <c r="B13" s="12"/>
      <c r="C13" s="8"/>
      <c r="D13" s="8"/>
      <c r="E13" s="292">
        <v>612000</v>
      </c>
      <c r="F13" s="318"/>
      <c r="G13" s="8" t="s">
        <v>162</v>
      </c>
      <c r="H13" s="514">
        <f t="shared" ref="H13:M13" si="5">H14</f>
        <v>6420</v>
      </c>
      <c r="I13" s="514">
        <f t="shared" si="5"/>
        <v>6420</v>
      </c>
      <c r="J13" s="563">
        <v>4787</v>
      </c>
      <c r="K13" s="545">
        <f t="shared" si="5"/>
        <v>6440</v>
      </c>
      <c r="L13" s="201">
        <f t="shared" si="5"/>
        <v>0</v>
      </c>
      <c r="M13" s="546">
        <f t="shared" si="5"/>
        <v>6440</v>
      </c>
      <c r="N13" s="333">
        <f t="shared" si="2"/>
        <v>100.31152647975077</v>
      </c>
    </row>
    <row r="14" spans="1:16" ht="12.95" customHeight="1">
      <c r="B14" s="10"/>
      <c r="C14" s="11"/>
      <c r="D14" s="11"/>
      <c r="E14" s="293">
        <v>612100</v>
      </c>
      <c r="F14" s="319"/>
      <c r="G14" s="13" t="s">
        <v>83</v>
      </c>
      <c r="H14" s="515">
        <v>6420</v>
      </c>
      <c r="I14" s="515">
        <v>6420</v>
      </c>
      <c r="J14" s="564">
        <v>4787</v>
      </c>
      <c r="K14" s="549">
        <f>6340+100</f>
        <v>6440</v>
      </c>
      <c r="L14" s="200"/>
      <c r="M14" s="548">
        <f>SUM(K14:L14)</f>
        <v>6440</v>
      </c>
      <c r="N14" s="334">
        <f t="shared" si="2"/>
        <v>100.31152647975077</v>
      </c>
    </row>
    <row r="15" spans="1:16" ht="12.95" customHeight="1">
      <c r="B15" s="10"/>
      <c r="C15" s="11"/>
      <c r="D15" s="11"/>
      <c r="E15" s="293"/>
      <c r="F15" s="319"/>
      <c r="G15" s="11"/>
      <c r="H15" s="262"/>
      <c r="I15" s="262"/>
      <c r="J15" s="565"/>
      <c r="K15" s="552"/>
      <c r="L15" s="281"/>
      <c r="M15" s="553"/>
      <c r="N15" s="334" t="str">
        <f t="shared" si="2"/>
        <v/>
      </c>
    </row>
    <row r="16" spans="1:16" s="1" customFormat="1" ht="12.95" customHeight="1">
      <c r="A16" s="269"/>
      <c r="B16" s="12"/>
      <c r="C16" s="8"/>
      <c r="D16" s="8"/>
      <c r="E16" s="292">
        <v>613000</v>
      </c>
      <c r="F16" s="318"/>
      <c r="G16" s="8" t="s">
        <v>164</v>
      </c>
      <c r="H16" s="262">
        <f t="shared" ref="H16:I16" si="6">SUM(H17:H26)</f>
        <v>17700</v>
      </c>
      <c r="I16" s="262">
        <f t="shared" si="6"/>
        <v>17700</v>
      </c>
      <c r="J16" s="565">
        <v>9695</v>
      </c>
      <c r="K16" s="552">
        <f t="shared" ref="K16:M16" si="7">SUM(K17:K26)</f>
        <v>17700</v>
      </c>
      <c r="L16" s="281">
        <f t="shared" si="7"/>
        <v>0</v>
      </c>
      <c r="M16" s="553">
        <f t="shared" si="7"/>
        <v>17700</v>
      </c>
      <c r="N16" s="333">
        <f t="shared" si="2"/>
        <v>100</v>
      </c>
    </row>
    <row r="17" spans="1:15" ht="12.95" customHeight="1">
      <c r="B17" s="10"/>
      <c r="C17" s="11"/>
      <c r="D17" s="11"/>
      <c r="E17" s="293">
        <v>613100</v>
      </c>
      <c r="F17" s="319"/>
      <c r="G17" s="11" t="s">
        <v>84</v>
      </c>
      <c r="H17" s="515">
        <v>1000</v>
      </c>
      <c r="I17" s="515">
        <v>1000</v>
      </c>
      <c r="J17" s="564">
        <v>366</v>
      </c>
      <c r="K17" s="515">
        <v>1000</v>
      </c>
      <c r="L17" s="349">
        <v>0</v>
      </c>
      <c r="M17" s="548">
        <f t="shared" ref="M17:M26" si="8">SUM(K17:L17)</f>
        <v>1000</v>
      </c>
      <c r="N17" s="334">
        <f t="shared" si="2"/>
        <v>100</v>
      </c>
    </row>
    <row r="18" spans="1:15" ht="12.95" customHeight="1">
      <c r="B18" s="10"/>
      <c r="C18" s="11"/>
      <c r="D18" s="11"/>
      <c r="E18" s="293">
        <v>613200</v>
      </c>
      <c r="F18" s="319"/>
      <c r="G18" s="11" t="s">
        <v>85</v>
      </c>
      <c r="H18" s="515">
        <f t="shared" ref="H18:K26" si="9">SUM(F18:G18)</f>
        <v>0</v>
      </c>
      <c r="I18" s="515">
        <f t="shared" si="9"/>
        <v>0</v>
      </c>
      <c r="J18" s="564">
        <v>0</v>
      </c>
      <c r="K18" s="515">
        <f t="shared" si="9"/>
        <v>0</v>
      </c>
      <c r="L18" s="349">
        <v>0</v>
      </c>
      <c r="M18" s="548">
        <f t="shared" si="8"/>
        <v>0</v>
      </c>
      <c r="N18" s="334" t="str">
        <f t="shared" si="2"/>
        <v/>
      </c>
    </row>
    <row r="19" spans="1:15" ht="12.95" customHeight="1">
      <c r="B19" s="10"/>
      <c r="C19" s="11"/>
      <c r="D19" s="11"/>
      <c r="E19" s="293">
        <v>613300</v>
      </c>
      <c r="F19" s="319"/>
      <c r="G19" s="18" t="s">
        <v>200</v>
      </c>
      <c r="H19" s="515">
        <v>3500</v>
      </c>
      <c r="I19" s="515">
        <v>3500</v>
      </c>
      <c r="J19" s="564">
        <v>1754</v>
      </c>
      <c r="K19" s="515">
        <v>3500</v>
      </c>
      <c r="L19" s="351">
        <v>0</v>
      </c>
      <c r="M19" s="548">
        <f t="shared" si="8"/>
        <v>3500</v>
      </c>
      <c r="N19" s="334">
        <f t="shared" si="2"/>
        <v>100</v>
      </c>
      <c r="O19" s="48"/>
    </row>
    <row r="20" spans="1:15" ht="12.95" customHeight="1">
      <c r="B20" s="10"/>
      <c r="C20" s="11"/>
      <c r="D20" s="11"/>
      <c r="E20" s="293">
        <v>613400</v>
      </c>
      <c r="F20" s="319"/>
      <c r="G20" s="11" t="s">
        <v>165</v>
      </c>
      <c r="H20" s="515">
        <v>1200</v>
      </c>
      <c r="I20" s="515">
        <v>1200</v>
      </c>
      <c r="J20" s="564">
        <v>294</v>
      </c>
      <c r="K20" s="515">
        <v>1200</v>
      </c>
      <c r="L20" s="349">
        <v>0</v>
      </c>
      <c r="M20" s="548">
        <f t="shared" si="8"/>
        <v>1200</v>
      </c>
      <c r="N20" s="334">
        <f t="shared" si="2"/>
        <v>100</v>
      </c>
    </row>
    <row r="21" spans="1:15" ht="12.95" customHeight="1">
      <c r="B21" s="10"/>
      <c r="C21" s="11"/>
      <c r="D21" s="11"/>
      <c r="E21" s="293">
        <v>613500</v>
      </c>
      <c r="F21" s="319"/>
      <c r="G21" s="11" t="s">
        <v>86</v>
      </c>
      <c r="H21" s="515">
        <f t="shared" si="9"/>
        <v>0</v>
      </c>
      <c r="I21" s="515">
        <f t="shared" si="9"/>
        <v>0</v>
      </c>
      <c r="J21" s="564">
        <v>0</v>
      </c>
      <c r="K21" s="515">
        <f t="shared" si="9"/>
        <v>0</v>
      </c>
      <c r="L21" s="349">
        <v>0</v>
      </c>
      <c r="M21" s="548">
        <f t="shared" si="8"/>
        <v>0</v>
      </c>
      <c r="N21" s="334" t="str">
        <f t="shared" si="2"/>
        <v/>
      </c>
    </row>
    <row r="22" spans="1:15" ht="12.95" customHeight="1">
      <c r="B22" s="10"/>
      <c r="C22" s="11"/>
      <c r="D22" s="11"/>
      <c r="E22" s="293">
        <v>613600</v>
      </c>
      <c r="F22" s="319"/>
      <c r="G22" s="18" t="s">
        <v>201</v>
      </c>
      <c r="H22" s="515">
        <f t="shared" si="9"/>
        <v>0</v>
      </c>
      <c r="I22" s="515">
        <f t="shared" si="9"/>
        <v>0</v>
      </c>
      <c r="J22" s="564">
        <v>0</v>
      </c>
      <c r="K22" s="515">
        <f t="shared" si="9"/>
        <v>0</v>
      </c>
      <c r="L22" s="349">
        <v>0</v>
      </c>
      <c r="M22" s="548">
        <f t="shared" si="8"/>
        <v>0</v>
      </c>
      <c r="N22" s="334" t="str">
        <f t="shared" si="2"/>
        <v/>
      </c>
    </row>
    <row r="23" spans="1:15" ht="12.95" customHeight="1">
      <c r="B23" s="10"/>
      <c r="C23" s="11"/>
      <c r="D23" s="11"/>
      <c r="E23" s="293">
        <v>613700</v>
      </c>
      <c r="F23" s="319"/>
      <c r="G23" s="11" t="s">
        <v>87</v>
      </c>
      <c r="H23" s="515">
        <v>500</v>
      </c>
      <c r="I23" s="515">
        <v>500</v>
      </c>
      <c r="J23" s="564">
        <v>183</v>
      </c>
      <c r="K23" s="515">
        <v>500</v>
      </c>
      <c r="L23" s="351">
        <v>0</v>
      </c>
      <c r="M23" s="548">
        <f t="shared" si="8"/>
        <v>500</v>
      </c>
      <c r="N23" s="334">
        <f t="shared" si="2"/>
        <v>100</v>
      </c>
    </row>
    <row r="24" spans="1:15" ht="12.95" customHeight="1">
      <c r="B24" s="10"/>
      <c r="C24" s="11"/>
      <c r="D24" s="11"/>
      <c r="E24" s="293">
        <v>613800</v>
      </c>
      <c r="F24" s="319"/>
      <c r="G24" s="11" t="s">
        <v>166</v>
      </c>
      <c r="H24" s="515">
        <f t="shared" si="9"/>
        <v>0</v>
      </c>
      <c r="I24" s="515">
        <f t="shared" si="9"/>
        <v>0</v>
      </c>
      <c r="J24" s="564">
        <v>0</v>
      </c>
      <c r="K24" s="515">
        <f t="shared" si="9"/>
        <v>0</v>
      </c>
      <c r="L24" s="351">
        <v>0</v>
      </c>
      <c r="M24" s="548">
        <f t="shared" si="8"/>
        <v>0</v>
      </c>
      <c r="N24" s="334" t="str">
        <f t="shared" si="2"/>
        <v/>
      </c>
    </row>
    <row r="25" spans="1:15" ht="12.95" customHeight="1">
      <c r="B25" s="10"/>
      <c r="C25" s="11"/>
      <c r="D25" s="11"/>
      <c r="E25" s="293">
        <v>613900</v>
      </c>
      <c r="F25" s="319"/>
      <c r="G25" s="11" t="s">
        <v>167</v>
      </c>
      <c r="H25" s="515">
        <v>11500</v>
      </c>
      <c r="I25" s="515">
        <v>11500</v>
      </c>
      <c r="J25" s="564">
        <v>7098</v>
      </c>
      <c r="K25" s="515">
        <v>11500</v>
      </c>
      <c r="L25" s="351">
        <v>0</v>
      </c>
      <c r="M25" s="548">
        <f t="shared" si="8"/>
        <v>11500</v>
      </c>
      <c r="N25" s="334">
        <f t="shared" si="2"/>
        <v>100</v>
      </c>
    </row>
    <row r="26" spans="1:15" ht="12.95" customHeight="1">
      <c r="B26" s="10"/>
      <c r="C26" s="11"/>
      <c r="D26" s="11"/>
      <c r="E26" s="293">
        <v>613900</v>
      </c>
      <c r="F26" s="319"/>
      <c r="G26" s="343" t="s">
        <v>535</v>
      </c>
      <c r="H26" s="515">
        <f t="shared" si="9"/>
        <v>0</v>
      </c>
      <c r="I26" s="515">
        <f t="shared" si="9"/>
        <v>0</v>
      </c>
      <c r="J26" s="564">
        <v>0</v>
      </c>
      <c r="K26" s="515">
        <f t="shared" si="9"/>
        <v>0</v>
      </c>
      <c r="L26" s="352">
        <v>0</v>
      </c>
      <c r="M26" s="548">
        <f t="shared" si="8"/>
        <v>0</v>
      </c>
      <c r="N26" s="334" t="str">
        <f t="shared" si="2"/>
        <v/>
      </c>
    </row>
    <row r="27" spans="1:15" ht="12.95" customHeight="1">
      <c r="B27" s="10"/>
      <c r="C27" s="11"/>
      <c r="D27" s="11"/>
      <c r="E27" s="293"/>
      <c r="F27" s="319"/>
      <c r="G27" s="11"/>
      <c r="H27" s="262"/>
      <c r="I27" s="262"/>
      <c r="J27" s="565"/>
      <c r="K27" s="557"/>
      <c r="L27" s="282"/>
      <c r="M27" s="553"/>
      <c r="N27" s="334" t="str">
        <f t="shared" si="2"/>
        <v/>
      </c>
    </row>
    <row r="28" spans="1:15" s="1" customFormat="1" ht="12.95" customHeight="1">
      <c r="A28" s="269"/>
      <c r="B28" s="12"/>
      <c r="C28" s="8"/>
      <c r="D28" s="8"/>
      <c r="E28" s="292">
        <v>821000</v>
      </c>
      <c r="F28" s="318"/>
      <c r="G28" s="8" t="s">
        <v>90</v>
      </c>
      <c r="H28" s="262">
        <f t="shared" ref="H28:I28" si="10">H29+H30</f>
        <v>1000</v>
      </c>
      <c r="I28" s="262">
        <f t="shared" si="10"/>
        <v>1000</v>
      </c>
      <c r="J28" s="565">
        <v>0</v>
      </c>
      <c r="K28" s="557">
        <f t="shared" ref="K28:M28" si="11">K29+K30</f>
        <v>1000</v>
      </c>
      <c r="L28" s="282">
        <f t="shared" si="11"/>
        <v>0</v>
      </c>
      <c r="M28" s="553">
        <f t="shared" si="11"/>
        <v>1000</v>
      </c>
      <c r="N28" s="333">
        <f t="shared" si="2"/>
        <v>100</v>
      </c>
    </row>
    <row r="29" spans="1:15" ht="12.95" customHeight="1">
      <c r="B29" s="10"/>
      <c r="C29" s="11"/>
      <c r="D29" s="11"/>
      <c r="E29" s="293">
        <v>821200</v>
      </c>
      <c r="F29" s="319"/>
      <c r="G29" s="11" t="s">
        <v>91</v>
      </c>
      <c r="H29" s="515">
        <f t="shared" ref="H29:I29" si="12">SUM(F29:G29)</f>
        <v>0</v>
      </c>
      <c r="I29" s="515">
        <f t="shared" si="12"/>
        <v>0</v>
      </c>
      <c r="J29" s="564">
        <v>0</v>
      </c>
      <c r="K29" s="573">
        <v>0</v>
      </c>
      <c r="L29" s="268">
        <v>0</v>
      </c>
      <c r="M29" s="548">
        <f t="shared" ref="M29:M30" si="13">SUM(K29:L29)</f>
        <v>0</v>
      </c>
      <c r="N29" s="334" t="str">
        <f t="shared" si="2"/>
        <v/>
      </c>
    </row>
    <row r="30" spans="1:15" ht="12.95" customHeight="1">
      <c r="B30" s="10"/>
      <c r="C30" s="11"/>
      <c r="D30" s="11"/>
      <c r="E30" s="293">
        <v>821300</v>
      </c>
      <c r="F30" s="319"/>
      <c r="G30" s="11" t="s">
        <v>92</v>
      </c>
      <c r="H30" s="515">
        <v>1000</v>
      </c>
      <c r="I30" s="515">
        <v>1000</v>
      </c>
      <c r="J30" s="564">
        <v>0</v>
      </c>
      <c r="K30" s="573">
        <v>1000</v>
      </c>
      <c r="L30" s="268">
        <v>0</v>
      </c>
      <c r="M30" s="548">
        <f t="shared" si="13"/>
        <v>1000</v>
      </c>
      <c r="N30" s="334">
        <f t="shared" si="2"/>
        <v>100</v>
      </c>
    </row>
    <row r="31" spans="1:15" ht="12.95" customHeight="1">
      <c r="B31" s="10"/>
      <c r="C31" s="11"/>
      <c r="D31" s="11"/>
      <c r="E31" s="293"/>
      <c r="F31" s="319"/>
      <c r="G31" s="11"/>
      <c r="H31" s="262"/>
      <c r="I31" s="262"/>
      <c r="J31" s="565"/>
      <c r="K31" s="558"/>
      <c r="L31" s="276"/>
      <c r="M31" s="553"/>
      <c r="N31" s="334" t="str">
        <f t="shared" si="2"/>
        <v/>
      </c>
    </row>
    <row r="32" spans="1:15" s="1" customFormat="1" ht="12.95" customHeight="1">
      <c r="A32" s="269"/>
      <c r="B32" s="12"/>
      <c r="C32" s="8"/>
      <c r="D32" s="8"/>
      <c r="E32" s="292"/>
      <c r="F32" s="318"/>
      <c r="G32" s="8" t="s">
        <v>93</v>
      </c>
      <c r="H32" s="262">
        <v>3</v>
      </c>
      <c r="I32" s="262">
        <v>3</v>
      </c>
      <c r="J32" s="565">
        <v>3</v>
      </c>
      <c r="K32" s="558">
        <v>3</v>
      </c>
      <c r="L32" s="276"/>
      <c r="M32" s="553">
        <v>3</v>
      </c>
      <c r="N32" s="334"/>
    </row>
    <row r="33" spans="1:14" s="1" customFormat="1" ht="12.95" customHeight="1">
      <c r="A33" s="269"/>
      <c r="B33" s="12"/>
      <c r="C33" s="8"/>
      <c r="D33" s="8"/>
      <c r="E33" s="292"/>
      <c r="F33" s="318"/>
      <c r="G33" s="8" t="s">
        <v>113</v>
      </c>
      <c r="H33" s="262">
        <f t="shared" ref="H33:M33" si="14">H8+H13+H16+H28</f>
        <v>95120</v>
      </c>
      <c r="I33" s="276">
        <f t="shared" si="14"/>
        <v>95120</v>
      </c>
      <c r="J33" s="565">
        <f t="shared" si="14"/>
        <v>65215</v>
      </c>
      <c r="K33" s="558">
        <f t="shared" si="14"/>
        <v>93680</v>
      </c>
      <c r="L33" s="276">
        <f t="shared" si="14"/>
        <v>0</v>
      </c>
      <c r="M33" s="553">
        <f t="shared" si="14"/>
        <v>93680</v>
      </c>
      <c r="N33" s="333">
        <f t="shared" si="2"/>
        <v>98.486122792262407</v>
      </c>
    </row>
    <row r="34" spans="1:14" s="1" customFormat="1" ht="12.95" customHeight="1">
      <c r="A34" s="269"/>
      <c r="B34" s="12"/>
      <c r="C34" s="8"/>
      <c r="D34" s="8"/>
      <c r="E34" s="292"/>
      <c r="F34" s="318"/>
      <c r="G34" s="8" t="s">
        <v>94</v>
      </c>
      <c r="H34" s="262">
        <f t="shared" ref="H34:J35" si="15">H33</f>
        <v>95120</v>
      </c>
      <c r="I34" s="276">
        <f t="shared" si="15"/>
        <v>95120</v>
      </c>
      <c r="J34" s="565">
        <f t="shared" si="15"/>
        <v>65215</v>
      </c>
      <c r="K34" s="558">
        <f t="shared" ref="K34:M34" si="16">K33</f>
        <v>93680</v>
      </c>
      <c r="L34" s="276">
        <f t="shared" si="16"/>
        <v>0</v>
      </c>
      <c r="M34" s="553">
        <f t="shared" si="16"/>
        <v>93680</v>
      </c>
      <c r="N34" s="333">
        <f t="shared" si="2"/>
        <v>98.486122792262407</v>
      </c>
    </row>
    <row r="35" spans="1:14" s="1" customFormat="1" ht="12.95" customHeight="1">
      <c r="A35" s="269"/>
      <c r="B35" s="12"/>
      <c r="C35" s="8"/>
      <c r="D35" s="8"/>
      <c r="E35" s="292"/>
      <c r="F35" s="318"/>
      <c r="G35" s="8" t="s">
        <v>95</v>
      </c>
      <c r="H35" s="262">
        <f t="shared" si="15"/>
        <v>95120</v>
      </c>
      <c r="I35" s="276">
        <f t="shared" si="15"/>
        <v>95120</v>
      </c>
      <c r="J35" s="565">
        <f t="shared" si="15"/>
        <v>65215</v>
      </c>
      <c r="K35" s="558">
        <f t="shared" ref="K35:M35" si="17">K34</f>
        <v>93680</v>
      </c>
      <c r="L35" s="276">
        <f t="shared" si="17"/>
        <v>0</v>
      </c>
      <c r="M35" s="553">
        <f t="shared" si="17"/>
        <v>93680</v>
      </c>
      <c r="N35" s="333">
        <f t="shared" si="2"/>
        <v>98.486122792262407</v>
      </c>
    </row>
    <row r="36" spans="1:14" ht="12.95" customHeight="1" thickBot="1">
      <c r="B36" s="15"/>
      <c r="C36" s="16"/>
      <c r="D36" s="16"/>
      <c r="E36" s="294"/>
      <c r="F36" s="320"/>
      <c r="G36" s="16"/>
      <c r="H36" s="521"/>
      <c r="I36" s="16"/>
      <c r="J36" s="569"/>
      <c r="K36" s="15"/>
      <c r="L36" s="16"/>
      <c r="M36" s="574"/>
      <c r="N36" s="336" t="str">
        <f t="shared" si="2"/>
        <v/>
      </c>
    </row>
    <row r="37" spans="1:14" ht="12.95" customHeight="1">
      <c r="E37" s="295"/>
      <c r="F37" s="321"/>
      <c r="M37" s="369"/>
      <c r="N37" s="337" t="str">
        <f t="shared" si="2"/>
        <v/>
      </c>
    </row>
    <row r="38" spans="1:14" ht="12.95" customHeight="1">
      <c r="B38" s="48"/>
      <c r="E38" s="295"/>
      <c r="F38" s="321"/>
      <c r="M38" s="369"/>
      <c r="N38" s="337" t="str">
        <f t="shared" si="2"/>
        <v/>
      </c>
    </row>
    <row r="39" spans="1:14" ht="12.95" customHeight="1">
      <c r="B39" s="48"/>
      <c r="E39" s="295"/>
      <c r="F39" s="321"/>
      <c r="M39" s="369"/>
      <c r="N39" s="337" t="str">
        <f t="shared" si="2"/>
        <v/>
      </c>
    </row>
    <row r="40" spans="1:14" ht="12.95" customHeight="1">
      <c r="E40" s="295"/>
      <c r="F40" s="321"/>
      <c r="M40" s="369"/>
      <c r="N40" s="337" t="str">
        <f t="shared" si="2"/>
        <v/>
      </c>
    </row>
    <row r="41" spans="1:14" ht="12.95" customHeight="1">
      <c r="E41" s="295"/>
      <c r="F41" s="321"/>
      <c r="M41" s="369"/>
      <c r="N41" s="337" t="str">
        <f t="shared" si="2"/>
        <v/>
      </c>
    </row>
    <row r="42" spans="1:14" ht="12.95" customHeight="1">
      <c r="E42" s="295"/>
      <c r="F42" s="321"/>
      <c r="M42" s="369"/>
      <c r="N42" s="337" t="str">
        <f t="shared" si="2"/>
        <v/>
      </c>
    </row>
    <row r="43" spans="1:14" ht="12.95" customHeight="1">
      <c r="E43" s="295"/>
      <c r="F43" s="321"/>
      <c r="M43" s="369"/>
      <c r="N43" s="337" t="str">
        <f t="shared" si="2"/>
        <v/>
      </c>
    </row>
    <row r="44" spans="1:14" ht="12.95" customHeight="1">
      <c r="E44" s="295"/>
      <c r="F44" s="321"/>
      <c r="M44" s="369"/>
      <c r="N44" s="337" t="str">
        <f t="shared" si="2"/>
        <v/>
      </c>
    </row>
    <row r="45" spans="1:14" ht="12.95" customHeight="1">
      <c r="E45" s="295"/>
      <c r="F45" s="321"/>
      <c r="M45" s="369"/>
      <c r="N45" s="337" t="str">
        <f t="shared" si="2"/>
        <v/>
      </c>
    </row>
    <row r="46" spans="1:14" ht="12.95" customHeight="1">
      <c r="E46" s="295"/>
      <c r="F46" s="321"/>
      <c r="M46" s="369"/>
      <c r="N46" s="337" t="str">
        <f t="shared" si="2"/>
        <v/>
      </c>
    </row>
    <row r="47" spans="1:14" ht="12.95" customHeight="1">
      <c r="E47" s="295"/>
      <c r="F47" s="321"/>
      <c r="M47" s="369"/>
      <c r="N47" s="337" t="str">
        <f t="shared" si="2"/>
        <v/>
      </c>
    </row>
    <row r="48" spans="1:14" ht="12.95" customHeight="1">
      <c r="E48" s="295"/>
      <c r="F48" s="321"/>
      <c r="M48" s="369"/>
      <c r="N48" s="337" t="str">
        <f t="shared" si="2"/>
        <v/>
      </c>
    </row>
    <row r="49" spans="5:14" ht="12.95" customHeight="1">
      <c r="E49" s="295"/>
      <c r="F49" s="321"/>
      <c r="M49" s="369"/>
      <c r="N49" s="337" t="str">
        <f t="shared" si="2"/>
        <v/>
      </c>
    </row>
    <row r="50" spans="5:14" ht="12.95" customHeight="1">
      <c r="E50" s="295"/>
      <c r="F50" s="321"/>
      <c r="M50" s="369"/>
      <c r="N50" s="337" t="str">
        <f t="shared" si="2"/>
        <v/>
      </c>
    </row>
    <row r="51" spans="5:14" ht="12.95" customHeight="1">
      <c r="E51" s="295"/>
      <c r="F51" s="321"/>
      <c r="M51" s="369"/>
      <c r="N51" s="337" t="str">
        <f t="shared" si="2"/>
        <v/>
      </c>
    </row>
    <row r="52" spans="5:14" ht="12.95" customHeight="1">
      <c r="E52" s="295"/>
      <c r="F52" s="321"/>
      <c r="M52" s="369"/>
      <c r="N52" s="337" t="str">
        <f t="shared" si="2"/>
        <v/>
      </c>
    </row>
    <row r="53" spans="5:14" ht="12.95" customHeight="1">
      <c r="E53" s="295"/>
      <c r="F53" s="321"/>
      <c r="M53" s="369"/>
      <c r="N53" s="337" t="str">
        <f t="shared" si="2"/>
        <v/>
      </c>
    </row>
    <row r="54" spans="5:14" ht="12.95" customHeight="1">
      <c r="E54" s="295"/>
      <c r="F54" s="321"/>
      <c r="M54" s="369"/>
      <c r="N54" s="337" t="str">
        <f t="shared" si="2"/>
        <v/>
      </c>
    </row>
    <row r="55" spans="5:14" ht="12.95" customHeight="1">
      <c r="E55" s="295"/>
      <c r="F55" s="321"/>
      <c r="M55" s="369"/>
      <c r="N55" s="337" t="str">
        <f t="shared" si="2"/>
        <v/>
      </c>
    </row>
    <row r="56" spans="5:14" ht="12.95" customHeight="1">
      <c r="E56" s="295"/>
      <c r="F56" s="321"/>
      <c r="M56" s="369"/>
      <c r="N56" s="337" t="str">
        <f t="shared" si="2"/>
        <v/>
      </c>
    </row>
    <row r="57" spans="5:14" ht="12.95" customHeight="1">
      <c r="E57" s="295"/>
      <c r="F57" s="321"/>
      <c r="M57" s="369"/>
      <c r="N57" s="337" t="str">
        <f t="shared" si="2"/>
        <v/>
      </c>
    </row>
    <row r="58" spans="5:14" ht="12.95" customHeight="1">
      <c r="E58" s="295"/>
      <c r="F58" s="321"/>
      <c r="M58" s="369"/>
      <c r="N58" s="337" t="str">
        <f t="shared" si="2"/>
        <v/>
      </c>
    </row>
    <row r="59" spans="5:14" ht="12.95" customHeight="1">
      <c r="E59" s="295"/>
      <c r="F59" s="321"/>
      <c r="M59" s="369"/>
      <c r="N59" s="337" t="str">
        <f t="shared" si="2"/>
        <v/>
      </c>
    </row>
    <row r="60" spans="5:14" ht="17.100000000000001" customHeight="1">
      <c r="E60" s="295"/>
      <c r="F60" s="321"/>
      <c r="M60" s="369"/>
      <c r="N60" s="337" t="str">
        <f t="shared" si="2"/>
        <v/>
      </c>
    </row>
    <row r="61" spans="5:14" ht="14.25">
      <c r="E61" s="295"/>
      <c r="F61" s="321"/>
      <c r="M61" s="369"/>
      <c r="N61" s="337" t="str">
        <f t="shared" si="2"/>
        <v/>
      </c>
    </row>
    <row r="62" spans="5:14" ht="14.25">
      <c r="E62" s="295"/>
      <c r="F62" s="321"/>
      <c r="M62" s="369"/>
      <c r="N62" s="337" t="str">
        <f t="shared" si="2"/>
        <v/>
      </c>
    </row>
    <row r="63" spans="5:14" ht="14.25">
      <c r="E63" s="295"/>
      <c r="F63" s="321"/>
      <c r="M63" s="369"/>
      <c r="N63" s="337" t="str">
        <f t="shared" si="2"/>
        <v/>
      </c>
    </row>
    <row r="64" spans="5:14" ht="14.25">
      <c r="E64" s="295"/>
      <c r="F64" s="321"/>
      <c r="M64" s="369"/>
      <c r="N64" s="337" t="str">
        <f t="shared" si="2"/>
        <v/>
      </c>
    </row>
    <row r="65" spans="5:14" ht="14.25">
      <c r="E65" s="295"/>
      <c r="F65" s="321"/>
      <c r="M65" s="369"/>
      <c r="N65" s="337" t="str">
        <f t="shared" si="2"/>
        <v/>
      </c>
    </row>
    <row r="66" spans="5:14" ht="14.25">
      <c r="E66" s="295"/>
      <c r="F66" s="321"/>
      <c r="M66" s="369"/>
      <c r="N66" s="337" t="str">
        <f t="shared" si="2"/>
        <v/>
      </c>
    </row>
    <row r="67" spans="5:14" ht="14.25">
      <c r="E67" s="295"/>
      <c r="F67" s="321"/>
      <c r="M67" s="369"/>
      <c r="N67" s="337" t="str">
        <f t="shared" si="2"/>
        <v/>
      </c>
    </row>
    <row r="68" spans="5:14" ht="14.25">
      <c r="E68" s="295"/>
      <c r="F68" s="321"/>
      <c r="M68" s="369"/>
      <c r="N68" s="337" t="str">
        <f t="shared" si="2"/>
        <v/>
      </c>
    </row>
    <row r="69" spans="5:14" ht="14.25">
      <c r="E69" s="295"/>
      <c r="F69" s="321"/>
      <c r="M69" s="369"/>
      <c r="N69" s="337" t="str">
        <f t="shared" si="2"/>
        <v/>
      </c>
    </row>
    <row r="70" spans="5:14" ht="14.25">
      <c r="E70" s="295"/>
      <c r="F70" s="321"/>
      <c r="M70" s="369"/>
      <c r="N70" s="337" t="str">
        <f t="shared" si="2"/>
        <v/>
      </c>
    </row>
    <row r="71" spans="5:14" ht="14.25">
      <c r="E71" s="295"/>
      <c r="F71" s="321"/>
      <c r="M71" s="369"/>
      <c r="N71" s="337" t="str">
        <f t="shared" si="2"/>
        <v/>
      </c>
    </row>
    <row r="72" spans="5:14" ht="14.25">
      <c r="E72" s="295"/>
      <c r="F72" s="321"/>
      <c r="M72" s="369"/>
      <c r="N72" s="337" t="str">
        <f t="shared" si="2"/>
        <v/>
      </c>
    </row>
    <row r="73" spans="5:14" ht="14.25">
      <c r="E73" s="295"/>
      <c r="F73" s="321"/>
      <c r="M73" s="369"/>
      <c r="N73" s="337" t="str">
        <f t="shared" ref="N73:N77" si="18">IF(I73=0,"",M73/I73*100)</f>
        <v/>
      </c>
    </row>
    <row r="74" spans="5:14" ht="14.25">
      <c r="E74" s="295"/>
      <c r="F74" s="295"/>
      <c r="M74" s="369"/>
      <c r="N74" s="337" t="str">
        <f t="shared" si="18"/>
        <v/>
      </c>
    </row>
    <row r="75" spans="5:14" ht="14.25">
      <c r="E75" s="295"/>
      <c r="F75" s="295"/>
      <c r="M75" s="369"/>
      <c r="N75" s="337" t="str">
        <f t="shared" si="18"/>
        <v/>
      </c>
    </row>
    <row r="76" spans="5:14" ht="14.25">
      <c r="E76" s="295"/>
      <c r="F76" s="295"/>
      <c r="M76" s="369"/>
      <c r="N76" s="337" t="str">
        <f t="shared" si="18"/>
        <v/>
      </c>
    </row>
    <row r="77" spans="5:14" ht="14.25">
      <c r="E77" s="295"/>
      <c r="F77" s="295"/>
      <c r="M77" s="369"/>
      <c r="N77" s="337" t="str">
        <f t="shared" si="18"/>
        <v/>
      </c>
    </row>
    <row r="78" spans="5:14" ht="14.25">
      <c r="E78" s="295"/>
      <c r="F78" s="295"/>
      <c r="M78" s="369"/>
    </row>
    <row r="79" spans="5:14" ht="14.25">
      <c r="E79" s="295"/>
      <c r="F79" s="295"/>
      <c r="M79" s="369"/>
    </row>
    <row r="80" spans="5:14" ht="14.25">
      <c r="E80" s="295"/>
      <c r="F80" s="295"/>
      <c r="M80" s="369"/>
    </row>
    <row r="81" spans="5:13" ht="14.25">
      <c r="E81" s="295"/>
      <c r="F81" s="295"/>
      <c r="M81" s="369"/>
    </row>
    <row r="82" spans="5:13" ht="14.25">
      <c r="E82" s="295"/>
      <c r="F82" s="295"/>
      <c r="M82" s="369"/>
    </row>
    <row r="83" spans="5:13" ht="14.25">
      <c r="E83" s="295"/>
      <c r="F83" s="295"/>
      <c r="M83" s="369"/>
    </row>
    <row r="84" spans="5:13" ht="14.25">
      <c r="E84" s="295"/>
      <c r="F84" s="295"/>
      <c r="M84" s="369"/>
    </row>
    <row r="85" spans="5:13" ht="14.25">
      <c r="E85" s="295"/>
      <c r="F85" s="295"/>
      <c r="M85" s="369"/>
    </row>
    <row r="86" spans="5:13" ht="14.25">
      <c r="E86" s="295"/>
      <c r="F86" s="295"/>
      <c r="M86" s="369"/>
    </row>
    <row r="87" spans="5:13" ht="14.25">
      <c r="E87" s="295"/>
      <c r="F87" s="295"/>
      <c r="M87" s="369"/>
    </row>
    <row r="88" spans="5:13" ht="14.25">
      <c r="E88" s="295"/>
      <c r="F88" s="295"/>
      <c r="M88" s="369"/>
    </row>
    <row r="89" spans="5:13" ht="14.25">
      <c r="E89" s="295"/>
      <c r="F89" s="295"/>
      <c r="M89" s="369"/>
    </row>
    <row r="90" spans="5:13" ht="14.25">
      <c r="E90" s="295"/>
      <c r="F90" s="295"/>
      <c r="M90" s="369"/>
    </row>
    <row r="91" spans="5:13">
      <c r="F91" s="295"/>
    </row>
    <row r="92" spans="5:13">
      <c r="F92" s="295"/>
    </row>
    <row r="93" spans="5:13">
      <c r="F93" s="295"/>
    </row>
    <row r="94" spans="5:13">
      <c r="F94" s="295"/>
    </row>
    <row r="95" spans="5:13">
      <c r="F95" s="295"/>
    </row>
    <row r="96" spans="5:13">
      <c r="F96" s="295"/>
    </row>
  </sheetData>
  <mergeCells count="12">
    <mergeCell ref="N4:N5"/>
    <mergeCell ref="G4:G5"/>
    <mergeCell ref="B2:J2"/>
    <mergeCell ref="B4:B5"/>
    <mergeCell ref="C4:C5"/>
    <mergeCell ref="D4:D5"/>
    <mergeCell ref="F4:F5"/>
    <mergeCell ref="E4:E5"/>
    <mergeCell ref="K4:M4"/>
    <mergeCell ref="H4:H5"/>
    <mergeCell ref="I4:I5"/>
    <mergeCell ref="J4:J5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 codeName="Sheet41"/>
  <dimension ref="A1:P96"/>
  <sheetViews>
    <sheetView zoomScaleNormal="100" workbookViewId="0">
      <selection activeCell="K10" sqref="K10"/>
    </sheetView>
  </sheetViews>
  <sheetFormatPr defaultRowHeight="12.75"/>
  <cols>
    <col min="1" max="1" width="9.140625" style="272"/>
    <col min="2" max="2" width="4.7109375" style="9" customWidth="1"/>
    <col min="3" max="3" width="5.140625" style="9" customWidth="1"/>
    <col min="4" max="4" width="5" style="9" customWidth="1"/>
    <col min="5" max="5" width="8.7109375" style="17" customWidth="1"/>
    <col min="6" max="6" width="8.7109375" style="277" customWidth="1"/>
    <col min="7" max="7" width="50.7109375" style="9" customWidth="1"/>
    <col min="8" max="8" width="14.7109375" style="519" customWidth="1"/>
    <col min="9" max="9" width="14.7109375" style="54" customWidth="1"/>
    <col min="10" max="10" width="15.7109375" style="519" customWidth="1"/>
    <col min="11" max="12" width="14.7109375" style="54" customWidth="1"/>
    <col min="13" max="13" width="15.7109375" style="54" customWidth="1"/>
    <col min="14" max="14" width="7.7109375" style="337" customWidth="1"/>
    <col min="15" max="16384" width="9.140625" style="9"/>
  </cols>
  <sheetData>
    <row r="1" spans="1:16" ht="13.5" thickBot="1"/>
    <row r="2" spans="1:16" s="93" customFormat="1" ht="20.100000000000001" customHeight="1" thickTop="1" thickBot="1">
      <c r="A2" s="363"/>
      <c r="B2" s="725" t="s">
        <v>158</v>
      </c>
      <c r="C2" s="726"/>
      <c r="D2" s="726"/>
      <c r="E2" s="726"/>
      <c r="F2" s="726"/>
      <c r="G2" s="726"/>
      <c r="H2" s="508"/>
      <c r="I2" s="364"/>
      <c r="J2" s="508"/>
      <c r="K2" s="364"/>
      <c r="L2" s="364"/>
      <c r="M2" s="364"/>
      <c r="N2" s="367"/>
    </row>
    <row r="3" spans="1:16" s="1" customFormat="1" ht="8.1" customHeight="1" thickTop="1" thickBot="1">
      <c r="A3" s="269"/>
      <c r="E3" s="2"/>
      <c r="F3" s="270"/>
      <c r="G3" s="488"/>
      <c r="H3" s="511"/>
      <c r="I3" s="87"/>
      <c r="J3" s="511"/>
      <c r="K3" s="87"/>
      <c r="L3" s="87"/>
      <c r="M3" s="87"/>
      <c r="N3" s="331"/>
    </row>
    <row r="4" spans="1:16" s="1" customFormat="1" ht="39" customHeight="1">
      <c r="A4" s="269"/>
      <c r="B4" s="728" t="s">
        <v>78</v>
      </c>
      <c r="C4" s="746" t="s">
        <v>79</v>
      </c>
      <c r="D4" s="747" t="s">
        <v>110</v>
      </c>
      <c r="E4" s="748" t="s">
        <v>594</v>
      </c>
      <c r="F4" s="733" t="s">
        <v>650</v>
      </c>
      <c r="G4" s="734" t="s">
        <v>80</v>
      </c>
      <c r="H4" s="740" t="s">
        <v>644</v>
      </c>
      <c r="I4" s="742" t="s">
        <v>821</v>
      </c>
      <c r="J4" s="744" t="s">
        <v>822</v>
      </c>
      <c r="K4" s="749" t="s">
        <v>863</v>
      </c>
      <c r="L4" s="738"/>
      <c r="M4" s="739"/>
      <c r="N4" s="735" t="s">
        <v>823</v>
      </c>
    </row>
    <row r="5" spans="1:16" s="269" customFormat="1" ht="27" customHeight="1">
      <c r="B5" s="729"/>
      <c r="C5" s="731"/>
      <c r="D5" s="731"/>
      <c r="E5" s="722"/>
      <c r="F5" s="731"/>
      <c r="G5" s="722"/>
      <c r="H5" s="741"/>
      <c r="I5" s="743"/>
      <c r="J5" s="745"/>
      <c r="K5" s="540" t="s">
        <v>701</v>
      </c>
      <c r="L5" s="359" t="s">
        <v>702</v>
      </c>
      <c r="M5" s="541" t="s">
        <v>413</v>
      </c>
      <c r="N5" s="736"/>
    </row>
    <row r="6" spans="1:16" s="2" customFormat="1" ht="12.95" customHeight="1">
      <c r="A6" s="270"/>
      <c r="B6" s="464">
        <v>1</v>
      </c>
      <c r="C6" s="318">
        <v>2</v>
      </c>
      <c r="D6" s="318">
        <v>3</v>
      </c>
      <c r="E6" s="318">
        <v>4</v>
      </c>
      <c r="F6" s="318">
        <v>5</v>
      </c>
      <c r="G6" s="318">
        <v>6</v>
      </c>
      <c r="H6" s="512">
        <v>7</v>
      </c>
      <c r="I6" s="318">
        <v>8</v>
      </c>
      <c r="J6" s="561">
        <v>9</v>
      </c>
      <c r="K6" s="464">
        <v>10</v>
      </c>
      <c r="L6" s="318">
        <v>11</v>
      </c>
      <c r="M6" s="542" t="s">
        <v>703</v>
      </c>
      <c r="N6" s="465">
        <v>13</v>
      </c>
    </row>
    <row r="7" spans="1:16" s="2" customFormat="1" ht="12.95" customHeight="1">
      <c r="A7" s="270"/>
      <c r="B7" s="6" t="s">
        <v>157</v>
      </c>
      <c r="C7" s="7" t="s">
        <v>81</v>
      </c>
      <c r="D7" s="7" t="s">
        <v>82</v>
      </c>
      <c r="E7" s="5"/>
      <c r="F7" s="271"/>
      <c r="G7" s="5"/>
      <c r="H7" s="520"/>
      <c r="I7" s="81"/>
      <c r="J7" s="562"/>
      <c r="K7" s="543"/>
      <c r="L7" s="81"/>
      <c r="M7" s="544"/>
      <c r="N7" s="332"/>
    </row>
    <row r="8" spans="1:16" s="1" customFormat="1" ht="12.95" customHeight="1">
      <c r="A8" s="269"/>
      <c r="B8" s="12"/>
      <c r="C8" s="8"/>
      <c r="D8" s="8"/>
      <c r="E8" s="292">
        <v>611000</v>
      </c>
      <c r="F8" s="318"/>
      <c r="G8" s="8" t="s">
        <v>163</v>
      </c>
      <c r="H8" s="514">
        <f t="shared" ref="H8:I8" si="0">SUM(H9:H11)</f>
        <v>466320</v>
      </c>
      <c r="I8" s="514">
        <f t="shared" si="0"/>
        <v>466320</v>
      </c>
      <c r="J8" s="563">
        <v>328529</v>
      </c>
      <c r="K8" s="545">
        <f t="shared" ref="K8:M8" si="1">SUM(K9:K11)</f>
        <v>448120</v>
      </c>
      <c r="L8" s="201">
        <f t="shared" si="1"/>
        <v>0</v>
      </c>
      <c r="M8" s="546">
        <f t="shared" si="1"/>
        <v>448120</v>
      </c>
      <c r="N8" s="333">
        <f>IF(I8=0,"",M8/I8*100)</f>
        <v>96.097100703379652</v>
      </c>
    </row>
    <row r="9" spans="1:16" ht="12.95" customHeight="1">
      <c r="B9" s="10"/>
      <c r="C9" s="11"/>
      <c r="D9" s="11"/>
      <c r="E9" s="293">
        <v>611100</v>
      </c>
      <c r="F9" s="319"/>
      <c r="G9" s="18" t="s">
        <v>198</v>
      </c>
      <c r="H9" s="515">
        <v>404320</v>
      </c>
      <c r="I9" s="515">
        <v>404320</v>
      </c>
      <c r="J9" s="564">
        <v>287136</v>
      </c>
      <c r="K9" s="547">
        <f>388720+1500</f>
        <v>390220</v>
      </c>
      <c r="L9" s="203">
        <v>0</v>
      </c>
      <c r="M9" s="548">
        <f>SUM(K9:L9)</f>
        <v>390220</v>
      </c>
      <c r="N9" s="334">
        <f t="shared" ref="N9:N72" si="2">IF(I9=0,"",M9/I9*100)</f>
        <v>96.512663237039959</v>
      </c>
    </row>
    <row r="10" spans="1:16" ht="12.95" customHeight="1">
      <c r="B10" s="10"/>
      <c r="C10" s="11"/>
      <c r="D10" s="11"/>
      <c r="E10" s="293">
        <v>611200</v>
      </c>
      <c r="F10" s="319"/>
      <c r="G10" s="11" t="s">
        <v>199</v>
      </c>
      <c r="H10" s="515">
        <v>62000</v>
      </c>
      <c r="I10" s="515">
        <v>62000</v>
      </c>
      <c r="J10" s="564">
        <v>41393</v>
      </c>
      <c r="K10" s="547">
        <f>53950+700+13*250</f>
        <v>57900</v>
      </c>
      <c r="L10" s="203">
        <v>0</v>
      </c>
      <c r="M10" s="548">
        <f t="shared" ref="M10:M11" si="3">SUM(K10:L10)</f>
        <v>57900</v>
      </c>
      <c r="N10" s="334">
        <f t="shared" si="2"/>
        <v>93.387096774193552</v>
      </c>
    </row>
    <row r="11" spans="1:16" ht="12.95" customHeight="1">
      <c r="B11" s="10"/>
      <c r="C11" s="11"/>
      <c r="D11" s="11"/>
      <c r="E11" s="293">
        <v>611200</v>
      </c>
      <c r="F11" s="319"/>
      <c r="G11" s="343" t="s">
        <v>534</v>
      </c>
      <c r="H11" s="515">
        <f t="shared" ref="H11:I11" si="4">SUM(F11:G11)</f>
        <v>0</v>
      </c>
      <c r="I11" s="515">
        <f t="shared" si="4"/>
        <v>0</v>
      </c>
      <c r="J11" s="564">
        <v>0</v>
      </c>
      <c r="K11" s="549">
        <v>0</v>
      </c>
      <c r="L11" s="200">
        <v>0</v>
      </c>
      <c r="M11" s="548">
        <f t="shared" si="3"/>
        <v>0</v>
      </c>
      <c r="N11" s="334" t="str">
        <f t="shared" si="2"/>
        <v/>
      </c>
      <c r="P11" s="53"/>
    </row>
    <row r="12" spans="1:16" ht="12.95" customHeight="1">
      <c r="B12" s="10"/>
      <c r="C12" s="11"/>
      <c r="D12" s="11"/>
      <c r="E12" s="293"/>
      <c r="F12" s="319"/>
      <c r="G12" s="11"/>
      <c r="H12" s="514"/>
      <c r="I12" s="514"/>
      <c r="J12" s="563"/>
      <c r="K12" s="545"/>
      <c r="L12" s="201"/>
      <c r="M12" s="546"/>
      <c r="N12" s="334" t="str">
        <f t="shared" si="2"/>
        <v/>
      </c>
      <c r="P12" s="48"/>
    </row>
    <row r="13" spans="1:16" s="1" customFormat="1" ht="12.95" customHeight="1">
      <c r="A13" s="269"/>
      <c r="B13" s="12"/>
      <c r="C13" s="8"/>
      <c r="D13" s="8"/>
      <c r="E13" s="292">
        <v>612000</v>
      </c>
      <c r="F13" s="318"/>
      <c r="G13" s="8" t="s">
        <v>162</v>
      </c>
      <c r="H13" s="514">
        <f t="shared" ref="H13:M13" si="5">H14</f>
        <v>42860</v>
      </c>
      <c r="I13" s="514">
        <f t="shared" si="5"/>
        <v>42860</v>
      </c>
      <c r="J13" s="563">
        <v>33030</v>
      </c>
      <c r="K13" s="545">
        <f t="shared" si="5"/>
        <v>44050</v>
      </c>
      <c r="L13" s="201">
        <f t="shared" si="5"/>
        <v>0</v>
      </c>
      <c r="M13" s="546">
        <f t="shared" si="5"/>
        <v>44050</v>
      </c>
      <c r="N13" s="333">
        <f t="shared" si="2"/>
        <v>102.77648156789547</v>
      </c>
    </row>
    <row r="14" spans="1:16" ht="12.95" customHeight="1">
      <c r="B14" s="10"/>
      <c r="C14" s="11"/>
      <c r="D14" s="11"/>
      <c r="E14" s="293">
        <v>612100</v>
      </c>
      <c r="F14" s="319"/>
      <c r="G14" s="13" t="s">
        <v>83</v>
      </c>
      <c r="H14" s="515">
        <v>42860</v>
      </c>
      <c r="I14" s="515">
        <v>42860</v>
      </c>
      <c r="J14" s="564">
        <v>33030</v>
      </c>
      <c r="K14" s="547">
        <f>43750+300</f>
        <v>44050</v>
      </c>
      <c r="L14" s="203">
        <v>0</v>
      </c>
      <c r="M14" s="548">
        <f>SUM(K14:L14)</f>
        <v>44050</v>
      </c>
      <c r="N14" s="334">
        <f t="shared" si="2"/>
        <v>102.77648156789547</v>
      </c>
    </row>
    <row r="15" spans="1:16" ht="12.95" customHeight="1">
      <c r="B15" s="10"/>
      <c r="C15" s="11"/>
      <c r="D15" s="11"/>
      <c r="E15" s="293"/>
      <c r="F15" s="319"/>
      <c r="G15" s="11"/>
      <c r="H15" s="262"/>
      <c r="I15" s="262"/>
      <c r="J15" s="565"/>
      <c r="K15" s="558"/>
      <c r="L15" s="276"/>
      <c r="M15" s="553"/>
      <c r="N15" s="334" t="str">
        <f t="shared" si="2"/>
        <v/>
      </c>
    </row>
    <row r="16" spans="1:16" s="1" customFormat="1" ht="12.95" customHeight="1">
      <c r="A16" s="269"/>
      <c r="B16" s="12"/>
      <c r="C16" s="8"/>
      <c r="D16" s="8"/>
      <c r="E16" s="292">
        <v>613000</v>
      </c>
      <c r="F16" s="318"/>
      <c r="G16" s="8" t="s">
        <v>164</v>
      </c>
      <c r="H16" s="262">
        <f t="shared" ref="H16:I16" si="6">SUM(H17:H26)</f>
        <v>91300</v>
      </c>
      <c r="I16" s="262">
        <f t="shared" si="6"/>
        <v>91300</v>
      </c>
      <c r="J16" s="565">
        <v>52544</v>
      </c>
      <c r="K16" s="552">
        <f t="shared" ref="K16:M16" si="7">SUM(K17:K26)</f>
        <v>89000</v>
      </c>
      <c r="L16" s="281">
        <f t="shared" si="7"/>
        <v>0</v>
      </c>
      <c r="M16" s="553">
        <f t="shared" si="7"/>
        <v>89000</v>
      </c>
      <c r="N16" s="333">
        <f t="shared" si="2"/>
        <v>97.480832420591454</v>
      </c>
    </row>
    <row r="17" spans="1:15" ht="12.95" customHeight="1">
      <c r="B17" s="10"/>
      <c r="C17" s="11"/>
      <c r="D17" s="11"/>
      <c r="E17" s="293">
        <v>613100</v>
      </c>
      <c r="F17" s="319"/>
      <c r="G17" s="11" t="s">
        <v>84</v>
      </c>
      <c r="H17" s="515">
        <v>3000</v>
      </c>
      <c r="I17" s="515">
        <v>3000</v>
      </c>
      <c r="J17" s="564">
        <v>1310</v>
      </c>
      <c r="K17" s="554">
        <v>2000</v>
      </c>
      <c r="L17" s="350">
        <v>0</v>
      </c>
      <c r="M17" s="548">
        <f t="shared" ref="M17:M26" si="8">SUM(K17:L17)</f>
        <v>2000</v>
      </c>
      <c r="N17" s="334">
        <f t="shared" si="2"/>
        <v>66.666666666666657</v>
      </c>
    </row>
    <row r="18" spans="1:15" ht="12.95" customHeight="1">
      <c r="B18" s="10"/>
      <c r="C18" s="11"/>
      <c r="D18" s="11"/>
      <c r="E18" s="293">
        <v>613200</v>
      </c>
      <c r="F18" s="319"/>
      <c r="G18" s="11" t="s">
        <v>85</v>
      </c>
      <c r="H18" s="515">
        <v>4500</v>
      </c>
      <c r="I18" s="515">
        <v>4500</v>
      </c>
      <c r="J18" s="564">
        <v>2789</v>
      </c>
      <c r="K18" s="554">
        <v>4200</v>
      </c>
      <c r="L18" s="350">
        <v>0</v>
      </c>
      <c r="M18" s="548">
        <f t="shared" si="8"/>
        <v>4200</v>
      </c>
      <c r="N18" s="334">
        <f t="shared" si="2"/>
        <v>93.333333333333329</v>
      </c>
    </row>
    <row r="19" spans="1:15" ht="12.95" customHeight="1">
      <c r="B19" s="10"/>
      <c r="C19" s="11"/>
      <c r="D19" s="11"/>
      <c r="E19" s="293">
        <v>613300</v>
      </c>
      <c r="F19" s="319"/>
      <c r="G19" s="18" t="s">
        <v>200</v>
      </c>
      <c r="H19" s="515">
        <v>12500</v>
      </c>
      <c r="I19" s="515">
        <v>12500</v>
      </c>
      <c r="J19" s="564">
        <v>6129</v>
      </c>
      <c r="K19" s="555">
        <v>11500</v>
      </c>
      <c r="L19" s="352">
        <v>0</v>
      </c>
      <c r="M19" s="548">
        <f t="shared" si="8"/>
        <v>11500</v>
      </c>
      <c r="N19" s="334">
        <f t="shared" si="2"/>
        <v>92</v>
      </c>
      <c r="O19" s="48"/>
    </row>
    <row r="20" spans="1:15" ht="12.95" customHeight="1">
      <c r="B20" s="10"/>
      <c r="C20" s="11"/>
      <c r="D20" s="11"/>
      <c r="E20" s="293">
        <v>613400</v>
      </c>
      <c r="F20" s="319"/>
      <c r="G20" s="11" t="s">
        <v>165</v>
      </c>
      <c r="H20" s="515">
        <v>10000</v>
      </c>
      <c r="I20" s="515">
        <v>10000</v>
      </c>
      <c r="J20" s="564">
        <v>8261</v>
      </c>
      <c r="K20" s="554">
        <v>12000</v>
      </c>
      <c r="L20" s="350">
        <v>0</v>
      </c>
      <c r="M20" s="548">
        <f t="shared" si="8"/>
        <v>12000</v>
      </c>
      <c r="N20" s="334">
        <f t="shared" si="2"/>
        <v>120</v>
      </c>
    </row>
    <row r="21" spans="1:15" ht="12.95" customHeight="1">
      <c r="B21" s="10"/>
      <c r="C21" s="11"/>
      <c r="D21" s="11"/>
      <c r="E21" s="293">
        <v>613500</v>
      </c>
      <c r="F21" s="319"/>
      <c r="G21" s="11" t="s">
        <v>86</v>
      </c>
      <c r="H21" s="515">
        <v>2500</v>
      </c>
      <c r="I21" s="515">
        <v>2500</v>
      </c>
      <c r="J21" s="564">
        <v>1600</v>
      </c>
      <c r="K21" s="555">
        <v>3000</v>
      </c>
      <c r="L21" s="352">
        <v>0</v>
      </c>
      <c r="M21" s="548">
        <f t="shared" si="8"/>
        <v>3000</v>
      </c>
      <c r="N21" s="334">
        <f t="shared" si="2"/>
        <v>120</v>
      </c>
      <c r="O21" s="48"/>
    </row>
    <row r="22" spans="1:15" ht="12.95" customHeight="1">
      <c r="B22" s="10"/>
      <c r="C22" s="11"/>
      <c r="D22" s="11"/>
      <c r="E22" s="293">
        <v>613600</v>
      </c>
      <c r="F22" s="319"/>
      <c r="G22" s="18" t="s">
        <v>201</v>
      </c>
      <c r="H22" s="515">
        <f t="shared" ref="H22:I26" si="9">SUM(F22:G22)</f>
        <v>0</v>
      </c>
      <c r="I22" s="515">
        <f t="shared" si="9"/>
        <v>0</v>
      </c>
      <c r="J22" s="564">
        <v>0</v>
      </c>
      <c r="K22" s="554">
        <v>0</v>
      </c>
      <c r="L22" s="350">
        <v>0</v>
      </c>
      <c r="M22" s="548">
        <f t="shared" si="8"/>
        <v>0</v>
      </c>
      <c r="N22" s="334" t="str">
        <f t="shared" si="2"/>
        <v/>
      </c>
    </row>
    <row r="23" spans="1:15" ht="12.95" customHeight="1">
      <c r="B23" s="10"/>
      <c r="C23" s="11"/>
      <c r="D23" s="11"/>
      <c r="E23" s="293">
        <v>613700</v>
      </c>
      <c r="F23" s="319"/>
      <c r="G23" s="11" t="s">
        <v>87</v>
      </c>
      <c r="H23" s="515">
        <v>3000</v>
      </c>
      <c r="I23" s="515">
        <v>3000</v>
      </c>
      <c r="J23" s="564">
        <v>1255</v>
      </c>
      <c r="K23" s="555">
        <v>2500</v>
      </c>
      <c r="L23" s="352">
        <v>0</v>
      </c>
      <c r="M23" s="548">
        <f t="shared" si="8"/>
        <v>2500</v>
      </c>
      <c r="N23" s="334">
        <f t="shared" si="2"/>
        <v>83.333333333333343</v>
      </c>
      <c r="O23" s="48"/>
    </row>
    <row r="24" spans="1:15" ht="12.95" customHeight="1">
      <c r="B24" s="10"/>
      <c r="C24" s="11"/>
      <c r="D24" s="11"/>
      <c r="E24" s="293">
        <v>613800</v>
      </c>
      <c r="F24" s="319"/>
      <c r="G24" s="11" t="s">
        <v>166</v>
      </c>
      <c r="H24" s="515">
        <v>800</v>
      </c>
      <c r="I24" s="515">
        <v>800</v>
      </c>
      <c r="J24" s="564">
        <v>257</v>
      </c>
      <c r="K24" s="555">
        <v>800</v>
      </c>
      <c r="L24" s="352">
        <v>0</v>
      </c>
      <c r="M24" s="548">
        <f t="shared" si="8"/>
        <v>800</v>
      </c>
      <c r="N24" s="334">
        <f t="shared" si="2"/>
        <v>100</v>
      </c>
    </row>
    <row r="25" spans="1:15" ht="12.95" customHeight="1">
      <c r="B25" s="10"/>
      <c r="C25" s="11"/>
      <c r="D25" s="11"/>
      <c r="E25" s="293">
        <v>613900</v>
      </c>
      <c r="F25" s="319"/>
      <c r="G25" s="11" t="s">
        <v>167</v>
      </c>
      <c r="H25" s="515">
        <v>55000</v>
      </c>
      <c r="I25" s="515">
        <v>55000</v>
      </c>
      <c r="J25" s="564">
        <v>30943</v>
      </c>
      <c r="K25" s="555">
        <v>53000</v>
      </c>
      <c r="L25" s="352">
        <v>0</v>
      </c>
      <c r="M25" s="548">
        <f t="shared" si="8"/>
        <v>53000</v>
      </c>
      <c r="N25" s="334">
        <f t="shared" si="2"/>
        <v>96.36363636363636</v>
      </c>
    </row>
    <row r="26" spans="1:15" ht="12.95" customHeight="1">
      <c r="B26" s="10"/>
      <c r="C26" s="11"/>
      <c r="D26" s="11"/>
      <c r="E26" s="293">
        <v>613900</v>
      </c>
      <c r="F26" s="319"/>
      <c r="G26" s="343" t="s">
        <v>535</v>
      </c>
      <c r="H26" s="515">
        <f t="shared" si="9"/>
        <v>0</v>
      </c>
      <c r="I26" s="515">
        <f t="shared" si="9"/>
        <v>0</v>
      </c>
      <c r="J26" s="564">
        <v>0</v>
      </c>
      <c r="K26" s="555">
        <v>0</v>
      </c>
      <c r="L26" s="352">
        <v>0</v>
      </c>
      <c r="M26" s="548">
        <f t="shared" si="8"/>
        <v>0</v>
      </c>
      <c r="N26" s="334" t="str">
        <f t="shared" si="2"/>
        <v/>
      </c>
    </row>
    <row r="27" spans="1:15" s="1" customFormat="1" ht="12.95" customHeight="1">
      <c r="A27" s="269"/>
      <c r="B27" s="12"/>
      <c r="C27" s="8"/>
      <c r="D27" s="8"/>
      <c r="E27" s="292"/>
      <c r="F27" s="318"/>
      <c r="G27" s="8"/>
      <c r="H27" s="516"/>
      <c r="I27" s="516"/>
      <c r="J27" s="566"/>
      <c r="K27" s="556"/>
      <c r="L27" s="283"/>
      <c r="M27" s="551"/>
      <c r="N27" s="334" t="str">
        <f t="shared" si="2"/>
        <v/>
      </c>
    </row>
    <row r="28" spans="1:15" s="1" customFormat="1" ht="12.95" customHeight="1">
      <c r="A28" s="269"/>
      <c r="B28" s="12"/>
      <c r="C28" s="8"/>
      <c r="D28" s="8"/>
      <c r="E28" s="292">
        <v>821000</v>
      </c>
      <c r="F28" s="318"/>
      <c r="G28" s="8" t="s">
        <v>90</v>
      </c>
      <c r="H28" s="262">
        <f t="shared" ref="H28:I28" si="10">H29+H30</f>
        <v>3000</v>
      </c>
      <c r="I28" s="262">
        <f t="shared" si="10"/>
        <v>3000</v>
      </c>
      <c r="J28" s="565">
        <v>0</v>
      </c>
      <c r="K28" s="557">
        <f t="shared" ref="K28:M28" si="11">K29+K30</f>
        <v>1000</v>
      </c>
      <c r="L28" s="282">
        <f t="shared" si="11"/>
        <v>0</v>
      </c>
      <c r="M28" s="553">
        <f t="shared" si="11"/>
        <v>1000</v>
      </c>
      <c r="N28" s="333">
        <f t="shared" si="2"/>
        <v>33.333333333333329</v>
      </c>
    </row>
    <row r="29" spans="1:15" ht="12.95" customHeight="1">
      <c r="B29" s="10"/>
      <c r="C29" s="11"/>
      <c r="D29" s="11"/>
      <c r="E29" s="293">
        <v>821200</v>
      </c>
      <c r="F29" s="319"/>
      <c r="G29" s="11" t="s">
        <v>91</v>
      </c>
      <c r="H29" s="515">
        <f t="shared" ref="H29:I29" si="12">SUM(F29:G29)</f>
        <v>0</v>
      </c>
      <c r="I29" s="515">
        <f t="shared" si="12"/>
        <v>0</v>
      </c>
      <c r="J29" s="564">
        <v>0</v>
      </c>
      <c r="K29" s="556">
        <v>0</v>
      </c>
      <c r="L29" s="283">
        <v>0</v>
      </c>
      <c r="M29" s="548">
        <f t="shared" ref="M29:M30" si="13">SUM(K29:L29)</f>
        <v>0</v>
      </c>
      <c r="N29" s="334" t="str">
        <f t="shared" si="2"/>
        <v/>
      </c>
    </row>
    <row r="30" spans="1:15" ht="12.95" customHeight="1">
      <c r="B30" s="10"/>
      <c r="C30" s="11"/>
      <c r="D30" s="11"/>
      <c r="E30" s="293">
        <v>821300</v>
      </c>
      <c r="F30" s="319"/>
      <c r="G30" s="11" t="s">
        <v>92</v>
      </c>
      <c r="H30" s="515">
        <v>3000</v>
      </c>
      <c r="I30" s="515">
        <v>3000</v>
      </c>
      <c r="J30" s="564">
        <v>0</v>
      </c>
      <c r="K30" s="556">
        <v>1000</v>
      </c>
      <c r="L30" s="283">
        <v>0</v>
      </c>
      <c r="M30" s="548">
        <f t="shared" si="13"/>
        <v>1000</v>
      </c>
      <c r="N30" s="334">
        <f t="shared" si="2"/>
        <v>33.333333333333329</v>
      </c>
    </row>
    <row r="31" spans="1:15" ht="12.95" customHeight="1">
      <c r="B31" s="10"/>
      <c r="C31" s="11"/>
      <c r="D31" s="11"/>
      <c r="E31" s="293"/>
      <c r="F31" s="319"/>
      <c r="G31" s="11"/>
      <c r="H31" s="516"/>
      <c r="I31" s="516"/>
      <c r="J31" s="566"/>
      <c r="K31" s="550"/>
      <c r="L31" s="279"/>
      <c r="M31" s="551"/>
      <c r="N31" s="334" t="str">
        <f t="shared" si="2"/>
        <v/>
      </c>
    </row>
    <row r="32" spans="1:15" s="1" customFormat="1" ht="12.95" customHeight="1">
      <c r="A32" s="269"/>
      <c r="B32" s="12"/>
      <c r="C32" s="8"/>
      <c r="D32" s="8"/>
      <c r="E32" s="292"/>
      <c r="F32" s="318"/>
      <c r="G32" s="8" t="s">
        <v>93</v>
      </c>
      <c r="H32" s="262">
        <v>13</v>
      </c>
      <c r="I32" s="262">
        <v>13</v>
      </c>
      <c r="J32" s="565">
        <v>13</v>
      </c>
      <c r="K32" s="557">
        <v>13</v>
      </c>
      <c r="L32" s="282"/>
      <c r="M32" s="553">
        <v>13</v>
      </c>
      <c r="N32" s="334"/>
    </row>
    <row r="33" spans="1:14" s="1" customFormat="1" ht="12.95" customHeight="1">
      <c r="A33" s="269"/>
      <c r="B33" s="12"/>
      <c r="C33" s="8"/>
      <c r="D33" s="8"/>
      <c r="E33" s="292"/>
      <c r="F33" s="318"/>
      <c r="G33" s="8" t="s">
        <v>113</v>
      </c>
      <c r="H33" s="262">
        <f t="shared" ref="H33:M33" si="14">H8+H13+H16+H28</f>
        <v>603480</v>
      </c>
      <c r="I33" s="276">
        <f t="shared" si="14"/>
        <v>603480</v>
      </c>
      <c r="J33" s="565">
        <f t="shared" si="14"/>
        <v>414103</v>
      </c>
      <c r="K33" s="558">
        <f t="shared" si="14"/>
        <v>582170</v>
      </c>
      <c r="L33" s="276">
        <f t="shared" si="14"/>
        <v>0</v>
      </c>
      <c r="M33" s="553">
        <f t="shared" si="14"/>
        <v>582170</v>
      </c>
      <c r="N33" s="333">
        <f t="shared" si="2"/>
        <v>96.468814210910054</v>
      </c>
    </row>
    <row r="34" spans="1:14" s="1" customFormat="1" ht="12.95" customHeight="1">
      <c r="A34" s="269"/>
      <c r="B34" s="12"/>
      <c r="C34" s="8"/>
      <c r="D34" s="8"/>
      <c r="E34" s="292"/>
      <c r="F34" s="318"/>
      <c r="G34" s="8" t="s">
        <v>94</v>
      </c>
      <c r="H34" s="262">
        <f t="shared" ref="H34:J35" si="15">H33</f>
        <v>603480</v>
      </c>
      <c r="I34" s="276">
        <f t="shared" si="15"/>
        <v>603480</v>
      </c>
      <c r="J34" s="565">
        <f t="shared" si="15"/>
        <v>414103</v>
      </c>
      <c r="K34" s="558">
        <f t="shared" ref="K34:M34" si="16">K33</f>
        <v>582170</v>
      </c>
      <c r="L34" s="276">
        <f t="shared" si="16"/>
        <v>0</v>
      </c>
      <c r="M34" s="553">
        <f t="shared" si="16"/>
        <v>582170</v>
      </c>
      <c r="N34" s="333">
        <f t="shared" si="2"/>
        <v>96.468814210910054</v>
      </c>
    </row>
    <row r="35" spans="1:14" s="1" customFormat="1" ht="12.95" customHeight="1">
      <c r="A35" s="269"/>
      <c r="B35" s="12"/>
      <c r="C35" s="8"/>
      <c r="D35" s="8"/>
      <c r="E35" s="292"/>
      <c r="F35" s="318"/>
      <c r="G35" s="8" t="s">
        <v>95</v>
      </c>
      <c r="H35" s="262">
        <f t="shared" si="15"/>
        <v>603480</v>
      </c>
      <c r="I35" s="276">
        <f t="shared" si="15"/>
        <v>603480</v>
      </c>
      <c r="J35" s="565">
        <f t="shared" si="15"/>
        <v>414103</v>
      </c>
      <c r="K35" s="558">
        <f t="shared" ref="K35:M35" si="17">K34</f>
        <v>582170</v>
      </c>
      <c r="L35" s="276">
        <f t="shared" si="17"/>
        <v>0</v>
      </c>
      <c r="M35" s="553">
        <f t="shared" si="17"/>
        <v>582170</v>
      </c>
      <c r="N35" s="333">
        <f t="shared" si="2"/>
        <v>96.468814210910054</v>
      </c>
    </row>
    <row r="36" spans="1:14" ht="12.95" customHeight="1" thickBot="1">
      <c r="B36" s="15"/>
      <c r="C36" s="16"/>
      <c r="D36" s="16"/>
      <c r="E36" s="294"/>
      <c r="F36" s="320"/>
      <c r="G36" s="16"/>
      <c r="H36" s="518"/>
      <c r="I36" s="27"/>
      <c r="J36" s="567"/>
      <c r="K36" s="559"/>
      <c r="L36" s="27"/>
      <c r="M36" s="560"/>
      <c r="N36" s="336" t="str">
        <f t="shared" si="2"/>
        <v/>
      </c>
    </row>
    <row r="37" spans="1:14" ht="12.95" customHeight="1">
      <c r="E37" s="295"/>
      <c r="F37" s="321"/>
      <c r="M37" s="370"/>
      <c r="N37" s="337" t="str">
        <f t="shared" si="2"/>
        <v/>
      </c>
    </row>
    <row r="38" spans="1:14" ht="12.95" customHeight="1">
      <c r="B38" s="48"/>
      <c r="E38" s="295"/>
      <c r="F38" s="321"/>
      <c r="M38" s="370"/>
      <c r="N38" s="337" t="str">
        <f t="shared" si="2"/>
        <v/>
      </c>
    </row>
    <row r="39" spans="1:14" ht="12.95" customHeight="1">
      <c r="B39" s="48"/>
      <c r="E39" s="295"/>
      <c r="F39" s="321"/>
      <c r="M39" s="370"/>
      <c r="N39" s="337" t="str">
        <f t="shared" si="2"/>
        <v/>
      </c>
    </row>
    <row r="40" spans="1:14" ht="12.95" customHeight="1">
      <c r="B40" s="48"/>
      <c r="E40" s="295"/>
      <c r="F40" s="321"/>
      <c r="M40" s="370"/>
      <c r="N40" s="337" t="str">
        <f t="shared" si="2"/>
        <v/>
      </c>
    </row>
    <row r="41" spans="1:14" ht="12.95" customHeight="1">
      <c r="E41" s="295"/>
      <c r="F41" s="321"/>
      <c r="M41" s="370"/>
      <c r="N41" s="337" t="str">
        <f t="shared" si="2"/>
        <v/>
      </c>
    </row>
    <row r="42" spans="1:14" ht="12.95" customHeight="1">
      <c r="E42" s="295"/>
      <c r="F42" s="321"/>
      <c r="M42" s="370"/>
      <c r="N42" s="337" t="str">
        <f t="shared" si="2"/>
        <v/>
      </c>
    </row>
    <row r="43" spans="1:14" ht="12.95" customHeight="1">
      <c r="E43" s="295"/>
      <c r="F43" s="321"/>
      <c r="M43" s="370"/>
      <c r="N43" s="337" t="str">
        <f t="shared" si="2"/>
        <v/>
      </c>
    </row>
    <row r="44" spans="1:14" ht="12.95" customHeight="1">
      <c r="E44" s="295"/>
      <c r="F44" s="321"/>
      <c r="M44" s="370"/>
      <c r="N44" s="337" t="str">
        <f t="shared" si="2"/>
        <v/>
      </c>
    </row>
    <row r="45" spans="1:14" ht="12.95" customHeight="1">
      <c r="E45" s="295"/>
      <c r="F45" s="321"/>
      <c r="M45" s="370"/>
      <c r="N45" s="337" t="str">
        <f t="shared" si="2"/>
        <v/>
      </c>
    </row>
    <row r="46" spans="1:14" ht="12.95" customHeight="1">
      <c r="E46" s="295"/>
      <c r="F46" s="321"/>
      <c r="M46" s="370"/>
      <c r="N46" s="337" t="str">
        <f t="shared" si="2"/>
        <v/>
      </c>
    </row>
    <row r="47" spans="1:14" ht="12.95" customHeight="1">
      <c r="E47" s="295"/>
      <c r="F47" s="321"/>
      <c r="M47" s="370"/>
      <c r="N47" s="337" t="str">
        <f t="shared" si="2"/>
        <v/>
      </c>
    </row>
    <row r="48" spans="1:14" ht="12.95" customHeight="1">
      <c r="E48" s="295"/>
      <c r="F48" s="321"/>
      <c r="M48" s="370"/>
      <c r="N48" s="337" t="str">
        <f t="shared" si="2"/>
        <v/>
      </c>
    </row>
    <row r="49" spans="5:14" ht="12.95" customHeight="1">
      <c r="E49" s="295"/>
      <c r="F49" s="321"/>
      <c r="M49" s="370"/>
      <c r="N49" s="337" t="str">
        <f t="shared" si="2"/>
        <v/>
      </c>
    </row>
    <row r="50" spans="5:14" ht="12.95" customHeight="1">
      <c r="E50" s="295"/>
      <c r="F50" s="321"/>
      <c r="M50" s="370"/>
      <c r="N50" s="337" t="str">
        <f t="shared" si="2"/>
        <v/>
      </c>
    </row>
    <row r="51" spans="5:14" ht="12.95" customHeight="1">
      <c r="E51" s="295"/>
      <c r="F51" s="321"/>
      <c r="M51" s="370"/>
      <c r="N51" s="337" t="str">
        <f t="shared" si="2"/>
        <v/>
      </c>
    </row>
    <row r="52" spans="5:14" ht="12.95" customHeight="1">
      <c r="E52" s="295"/>
      <c r="F52" s="321"/>
      <c r="M52" s="370"/>
      <c r="N52" s="337" t="str">
        <f t="shared" si="2"/>
        <v/>
      </c>
    </row>
    <row r="53" spans="5:14" ht="12.95" customHeight="1">
      <c r="E53" s="295"/>
      <c r="F53" s="321"/>
      <c r="M53" s="370"/>
      <c r="N53" s="337" t="str">
        <f t="shared" si="2"/>
        <v/>
      </c>
    </row>
    <row r="54" spans="5:14" ht="12.95" customHeight="1">
      <c r="E54" s="295"/>
      <c r="F54" s="321"/>
      <c r="M54" s="370"/>
      <c r="N54" s="337" t="str">
        <f t="shared" si="2"/>
        <v/>
      </c>
    </row>
    <row r="55" spans="5:14" ht="12.95" customHeight="1">
      <c r="E55" s="295"/>
      <c r="F55" s="321"/>
      <c r="M55" s="370"/>
      <c r="N55" s="337" t="str">
        <f t="shared" si="2"/>
        <v/>
      </c>
    </row>
    <row r="56" spans="5:14" ht="12.95" customHeight="1">
      <c r="E56" s="295"/>
      <c r="F56" s="321"/>
      <c r="M56" s="370"/>
      <c r="N56" s="337" t="str">
        <f t="shared" si="2"/>
        <v/>
      </c>
    </row>
    <row r="57" spans="5:14" ht="12.95" customHeight="1">
      <c r="E57" s="295"/>
      <c r="F57" s="321"/>
      <c r="M57" s="370"/>
      <c r="N57" s="337" t="str">
        <f t="shared" si="2"/>
        <v/>
      </c>
    </row>
    <row r="58" spans="5:14" ht="12.95" customHeight="1">
      <c r="E58" s="295"/>
      <c r="F58" s="321"/>
      <c r="M58" s="370"/>
      <c r="N58" s="337" t="str">
        <f t="shared" si="2"/>
        <v/>
      </c>
    </row>
    <row r="59" spans="5:14" ht="12.95" customHeight="1">
      <c r="E59" s="295"/>
      <c r="F59" s="321"/>
      <c r="M59" s="370"/>
      <c r="N59" s="337" t="str">
        <f t="shared" si="2"/>
        <v/>
      </c>
    </row>
    <row r="60" spans="5:14" ht="17.100000000000001" customHeight="1">
      <c r="E60" s="295"/>
      <c r="F60" s="321"/>
      <c r="M60" s="370"/>
      <c r="N60" s="337" t="str">
        <f t="shared" si="2"/>
        <v/>
      </c>
    </row>
    <row r="61" spans="5:14" ht="14.25">
      <c r="E61" s="295"/>
      <c r="F61" s="321"/>
      <c r="M61" s="370"/>
      <c r="N61" s="337" t="str">
        <f t="shared" si="2"/>
        <v/>
      </c>
    </row>
    <row r="62" spans="5:14" ht="14.25">
      <c r="E62" s="295"/>
      <c r="F62" s="321"/>
      <c r="M62" s="370"/>
      <c r="N62" s="337" t="str">
        <f t="shared" si="2"/>
        <v/>
      </c>
    </row>
    <row r="63" spans="5:14" ht="14.25">
      <c r="E63" s="295"/>
      <c r="F63" s="321"/>
      <c r="M63" s="370"/>
      <c r="N63" s="337" t="str">
        <f t="shared" si="2"/>
        <v/>
      </c>
    </row>
    <row r="64" spans="5:14" ht="14.25">
      <c r="E64" s="295"/>
      <c r="F64" s="321"/>
      <c r="M64" s="370"/>
      <c r="N64" s="337" t="str">
        <f t="shared" si="2"/>
        <v/>
      </c>
    </row>
    <row r="65" spans="5:14" ht="14.25">
      <c r="E65" s="295"/>
      <c r="F65" s="321"/>
      <c r="M65" s="370"/>
      <c r="N65" s="337" t="str">
        <f t="shared" si="2"/>
        <v/>
      </c>
    </row>
    <row r="66" spans="5:14" ht="14.25">
      <c r="E66" s="295"/>
      <c r="F66" s="321"/>
      <c r="M66" s="370"/>
      <c r="N66" s="337" t="str">
        <f t="shared" si="2"/>
        <v/>
      </c>
    </row>
    <row r="67" spans="5:14" ht="14.25">
      <c r="E67" s="295"/>
      <c r="F67" s="321"/>
      <c r="M67" s="370"/>
      <c r="N67" s="337" t="str">
        <f t="shared" si="2"/>
        <v/>
      </c>
    </row>
    <row r="68" spans="5:14" ht="14.25">
      <c r="E68" s="295"/>
      <c r="F68" s="321"/>
      <c r="M68" s="370"/>
      <c r="N68" s="337" t="str">
        <f t="shared" si="2"/>
        <v/>
      </c>
    </row>
    <row r="69" spans="5:14" ht="14.25">
      <c r="E69" s="295"/>
      <c r="F69" s="321"/>
      <c r="M69" s="370"/>
      <c r="N69" s="337" t="str">
        <f t="shared" si="2"/>
        <v/>
      </c>
    </row>
    <row r="70" spans="5:14" ht="14.25">
      <c r="E70" s="295"/>
      <c r="F70" s="321"/>
      <c r="M70" s="370"/>
      <c r="N70" s="337" t="str">
        <f t="shared" si="2"/>
        <v/>
      </c>
    </row>
    <row r="71" spans="5:14" ht="14.25">
      <c r="E71" s="295"/>
      <c r="F71" s="321"/>
      <c r="M71" s="370"/>
      <c r="N71" s="337" t="str">
        <f t="shared" si="2"/>
        <v/>
      </c>
    </row>
    <row r="72" spans="5:14" ht="14.25">
      <c r="E72" s="295"/>
      <c r="F72" s="321"/>
      <c r="M72" s="370"/>
      <c r="N72" s="337" t="str">
        <f t="shared" si="2"/>
        <v/>
      </c>
    </row>
    <row r="73" spans="5:14" ht="14.25">
      <c r="E73" s="295"/>
      <c r="F73" s="321"/>
      <c r="M73" s="370"/>
      <c r="N73" s="337" t="str">
        <f t="shared" ref="N73:N77" si="18">IF(I73=0,"",M73/I73*100)</f>
        <v/>
      </c>
    </row>
    <row r="74" spans="5:14" ht="14.25">
      <c r="E74" s="295"/>
      <c r="F74" s="295"/>
      <c r="M74" s="370"/>
      <c r="N74" s="337" t="str">
        <f t="shared" si="18"/>
        <v/>
      </c>
    </row>
    <row r="75" spans="5:14" ht="14.25">
      <c r="E75" s="295"/>
      <c r="F75" s="295"/>
      <c r="M75" s="370"/>
      <c r="N75" s="337" t="str">
        <f t="shared" si="18"/>
        <v/>
      </c>
    </row>
    <row r="76" spans="5:14" ht="14.25">
      <c r="E76" s="295"/>
      <c r="F76" s="295"/>
      <c r="M76" s="370"/>
      <c r="N76" s="337" t="str">
        <f t="shared" si="18"/>
        <v/>
      </c>
    </row>
    <row r="77" spans="5:14" ht="14.25">
      <c r="E77" s="295"/>
      <c r="F77" s="295"/>
      <c r="M77" s="370"/>
      <c r="N77" s="337" t="str">
        <f t="shared" si="18"/>
        <v/>
      </c>
    </row>
    <row r="78" spans="5:14" ht="14.25">
      <c r="E78" s="295"/>
      <c r="F78" s="295"/>
      <c r="M78" s="370"/>
    </row>
    <row r="79" spans="5:14" ht="14.25">
      <c r="E79" s="295"/>
      <c r="F79" s="295"/>
      <c r="M79" s="370"/>
    </row>
    <row r="80" spans="5:14" ht="14.25">
      <c r="E80" s="295"/>
      <c r="F80" s="295"/>
      <c r="M80" s="370"/>
    </row>
    <row r="81" spans="5:13" ht="14.25">
      <c r="E81" s="295"/>
      <c r="F81" s="295"/>
      <c r="M81" s="370"/>
    </row>
    <row r="82" spans="5:13" ht="14.25">
      <c r="E82" s="295"/>
      <c r="F82" s="295"/>
      <c r="M82" s="370"/>
    </row>
    <row r="83" spans="5:13" ht="14.25">
      <c r="E83" s="295"/>
      <c r="F83" s="295"/>
      <c r="M83" s="370"/>
    </row>
    <row r="84" spans="5:13" ht="14.25">
      <c r="E84" s="295"/>
      <c r="F84" s="295"/>
      <c r="M84" s="370"/>
    </row>
    <row r="85" spans="5:13" ht="14.25">
      <c r="E85" s="295"/>
      <c r="F85" s="295"/>
      <c r="M85" s="370"/>
    </row>
    <row r="86" spans="5:13" ht="14.25">
      <c r="E86" s="295"/>
      <c r="F86" s="295"/>
      <c r="M86" s="370"/>
    </row>
    <row r="87" spans="5:13" ht="14.25">
      <c r="E87" s="295"/>
      <c r="F87" s="295"/>
      <c r="M87" s="370"/>
    </row>
    <row r="88" spans="5:13" ht="14.25">
      <c r="E88" s="295"/>
      <c r="F88" s="295"/>
      <c r="M88" s="370"/>
    </row>
    <row r="89" spans="5:13" ht="14.25">
      <c r="E89" s="295"/>
      <c r="F89" s="295"/>
      <c r="M89" s="370"/>
    </row>
    <row r="90" spans="5:13" ht="14.25">
      <c r="E90" s="295"/>
      <c r="F90" s="295"/>
      <c r="M90" s="370"/>
    </row>
    <row r="91" spans="5:13">
      <c r="F91" s="295"/>
    </row>
    <row r="92" spans="5:13">
      <c r="F92" s="295"/>
    </row>
    <row r="93" spans="5:13">
      <c r="F93" s="295"/>
    </row>
    <row r="94" spans="5:13">
      <c r="F94" s="295"/>
    </row>
    <row r="95" spans="5:13">
      <c r="F95" s="295"/>
    </row>
    <row r="96" spans="5:13">
      <c r="F96" s="295"/>
    </row>
  </sheetData>
  <mergeCells count="12">
    <mergeCell ref="N4:N5"/>
    <mergeCell ref="G4:G5"/>
    <mergeCell ref="B2:G2"/>
    <mergeCell ref="B4:B5"/>
    <mergeCell ref="C4:C5"/>
    <mergeCell ref="D4:D5"/>
    <mergeCell ref="F4:F5"/>
    <mergeCell ref="E4:E5"/>
    <mergeCell ref="K4:M4"/>
    <mergeCell ref="H4:H5"/>
    <mergeCell ref="I4:I5"/>
    <mergeCell ref="J4:J5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 codeName="Sheet44"/>
  <dimension ref="A1:P96"/>
  <sheetViews>
    <sheetView zoomScaleNormal="100" workbookViewId="0">
      <selection activeCell="K10" sqref="K10"/>
    </sheetView>
  </sheetViews>
  <sheetFormatPr defaultRowHeight="12.75"/>
  <cols>
    <col min="1" max="1" width="9.140625" style="272"/>
    <col min="2" max="2" width="4.7109375" style="9" customWidth="1"/>
    <col min="3" max="3" width="5.140625" style="9" customWidth="1"/>
    <col min="4" max="4" width="5" style="9" customWidth="1"/>
    <col min="5" max="5" width="8.7109375" style="17" customWidth="1"/>
    <col min="6" max="6" width="8.7109375" style="277" customWidth="1"/>
    <col min="7" max="7" width="50.7109375" style="9" customWidth="1"/>
    <col min="8" max="8" width="14.7109375" style="519" customWidth="1"/>
    <col min="9" max="9" width="14.7109375" style="54" customWidth="1"/>
    <col min="10" max="10" width="15.7109375" style="519" customWidth="1"/>
    <col min="11" max="12" width="14.7109375" style="54" customWidth="1"/>
    <col min="13" max="13" width="15.7109375" style="54" customWidth="1"/>
    <col min="14" max="14" width="7.7109375" style="337" customWidth="1"/>
    <col min="15" max="16384" width="9.140625" style="9"/>
  </cols>
  <sheetData>
    <row r="1" spans="1:16" ht="13.5" thickBot="1"/>
    <row r="2" spans="1:16" s="93" customFormat="1" ht="20.100000000000001" customHeight="1" thickTop="1" thickBot="1">
      <c r="A2" s="363"/>
      <c r="B2" s="725" t="s">
        <v>182</v>
      </c>
      <c r="C2" s="726"/>
      <c r="D2" s="726"/>
      <c r="E2" s="726"/>
      <c r="F2" s="726"/>
      <c r="G2" s="726"/>
      <c r="H2" s="508"/>
      <c r="I2" s="364"/>
      <c r="J2" s="508"/>
      <c r="K2" s="364"/>
      <c r="L2" s="364"/>
      <c r="M2" s="364"/>
      <c r="N2" s="367"/>
    </row>
    <row r="3" spans="1:16" s="1" customFormat="1" ht="8.1" customHeight="1" thickTop="1" thickBot="1">
      <c r="A3" s="269"/>
      <c r="E3" s="2"/>
      <c r="F3" s="270"/>
      <c r="G3" s="488"/>
      <c r="H3" s="511"/>
      <c r="I3" s="87"/>
      <c r="J3" s="511"/>
      <c r="K3" s="87"/>
      <c r="L3" s="87"/>
      <c r="M3" s="87"/>
      <c r="N3" s="331"/>
    </row>
    <row r="4" spans="1:16" s="1" customFormat="1" ht="39" customHeight="1">
      <c r="A4" s="269"/>
      <c r="B4" s="728" t="s">
        <v>78</v>
      </c>
      <c r="C4" s="746" t="s">
        <v>79</v>
      </c>
      <c r="D4" s="747" t="s">
        <v>110</v>
      </c>
      <c r="E4" s="748" t="s">
        <v>594</v>
      </c>
      <c r="F4" s="733" t="s">
        <v>650</v>
      </c>
      <c r="G4" s="734" t="s">
        <v>80</v>
      </c>
      <c r="H4" s="740" t="s">
        <v>644</v>
      </c>
      <c r="I4" s="742" t="s">
        <v>821</v>
      </c>
      <c r="J4" s="752" t="s">
        <v>822</v>
      </c>
      <c r="K4" s="749" t="s">
        <v>863</v>
      </c>
      <c r="L4" s="738"/>
      <c r="M4" s="739"/>
      <c r="N4" s="735" t="s">
        <v>823</v>
      </c>
    </row>
    <row r="5" spans="1:16" s="269" customFormat="1" ht="27" customHeight="1">
      <c r="B5" s="729"/>
      <c r="C5" s="731"/>
      <c r="D5" s="731"/>
      <c r="E5" s="722"/>
      <c r="F5" s="731"/>
      <c r="G5" s="722"/>
      <c r="H5" s="741"/>
      <c r="I5" s="743"/>
      <c r="J5" s="753"/>
      <c r="K5" s="540" t="s">
        <v>701</v>
      </c>
      <c r="L5" s="359" t="s">
        <v>702</v>
      </c>
      <c r="M5" s="541" t="s">
        <v>413</v>
      </c>
      <c r="N5" s="736"/>
    </row>
    <row r="6" spans="1:16" s="2" customFormat="1" ht="12.95" customHeight="1">
      <c r="A6" s="270"/>
      <c r="B6" s="464">
        <v>1</v>
      </c>
      <c r="C6" s="318">
        <v>2</v>
      </c>
      <c r="D6" s="318">
        <v>3</v>
      </c>
      <c r="E6" s="318">
        <v>4</v>
      </c>
      <c r="F6" s="318">
        <v>5</v>
      </c>
      <c r="G6" s="318">
        <v>6</v>
      </c>
      <c r="H6" s="512">
        <v>7</v>
      </c>
      <c r="I6" s="318">
        <v>8</v>
      </c>
      <c r="J6" s="533">
        <v>9</v>
      </c>
      <c r="K6" s="464">
        <v>10</v>
      </c>
      <c r="L6" s="318">
        <v>11</v>
      </c>
      <c r="M6" s="542" t="s">
        <v>703</v>
      </c>
      <c r="N6" s="465">
        <v>13</v>
      </c>
    </row>
    <row r="7" spans="1:16" s="2" customFormat="1" ht="12.95" customHeight="1">
      <c r="A7" s="270"/>
      <c r="B7" s="6" t="s">
        <v>181</v>
      </c>
      <c r="C7" s="7" t="s">
        <v>81</v>
      </c>
      <c r="D7" s="7" t="s">
        <v>82</v>
      </c>
      <c r="E7" s="5"/>
      <c r="F7" s="271"/>
      <c r="G7" s="5"/>
      <c r="H7" s="520"/>
      <c r="I7" s="81"/>
      <c r="J7" s="534"/>
      <c r="K7" s="543"/>
      <c r="L7" s="81"/>
      <c r="M7" s="544"/>
      <c r="N7" s="332"/>
    </row>
    <row r="8" spans="1:16" s="1" customFormat="1" ht="12.95" customHeight="1">
      <c r="A8" s="269"/>
      <c r="B8" s="12"/>
      <c r="C8" s="8"/>
      <c r="D8" s="8"/>
      <c r="E8" s="292">
        <v>611000</v>
      </c>
      <c r="F8" s="318"/>
      <c r="G8" s="8" t="s">
        <v>163</v>
      </c>
      <c r="H8" s="514">
        <f t="shared" ref="H8:I8" si="0">SUM(H9:H11)</f>
        <v>415400</v>
      </c>
      <c r="I8" s="514">
        <f t="shared" si="0"/>
        <v>415400</v>
      </c>
      <c r="J8" s="535">
        <v>308618</v>
      </c>
      <c r="K8" s="545">
        <f t="shared" ref="K8:M8" si="1">SUM(K9:K11)</f>
        <v>418020</v>
      </c>
      <c r="L8" s="201">
        <f t="shared" si="1"/>
        <v>0</v>
      </c>
      <c r="M8" s="546">
        <f t="shared" si="1"/>
        <v>418020</v>
      </c>
      <c r="N8" s="333">
        <f>IF(I8=0,"",M8/I8*100)</f>
        <v>100.63071738083775</v>
      </c>
    </row>
    <row r="9" spans="1:16" ht="12.95" customHeight="1">
      <c r="B9" s="10"/>
      <c r="C9" s="11"/>
      <c r="D9" s="11"/>
      <c r="E9" s="293">
        <v>611100</v>
      </c>
      <c r="F9" s="319"/>
      <c r="G9" s="18" t="s">
        <v>198</v>
      </c>
      <c r="H9" s="515">
        <v>355800</v>
      </c>
      <c r="I9" s="515">
        <v>355800</v>
      </c>
      <c r="J9" s="536">
        <v>263245</v>
      </c>
      <c r="K9" s="547">
        <f>351210+420+1200</f>
        <v>352830</v>
      </c>
      <c r="L9" s="203">
        <v>0</v>
      </c>
      <c r="M9" s="548">
        <f>SUM(K9:L9)</f>
        <v>352830</v>
      </c>
      <c r="N9" s="334">
        <f t="shared" ref="N9:N72" si="2">IF(I9=0,"",M9/I9*100)</f>
        <v>99.165261382799329</v>
      </c>
    </row>
    <row r="10" spans="1:16" ht="12.95" customHeight="1">
      <c r="B10" s="10"/>
      <c r="C10" s="11"/>
      <c r="D10" s="11"/>
      <c r="E10" s="293">
        <v>611200</v>
      </c>
      <c r="F10" s="319"/>
      <c r="G10" s="11" t="s">
        <v>199</v>
      </c>
      <c r="H10" s="515">
        <v>59600</v>
      </c>
      <c r="I10" s="515">
        <v>59600</v>
      </c>
      <c r="J10" s="536">
        <v>45373</v>
      </c>
      <c r="K10" s="547">
        <f>60260+930+500+14*250</f>
        <v>65190</v>
      </c>
      <c r="L10" s="203">
        <v>0</v>
      </c>
      <c r="M10" s="548">
        <f t="shared" ref="M10:M11" si="3">SUM(K10:L10)</f>
        <v>65190</v>
      </c>
      <c r="N10" s="334">
        <f t="shared" si="2"/>
        <v>109.37919463087249</v>
      </c>
    </row>
    <row r="11" spans="1:16" ht="12.95" customHeight="1">
      <c r="B11" s="10"/>
      <c r="C11" s="11"/>
      <c r="D11" s="11"/>
      <c r="E11" s="293">
        <v>611200</v>
      </c>
      <c r="F11" s="319"/>
      <c r="G11" s="180" t="s">
        <v>534</v>
      </c>
      <c r="H11" s="515">
        <f t="shared" ref="H11:I11" si="4">SUM(F11:G11)</f>
        <v>0</v>
      </c>
      <c r="I11" s="515">
        <f t="shared" si="4"/>
        <v>0</v>
      </c>
      <c r="J11" s="536">
        <v>0</v>
      </c>
      <c r="K11" s="549">
        <v>0</v>
      </c>
      <c r="L11" s="200">
        <v>0</v>
      </c>
      <c r="M11" s="548">
        <f t="shared" si="3"/>
        <v>0</v>
      </c>
      <c r="N11" s="334" t="str">
        <f t="shared" si="2"/>
        <v/>
      </c>
      <c r="P11" s="53"/>
    </row>
    <row r="12" spans="1:16" ht="12.95" customHeight="1">
      <c r="B12" s="10"/>
      <c r="C12" s="11"/>
      <c r="D12" s="11"/>
      <c r="E12" s="293"/>
      <c r="F12" s="319"/>
      <c r="G12" s="11"/>
      <c r="H12" s="514"/>
      <c r="I12" s="514"/>
      <c r="J12" s="535"/>
      <c r="K12" s="545"/>
      <c r="L12" s="201"/>
      <c r="M12" s="546"/>
      <c r="N12" s="334" t="str">
        <f t="shared" si="2"/>
        <v/>
      </c>
    </row>
    <row r="13" spans="1:16" s="1" customFormat="1" ht="12.95" customHeight="1">
      <c r="A13" s="269"/>
      <c r="B13" s="12"/>
      <c r="C13" s="8"/>
      <c r="D13" s="8"/>
      <c r="E13" s="292">
        <v>612000</v>
      </c>
      <c r="F13" s="318"/>
      <c r="G13" s="8" t="s">
        <v>162</v>
      </c>
      <c r="H13" s="514">
        <f t="shared" ref="H13:M13" si="5">H14</f>
        <v>37820</v>
      </c>
      <c r="I13" s="514">
        <f t="shared" si="5"/>
        <v>37820</v>
      </c>
      <c r="J13" s="535">
        <v>28099</v>
      </c>
      <c r="K13" s="545">
        <f t="shared" si="5"/>
        <v>37720</v>
      </c>
      <c r="L13" s="201">
        <f t="shared" si="5"/>
        <v>0</v>
      </c>
      <c r="M13" s="546">
        <f t="shared" si="5"/>
        <v>37720</v>
      </c>
      <c r="N13" s="333">
        <f t="shared" si="2"/>
        <v>99.735589635113698</v>
      </c>
    </row>
    <row r="14" spans="1:16" ht="12.95" customHeight="1">
      <c r="B14" s="10"/>
      <c r="C14" s="11"/>
      <c r="D14" s="11"/>
      <c r="E14" s="293">
        <v>612100</v>
      </c>
      <c r="F14" s="319"/>
      <c r="G14" s="13" t="s">
        <v>83</v>
      </c>
      <c r="H14" s="515">
        <v>37820</v>
      </c>
      <c r="I14" s="515">
        <v>37820</v>
      </c>
      <c r="J14" s="536">
        <v>28099</v>
      </c>
      <c r="K14" s="547">
        <f>37500+220</f>
        <v>37720</v>
      </c>
      <c r="L14" s="203">
        <v>0</v>
      </c>
      <c r="M14" s="548">
        <f>SUM(K14:L14)</f>
        <v>37720</v>
      </c>
      <c r="N14" s="334">
        <f t="shared" si="2"/>
        <v>99.735589635113698</v>
      </c>
    </row>
    <row r="15" spans="1:16" ht="12.95" customHeight="1">
      <c r="B15" s="10"/>
      <c r="C15" s="11"/>
      <c r="D15" s="11"/>
      <c r="E15" s="293"/>
      <c r="F15" s="319"/>
      <c r="G15" s="11"/>
      <c r="H15" s="516"/>
      <c r="I15" s="516"/>
      <c r="J15" s="537"/>
      <c r="K15" s="550"/>
      <c r="L15" s="279"/>
      <c r="M15" s="551"/>
      <c r="N15" s="334" t="str">
        <f t="shared" si="2"/>
        <v/>
      </c>
    </row>
    <row r="16" spans="1:16" s="1" customFormat="1" ht="12.95" customHeight="1">
      <c r="A16" s="269"/>
      <c r="B16" s="12"/>
      <c r="C16" s="8"/>
      <c r="D16" s="8"/>
      <c r="E16" s="292">
        <v>613000</v>
      </c>
      <c r="F16" s="318"/>
      <c r="G16" s="8" t="s">
        <v>164</v>
      </c>
      <c r="H16" s="262">
        <f t="shared" ref="H16:I16" si="6">SUM(H17:H26)</f>
        <v>30700</v>
      </c>
      <c r="I16" s="262">
        <f t="shared" si="6"/>
        <v>30700</v>
      </c>
      <c r="J16" s="538">
        <v>17093</v>
      </c>
      <c r="K16" s="552">
        <f t="shared" ref="K16:M16" si="7">SUM(K17:K26)</f>
        <v>29380</v>
      </c>
      <c r="L16" s="281">
        <f t="shared" si="7"/>
        <v>0</v>
      </c>
      <c r="M16" s="553">
        <f t="shared" si="7"/>
        <v>29380</v>
      </c>
      <c r="N16" s="333">
        <f t="shared" si="2"/>
        <v>95.700325732899032</v>
      </c>
    </row>
    <row r="17" spans="1:15" ht="12.95" customHeight="1">
      <c r="B17" s="10"/>
      <c r="C17" s="11"/>
      <c r="D17" s="11"/>
      <c r="E17" s="293">
        <v>613100</v>
      </c>
      <c r="F17" s="319"/>
      <c r="G17" s="11" t="s">
        <v>84</v>
      </c>
      <c r="H17" s="515">
        <v>2000</v>
      </c>
      <c r="I17" s="515">
        <v>2000</v>
      </c>
      <c r="J17" s="536">
        <v>697</v>
      </c>
      <c r="K17" s="554">
        <v>1300</v>
      </c>
      <c r="L17" s="350">
        <v>0</v>
      </c>
      <c r="M17" s="548">
        <f t="shared" ref="M17:M26" si="8">SUM(K17:L17)</f>
        <v>1300</v>
      </c>
      <c r="N17" s="334">
        <f t="shared" si="2"/>
        <v>65</v>
      </c>
    </row>
    <row r="18" spans="1:15" ht="12.95" customHeight="1">
      <c r="B18" s="10"/>
      <c r="C18" s="11"/>
      <c r="D18" s="11"/>
      <c r="E18" s="293">
        <v>613200</v>
      </c>
      <c r="F18" s="319"/>
      <c r="G18" s="11" t="s">
        <v>85</v>
      </c>
      <c r="H18" s="515">
        <v>6000</v>
      </c>
      <c r="I18" s="515">
        <v>6000</v>
      </c>
      <c r="J18" s="536">
        <v>3585</v>
      </c>
      <c r="K18" s="554">
        <v>6500</v>
      </c>
      <c r="L18" s="350">
        <v>0</v>
      </c>
      <c r="M18" s="548">
        <f t="shared" si="8"/>
        <v>6500</v>
      </c>
      <c r="N18" s="334">
        <f t="shared" si="2"/>
        <v>108.33333333333333</v>
      </c>
    </row>
    <row r="19" spans="1:15" ht="12.95" customHeight="1">
      <c r="B19" s="10"/>
      <c r="C19" s="11"/>
      <c r="D19" s="11"/>
      <c r="E19" s="293">
        <v>613300</v>
      </c>
      <c r="F19" s="319"/>
      <c r="G19" s="18" t="s">
        <v>200</v>
      </c>
      <c r="H19" s="515">
        <v>8500</v>
      </c>
      <c r="I19" s="515">
        <v>8500</v>
      </c>
      <c r="J19" s="536">
        <v>5804</v>
      </c>
      <c r="K19" s="554">
        <v>8500</v>
      </c>
      <c r="L19" s="350">
        <v>0</v>
      </c>
      <c r="M19" s="548">
        <f t="shared" si="8"/>
        <v>8500</v>
      </c>
      <c r="N19" s="334">
        <f t="shared" si="2"/>
        <v>100</v>
      </c>
    </row>
    <row r="20" spans="1:15" ht="12.95" customHeight="1">
      <c r="B20" s="10"/>
      <c r="C20" s="11"/>
      <c r="D20" s="11"/>
      <c r="E20" s="293">
        <v>613400</v>
      </c>
      <c r="F20" s="319"/>
      <c r="G20" s="11" t="s">
        <v>165</v>
      </c>
      <c r="H20" s="515">
        <v>1000</v>
      </c>
      <c r="I20" s="515">
        <v>1000</v>
      </c>
      <c r="J20" s="536">
        <v>310</v>
      </c>
      <c r="K20" s="554">
        <v>700</v>
      </c>
      <c r="L20" s="350">
        <v>0</v>
      </c>
      <c r="M20" s="548">
        <f t="shared" si="8"/>
        <v>700</v>
      </c>
      <c r="N20" s="334">
        <f t="shared" si="2"/>
        <v>70</v>
      </c>
    </row>
    <row r="21" spans="1:15" ht="12.95" customHeight="1">
      <c r="B21" s="10"/>
      <c r="C21" s="11"/>
      <c r="D21" s="11"/>
      <c r="E21" s="293">
        <v>613500</v>
      </c>
      <c r="F21" s="319"/>
      <c r="G21" s="11" t="s">
        <v>86</v>
      </c>
      <c r="H21" s="515">
        <v>5500</v>
      </c>
      <c r="I21" s="515">
        <v>5500</v>
      </c>
      <c r="J21" s="536">
        <v>3486</v>
      </c>
      <c r="K21" s="554">
        <v>5500</v>
      </c>
      <c r="L21" s="350">
        <v>0</v>
      </c>
      <c r="M21" s="548">
        <f t="shared" si="8"/>
        <v>5500</v>
      </c>
      <c r="N21" s="334">
        <f t="shared" si="2"/>
        <v>100</v>
      </c>
    </row>
    <row r="22" spans="1:15" ht="12.95" customHeight="1">
      <c r="B22" s="10"/>
      <c r="C22" s="11"/>
      <c r="D22" s="11"/>
      <c r="E22" s="293">
        <v>613600</v>
      </c>
      <c r="F22" s="319"/>
      <c r="G22" s="18" t="s">
        <v>201</v>
      </c>
      <c r="H22" s="515">
        <f t="shared" ref="H22:I26" si="9">SUM(F22:G22)</f>
        <v>0</v>
      </c>
      <c r="I22" s="515">
        <f t="shared" si="9"/>
        <v>0</v>
      </c>
      <c r="J22" s="536">
        <v>0</v>
      </c>
      <c r="K22" s="555">
        <v>0</v>
      </c>
      <c r="L22" s="352">
        <v>0</v>
      </c>
      <c r="M22" s="548">
        <f t="shared" si="8"/>
        <v>0</v>
      </c>
      <c r="N22" s="334" t="str">
        <f t="shared" si="2"/>
        <v/>
      </c>
    </row>
    <row r="23" spans="1:15" ht="12.95" customHeight="1">
      <c r="B23" s="10"/>
      <c r="C23" s="11"/>
      <c r="D23" s="11"/>
      <c r="E23" s="293">
        <v>613700</v>
      </c>
      <c r="F23" s="319"/>
      <c r="G23" s="11" t="s">
        <v>87</v>
      </c>
      <c r="H23" s="515">
        <v>4000</v>
      </c>
      <c r="I23" s="515">
        <v>4000</v>
      </c>
      <c r="J23" s="536">
        <v>890</v>
      </c>
      <c r="K23" s="555">
        <v>3500</v>
      </c>
      <c r="L23" s="352">
        <v>0</v>
      </c>
      <c r="M23" s="548">
        <f t="shared" si="8"/>
        <v>3500</v>
      </c>
      <c r="N23" s="334">
        <f t="shared" si="2"/>
        <v>87.5</v>
      </c>
      <c r="O23" s="48"/>
    </row>
    <row r="24" spans="1:15" ht="12.95" customHeight="1">
      <c r="B24" s="10"/>
      <c r="C24" s="11"/>
      <c r="D24" s="11"/>
      <c r="E24" s="293">
        <v>613800</v>
      </c>
      <c r="F24" s="319"/>
      <c r="G24" s="11" t="s">
        <v>166</v>
      </c>
      <c r="H24" s="515">
        <v>1000</v>
      </c>
      <c r="I24" s="515">
        <v>1000</v>
      </c>
      <c r="J24" s="536">
        <v>671</v>
      </c>
      <c r="K24" s="555">
        <v>680</v>
      </c>
      <c r="L24" s="352">
        <v>0</v>
      </c>
      <c r="M24" s="548">
        <f t="shared" si="8"/>
        <v>680</v>
      </c>
      <c r="N24" s="334">
        <f t="shared" si="2"/>
        <v>68</v>
      </c>
    </row>
    <row r="25" spans="1:15" ht="12.95" customHeight="1">
      <c r="B25" s="10"/>
      <c r="C25" s="11"/>
      <c r="D25" s="11"/>
      <c r="E25" s="293">
        <v>613900</v>
      </c>
      <c r="F25" s="319"/>
      <c r="G25" s="11" t="s">
        <v>167</v>
      </c>
      <c r="H25" s="515">
        <v>2700</v>
      </c>
      <c r="I25" s="515">
        <v>2700</v>
      </c>
      <c r="J25" s="536">
        <v>1650</v>
      </c>
      <c r="K25" s="555">
        <v>2700</v>
      </c>
      <c r="L25" s="352">
        <v>0</v>
      </c>
      <c r="M25" s="548">
        <f t="shared" si="8"/>
        <v>2700</v>
      </c>
      <c r="N25" s="334">
        <f t="shared" si="2"/>
        <v>100</v>
      </c>
      <c r="O25" s="48"/>
    </row>
    <row r="26" spans="1:15" ht="12.95" customHeight="1">
      <c r="B26" s="10"/>
      <c r="C26" s="11"/>
      <c r="D26" s="11"/>
      <c r="E26" s="293">
        <v>613900</v>
      </c>
      <c r="F26" s="319"/>
      <c r="G26" s="180" t="s">
        <v>535</v>
      </c>
      <c r="H26" s="515">
        <f t="shared" si="9"/>
        <v>0</v>
      </c>
      <c r="I26" s="515">
        <f t="shared" si="9"/>
        <v>0</v>
      </c>
      <c r="J26" s="536">
        <v>0</v>
      </c>
      <c r="K26" s="555">
        <v>0</v>
      </c>
      <c r="L26" s="352">
        <v>0</v>
      </c>
      <c r="M26" s="548">
        <f t="shared" si="8"/>
        <v>0</v>
      </c>
      <c r="N26" s="334" t="str">
        <f t="shared" si="2"/>
        <v/>
      </c>
    </row>
    <row r="27" spans="1:15" s="1" customFormat="1" ht="12.95" customHeight="1">
      <c r="A27" s="269"/>
      <c r="B27" s="12"/>
      <c r="C27" s="8"/>
      <c r="D27" s="8"/>
      <c r="E27" s="292"/>
      <c r="F27" s="318"/>
      <c r="G27" s="8"/>
      <c r="H27" s="516"/>
      <c r="I27" s="516"/>
      <c r="J27" s="537"/>
      <c r="K27" s="556"/>
      <c r="L27" s="283"/>
      <c r="M27" s="551"/>
      <c r="N27" s="334" t="str">
        <f t="shared" si="2"/>
        <v/>
      </c>
    </row>
    <row r="28" spans="1:15" s="1" customFormat="1" ht="12.95" customHeight="1">
      <c r="A28" s="269"/>
      <c r="B28" s="12"/>
      <c r="C28" s="8"/>
      <c r="D28" s="8"/>
      <c r="E28" s="292">
        <v>821000</v>
      </c>
      <c r="F28" s="318"/>
      <c r="G28" s="8" t="s">
        <v>90</v>
      </c>
      <c r="H28" s="262">
        <f t="shared" ref="H28:I28" si="10">SUM(H29:H30)</f>
        <v>2000</v>
      </c>
      <c r="I28" s="262">
        <f t="shared" si="10"/>
        <v>2000</v>
      </c>
      <c r="J28" s="538">
        <v>0</v>
      </c>
      <c r="K28" s="557">
        <f t="shared" ref="K28:M28" si="11">SUM(K29:K30)</f>
        <v>1000</v>
      </c>
      <c r="L28" s="282">
        <f t="shared" si="11"/>
        <v>0</v>
      </c>
      <c r="M28" s="553">
        <f t="shared" si="11"/>
        <v>1000</v>
      </c>
      <c r="N28" s="333">
        <f t="shared" si="2"/>
        <v>50</v>
      </c>
    </row>
    <row r="29" spans="1:15" ht="12.95" customHeight="1">
      <c r="B29" s="10"/>
      <c r="C29" s="11"/>
      <c r="D29" s="11"/>
      <c r="E29" s="293">
        <v>821200</v>
      </c>
      <c r="F29" s="319"/>
      <c r="G29" s="11" t="s">
        <v>91</v>
      </c>
      <c r="H29" s="515">
        <f t="shared" ref="H29:I29" si="12">SUM(F29:G29)</f>
        <v>0</v>
      </c>
      <c r="I29" s="515">
        <f t="shared" si="12"/>
        <v>0</v>
      </c>
      <c r="J29" s="536">
        <v>0</v>
      </c>
      <c r="K29" s="556">
        <v>0</v>
      </c>
      <c r="L29" s="283">
        <v>0</v>
      </c>
      <c r="M29" s="548">
        <f t="shared" ref="M29:M30" si="13">SUM(K29:L29)</f>
        <v>0</v>
      </c>
      <c r="N29" s="334" t="str">
        <f t="shared" si="2"/>
        <v/>
      </c>
    </row>
    <row r="30" spans="1:15" ht="12.95" customHeight="1">
      <c r="B30" s="10"/>
      <c r="C30" s="11"/>
      <c r="D30" s="11"/>
      <c r="E30" s="293">
        <v>821300</v>
      </c>
      <c r="F30" s="319"/>
      <c r="G30" s="11" t="s">
        <v>92</v>
      </c>
      <c r="H30" s="515">
        <v>2000</v>
      </c>
      <c r="I30" s="515">
        <v>2000</v>
      </c>
      <c r="J30" s="536">
        <v>0</v>
      </c>
      <c r="K30" s="556">
        <v>1000</v>
      </c>
      <c r="L30" s="283">
        <v>0</v>
      </c>
      <c r="M30" s="548">
        <f t="shared" si="13"/>
        <v>1000</v>
      </c>
      <c r="N30" s="334">
        <f t="shared" si="2"/>
        <v>50</v>
      </c>
    </row>
    <row r="31" spans="1:15" ht="12.95" customHeight="1">
      <c r="B31" s="10"/>
      <c r="C31" s="11"/>
      <c r="D31" s="11"/>
      <c r="E31" s="293"/>
      <c r="F31" s="319"/>
      <c r="G31" s="11"/>
      <c r="H31" s="516"/>
      <c r="I31" s="516"/>
      <c r="J31" s="537"/>
      <c r="K31" s="556"/>
      <c r="L31" s="283"/>
      <c r="M31" s="551"/>
      <c r="N31" s="334" t="str">
        <f t="shared" si="2"/>
        <v/>
      </c>
    </row>
    <row r="32" spans="1:15" s="1" customFormat="1" ht="12.95" customHeight="1">
      <c r="A32" s="269"/>
      <c r="B32" s="12"/>
      <c r="C32" s="8"/>
      <c r="D32" s="8"/>
      <c r="E32" s="292"/>
      <c r="F32" s="318"/>
      <c r="G32" s="8" t="s">
        <v>93</v>
      </c>
      <c r="H32" s="262">
        <v>14</v>
      </c>
      <c r="I32" s="262">
        <v>14</v>
      </c>
      <c r="J32" s="538">
        <v>14</v>
      </c>
      <c r="K32" s="558">
        <v>14</v>
      </c>
      <c r="L32" s="276"/>
      <c r="M32" s="553">
        <v>14</v>
      </c>
      <c r="N32" s="334"/>
    </row>
    <row r="33" spans="1:14" s="1" customFormat="1" ht="12.95" customHeight="1">
      <c r="A33" s="269"/>
      <c r="B33" s="12"/>
      <c r="C33" s="8"/>
      <c r="D33" s="8"/>
      <c r="E33" s="292"/>
      <c r="F33" s="318"/>
      <c r="G33" s="8" t="s">
        <v>113</v>
      </c>
      <c r="H33" s="262">
        <f t="shared" ref="H33:M33" si="14">H8+H13+H16+H28</f>
        <v>485920</v>
      </c>
      <c r="I33" s="276">
        <f t="shared" si="14"/>
        <v>485920</v>
      </c>
      <c r="J33" s="538">
        <f t="shared" si="14"/>
        <v>353810</v>
      </c>
      <c r="K33" s="558">
        <f t="shared" si="14"/>
        <v>486120</v>
      </c>
      <c r="L33" s="276">
        <f t="shared" si="14"/>
        <v>0</v>
      </c>
      <c r="M33" s="553">
        <f t="shared" si="14"/>
        <v>486120</v>
      </c>
      <c r="N33" s="333">
        <f t="shared" si="2"/>
        <v>100.04115903852487</v>
      </c>
    </row>
    <row r="34" spans="1:14" s="1" customFormat="1" ht="12.95" customHeight="1">
      <c r="A34" s="269"/>
      <c r="B34" s="12"/>
      <c r="C34" s="8"/>
      <c r="D34" s="8"/>
      <c r="E34" s="292"/>
      <c r="F34" s="318"/>
      <c r="G34" s="8" t="s">
        <v>94</v>
      </c>
      <c r="H34" s="262">
        <f t="shared" ref="H34:J35" si="15">H33</f>
        <v>485920</v>
      </c>
      <c r="I34" s="276">
        <f t="shared" si="15"/>
        <v>485920</v>
      </c>
      <c r="J34" s="538">
        <f t="shared" si="15"/>
        <v>353810</v>
      </c>
      <c r="K34" s="558">
        <f t="shared" ref="K34:M34" si="16">K33</f>
        <v>486120</v>
      </c>
      <c r="L34" s="276">
        <f t="shared" si="16"/>
        <v>0</v>
      </c>
      <c r="M34" s="553">
        <f t="shared" si="16"/>
        <v>486120</v>
      </c>
      <c r="N34" s="333">
        <f t="shared" si="2"/>
        <v>100.04115903852487</v>
      </c>
    </row>
    <row r="35" spans="1:14" s="1" customFormat="1" ht="12.95" customHeight="1">
      <c r="A35" s="269"/>
      <c r="B35" s="12"/>
      <c r="C35" s="8"/>
      <c r="D35" s="8"/>
      <c r="E35" s="292"/>
      <c r="F35" s="318"/>
      <c r="G35" s="8" t="s">
        <v>95</v>
      </c>
      <c r="H35" s="262">
        <f t="shared" si="15"/>
        <v>485920</v>
      </c>
      <c r="I35" s="276">
        <f t="shared" si="15"/>
        <v>485920</v>
      </c>
      <c r="J35" s="538">
        <f t="shared" si="15"/>
        <v>353810</v>
      </c>
      <c r="K35" s="558">
        <f t="shared" ref="K35:M35" si="17">K34</f>
        <v>486120</v>
      </c>
      <c r="L35" s="276">
        <f t="shared" si="17"/>
        <v>0</v>
      </c>
      <c r="M35" s="553">
        <f t="shared" si="17"/>
        <v>486120</v>
      </c>
      <c r="N35" s="333">
        <f t="shared" si="2"/>
        <v>100.04115903852487</v>
      </c>
    </row>
    <row r="36" spans="1:14" ht="12.95" customHeight="1" thickBot="1">
      <c r="B36" s="15"/>
      <c r="C36" s="16"/>
      <c r="D36" s="16"/>
      <c r="E36" s="294"/>
      <c r="F36" s="320"/>
      <c r="G36" s="16"/>
      <c r="H36" s="518"/>
      <c r="I36" s="27"/>
      <c r="J36" s="539"/>
      <c r="K36" s="559"/>
      <c r="L36" s="27"/>
      <c r="M36" s="560"/>
      <c r="N36" s="336" t="str">
        <f t="shared" si="2"/>
        <v/>
      </c>
    </row>
    <row r="37" spans="1:14" ht="12.95" customHeight="1">
      <c r="E37" s="295"/>
      <c r="F37" s="321"/>
      <c r="M37" s="370"/>
      <c r="N37" s="337" t="str">
        <f t="shared" si="2"/>
        <v/>
      </c>
    </row>
    <row r="38" spans="1:14" ht="12.95" customHeight="1">
      <c r="B38" s="48"/>
      <c r="E38" s="295"/>
      <c r="F38" s="321"/>
      <c r="M38" s="370"/>
      <c r="N38" s="337" t="str">
        <f t="shared" si="2"/>
        <v/>
      </c>
    </row>
    <row r="39" spans="1:14" ht="12.95" customHeight="1">
      <c r="E39" s="295"/>
      <c r="F39" s="321"/>
      <c r="M39" s="370"/>
      <c r="N39" s="337" t="str">
        <f t="shared" si="2"/>
        <v/>
      </c>
    </row>
    <row r="40" spans="1:14" ht="12.95" customHeight="1">
      <c r="E40" s="295"/>
      <c r="F40" s="321"/>
      <c r="M40" s="370"/>
      <c r="N40" s="337" t="str">
        <f t="shared" si="2"/>
        <v/>
      </c>
    </row>
    <row r="41" spans="1:14" ht="12.95" customHeight="1">
      <c r="E41" s="295"/>
      <c r="F41" s="321"/>
      <c r="M41" s="370"/>
      <c r="N41" s="337" t="str">
        <f t="shared" si="2"/>
        <v/>
      </c>
    </row>
    <row r="42" spans="1:14" ht="12.95" customHeight="1">
      <c r="E42" s="295"/>
      <c r="F42" s="321"/>
      <c r="M42" s="370"/>
      <c r="N42" s="337" t="str">
        <f t="shared" si="2"/>
        <v/>
      </c>
    </row>
    <row r="43" spans="1:14" ht="12.95" customHeight="1">
      <c r="E43" s="295"/>
      <c r="F43" s="321"/>
      <c r="M43" s="370"/>
      <c r="N43" s="337" t="str">
        <f t="shared" si="2"/>
        <v/>
      </c>
    </row>
    <row r="44" spans="1:14" ht="12.95" customHeight="1">
      <c r="E44" s="295"/>
      <c r="F44" s="321"/>
      <c r="M44" s="370"/>
      <c r="N44" s="337" t="str">
        <f t="shared" si="2"/>
        <v/>
      </c>
    </row>
    <row r="45" spans="1:14" ht="12.95" customHeight="1">
      <c r="E45" s="295"/>
      <c r="F45" s="321"/>
      <c r="M45" s="370"/>
      <c r="N45" s="337" t="str">
        <f t="shared" si="2"/>
        <v/>
      </c>
    </row>
    <row r="46" spans="1:14" ht="12.95" customHeight="1">
      <c r="E46" s="295"/>
      <c r="F46" s="321"/>
      <c r="M46" s="370"/>
      <c r="N46" s="337" t="str">
        <f t="shared" si="2"/>
        <v/>
      </c>
    </row>
    <row r="47" spans="1:14" ht="12.95" customHeight="1">
      <c r="E47" s="295"/>
      <c r="F47" s="321"/>
      <c r="M47" s="370"/>
      <c r="N47" s="337" t="str">
        <f t="shared" si="2"/>
        <v/>
      </c>
    </row>
    <row r="48" spans="1:14" ht="12.95" customHeight="1">
      <c r="E48" s="295"/>
      <c r="F48" s="321"/>
      <c r="M48" s="370"/>
      <c r="N48" s="337" t="str">
        <f t="shared" si="2"/>
        <v/>
      </c>
    </row>
    <row r="49" spans="5:14" ht="12.95" customHeight="1">
      <c r="E49" s="295"/>
      <c r="F49" s="321"/>
      <c r="M49" s="370"/>
      <c r="N49" s="337" t="str">
        <f t="shared" si="2"/>
        <v/>
      </c>
    </row>
    <row r="50" spans="5:14" ht="12.95" customHeight="1">
      <c r="E50" s="295"/>
      <c r="F50" s="321"/>
      <c r="M50" s="370"/>
      <c r="N50" s="337" t="str">
        <f t="shared" si="2"/>
        <v/>
      </c>
    </row>
    <row r="51" spans="5:14" ht="12.95" customHeight="1">
      <c r="E51" s="295"/>
      <c r="F51" s="321"/>
      <c r="M51" s="370"/>
      <c r="N51" s="337" t="str">
        <f t="shared" si="2"/>
        <v/>
      </c>
    </row>
    <row r="52" spans="5:14" ht="12.95" customHeight="1">
      <c r="E52" s="295"/>
      <c r="F52" s="321"/>
      <c r="M52" s="370"/>
      <c r="N52" s="337" t="str">
        <f t="shared" si="2"/>
        <v/>
      </c>
    </row>
    <row r="53" spans="5:14" ht="12.95" customHeight="1">
      <c r="E53" s="295"/>
      <c r="F53" s="321"/>
      <c r="M53" s="370"/>
      <c r="N53" s="337" t="str">
        <f t="shared" si="2"/>
        <v/>
      </c>
    </row>
    <row r="54" spans="5:14" ht="12.95" customHeight="1">
      <c r="E54" s="295"/>
      <c r="F54" s="321"/>
      <c r="M54" s="370"/>
      <c r="N54" s="337" t="str">
        <f t="shared" si="2"/>
        <v/>
      </c>
    </row>
    <row r="55" spans="5:14" ht="12.95" customHeight="1">
      <c r="E55" s="295"/>
      <c r="F55" s="321"/>
      <c r="M55" s="370"/>
      <c r="N55" s="337" t="str">
        <f t="shared" si="2"/>
        <v/>
      </c>
    </row>
    <row r="56" spans="5:14" ht="12.95" customHeight="1">
      <c r="E56" s="295"/>
      <c r="F56" s="321"/>
      <c r="M56" s="370"/>
      <c r="N56" s="337" t="str">
        <f t="shared" si="2"/>
        <v/>
      </c>
    </row>
    <row r="57" spans="5:14" ht="12.95" customHeight="1">
      <c r="E57" s="295"/>
      <c r="F57" s="321"/>
      <c r="M57" s="370"/>
      <c r="N57" s="337" t="str">
        <f t="shared" si="2"/>
        <v/>
      </c>
    </row>
    <row r="58" spans="5:14" ht="12.95" customHeight="1">
      <c r="E58" s="295"/>
      <c r="F58" s="321"/>
      <c r="M58" s="370"/>
      <c r="N58" s="337" t="str">
        <f t="shared" si="2"/>
        <v/>
      </c>
    </row>
    <row r="59" spans="5:14" ht="12.95" customHeight="1">
      <c r="E59" s="295"/>
      <c r="F59" s="321"/>
      <c r="M59" s="370"/>
      <c r="N59" s="337" t="str">
        <f t="shared" si="2"/>
        <v/>
      </c>
    </row>
    <row r="60" spans="5:14" ht="17.100000000000001" customHeight="1">
      <c r="E60" s="295"/>
      <c r="F60" s="321"/>
      <c r="M60" s="370"/>
      <c r="N60" s="337" t="str">
        <f t="shared" si="2"/>
        <v/>
      </c>
    </row>
    <row r="61" spans="5:14" ht="14.25">
      <c r="E61" s="295"/>
      <c r="F61" s="321"/>
      <c r="M61" s="370"/>
      <c r="N61" s="337" t="str">
        <f t="shared" si="2"/>
        <v/>
      </c>
    </row>
    <row r="62" spans="5:14" ht="14.25">
      <c r="E62" s="295"/>
      <c r="F62" s="321"/>
      <c r="M62" s="370"/>
      <c r="N62" s="337" t="str">
        <f t="shared" si="2"/>
        <v/>
      </c>
    </row>
    <row r="63" spans="5:14" ht="14.25">
      <c r="E63" s="295"/>
      <c r="F63" s="321"/>
      <c r="M63" s="370"/>
      <c r="N63" s="337" t="str">
        <f t="shared" si="2"/>
        <v/>
      </c>
    </row>
    <row r="64" spans="5:14" ht="14.25">
      <c r="E64" s="295"/>
      <c r="F64" s="321"/>
      <c r="M64" s="370"/>
      <c r="N64" s="337" t="str">
        <f t="shared" si="2"/>
        <v/>
      </c>
    </row>
    <row r="65" spans="5:14" ht="14.25">
      <c r="E65" s="295"/>
      <c r="F65" s="321"/>
      <c r="M65" s="370"/>
      <c r="N65" s="337" t="str">
        <f t="shared" si="2"/>
        <v/>
      </c>
    </row>
    <row r="66" spans="5:14" ht="14.25">
      <c r="E66" s="295"/>
      <c r="F66" s="321"/>
      <c r="M66" s="370"/>
      <c r="N66" s="337" t="str">
        <f t="shared" si="2"/>
        <v/>
      </c>
    </row>
    <row r="67" spans="5:14" ht="14.25">
      <c r="E67" s="295"/>
      <c r="F67" s="321"/>
      <c r="M67" s="370"/>
      <c r="N67" s="337" t="str">
        <f t="shared" si="2"/>
        <v/>
      </c>
    </row>
    <row r="68" spans="5:14" ht="14.25">
      <c r="E68" s="295"/>
      <c r="F68" s="321"/>
      <c r="M68" s="370"/>
      <c r="N68" s="337" t="str">
        <f t="shared" si="2"/>
        <v/>
      </c>
    </row>
    <row r="69" spans="5:14" ht="14.25">
      <c r="E69" s="295"/>
      <c r="F69" s="321"/>
      <c r="M69" s="370"/>
      <c r="N69" s="337" t="str">
        <f t="shared" si="2"/>
        <v/>
      </c>
    </row>
    <row r="70" spans="5:14" ht="14.25">
      <c r="E70" s="295"/>
      <c r="F70" s="321"/>
      <c r="M70" s="370"/>
      <c r="N70" s="337" t="str">
        <f t="shared" si="2"/>
        <v/>
      </c>
    </row>
    <row r="71" spans="5:14" ht="14.25">
      <c r="E71" s="295"/>
      <c r="F71" s="321"/>
      <c r="M71" s="370"/>
      <c r="N71" s="337" t="str">
        <f t="shared" si="2"/>
        <v/>
      </c>
    </row>
    <row r="72" spans="5:14" ht="14.25">
      <c r="E72" s="295"/>
      <c r="F72" s="321"/>
      <c r="M72" s="370"/>
      <c r="N72" s="337" t="str">
        <f t="shared" si="2"/>
        <v/>
      </c>
    </row>
    <row r="73" spans="5:14" ht="14.25">
      <c r="E73" s="295"/>
      <c r="F73" s="321"/>
      <c r="M73" s="370"/>
      <c r="N73" s="337" t="str">
        <f t="shared" ref="N73:N77" si="18">IF(I73=0,"",M73/I73*100)</f>
        <v/>
      </c>
    </row>
    <row r="74" spans="5:14" ht="14.25">
      <c r="E74" s="295"/>
      <c r="F74" s="295"/>
      <c r="M74" s="370"/>
      <c r="N74" s="337" t="str">
        <f t="shared" si="18"/>
        <v/>
      </c>
    </row>
    <row r="75" spans="5:14" ht="14.25">
      <c r="E75" s="295"/>
      <c r="F75" s="295"/>
      <c r="M75" s="370"/>
      <c r="N75" s="337" t="str">
        <f t="shared" si="18"/>
        <v/>
      </c>
    </row>
    <row r="76" spans="5:14" ht="14.25">
      <c r="E76" s="295"/>
      <c r="F76" s="295"/>
      <c r="M76" s="370"/>
      <c r="N76" s="337" t="str">
        <f t="shared" si="18"/>
        <v/>
      </c>
    </row>
    <row r="77" spans="5:14" ht="14.25">
      <c r="E77" s="295"/>
      <c r="F77" s="295"/>
      <c r="M77" s="370"/>
      <c r="N77" s="337" t="str">
        <f t="shared" si="18"/>
        <v/>
      </c>
    </row>
    <row r="78" spans="5:14" ht="14.25">
      <c r="E78" s="295"/>
      <c r="F78" s="295"/>
      <c r="M78" s="370"/>
    </row>
    <row r="79" spans="5:14" ht="14.25">
      <c r="E79" s="295"/>
      <c r="F79" s="295"/>
      <c r="M79" s="370"/>
    </row>
    <row r="80" spans="5:14" ht="14.25">
      <c r="E80" s="295"/>
      <c r="F80" s="295"/>
      <c r="M80" s="370"/>
    </row>
    <row r="81" spans="5:13" ht="14.25">
      <c r="E81" s="295"/>
      <c r="F81" s="295"/>
      <c r="M81" s="370"/>
    </row>
    <row r="82" spans="5:13" ht="14.25">
      <c r="E82" s="295"/>
      <c r="F82" s="295"/>
      <c r="M82" s="370"/>
    </row>
    <row r="83" spans="5:13" ht="14.25">
      <c r="E83" s="295"/>
      <c r="F83" s="295"/>
      <c r="M83" s="370"/>
    </row>
    <row r="84" spans="5:13" ht="14.25">
      <c r="E84" s="295"/>
      <c r="F84" s="295"/>
      <c r="M84" s="370"/>
    </row>
    <row r="85" spans="5:13" ht="14.25">
      <c r="E85" s="295"/>
      <c r="F85" s="295"/>
      <c r="M85" s="370"/>
    </row>
    <row r="86" spans="5:13" ht="14.25">
      <c r="E86" s="295"/>
      <c r="F86" s="295"/>
      <c r="M86" s="370"/>
    </row>
    <row r="87" spans="5:13" ht="14.25">
      <c r="E87" s="295"/>
      <c r="F87" s="295"/>
      <c r="M87" s="370"/>
    </row>
    <row r="88" spans="5:13" ht="14.25">
      <c r="E88" s="295"/>
      <c r="F88" s="295"/>
      <c r="M88" s="370"/>
    </row>
    <row r="89" spans="5:13" ht="14.25">
      <c r="E89" s="295"/>
      <c r="F89" s="295"/>
      <c r="M89" s="370"/>
    </row>
    <row r="90" spans="5:13" ht="14.25">
      <c r="E90" s="295"/>
      <c r="F90" s="295"/>
      <c r="M90" s="370"/>
    </row>
    <row r="91" spans="5:13">
      <c r="F91" s="295"/>
    </row>
    <row r="92" spans="5:13">
      <c r="F92" s="295"/>
    </row>
    <row r="93" spans="5:13">
      <c r="F93" s="295"/>
    </row>
    <row r="94" spans="5:13">
      <c r="F94" s="295"/>
    </row>
    <row r="95" spans="5:13">
      <c r="F95" s="295"/>
    </row>
    <row r="96" spans="5:13">
      <c r="F96" s="295"/>
    </row>
  </sheetData>
  <mergeCells count="12">
    <mergeCell ref="N4:N5"/>
    <mergeCell ref="G4:G5"/>
    <mergeCell ref="B2:G2"/>
    <mergeCell ref="B4:B5"/>
    <mergeCell ref="C4:C5"/>
    <mergeCell ref="D4:D5"/>
    <mergeCell ref="F4:F5"/>
    <mergeCell ref="E4:E5"/>
    <mergeCell ref="K4:M4"/>
    <mergeCell ref="H4:H5"/>
    <mergeCell ref="I4:I5"/>
    <mergeCell ref="J4:J5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00B050"/>
  </sheetPr>
  <dimension ref="A2:L44"/>
  <sheetViews>
    <sheetView zoomScaleNormal="100" workbookViewId="0">
      <selection activeCell="M6" sqref="M6"/>
    </sheetView>
  </sheetViews>
  <sheetFormatPr defaultRowHeight="12.75"/>
  <cols>
    <col min="1" max="1" width="11.85546875" style="33" customWidth="1"/>
    <col min="2" max="2" width="82.28515625" customWidth="1"/>
    <col min="3" max="11" width="10.7109375" customWidth="1"/>
    <col min="12" max="12" width="11.42578125" style="39" customWidth="1"/>
  </cols>
  <sheetData>
    <row r="2" spans="1:12" ht="15.75">
      <c r="A2" s="754" t="s">
        <v>837</v>
      </c>
      <c r="B2" s="755"/>
      <c r="C2" s="755"/>
      <c r="D2" s="755"/>
      <c r="E2" s="755"/>
      <c r="F2" s="755"/>
      <c r="G2" s="755"/>
      <c r="H2" s="755"/>
      <c r="I2" s="755"/>
      <c r="J2" s="755"/>
      <c r="K2" s="755"/>
      <c r="L2" s="755"/>
    </row>
    <row r="4" spans="1:12" s="39" customFormat="1" ht="51">
      <c r="A4" s="134" t="s">
        <v>396</v>
      </c>
      <c r="B4" s="135" t="s">
        <v>414</v>
      </c>
      <c r="C4" s="134" t="s">
        <v>407</v>
      </c>
      <c r="D4" s="134" t="s">
        <v>408</v>
      </c>
      <c r="E4" s="134" t="s">
        <v>415</v>
      </c>
      <c r="F4" s="134" t="s">
        <v>416</v>
      </c>
      <c r="G4" s="134" t="s">
        <v>409</v>
      </c>
      <c r="H4" s="134" t="s">
        <v>410</v>
      </c>
      <c r="I4" s="134" t="s">
        <v>411</v>
      </c>
      <c r="J4" s="134" t="s">
        <v>417</v>
      </c>
      <c r="K4" s="134" t="s">
        <v>412</v>
      </c>
      <c r="L4" s="134" t="s">
        <v>413</v>
      </c>
    </row>
    <row r="5" spans="1:12" ht="15.95" customHeight="1">
      <c r="A5" s="128">
        <v>10010001</v>
      </c>
      <c r="B5" s="21" t="s">
        <v>230</v>
      </c>
      <c r="C5" s="126">
        <f>'1'!M9</f>
        <v>486580</v>
      </c>
      <c r="D5" s="126">
        <f>'1'!M10+'1'!M11</f>
        <v>87750</v>
      </c>
      <c r="E5" s="126">
        <f>'1'!M13</f>
        <v>52300</v>
      </c>
      <c r="F5" s="126">
        <f>'1'!M16</f>
        <v>246880</v>
      </c>
      <c r="G5" s="126">
        <v>0</v>
      </c>
      <c r="H5" s="126">
        <v>0</v>
      </c>
      <c r="I5" s="21">
        <v>0</v>
      </c>
      <c r="J5" s="126">
        <f>'1'!M28</f>
        <v>6000</v>
      </c>
      <c r="K5" s="21">
        <v>0</v>
      </c>
      <c r="L5" s="127">
        <f>SUM(C5:K5)</f>
        <v>879510</v>
      </c>
    </row>
    <row r="6" spans="1:12" ht="15.95" customHeight="1">
      <c r="A6" s="128">
        <v>11010001</v>
      </c>
      <c r="B6" s="21" t="s">
        <v>231</v>
      </c>
      <c r="C6" s="126">
        <f>'3'!M14</f>
        <v>128650</v>
      </c>
      <c r="D6" s="126">
        <f>'3'!M15+'3'!M16</f>
        <v>90720</v>
      </c>
      <c r="E6" s="126">
        <f>'3'!M18</f>
        <v>13850</v>
      </c>
      <c r="F6" s="126">
        <f>'3'!M21</f>
        <v>297810</v>
      </c>
      <c r="G6" s="126">
        <f>'3'!M34</f>
        <v>790400</v>
      </c>
      <c r="H6" s="126">
        <f>'3'!M47</f>
        <v>400000</v>
      </c>
      <c r="I6" s="21">
        <v>0</v>
      </c>
      <c r="J6" s="126">
        <f>'3'!M50</f>
        <v>15000</v>
      </c>
      <c r="K6" s="21">
        <v>0</v>
      </c>
      <c r="L6" s="127">
        <f t="shared" ref="L6:L40" si="0">SUM(C6:K6)</f>
        <v>1736430</v>
      </c>
    </row>
    <row r="7" spans="1:12" ht="15.95" customHeight="1">
      <c r="A7" s="128">
        <v>11010002</v>
      </c>
      <c r="B7" s="21" t="s">
        <v>232</v>
      </c>
      <c r="C7" s="126">
        <f>'4'!M9</f>
        <v>44100</v>
      </c>
      <c r="D7" s="126">
        <f>'4'!M10+'4'!M11</f>
        <v>10820</v>
      </c>
      <c r="E7" s="126">
        <f>'4'!M13</f>
        <v>4830</v>
      </c>
      <c r="F7" s="126">
        <f>'4'!M16</f>
        <v>3300</v>
      </c>
      <c r="G7" s="126">
        <f>'4'!M28</f>
        <v>20000</v>
      </c>
      <c r="H7" s="21">
        <v>0</v>
      </c>
      <c r="I7" s="21">
        <v>0</v>
      </c>
      <c r="J7" s="126">
        <f>'4'!M31</f>
        <v>1000</v>
      </c>
      <c r="K7" s="21">
        <v>0</v>
      </c>
      <c r="L7" s="127">
        <f t="shared" si="0"/>
        <v>84050</v>
      </c>
    </row>
    <row r="8" spans="1:12" ht="15.95" customHeight="1">
      <c r="A8" s="128">
        <v>11010003</v>
      </c>
      <c r="B8" s="21" t="s">
        <v>233</v>
      </c>
      <c r="C8" s="126">
        <f>'5'!M9</f>
        <v>39000</v>
      </c>
      <c r="D8" s="126">
        <f>'5'!M10+'5'!M11</f>
        <v>6850</v>
      </c>
      <c r="E8" s="126">
        <f>'5'!M13</f>
        <v>4200</v>
      </c>
      <c r="F8" s="126">
        <f>'5'!M16</f>
        <v>1200</v>
      </c>
      <c r="G8" s="21">
        <v>0</v>
      </c>
      <c r="H8" s="21">
        <v>0</v>
      </c>
      <c r="I8" s="21">
        <v>0</v>
      </c>
      <c r="J8" s="126">
        <f>'5'!M28</f>
        <v>0</v>
      </c>
      <c r="K8" s="21">
        <v>0</v>
      </c>
      <c r="L8" s="127">
        <f t="shared" si="0"/>
        <v>51250</v>
      </c>
    </row>
    <row r="9" spans="1:12" ht="15.95" customHeight="1">
      <c r="A9" s="128">
        <v>11010004</v>
      </c>
      <c r="B9" s="21" t="s">
        <v>234</v>
      </c>
      <c r="C9" s="126">
        <f>'6'!M9</f>
        <v>65050</v>
      </c>
      <c r="D9" s="126">
        <f>'6'!M10+'6'!M11</f>
        <v>11400</v>
      </c>
      <c r="E9" s="126">
        <f>'6'!M13</f>
        <v>6940</v>
      </c>
      <c r="F9" s="126">
        <f>'6'!M16</f>
        <v>6300</v>
      </c>
      <c r="G9" s="21">
        <v>0</v>
      </c>
      <c r="H9" s="21">
        <v>0</v>
      </c>
      <c r="I9" s="21">
        <v>0</v>
      </c>
      <c r="J9" s="126">
        <f>'6'!M28</f>
        <v>1500</v>
      </c>
      <c r="K9" s="21">
        <v>0</v>
      </c>
      <c r="L9" s="127">
        <f t="shared" si="0"/>
        <v>91190</v>
      </c>
    </row>
    <row r="10" spans="1:12" ht="15.95" customHeight="1">
      <c r="A10" s="128">
        <v>11010005</v>
      </c>
      <c r="B10" s="224" t="s">
        <v>605</v>
      </c>
      <c r="C10" s="126">
        <f>'7'!M9</f>
        <v>133400</v>
      </c>
      <c r="D10" s="126">
        <f>'7'!M10+'7'!M11</f>
        <v>38850</v>
      </c>
      <c r="E10" s="126">
        <f>'7'!M13</f>
        <v>14300</v>
      </c>
      <c r="F10" s="126">
        <f>'7'!M16</f>
        <v>11400</v>
      </c>
      <c r="G10" s="21">
        <v>0</v>
      </c>
      <c r="H10" s="21">
        <v>0</v>
      </c>
      <c r="I10" s="21">
        <v>0</v>
      </c>
      <c r="J10" s="126">
        <f>'7'!M28</f>
        <v>1500</v>
      </c>
      <c r="K10" s="21">
        <v>0</v>
      </c>
      <c r="L10" s="127">
        <f t="shared" si="0"/>
        <v>199450</v>
      </c>
    </row>
    <row r="11" spans="1:12" ht="15.95" customHeight="1">
      <c r="A11" s="128">
        <v>12010001</v>
      </c>
      <c r="B11" s="21" t="s">
        <v>235</v>
      </c>
      <c r="C11" s="126">
        <f>'8'!M9</f>
        <v>218760</v>
      </c>
      <c r="D11" s="126">
        <f>'8'!M10+'8'!M11</f>
        <v>70210</v>
      </c>
      <c r="E11" s="126">
        <f>'8'!M13</f>
        <v>23500</v>
      </c>
      <c r="F11" s="126">
        <f>'8'!M16</f>
        <v>409600</v>
      </c>
      <c r="G11" s="21">
        <v>0</v>
      </c>
      <c r="H11" s="21">
        <v>0</v>
      </c>
      <c r="I11" s="21">
        <v>0</v>
      </c>
      <c r="J11" s="126">
        <f>'8'!M28</f>
        <v>80000</v>
      </c>
      <c r="K11" s="21">
        <v>0</v>
      </c>
      <c r="L11" s="127">
        <f t="shared" si="0"/>
        <v>802070</v>
      </c>
    </row>
    <row r="12" spans="1:12" ht="15.95" customHeight="1">
      <c r="A12" s="128">
        <v>13010001</v>
      </c>
      <c r="B12" s="21" t="s">
        <v>395</v>
      </c>
      <c r="C12" s="126">
        <f>'9'!M9</f>
        <v>4037760</v>
      </c>
      <c r="D12" s="126">
        <f>'9'!M10+'9'!M11</f>
        <v>874030</v>
      </c>
      <c r="E12" s="126">
        <f>'9'!M13</f>
        <v>623980</v>
      </c>
      <c r="F12" s="126">
        <f>'9'!M16</f>
        <v>762400</v>
      </c>
      <c r="G12" s="21">
        <v>0</v>
      </c>
      <c r="H12" s="21">
        <v>0</v>
      </c>
      <c r="I12" s="21">
        <v>0</v>
      </c>
      <c r="J12" s="126">
        <f>'9'!M28</f>
        <v>100000</v>
      </c>
      <c r="K12" s="21">
        <v>0</v>
      </c>
      <c r="L12" s="127">
        <f t="shared" si="0"/>
        <v>6398170</v>
      </c>
    </row>
    <row r="13" spans="1:12" ht="15.95" customHeight="1">
      <c r="A13" s="128">
        <v>14010001</v>
      </c>
      <c r="B13" s="21" t="s">
        <v>237</v>
      </c>
      <c r="C13" s="126">
        <f>'10'!M9</f>
        <v>83030</v>
      </c>
      <c r="D13" s="126">
        <f>'10'!M10+'10'!M11</f>
        <v>16400</v>
      </c>
      <c r="E13" s="126">
        <f>'10'!M13</f>
        <v>8880</v>
      </c>
      <c r="F13" s="126">
        <f>'10'!M16</f>
        <v>65800</v>
      </c>
      <c r="G13" s="21">
        <v>0</v>
      </c>
      <c r="H13" s="21">
        <v>0</v>
      </c>
      <c r="I13" s="21">
        <v>0</v>
      </c>
      <c r="J13" s="126">
        <f>'10'!M28</f>
        <v>3000</v>
      </c>
      <c r="K13" s="21">
        <v>0</v>
      </c>
      <c r="L13" s="127">
        <f t="shared" si="0"/>
        <v>177110</v>
      </c>
    </row>
    <row r="14" spans="1:12" ht="15.95" customHeight="1">
      <c r="A14" s="128">
        <v>14020003</v>
      </c>
      <c r="B14" s="21" t="s">
        <v>238</v>
      </c>
      <c r="C14" s="126">
        <f>'11'!M9</f>
        <v>972620</v>
      </c>
      <c r="D14" s="126">
        <f>'11'!M10+'11'!M11</f>
        <v>174710</v>
      </c>
      <c r="E14" s="126">
        <f>'11'!M13</f>
        <v>105480</v>
      </c>
      <c r="F14" s="126">
        <f>'11'!M16</f>
        <v>273300</v>
      </c>
      <c r="G14" s="21">
        <v>0</v>
      </c>
      <c r="H14" s="21">
        <v>0</v>
      </c>
      <c r="I14" s="21">
        <v>0</v>
      </c>
      <c r="J14" s="126">
        <f>'11'!M29</f>
        <v>25000</v>
      </c>
      <c r="K14" s="21">
        <v>0</v>
      </c>
      <c r="L14" s="127">
        <f t="shared" si="0"/>
        <v>1551110</v>
      </c>
    </row>
    <row r="15" spans="1:12" ht="15.95" customHeight="1">
      <c r="A15" s="128">
        <v>14050001</v>
      </c>
      <c r="B15" s="21" t="s">
        <v>239</v>
      </c>
      <c r="C15" s="126">
        <f>'12'!M9</f>
        <v>29170</v>
      </c>
      <c r="D15" s="126">
        <f>'12'!M10+'12'!M11</f>
        <v>4040</v>
      </c>
      <c r="E15" s="126">
        <f>'12'!M13</f>
        <v>3160</v>
      </c>
      <c r="F15" s="126">
        <f>'12'!M16</f>
        <v>2300</v>
      </c>
      <c r="G15" s="21">
        <v>0</v>
      </c>
      <c r="H15" s="21">
        <v>0</v>
      </c>
      <c r="I15" s="21">
        <v>0</v>
      </c>
      <c r="J15" s="126">
        <f>'12'!M28</f>
        <v>1000</v>
      </c>
      <c r="K15" s="21">
        <v>0</v>
      </c>
      <c r="L15" s="127">
        <f t="shared" si="0"/>
        <v>39670</v>
      </c>
    </row>
    <row r="16" spans="1:12" ht="15.95" customHeight="1">
      <c r="A16" s="128">
        <v>14050002</v>
      </c>
      <c r="B16" s="21" t="s">
        <v>240</v>
      </c>
      <c r="C16" s="126">
        <f>'13'!M9</f>
        <v>31540</v>
      </c>
      <c r="D16" s="126">
        <f>'13'!M10+'13'!M11</f>
        <v>7520</v>
      </c>
      <c r="E16" s="126">
        <f>'13'!M13</f>
        <v>3430</v>
      </c>
      <c r="F16" s="126">
        <f>'13'!M16</f>
        <v>2550</v>
      </c>
      <c r="G16" s="21">
        <v>0</v>
      </c>
      <c r="H16" s="21">
        <v>0</v>
      </c>
      <c r="I16" s="21">
        <v>0</v>
      </c>
      <c r="J16" s="126">
        <f>'13'!M28</f>
        <v>1000</v>
      </c>
      <c r="K16" s="21">
        <v>0</v>
      </c>
      <c r="L16" s="127">
        <f t="shared" si="0"/>
        <v>46040</v>
      </c>
    </row>
    <row r="17" spans="1:12" ht="15.95" customHeight="1">
      <c r="A17" s="128">
        <v>14060001</v>
      </c>
      <c r="B17" s="21" t="s">
        <v>241</v>
      </c>
      <c r="C17" s="126">
        <f>'14'!M9</f>
        <v>67970</v>
      </c>
      <c r="D17" s="126">
        <f>'14'!M10+'14'!M11</f>
        <v>12810</v>
      </c>
      <c r="E17" s="126">
        <f>'14'!M13</f>
        <v>7480</v>
      </c>
      <c r="F17" s="126">
        <f>'14'!M16</f>
        <v>4800</v>
      </c>
      <c r="G17" s="21">
        <v>0</v>
      </c>
      <c r="H17" s="21">
        <v>0</v>
      </c>
      <c r="I17" s="21">
        <v>0</v>
      </c>
      <c r="J17" s="126">
        <f>'14'!M28</f>
        <v>500</v>
      </c>
      <c r="K17" s="21">
        <v>0</v>
      </c>
      <c r="L17" s="127">
        <f t="shared" si="0"/>
        <v>93560</v>
      </c>
    </row>
    <row r="18" spans="1:12" ht="15.95" customHeight="1">
      <c r="A18" s="128">
        <v>15010001</v>
      </c>
      <c r="B18" s="21" t="s">
        <v>242</v>
      </c>
      <c r="C18" s="126">
        <f>'15'!M9</f>
        <v>179180</v>
      </c>
      <c r="D18" s="126">
        <f>'15'!M10+'15'!M11</f>
        <v>37890</v>
      </c>
      <c r="E18" s="126">
        <f>'15'!M13</f>
        <v>19300</v>
      </c>
      <c r="F18" s="126">
        <f>'15'!M16</f>
        <v>86450</v>
      </c>
      <c r="G18" s="126">
        <f>'15'!M29</f>
        <v>1150000</v>
      </c>
      <c r="H18" s="21">
        <v>0</v>
      </c>
      <c r="I18" s="21">
        <v>0</v>
      </c>
      <c r="J18" s="126">
        <f>'15'!M32</f>
        <v>860</v>
      </c>
      <c r="K18" s="21">
        <v>0</v>
      </c>
      <c r="L18" s="127">
        <f t="shared" si="0"/>
        <v>1473680</v>
      </c>
    </row>
    <row r="19" spans="1:12" ht="15.95" customHeight="1">
      <c r="A19" s="128">
        <v>16010001</v>
      </c>
      <c r="B19" s="21" t="s">
        <v>243</v>
      </c>
      <c r="C19" s="126">
        <f>'16'!M12</f>
        <v>302400</v>
      </c>
      <c r="D19" s="126">
        <f>'16'!M13+'16'!M14</f>
        <v>69830</v>
      </c>
      <c r="E19" s="126">
        <f>'16'!M16</f>
        <v>32570</v>
      </c>
      <c r="F19" s="126">
        <f>'16'!M19</f>
        <v>102300</v>
      </c>
      <c r="G19" s="126">
        <f>'16'!M32</f>
        <v>338300</v>
      </c>
      <c r="H19" s="21">
        <v>0</v>
      </c>
      <c r="I19" s="126">
        <f>'16'!M37</f>
        <v>49580</v>
      </c>
      <c r="J19" s="126">
        <f>'16'!M41</f>
        <v>1380</v>
      </c>
      <c r="K19" s="126">
        <f>'16'!M45</f>
        <v>519710</v>
      </c>
      <c r="L19" s="127">
        <f t="shared" si="0"/>
        <v>1416070</v>
      </c>
    </row>
    <row r="20" spans="1:12" ht="15.95" customHeight="1">
      <c r="A20" s="128">
        <v>17010001</v>
      </c>
      <c r="B20" s="21" t="s">
        <v>244</v>
      </c>
      <c r="C20" s="126">
        <f>'17'!M9</f>
        <v>217370</v>
      </c>
      <c r="D20" s="126">
        <f>'17'!M10+'17'!M11</f>
        <v>43480</v>
      </c>
      <c r="E20" s="126">
        <f>'17'!M13</f>
        <v>23530</v>
      </c>
      <c r="F20" s="126">
        <f>'17'!M16</f>
        <v>75110</v>
      </c>
      <c r="G20" s="126">
        <f>'17'!M28</f>
        <v>4300000</v>
      </c>
      <c r="H20" s="126">
        <v>0</v>
      </c>
      <c r="I20" s="21">
        <v>0</v>
      </c>
      <c r="J20" s="126">
        <f>'17'!M34</f>
        <v>1500</v>
      </c>
      <c r="K20" s="21">
        <v>0</v>
      </c>
      <c r="L20" s="127">
        <f t="shared" si="0"/>
        <v>4660990</v>
      </c>
    </row>
    <row r="21" spans="1:12" ht="15.95" customHeight="1">
      <c r="A21" s="128">
        <v>18010001</v>
      </c>
      <c r="B21" s="21" t="s">
        <v>245</v>
      </c>
      <c r="C21" s="126">
        <f>'18'!M9</f>
        <v>206160</v>
      </c>
      <c r="D21" s="126">
        <f>'18'!M10+'18'!M11</f>
        <v>49640</v>
      </c>
      <c r="E21" s="126">
        <f>'18'!M13</f>
        <v>22180</v>
      </c>
      <c r="F21" s="126">
        <f>'18'!M16</f>
        <v>220800</v>
      </c>
      <c r="G21" s="126">
        <f>'18'!M29</f>
        <v>180000</v>
      </c>
      <c r="H21" s="21">
        <v>0</v>
      </c>
      <c r="I21" s="21">
        <v>0</v>
      </c>
      <c r="J21" s="126">
        <f>'18'!M33</f>
        <v>894600</v>
      </c>
      <c r="K21" s="21">
        <v>0</v>
      </c>
      <c r="L21" s="127">
        <f t="shared" si="0"/>
        <v>1573380</v>
      </c>
    </row>
    <row r="22" spans="1:12" ht="15.95" customHeight="1">
      <c r="A22" s="128">
        <v>19010001</v>
      </c>
      <c r="B22" s="21" t="s">
        <v>246</v>
      </c>
      <c r="C22" s="126">
        <f>'19'!M9</f>
        <v>495690</v>
      </c>
      <c r="D22" s="126">
        <f>'19'!M10+'19'!M11</f>
        <v>108900</v>
      </c>
      <c r="E22" s="126">
        <f>'19'!M13</f>
        <v>53930</v>
      </c>
      <c r="F22" s="126">
        <f>'19'!M16</f>
        <v>82760</v>
      </c>
      <c r="G22" s="126">
        <f>'19'!M28</f>
        <v>1870000</v>
      </c>
      <c r="H22" s="21">
        <v>0</v>
      </c>
      <c r="I22" s="21">
        <v>0</v>
      </c>
      <c r="J22" s="126">
        <f>'19'!M34</f>
        <v>40000</v>
      </c>
      <c r="K22" s="21">
        <v>0</v>
      </c>
      <c r="L22" s="127">
        <f t="shared" si="0"/>
        <v>2651280</v>
      </c>
    </row>
    <row r="23" spans="1:12" ht="15.95" customHeight="1">
      <c r="A23" s="128">
        <v>20010001</v>
      </c>
      <c r="B23" s="21" t="s">
        <v>247</v>
      </c>
      <c r="C23" s="126">
        <f>'20'!M9</f>
        <v>261760</v>
      </c>
      <c r="D23" s="126">
        <f>'20'!M10+'20'!M11</f>
        <v>44880</v>
      </c>
      <c r="E23" s="126">
        <f>'20'!M13</f>
        <v>28050</v>
      </c>
      <c r="F23" s="126">
        <f>'20'!M16</f>
        <v>88160</v>
      </c>
      <c r="G23" s="126">
        <f>'20'!M30</f>
        <v>1250500</v>
      </c>
      <c r="H23" s="126">
        <v>0</v>
      </c>
      <c r="I23" s="126">
        <f>'20'!M41</f>
        <v>2420</v>
      </c>
      <c r="J23" s="126">
        <f>'20'!M44</f>
        <v>182790</v>
      </c>
      <c r="K23" s="126">
        <f>'20'!M48</f>
        <v>71440</v>
      </c>
      <c r="L23" s="127">
        <f t="shared" si="0"/>
        <v>1930000</v>
      </c>
    </row>
    <row r="24" spans="1:12" ht="15.95" customHeight="1">
      <c r="A24" s="128">
        <v>20020002</v>
      </c>
      <c r="B24" s="21" t="s">
        <v>397</v>
      </c>
      <c r="C24" s="126">
        <f>'21'!M9</f>
        <v>864510</v>
      </c>
      <c r="D24" s="126">
        <f>'21'!M10+'21'!M11</f>
        <v>200640</v>
      </c>
      <c r="E24" s="126">
        <f>'21'!M13</f>
        <v>94230</v>
      </c>
      <c r="F24" s="126">
        <f>'21'!M16</f>
        <v>180000</v>
      </c>
      <c r="G24" s="21">
        <v>0</v>
      </c>
      <c r="H24" s="21">
        <v>0</v>
      </c>
      <c r="I24" s="21">
        <v>0</v>
      </c>
      <c r="J24" s="126">
        <f>'21'!M28</f>
        <v>21860</v>
      </c>
      <c r="K24" s="21">
        <v>0</v>
      </c>
      <c r="L24" s="127">
        <f t="shared" si="0"/>
        <v>1361240</v>
      </c>
    </row>
    <row r="25" spans="1:12" ht="15.95" customHeight="1">
      <c r="A25" s="128">
        <v>20020003</v>
      </c>
      <c r="B25" s="21" t="s">
        <v>398</v>
      </c>
      <c r="C25" s="126">
        <f>'22'!M9</f>
        <v>843310</v>
      </c>
      <c r="D25" s="126">
        <f>'22'!M10+'22'!M11</f>
        <v>212180</v>
      </c>
      <c r="E25" s="126">
        <f>'22'!M13</f>
        <v>91080</v>
      </c>
      <c r="F25" s="126">
        <f>'22'!M16</f>
        <v>220950</v>
      </c>
      <c r="G25" s="21">
        <v>0</v>
      </c>
      <c r="H25" s="21">
        <v>0</v>
      </c>
      <c r="I25" s="21">
        <v>0</v>
      </c>
      <c r="J25" s="126">
        <f>'22'!M28</f>
        <v>10000</v>
      </c>
      <c r="K25" s="21">
        <v>0</v>
      </c>
      <c r="L25" s="127">
        <f t="shared" si="0"/>
        <v>1377520</v>
      </c>
    </row>
    <row r="26" spans="1:12" ht="15.95" customHeight="1">
      <c r="A26" s="128">
        <v>20020004</v>
      </c>
      <c r="B26" s="21" t="s">
        <v>399</v>
      </c>
      <c r="C26" s="126">
        <f>'23'!M9</f>
        <v>702310</v>
      </c>
      <c r="D26" s="126">
        <f>'23'!M10+'23'!M11</f>
        <v>152440</v>
      </c>
      <c r="E26" s="126">
        <f>'23'!M13</f>
        <v>75690</v>
      </c>
      <c r="F26" s="126">
        <f>'23'!M16</f>
        <v>126200</v>
      </c>
      <c r="G26" s="21">
        <v>0</v>
      </c>
      <c r="H26" s="21">
        <v>0</v>
      </c>
      <c r="I26" s="21">
        <v>0</v>
      </c>
      <c r="J26" s="126">
        <f>'23'!M29</f>
        <v>36970</v>
      </c>
      <c r="K26" s="21">
        <v>0</v>
      </c>
      <c r="L26" s="127">
        <f t="shared" si="0"/>
        <v>1093610</v>
      </c>
    </row>
    <row r="27" spans="1:12" ht="15.95" customHeight="1">
      <c r="A27" s="128">
        <v>20030001</v>
      </c>
      <c r="B27" s="21" t="s">
        <v>400</v>
      </c>
      <c r="C27" s="126">
        <f>'24'!M9</f>
        <v>844750</v>
      </c>
      <c r="D27" s="126">
        <f>'24'!M10+'24'!M11</f>
        <v>181330</v>
      </c>
      <c r="E27" s="126">
        <f>'24'!M13</f>
        <v>91430</v>
      </c>
      <c r="F27" s="126">
        <f>'24'!M16</f>
        <v>103400</v>
      </c>
      <c r="G27" s="21">
        <v>0</v>
      </c>
      <c r="H27" s="21">
        <v>0</v>
      </c>
      <c r="I27" s="21">
        <v>0</v>
      </c>
      <c r="J27" s="126">
        <f>'24'!M28</f>
        <v>5000</v>
      </c>
      <c r="K27" s="21">
        <v>0</v>
      </c>
      <c r="L27" s="127">
        <f t="shared" si="0"/>
        <v>1225910</v>
      </c>
    </row>
    <row r="28" spans="1:12" ht="15.95" customHeight="1">
      <c r="A28" s="128">
        <v>20030002</v>
      </c>
      <c r="B28" s="21" t="s">
        <v>401</v>
      </c>
      <c r="C28" s="126">
        <f>'25'!M9</f>
        <v>1812050</v>
      </c>
      <c r="D28" s="126">
        <f>'25'!M10+'25'!M11</f>
        <v>397180</v>
      </c>
      <c r="E28" s="126">
        <f>'25'!M13</f>
        <v>197670</v>
      </c>
      <c r="F28" s="126">
        <f>'25'!M16</f>
        <v>210000</v>
      </c>
      <c r="G28" s="21">
        <v>0</v>
      </c>
      <c r="H28" s="21">
        <v>0</v>
      </c>
      <c r="I28" s="21">
        <v>0</v>
      </c>
      <c r="J28" s="126">
        <f>'25'!M28</f>
        <v>33730</v>
      </c>
      <c r="K28" s="21">
        <v>0</v>
      </c>
      <c r="L28" s="127">
        <f t="shared" si="0"/>
        <v>2650630</v>
      </c>
    </row>
    <row r="29" spans="1:12" ht="15.95" customHeight="1">
      <c r="A29" s="128">
        <v>20030003</v>
      </c>
      <c r="B29" s="21" t="s">
        <v>402</v>
      </c>
      <c r="C29" s="126">
        <f>'26'!M9</f>
        <v>510060</v>
      </c>
      <c r="D29" s="126">
        <f>'26'!M10+'26'!M11</f>
        <v>113430</v>
      </c>
      <c r="E29" s="126">
        <f>'26'!M13</f>
        <v>55980</v>
      </c>
      <c r="F29" s="126">
        <f>'26'!M16</f>
        <v>58500</v>
      </c>
      <c r="G29" s="21">
        <v>0</v>
      </c>
      <c r="H29" s="21">
        <v>0</v>
      </c>
      <c r="I29" s="21">
        <v>0</v>
      </c>
      <c r="J29" s="126">
        <f>'26'!M28</f>
        <v>20000</v>
      </c>
      <c r="K29" s="21">
        <v>0</v>
      </c>
      <c r="L29" s="127">
        <f t="shared" si="0"/>
        <v>757970</v>
      </c>
    </row>
    <row r="30" spans="1:12" ht="15.95" customHeight="1">
      <c r="A30" s="128">
        <v>20030004</v>
      </c>
      <c r="B30" s="21" t="s">
        <v>403</v>
      </c>
      <c r="C30" s="126">
        <f>'27'!M9</f>
        <v>644310</v>
      </c>
      <c r="D30" s="126">
        <f>'27'!M10+'27'!M11</f>
        <v>136520</v>
      </c>
      <c r="E30" s="126">
        <f>'27'!M13</f>
        <v>71490</v>
      </c>
      <c r="F30" s="126">
        <f>'27'!M16</f>
        <v>63300</v>
      </c>
      <c r="G30" s="21">
        <v>0</v>
      </c>
      <c r="H30" s="21">
        <v>0</v>
      </c>
      <c r="I30" s="21">
        <v>0</v>
      </c>
      <c r="J30" s="126">
        <f>'27'!M28</f>
        <v>17000</v>
      </c>
      <c r="K30" s="21">
        <v>0</v>
      </c>
      <c r="L30" s="127">
        <f t="shared" si="0"/>
        <v>932620</v>
      </c>
    </row>
    <row r="31" spans="1:12" ht="15.95" customHeight="1">
      <c r="A31" s="128">
        <v>20030005</v>
      </c>
      <c r="B31" s="21" t="s">
        <v>404</v>
      </c>
      <c r="C31" s="126">
        <f>'28'!M9</f>
        <v>780840</v>
      </c>
      <c r="D31" s="126">
        <f>'28'!M10+'28'!M11</f>
        <v>176110</v>
      </c>
      <c r="E31" s="126">
        <f>'28'!M13</f>
        <v>87260</v>
      </c>
      <c r="F31" s="126">
        <f>'28'!M16</f>
        <v>95650</v>
      </c>
      <c r="G31" s="21">
        <v>0</v>
      </c>
      <c r="H31" s="21">
        <v>0</v>
      </c>
      <c r="I31" s="21">
        <v>0</v>
      </c>
      <c r="J31" s="126">
        <f>'28'!M28</f>
        <v>30000</v>
      </c>
      <c r="K31" s="21">
        <v>0</v>
      </c>
      <c r="L31" s="127">
        <f t="shared" si="0"/>
        <v>1169860</v>
      </c>
    </row>
    <row r="32" spans="1:12" ht="15.95" customHeight="1">
      <c r="A32" s="128">
        <v>20030006</v>
      </c>
      <c r="B32" s="21" t="s">
        <v>405</v>
      </c>
      <c r="C32" s="126">
        <f>'29'!M9</f>
        <v>304150</v>
      </c>
      <c r="D32" s="126">
        <f>'29'!M10+'29'!M11</f>
        <v>72920</v>
      </c>
      <c r="E32" s="126">
        <f>'29'!M13</f>
        <v>33690</v>
      </c>
      <c r="F32" s="126">
        <f>'29'!M16</f>
        <v>47580</v>
      </c>
      <c r="G32" s="21">
        <v>0</v>
      </c>
      <c r="H32" s="21">
        <v>0</v>
      </c>
      <c r="I32" s="21">
        <v>0</v>
      </c>
      <c r="J32" s="126">
        <f>'29'!M28</f>
        <v>8000</v>
      </c>
      <c r="K32" s="21">
        <v>0</v>
      </c>
      <c r="L32" s="127">
        <f t="shared" si="0"/>
        <v>466340</v>
      </c>
    </row>
    <row r="33" spans="1:12" ht="15.95" customHeight="1">
      <c r="A33" s="128">
        <v>20030007</v>
      </c>
      <c r="B33" s="21" t="s">
        <v>406</v>
      </c>
      <c r="C33" s="126">
        <f>'30'!M9</f>
        <v>463780</v>
      </c>
      <c r="D33" s="126">
        <f>'30'!M10+'30'!M11</f>
        <v>110910</v>
      </c>
      <c r="E33" s="126">
        <f>'30'!M13</f>
        <v>49800</v>
      </c>
      <c r="F33" s="126">
        <f>'30'!M16</f>
        <v>63200</v>
      </c>
      <c r="G33" s="21">
        <v>0</v>
      </c>
      <c r="H33" s="21">
        <v>0</v>
      </c>
      <c r="I33" s="21">
        <v>0</v>
      </c>
      <c r="J33" s="126">
        <f>'30'!M28</f>
        <v>5000</v>
      </c>
      <c r="K33" s="21">
        <v>0</v>
      </c>
      <c r="L33" s="127">
        <f t="shared" si="0"/>
        <v>692690</v>
      </c>
    </row>
    <row r="34" spans="1:12" ht="15.95" customHeight="1">
      <c r="A34" s="128">
        <v>21010001</v>
      </c>
      <c r="B34" s="21" t="s">
        <v>257</v>
      </c>
      <c r="C34" s="126">
        <f>'31'!M9</f>
        <v>204510</v>
      </c>
      <c r="D34" s="126">
        <f>'31'!M10+'31'!M11</f>
        <v>63250</v>
      </c>
      <c r="E34" s="126">
        <f>'31'!M13</f>
        <v>22060</v>
      </c>
      <c r="F34" s="126">
        <f>'31'!M16</f>
        <v>48300</v>
      </c>
      <c r="G34" s="126">
        <f>'31'!M28</f>
        <v>1100000</v>
      </c>
      <c r="H34" s="21">
        <v>0</v>
      </c>
      <c r="I34" s="21">
        <v>0</v>
      </c>
      <c r="J34" s="126">
        <f>'31'!M31</f>
        <v>3000</v>
      </c>
      <c r="K34" s="21">
        <v>0</v>
      </c>
      <c r="L34" s="127">
        <f t="shared" si="0"/>
        <v>1441120</v>
      </c>
    </row>
    <row r="35" spans="1:12" ht="15.95" customHeight="1">
      <c r="A35" s="128">
        <v>22010001</v>
      </c>
      <c r="B35" s="21" t="s">
        <v>258</v>
      </c>
      <c r="C35" s="126">
        <f>'32'!M9</f>
        <v>84600</v>
      </c>
      <c r="D35" s="126">
        <f>'32'!M10+'32'!M11</f>
        <v>21200</v>
      </c>
      <c r="E35" s="126">
        <f>'32'!M13</f>
        <v>9200</v>
      </c>
      <c r="F35" s="126">
        <f>'32'!M16</f>
        <v>15700</v>
      </c>
      <c r="G35" s="21">
        <v>0</v>
      </c>
      <c r="H35" s="21">
        <v>0</v>
      </c>
      <c r="I35" s="21">
        <v>0</v>
      </c>
      <c r="J35" s="126">
        <f>'32'!M28</f>
        <v>0</v>
      </c>
      <c r="K35" s="21">
        <v>0</v>
      </c>
      <c r="L35" s="127">
        <f t="shared" si="0"/>
        <v>130700</v>
      </c>
    </row>
    <row r="36" spans="1:12" ht="15.95" customHeight="1">
      <c r="A36" s="128">
        <v>23010001</v>
      </c>
      <c r="B36" s="21" t="s">
        <v>259</v>
      </c>
      <c r="C36" s="126">
        <f>'33'!M9</f>
        <v>179360</v>
      </c>
      <c r="D36" s="126">
        <f>'33'!M10+'33'!M11</f>
        <v>49390</v>
      </c>
      <c r="E36" s="126">
        <f>'33'!M13</f>
        <v>19980</v>
      </c>
      <c r="F36" s="126">
        <f>'33'!M16</f>
        <v>56200</v>
      </c>
      <c r="G36" s="126">
        <f>'33'!M28</f>
        <v>40000</v>
      </c>
      <c r="H36" s="21">
        <v>0</v>
      </c>
      <c r="I36" s="21">
        <v>0</v>
      </c>
      <c r="J36" s="126">
        <f>'33'!M32</f>
        <v>34400</v>
      </c>
      <c r="K36" s="21">
        <v>0</v>
      </c>
      <c r="L36" s="127">
        <f t="shared" si="0"/>
        <v>379330</v>
      </c>
    </row>
    <row r="37" spans="1:12" ht="15.95" customHeight="1">
      <c r="A37" s="128">
        <v>24010001</v>
      </c>
      <c r="B37" s="21" t="s">
        <v>260</v>
      </c>
      <c r="C37" s="126">
        <f>'34'!M9</f>
        <v>450070</v>
      </c>
      <c r="D37" s="126">
        <f>'34'!M10+'34'!M11</f>
        <v>71880</v>
      </c>
      <c r="E37" s="126">
        <f>'34'!M13</f>
        <v>48310</v>
      </c>
      <c r="F37" s="126">
        <f>'34'!M16</f>
        <v>109100</v>
      </c>
      <c r="G37" s="21">
        <v>0</v>
      </c>
      <c r="H37" s="21">
        <v>0</v>
      </c>
      <c r="I37" s="21">
        <v>0</v>
      </c>
      <c r="J37" s="126">
        <f>'34'!M28</f>
        <v>10000</v>
      </c>
      <c r="K37" s="21">
        <v>0</v>
      </c>
      <c r="L37" s="127">
        <f t="shared" si="0"/>
        <v>689360</v>
      </c>
    </row>
    <row r="38" spans="1:12" ht="15.95" customHeight="1">
      <c r="A38" s="128">
        <v>26010001</v>
      </c>
      <c r="B38" s="21" t="s">
        <v>261</v>
      </c>
      <c r="C38" s="126">
        <f>'35'!M9</f>
        <v>59300</v>
      </c>
      <c r="D38" s="126">
        <f>'35'!M10+'35'!M11</f>
        <v>9240</v>
      </c>
      <c r="E38" s="126">
        <f>'35'!M13</f>
        <v>6440</v>
      </c>
      <c r="F38" s="126">
        <f>'35'!M16</f>
        <v>17700</v>
      </c>
      <c r="G38" s="126">
        <v>0</v>
      </c>
      <c r="H38" s="21">
        <v>0</v>
      </c>
      <c r="I38" s="21">
        <v>0</v>
      </c>
      <c r="J38" s="126">
        <f>'35'!M28</f>
        <v>1000</v>
      </c>
      <c r="K38" s="21">
        <v>0</v>
      </c>
      <c r="L38" s="127">
        <f t="shared" si="0"/>
        <v>93680</v>
      </c>
    </row>
    <row r="39" spans="1:12" ht="15.95" customHeight="1">
      <c r="A39" s="128">
        <v>27010001</v>
      </c>
      <c r="B39" s="21" t="s">
        <v>262</v>
      </c>
      <c r="C39" s="126">
        <f>'36'!M9</f>
        <v>390220</v>
      </c>
      <c r="D39" s="126">
        <f>'36'!M10+'36'!M11</f>
        <v>57900</v>
      </c>
      <c r="E39" s="126">
        <f>'36'!M13</f>
        <v>44050</v>
      </c>
      <c r="F39" s="126">
        <f>'36'!M16</f>
        <v>89000</v>
      </c>
      <c r="G39" s="21">
        <v>0</v>
      </c>
      <c r="H39" s="21">
        <v>0</v>
      </c>
      <c r="I39" s="21">
        <v>0</v>
      </c>
      <c r="J39" s="126">
        <f>'36'!M28</f>
        <v>1000</v>
      </c>
      <c r="K39" s="21">
        <v>0</v>
      </c>
      <c r="L39" s="127">
        <f t="shared" si="0"/>
        <v>582170</v>
      </c>
    </row>
    <row r="40" spans="1:12" ht="15.95" customHeight="1">
      <c r="A40" s="128">
        <v>28010001</v>
      </c>
      <c r="B40" s="21" t="s">
        <v>263</v>
      </c>
      <c r="C40" s="126">
        <f>'37'!M9</f>
        <v>352830</v>
      </c>
      <c r="D40" s="126">
        <f>'37'!M10+'37'!M11</f>
        <v>65190</v>
      </c>
      <c r="E40" s="126">
        <f>'37'!M13</f>
        <v>37720</v>
      </c>
      <c r="F40" s="126">
        <f>'37'!M16</f>
        <v>29380</v>
      </c>
      <c r="G40" s="126">
        <v>0</v>
      </c>
      <c r="H40" s="21">
        <v>0</v>
      </c>
      <c r="I40" s="21">
        <v>0</v>
      </c>
      <c r="J40" s="126">
        <f>'37'!M28</f>
        <v>1000</v>
      </c>
      <c r="K40" s="21">
        <v>0</v>
      </c>
      <c r="L40" s="127">
        <f t="shared" si="0"/>
        <v>486120</v>
      </c>
    </row>
    <row r="41" spans="1:12" s="39" customFormat="1" ht="15.95" customHeight="1">
      <c r="A41" s="73"/>
      <c r="B41" s="132" t="s">
        <v>418</v>
      </c>
      <c r="C41" s="133">
        <f>SUM(C5:C40)</f>
        <v>17491150</v>
      </c>
      <c r="D41" s="133">
        <f t="shared" ref="D41:K41" si="1">SUM(D5:D40)</f>
        <v>3852440</v>
      </c>
      <c r="E41" s="133">
        <f t="shared" si="1"/>
        <v>2087970</v>
      </c>
      <c r="F41" s="133">
        <f t="shared" si="1"/>
        <v>4277380</v>
      </c>
      <c r="G41" s="133">
        <f t="shared" si="1"/>
        <v>11039200</v>
      </c>
      <c r="H41" s="133">
        <f t="shared" si="1"/>
        <v>400000</v>
      </c>
      <c r="I41" s="133">
        <f t="shared" si="1"/>
        <v>52000</v>
      </c>
      <c r="J41" s="133">
        <f t="shared" si="1"/>
        <v>1594590</v>
      </c>
      <c r="K41" s="133">
        <f t="shared" si="1"/>
        <v>591150</v>
      </c>
      <c r="L41" s="133">
        <f>SUM(L5:L40)</f>
        <v>41385880</v>
      </c>
    </row>
    <row r="42" spans="1:12" ht="18" customHeight="1">
      <c r="B42" t="s">
        <v>419</v>
      </c>
      <c r="L42" s="86">
        <f>Rashodi!K9</f>
        <v>610000</v>
      </c>
    </row>
    <row r="43" spans="1:12" ht="18" customHeight="1">
      <c r="B43" t="s">
        <v>440</v>
      </c>
      <c r="L43" s="86">
        <f>Uvod!G42</f>
        <v>1193439</v>
      </c>
    </row>
    <row r="44" spans="1:12" ht="18" customHeight="1">
      <c r="A44" s="129"/>
      <c r="B44" s="131" t="s">
        <v>418</v>
      </c>
      <c r="C44" s="130"/>
      <c r="D44" s="130"/>
      <c r="E44" s="130"/>
      <c r="F44" s="130"/>
      <c r="G44" s="130"/>
      <c r="H44" s="130"/>
      <c r="I44" s="130"/>
      <c r="J44" s="130"/>
      <c r="K44" s="130"/>
      <c r="L44" s="136">
        <f>L41+L42+L43</f>
        <v>43189319</v>
      </c>
    </row>
  </sheetData>
  <mergeCells count="1">
    <mergeCell ref="A2:L2"/>
  </mergeCells>
  <phoneticPr fontId="0" type="noConversion"/>
  <pageMargins left="0.9055118110236221" right="0.31496062992125984" top="0.35433070866141736" bottom="0.51181102362204722" header="0.39370078740157483" footer="0.31496062992125984"/>
  <pageSetup paperSize="9" scale="67" orientation="landscape" r:id="rId1"/>
  <headerFooter alignWithMargins="0">
    <oddFooter>&amp;R&amp;P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dimension ref="A2:J119"/>
  <sheetViews>
    <sheetView zoomScaleNormal="100" zoomScaleSheetLayoutView="100" workbookViewId="0">
      <selection activeCell="O43" sqref="O43"/>
    </sheetView>
  </sheetViews>
  <sheetFormatPr defaultRowHeight="12.75"/>
  <cols>
    <col min="1" max="1" width="6.140625" style="405" customWidth="1"/>
    <col min="2" max="2" width="6.85546875" customWidth="1"/>
    <col min="3" max="3" width="11.5703125" customWidth="1"/>
    <col min="4" max="4" width="74.85546875" customWidth="1"/>
    <col min="5" max="6" width="17.7109375" customWidth="1"/>
    <col min="7" max="7" width="8.85546875" customWidth="1"/>
    <col min="9" max="10" width="10.140625" bestFit="1" customWidth="1"/>
  </cols>
  <sheetData>
    <row r="2" spans="2:10" ht="15">
      <c r="B2" s="756" t="s">
        <v>838</v>
      </c>
      <c r="C2" s="665"/>
      <c r="D2" s="665"/>
      <c r="E2" s="665"/>
      <c r="F2" s="665"/>
      <c r="G2" s="665"/>
    </row>
    <row r="3" spans="2:10" ht="15">
      <c r="B3" s="141"/>
      <c r="C3" s="143"/>
      <c r="D3" s="142"/>
      <c r="E3" s="142"/>
      <c r="F3" s="142"/>
    </row>
    <row r="4" spans="2:10">
      <c r="B4" s="144"/>
      <c r="C4" s="144"/>
      <c r="D4" s="145"/>
      <c r="E4" s="146"/>
      <c r="F4" s="146"/>
    </row>
    <row r="5" spans="2:10" ht="66" customHeight="1">
      <c r="B5" s="147" t="s">
        <v>264</v>
      </c>
      <c r="C5" s="148" t="s">
        <v>442</v>
      </c>
      <c r="D5" s="148" t="s">
        <v>443</v>
      </c>
      <c r="E5" s="149" t="s">
        <v>644</v>
      </c>
      <c r="F5" s="149" t="s">
        <v>817</v>
      </c>
      <c r="G5" s="149" t="s">
        <v>55</v>
      </c>
    </row>
    <row r="6" spans="2:10">
      <c r="B6" s="150"/>
      <c r="C6" s="151">
        <v>1</v>
      </c>
      <c r="D6" s="151">
        <v>2</v>
      </c>
      <c r="E6" s="152">
        <v>3</v>
      </c>
      <c r="F6" s="152">
        <v>4</v>
      </c>
      <c r="G6" s="251">
        <v>5</v>
      </c>
    </row>
    <row r="7" spans="2:10">
      <c r="B7" s="475">
        <v>1</v>
      </c>
      <c r="C7" s="476"/>
      <c r="D7" s="476" t="s">
        <v>54</v>
      </c>
      <c r="E7" s="477">
        <f>E8+E17+E23+E30+E40+E47+E54+E61+E68+E77</f>
        <v>40788500</v>
      </c>
      <c r="F7" s="477">
        <f>F8+F17+F23+F30+F40+F47+F54+F61+F68+F77</f>
        <v>41385880</v>
      </c>
      <c r="G7" s="478">
        <f>IF(E7=0,"",F7/E7*100)</f>
        <v>101.46457947705849</v>
      </c>
      <c r="I7" s="62"/>
      <c r="J7" s="62"/>
    </row>
    <row r="8" spans="2:10">
      <c r="B8" s="475">
        <v>2</v>
      </c>
      <c r="C8" s="479" t="s">
        <v>81</v>
      </c>
      <c r="D8" s="480" t="s">
        <v>58</v>
      </c>
      <c r="E8" s="477">
        <f>SUM(E9:E16)</f>
        <v>5343250</v>
      </c>
      <c r="F8" s="477">
        <f>SUM(F9:F16)</f>
        <v>5260020</v>
      </c>
      <c r="G8" s="481">
        <f>IF(E8=0,"",F8/E8*100)</f>
        <v>98.442333785617365</v>
      </c>
    </row>
    <row r="9" spans="2:10" ht="14.1" customHeight="1">
      <c r="B9" s="150">
        <v>3</v>
      </c>
      <c r="C9" s="153" t="s">
        <v>444</v>
      </c>
      <c r="D9" s="154" t="s">
        <v>59</v>
      </c>
      <c r="E9" s="123">
        <f>'1'!I33+'3'!I56-'3'!I8+'4'!I36+'5'!I33+'6'!I33+'7'!I33+'16'!I50-'16'!I8</f>
        <v>4562500</v>
      </c>
      <c r="F9" s="123">
        <f>'1'!M33+'3'!M56-'3'!M8+'4'!M36+'5'!M33+'6'!M33+'7'!M33+'16'!M50-'16'!M8</f>
        <v>4457950</v>
      </c>
      <c r="G9" s="155">
        <f>IF(E9=0,"",F9/E9*100)</f>
        <v>97.70849315068493</v>
      </c>
    </row>
    <row r="10" spans="2:10" ht="14.1" customHeight="1">
      <c r="B10" s="150">
        <v>4</v>
      </c>
      <c r="C10" s="153" t="s">
        <v>445</v>
      </c>
      <c r="D10" s="154" t="s">
        <v>446</v>
      </c>
      <c r="E10" s="123">
        <v>0</v>
      </c>
      <c r="F10" s="123">
        <v>0</v>
      </c>
      <c r="G10" s="155" t="str">
        <f t="shared" ref="G10:G73" si="0">IF(E10=0,"",F10/E10*100)</f>
        <v/>
      </c>
    </row>
    <row r="11" spans="2:10" ht="14.1" customHeight="1">
      <c r="B11" s="150">
        <v>5</v>
      </c>
      <c r="C11" s="153" t="s">
        <v>447</v>
      </c>
      <c r="D11" s="154" t="s">
        <v>448</v>
      </c>
      <c r="E11" s="123">
        <f>'8'!I33</f>
        <v>780750</v>
      </c>
      <c r="F11" s="123">
        <f>'8'!M33</f>
        <v>802070</v>
      </c>
      <c r="G11" s="155">
        <f t="shared" si="0"/>
        <v>102.73070765289785</v>
      </c>
    </row>
    <row r="12" spans="2:10" ht="14.1" customHeight="1">
      <c r="B12" s="150">
        <v>6</v>
      </c>
      <c r="C12" s="153" t="s">
        <v>449</v>
      </c>
      <c r="D12" s="154" t="s">
        <v>450</v>
      </c>
      <c r="E12" s="123">
        <v>0</v>
      </c>
      <c r="F12" s="123">
        <v>0</v>
      </c>
      <c r="G12" s="155" t="str">
        <f t="shared" si="0"/>
        <v/>
      </c>
    </row>
    <row r="13" spans="2:10" ht="14.1" customHeight="1">
      <c r="B13" s="150">
        <v>7</v>
      </c>
      <c r="C13" s="153" t="s">
        <v>451</v>
      </c>
      <c r="D13" s="154" t="s">
        <v>452</v>
      </c>
      <c r="E13" s="123">
        <v>0</v>
      </c>
      <c r="F13" s="123">
        <v>0</v>
      </c>
      <c r="G13" s="155" t="str">
        <f t="shared" si="0"/>
        <v/>
      </c>
    </row>
    <row r="14" spans="2:10" ht="14.1" customHeight="1">
      <c r="B14" s="150">
        <v>8</v>
      </c>
      <c r="C14" s="153" t="s">
        <v>453</v>
      </c>
      <c r="D14" s="154" t="s">
        <v>454</v>
      </c>
      <c r="E14" s="123">
        <v>0</v>
      </c>
      <c r="F14" s="123">
        <v>0</v>
      </c>
      <c r="G14" s="155" t="str">
        <f t="shared" si="0"/>
        <v/>
      </c>
    </row>
    <row r="15" spans="2:10" ht="14.1" customHeight="1">
      <c r="B15" s="150">
        <v>9</v>
      </c>
      <c r="C15" s="153" t="s">
        <v>455</v>
      </c>
      <c r="D15" s="154" t="s">
        <v>456</v>
      </c>
      <c r="E15" s="123">
        <v>0</v>
      </c>
      <c r="F15" s="123">
        <v>0</v>
      </c>
      <c r="G15" s="155" t="str">
        <f t="shared" si="0"/>
        <v/>
      </c>
    </row>
    <row r="16" spans="2:10" ht="14.1" customHeight="1">
      <c r="B16" s="150">
        <v>10</v>
      </c>
      <c r="C16" s="153" t="s">
        <v>457</v>
      </c>
      <c r="D16" s="154" t="s">
        <v>60</v>
      </c>
      <c r="E16" s="123">
        <v>0</v>
      </c>
      <c r="F16" s="123">
        <v>0</v>
      </c>
      <c r="G16" s="155" t="str">
        <f t="shared" si="0"/>
        <v/>
      </c>
    </row>
    <row r="17" spans="2:7" ht="14.1" customHeight="1">
      <c r="B17" s="475">
        <v>11</v>
      </c>
      <c r="C17" s="479" t="s">
        <v>132</v>
      </c>
      <c r="D17" s="480" t="s">
        <v>61</v>
      </c>
      <c r="E17" s="477">
        <f>SUM(E18:E22)</f>
        <v>0</v>
      </c>
      <c r="F17" s="477">
        <f>SUM(F18:F22)</f>
        <v>0</v>
      </c>
      <c r="G17" s="481" t="str">
        <f t="shared" si="0"/>
        <v/>
      </c>
    </row>
    <row r="18" spans="2:7" ht="14.1" customHeight="1">
      <c r="B18" s="150">
        <v>12</v>
      </c>
      <c r="C18" s="153" t="s">
        <v>458</v>
      </c>
      <c r="D18" s="154" t="s">
        <v>62</v>
      </c>
      <c r="E18" s="123">
        <v>0</v>
      </c>
      <c r="F18" s="123">
        <v>0</v>
      </c>
      <c r="G18" s="155" t="str">
        <f t="shared" si="0"/>
        <v/>
      </c>
    </row>
    <row r="19" spans="2:7" ht="14.1" customHeight="1">
      <c r="B19" s="150">
        <v>13</v>
      </c>
      <c r="C19" s="153" t="s">
        <v>459</v>
      </c>
      <c r="D19" s="154" t="s">
        <v>63</v>
      </c>
      <c r="E19" s="123">
        <v>0</v>
      </c>
      <c r="F19" s="123">
        <v>0</v>
      </c>
      <c r="G19" s="155" t="str">
        <f t="shared" si="0"/>
        <v/>
      </c>
    </row>
    <row r="20" spans="2:7" ht="14.1" customHeight="1">
      <c r="B20" s="150">
        <v>14</v>
      </c>
      <c r="C20" s="153" t="s">
        <v>460</v>
      </c>
      <c r="D20" s="154" t="s">
        <v>64</v>
      </c>
      <c r="E20" s="123">
        <v>0</v>
      </c>
      <c r="F20" s="123">
        <v>0</v>
      </c>
      <c r="G20" s="155" t="str">
        <f t="shared" si="0"/>
        <v/>
      </c>
    </row>
    <row r="21" spans="2:7" ht="14.1" customHeight="1">
      <c r="B21" s="150">
        <v>15</v>
      </c>
      <c r="C21" s="153" t="s">
        <v>461</v>
      </c>
      <c r="D21" s="154" t="s">
        <v>65</v>
      </c>
      <c r="E21" s="123">
        <v>0</v>
      </c>
      <c r="F21" s="123">
        <v>0</v>
      </c>
      <c r="G21" s="155" t="str">
        <f t="shared" si="0"/>
        <v/>
      </c>
    </row>
    <row r="22" spans="2:7" ht="14.1" customHeight="1">
      <c r="B22" s="150">
        <v>16</v>
      </c>
      <c r="C22" s="153" t="s">
        <v>462</v>
      </c>
      <c r="D22" s="154" t="s">
        <v>66</v>
      </c>
      <c r="E22" s="123">
        <v>0</v>
      </c>
      <c r="F22" s="123">
        <v>0</v>
      </c>
      <c r="G22" s="155" t="str">
        <f t="shared" si="0"/>
        <v/>
      </c>
    </row>
    <row r="23" spans="2:7" ht="14.1" customHeight="1">
      <c r="B23" s="475">
        <v>17</v>
      </c>
      <c r="C23" s="479" t="s">
        <v>145</v>
      </c>
      <c r="D23" s="480" t="s">
        <v>608</v>
      </c>
      <c r="E23" s="477">
        <f>SUM(E24:E29)</f>
        <v>10068170</v>
      </c>
      <c r="F23" s="477">
        <f>SUM(F24:F29)</f>
        <v>10050200</v>
      </c>
      <c r="G23" s="481">
        <f t="shared" si="0"/>
        <v>99.821516720516243</v>
      </c>
    </row>
    <row r="24" spans="2:7" ht="14.1" customHeight="1">
      <c r="B24" s="150">
        <v>18</v>
      </c>
      <c r="C24" s="153" t="s">
        <v>463</v>
      </c>
      <c r="D24" s="154" t="s">
        <v>464</v>
      </c>
      <c r="E24" s="123">
        <f>'9'!I33</f>
        <v>6308670</v>
      </c>
      <c r="F24" s="123">
        <f>'9'!M33</f>
        <v>6398170</v>
      </c>
      <c r="G24" s="155">
        <f t="shared" si="0"/>
        <v>101.41868254323019</v>
      </c>
    </row>
    <row r="25" spans="2:7" ht="14.1" customHeight="1">
      <c r="B25" s="150">
        <v>19</v>
      </c>
      <c r="C25" s="153" t="s">
        <v>465</v>
      </c>
      <c r="D25" s="154" t="s">
        <v>609</v>
      </c>
      <c r="E25" s="123">
        <f>'33'!I37</f>
        <v>394590</v>
      </c>
      <c r="F25" s="123">
        <f>'33'!M37</f>
        <v>379330</v>
      </c>
      <c r="G25" s="155">
        <f t="shared" si="0"/>
        <v>96.132694695760151</v>
      </c>
    </row>
    <row r="26" spans="2:7" ht="14.1" customHeight="1">
      <c r="B26" s="150">
        <v>20</v>
      </c>
      <c r="C26" s="153" t="s">
        <v>466</v>
      </c>
      <c r="D26" s="154" t="s">
        <v>467</v>
      </c>
      <c r="E26" s="123">
        <f>'11'!I34+'12'!I33+'13'!I33+'14'!I33+'34'!I33+'35'!I33+'36'!I33</f>
        <v>3182420</v>
      </c>
      <c r="F26" s="123">
        <f>'11'!M34+'12'!M33+'13'!M33+'14'!M33+'34'!M33+'35'!M33+'36'!M33</f>
        <v>3095590</v>
      </c>
      <c r="G26" s="155">
        <f t="shared" si="0"/>
        <v>97.271573205296605</v>
      </c>
    </row>
    <row r="27" spans="2:7" ht="14.1" customHeight="1">
      <c r="B27" s="150">
        <v>21</v>
      </c>
      <c r="C27" s="153" t="s">
        <v>468</v>
      </c>
      <c r="D27" s="154" t="s">
        <v>469</v>
      </c>
      <c r="E27" s="123">
        <v>0</v>
      </c>
      <c r="F27" s="123">
        <v>0</v>
      </c>
      <c r="G27" s="155" t="str">
        <f t="shared" si="0"/>
        <v/>
      </c>
    </row>
    <row r="28" spans="2:7" ht="14.1" customHeight="1">
      <c r="B28" s="150">
        <v>22</v>
      </c>
      <c r="C28" s="153" t="s">
        <v>470</v>
      </c>
      <c r="D28" s="154" t="s">
        <v>471</v>
      </c>
      <c r="E28" s="123">
        <v>0</v>
      </c>
      <c r="F28" s="123">
        <v>0</v>
      </c>
      <c r="G28" s="155" t="str">
        <f t="shared" si="0"/>
        <v/>
      </c>
    </row>
    <row r="29" spans="2:7" ht="14.1" customHeight="1">
      <c r="B29" s="150">
        <v>23</v>
      </c>
      <c r="C29" s="153" t="s">
        <v>472</v>
      </c>
      <c r="D29" s="154" t="s">
        <v>473</v>
      </c>
      <c r="E29" s="123">
        <f>'10'!I33</f>
        <v>182490</v>
      </c>
      <c r="F29" s="123">
        <f>'10'!M33</f>
        <v>177110</v>
      </c>
      <c r="G29" s="155">
        <f t="shared" si="0"/>
        <v>97.051893254424897</v>
      </c>
    </row>
    <row r="30" spans="2:7" ht="14.1" customHeight="1">
      <c r="B30" s="475">
        <v>24</v>
      </c>
      <c r="C30" s="479" t="s">
        <v>474</v>
      </c>
      <c r="D30" s="480" t="s">
        <v>475</v>
      </c>
      <c r="E30" s="477">
        <f>SUM(E31:E39)</f>
        <v>6068880</v>
      </c>
      <c r="F30" s="477">
        <f>SUM(F31:F39)</f>
        <v>6315160</v>
      </c>
      <c r="G30" s="481">
        <f t="shared" si="0"/>
        <v>104.05807990930782</v>
      </c>
    </row>
    <row r="31" spans="2:7" ht="14.1" customHeight="1">
      <c r="B31" s="150">
        <v>25</v>
      </c>
      <c r="C31" s="153" t="s">
        <v>476</v>
      </c>
      <c r="D31" s="154" t="s">
        <v>477</v>
      </c>
      <c r="E31" s="123">
        <v>0</v>
      </c>
      <c r="F31" s="123">
        <v>0</v>
      </c>
      <c r="G31" s="155" t="str">
        <f t="shared" si="0"/>
        <v/>
      </c>
    </row>
    <row r="32" spans="2:7" ht="14.1" customHeight="1">
      <c r="B32" s="150">
        <v>26</v>
      </c>
      <c r="C32" s="153" t="s">
        <v>478</v>
      </c>
      <c r="D32" s="154" t="s">
        <v>479</v>
      </c>
      <c r="E32" s="123">
        <f>'19'!I39</f>
        <v>2535230</v>
      </c>
      <c r="F32" s="123">
        <f>'19'!M39</f>
        <v>2651280</v>
      </c>
      <c r="G32" s="155">
        <f t="shared" si="0"/>
        <v>104.57749395518354</v>
      </c>
    </row>
    <row r="33" spans="2:7" ht="14.1" customHeight="1">
      <c r="B33" s="150">
        <v>27</v>
      </c>
      <c r="C33" s="153" t="s">
        <v>480</v>
      </c>
      <c r="D33" s="154" t="s">
        <v>481</v>
      </c>
      <c r="E33" s="123">
        <v>0</v>
      </c>
      <c r="F33" s="123">
        <v>0</v>
      </c>
      <c r="G33" s="155" t="str">
        <f t="shared" si="0"/>
        <v/>
      </c>
    </row>
    <row r="34" spans="2:7" ht="14.1" customHeight="1">
      <c r="B34" s="150">
        <v>28</v>
      </c>
      <c r="C34" s="153" t="s">
        <v>482</v>
      </c>
      <c r="D34" s="154" t="s">
        <v>483</v>
      </c>
      <c r="E34" s="123">
        <v>0</v>
      </c>
      <c r="F34" s="123">
        <v>0</v>
      </c>
      <c r="G34" s="155" t="str">
        <f t="shared" si="0"/>
        <v/>
      </c>
    </row>
    <row r="35" spans="2:7" ht="14.1" customHeight="1">
      <c r="B35" s="150">
        <v>29</v>
      </c>
      <c r="C35" s="153" t="s">
        <v>484</v>
      </c>
      <c r="D35" s="154" t="s">
        <v>67</v>
      </c>
      <c r="E35" s="123">
        <v>0</v>
      </c>
      <c r="F35" s="123">
        <v>0</v>
      </c>
      <c r="G35" s="155" t="str">
        <f t="shared" si="0"/>
        <v/>
      </c>
    </row>
    <row r="36" spans="2:7" ht="14.1" customHeight="1">
      <c r="B36" s="150">
        <v>30</v>
      </c>
      <c r="C36" s="153" t="s">
        <v>485</v>
      </c>
      <c r="D36" s="154" t="s">
        <v>486</v>
      </c>
      <c r="E36" s="123">
        <v>0</v>
      </c>
      <c r="F36" s="123">
        <v>0</v>
      </c>
      <c r="G36" s="155" t="str">
        <f t="shared" si="0"/>
        <v/>
      </c>
    </row>
    <row r="37" spans="2:7" ht="14.1" customHeight="1">
      <c r="B37" s="150">
        <v>31</v>
      </c>
      <c r="C37" s="153" t="s">
        <v>487</v>
      </c>
      <c r="D37" s="154" t="s">
        <v>488</v>
      </c>
      <c r="E37" s="123">
        <v>0</v>
      </c>
      <c r="F37" s="123">
        <v>0</v>
      </c>
      <c r="G37" s="155" t="str">
        <f t="shared" si="0"/>
        <v/>
      </c>
    </row>
    <row r="38" spans="2:7" ht="14.1" customHeight="1">
      <c r="B38" s="150">
        <v>32</v>
      </c>
      <c r="C38" s="153" t="s">
        <v>489</v>
      </c>
      <c r="D38" s="154" t="s">
        <v>490</v>
      </c>
      <c r="E38" s="123">
        <v>0</v>
      </c>
      <c r="F38" s="123">
        <v>0</v>
      </c>
      <c r="G38" s="155" t="str">
        <f t="shared" si="0"/>
        <v/>
      </c>
    </row>
    <row r="39" spans="2:7" ht="14.1" customHeight="1">
      <c r="B39" s="150">
        <v>33</v>
      </c>
      <c r="C39" s="153" t="s">
        <v>491</v>
      </c>
      <c r="D39" s="154" t="s">
        <v>492</v>
      </c>
      <c r="E39" s="123">
        <f>'15'!I37+'18'!I39+'32'!I33+'37'!I33</f>
        <v>3533650</v>
      </c>
      <c r="F39" s="123">
        <f>'15'!M37+'18'!M39+'32'!M33+'37'!M33</f>
        <v>3663880</v>
      </c>
      <c r="G39" s="155">
        <f t="shared" si="0"/>
        <v>103.68542441950956</v>
      </c>
    </row>
    <row r="40" spans="2:7" ht="14.1" customHeight="1">
      <c r="B40" s="475">
        <v>34</v>
      </c>
      <c r="C40" s="479" t="s">
        <v>133</v>
      </c>
      <c r="D40" s="480" t="s">
        <v>493</v>
      </c>
      <c r="E40" s="477">
        <f>SUM(E41:E46)</f>
        <v>0</v>
      </c>
      <c r="F40" s="477">
        <f>SUM(F41:F46)</f>
        <v>0</v>
      </c>
      <c r="G40" s="481" t="str">
        <f t="shared" si="0"/>
        <v/>
      </c>
    </row>
    <row r="41" spans="2:7" ht="14.1" customHeight="1">
      <c r="B41" s="150">
        <v>35</v>
      </c>
      <c r="C41" s="153" t="s">
        <v>494</v>
      </c>
      <c r="D41" s="154" t="s">
        <v>495</v>
      </c>
      <c r="E41" s="123">
        <v>0</v>
      </c>
      <c r="F41" s="123">
        <v>0</v>
      </c>
      <c r="G41" s="155" t="str">
        <f t="shared" si="0"/>
        <v/>
      </c>
    </row>
    <row r="42" spans="2:7" ht="14.1" customHeight="1">
      <c r="B42" s="150">
        <v>36</v>
      </c>
      <c r="C42" s="153" t="s">
        <v>496</v>
      </c>
      <c r="D42" s="154" t="s">
        <v>497</v>
      </c>
      <c r="E42" s="123">
        <v>0</v>
      </c>
      <c r="F42" s="123">
        <v>0</v>
      </c>
      <c r="G42" s="155" t="str">
        <f t="shared" si="0"/>
        <v/>
      </c>
    </row>
    <row r="43" spans="2:7" ht="14.1" customHeight="1">
      <c r="B43" s="150">
        <v>37</v>
      </c>
      <c r="C43" s="153" t="s">
        <v>498</v>
      </c>
      <c r="D43" s="154" t="s">
        <v>499</v>
      </c>
      <c r="E43" s="123">
        <v>0</v>
      </c>
      <c r="F43" s="123">
        <v>0</v>
      </c>
      <c r="G43" s="155" t="str">
        <f t="shared" si="0"/>
        <v/>
      </c>
    </row>
    <row r="44" spans="2:7" ht="14.1" customHeight="1">
      <c r="B44" s="150">
        <v>38</v>
      </c>
      <c r="C44" s="153" t="s">
        <v>500</v>
      </c>
      <c r="D44" s="154" t="s">
        <v>68</v>
      </c>
      <c r="E44" s="123">
        <v>0</v>
      </c>
      <c r="F44" s="123">
        <v>0</v>
      </c>
      <c r="G44" s="155" t="str">
        <f t="shared" si="0"/>
        <v/>
      </c>
    </row>
    <row r="45" spans="2:7" ht="14.1" customHeight="1">
      <c r="B45" s="150">
        <v>39</v>
      </c>
      <c r="C45" s="153" t="s">
        <v>501</v>
      </c>
      <c r="D45" s="154" t="s">
        <v>56</v>
      </c>
      <c r="E45" s="123">
        <v>0</v>
      </c>
      <c r="F45" s="123">
        <v>0</v>
      </c>
      <c r="G45" s="155" t="str">
        <f t="shared" si="0"/>
        <v/>
      </c>
    </row>
    <row r="46" spans="2:7" ht="14.1" customHeight="1">
      <c r="B46" s="150">
        <v>40</v>
      </c>
      <c r="C46" s="153" t="s">
        <v>502</v>
      </c>
      <c r="D46" s="154" t="s">
        <v>503</v>
      </c>
      <c r="E46" s="123">
        <v>0</v>
      </c>
      <c r="F46" s="123">
        <v>0</v>
      </c>
      <c r="G46" s="155" t="str">
        <f t="shared" si="0"/>
        <v/>
      </c>
    </row>
    <row r="47" spans="2:7" ht="14.1" customHeight="1">
      <c r="B47" s="475">
        <v>41</v>
      </c>
      <c r="C47" s="479" t="s">
        <v>197</v>
      </c>
      <c r="D47" s="480" t="s">
        <v>504</v>
      </c>
      <c r="E47" s="477">
        <f>SUM(E48:E53)</f>
        <v>0</v>
      </c>
      <c r="F47" s="477">
        <f>SUM(F48:F53)</f>
        <v>0</v>
      </c>
      <c r="G47" s="481" t="str">
        <f t="shared" si="0"/>
        <v/>
      </c>
    </row>
    <row r="48" spans="2:7" ht="14.1" customHeight="1">
      <c r="B48" s="150">
        <v>42</v>
      </c>
      <c r="C48" s="153" t="s">
        <v>505</v>
      </c>
      <c r="D48" s="154" t="s">
        <v>506</v>
      </c>
      <c r="E48" s="123">
        <v>0</v>
      </c>
      <c r="F48" s="123">
        <v>0</v>
      </c>
      <c r="G48" s="155" t="str">
        <f t="shared" si="0"/>
        <v/>
      </c>
    </row>
    <row r="49" spans="2:7" ht="14.1" customHeight="1">
      <c r="B49" s="150">
        <v>43</v>
      </c>
      <c r="C49" s="153" t="s">
        <v>507</v>
      </c>
      <c r="D49" s="154" t="s">
        <v>508</v>
      </c>
      <c r="E49" s="123">
        <v>0</v>
      </c>
      <c r="F49" s="123">
        <v>0</v>
      </c>
      <c r="G49" s="155" t="str">
        <f t="shared" si="0"/>
        <v/>
      </c>
    </row>
    <row r="50" spans="2:7" ht="14.1" customHeight="1">
      <c r="B50" s="150">
        <v>44</v>
      </c>
      <c r="C50" s="153" t="s">
        <v>509</v>
      </c>
      <c r="D50" s="154" t="s">
        <v>69</v>
      </c>
      <c r="E50" s="123">
        <v>0</v>
      </c>
      <c r="F50" s="123">
        <v>0</v>
      </c>
      <c r="G50" s="155" t="str">
        <f t="shared" si="0"/>
        <v/>
      </c>
    </row>
    <row r="51" spans="2:7" ht="14.1" customHeight="1">
      <c r="B51" s="150">
        <v>45</v>
      </c>
      <c r="C51" s="153" t="s">
        <v>510</v>
      </c>
      <c r="D51" s="154" t="s">
        <v>511</v>
      </c>
      <c r="E51" s="123">
        <v>0</v>
      </c>
      <c r="F51" s="123">
        <v>0</v>
      </c>
      <c r="G51" s="155" t="str">
        <f t="shared" si="0"/>
        <v/>
      </c>
    </row>
    <row r="52" spans="2:7" ht="14.1" customHeight="1">
      <c r="B52" s="150">
        <v>46</v>
      </c>
      <c r="C52" s="153" t="s">
        <v>512</v>
      </c>
      <c r="D52" s="154" t="s">
        <v>513</v>
      </c>
      <c r="E52" s="123">
        <v>0</v>
      </c>
      <c r="F52" s="123">
        <v>0</v>
      </c>
      <c r="G52" s="155" t="str">
        <f t="shared" si="0"/>
        <v/>
      </c>
    </row>
    <row r="53" spans="2:7" ht="14.1" customHeight="1">
      <c r="B53" s="150">
        <v>47</v>
      </c>
      <c r="C53" s="153" t="s">
        <v>514</v>
      </c>
      <c r="D53" s="154" t="s">
        <v>515</v>
      </c>
      <c r="E53" s="123">
        <v>0</v>
      </c>
      <c r="F53" s="123">
        <v>0</v>
      </c>
      <c r="G53" s="155" t="str">
        <f t="shared" si="0"/>
        <v/>
      </c>
    </row>
    <row r="54" spans="2:7" ht="14.1" customHeight="1">
      <c r="B54" s="475">
        <v>48</v>
      </c>
      <c r="C54" s="479" t="s">
        <v>516</v>
      </c>
      <c r="D54" s="480" t="s">
        <v>517</v>
      </c>
      <c r="E54" s="477">
        <f>SUM(E55:E60)</f>
        <v>0</v>
      </c>
      <c r="F54" s="477">
        <f>SUM(F55:F60)</f>
        <v>0</v>
      </c>
      <c r="G54" s="481" t="str">
        <f t="shared" si="0"/>
        <v/>
      </c>
    </row>
    <row r="55" spans="2:7" ht="14.1" customHeight="1">
      <c r="B55" s="150">
        <v>49</v>
      </c>
      <c r="C55" s="153" t="s">
        <v>518</v>
      </c>
      <c r="D55" s="154" t="s">
        <v>519</v>
      </c>
      <c r="E55" s="123">
        <v>0</v>
      </c>
      <c r="F55" s="123">
        <v>0</v>
      </c>
      <c r="G55" s="155" t="str">
        <f t="shared" si="0"/>
        <v/>
      </c>
    </row>
    <row r="56" spans="2:7" ht="14.1" customHeight="1">
      <c r="B56" s="150">
        <v>50</v>
      </c>
      <c r="C56" s="153" t="s">
        <v>520</v>
      </c>
      <c r="D56" s="154" t="s">
        <v>70</v>
      </c>
      <c r="E56" s="123">
        <v>0</v>
      </c>
      <c r="F56" s="123">
        <v>0</v>
      </c>
      <c r="G56" s="155" t="str">
        <f t="shared" si="0"/>
        <v/>
      </c>
    </row>
    <row r="57" spans="2:7" ht="14.1" customHeight="1">
      <c r="B57" s="150">
        <v>51</v>
      </c>
      <c r="C57" s="153" t="s">
        <v>0</v>
      </c>
      <c r="D57" s="154" t="s">
        <v>1</v>
      </c>
      <c r="E57" s="123">
        <v>0</v>
      </c>
      <c r="F57" s="123">
        <v>0</v>
      </c>
      <c r="G57" s="155" t="str">
        <f t="shared" si="0"/>
        <v/>
      </c>
    </row>
    <row r="58" spans="2:7" ht="14.1" customHeight="1">
      <c r="B58" s="150">
        <v>52</v>
      </c>
      <c r="C58" s="153" t="s">
        <v>2</v>
      </c>
      <c r="D58" s="154" t="s">
        <v>3</v>
      </c>
      <c r="E58" s="123">
        <v>0</v>
      </c>
      <c r="F58" s="123">
        <v>0</v>
      </c>
      <c r="G58" s="155" t="str">
        <f t="shared" si="0"/>
        <v/>
      </c>
    </row>
    <row r="59" spans="2:7" ht="14.1" customHeight="1">
      <c r="B59" s="150">
        <v>53</v>
      </c>
      <c r="C59" s="153" t="s">
        <v>4</v>
      </c>
      <c r="D59" s="154" t="s">
        <v>5</v>
      </c>
      <c r="E59" s="123">
        <v>0</v>
      </c>
      <c r="F59" s="123">
        <v>0</v>
      </c>
      <c r="G59" s="155" t="str">
        <f t="shared" si="0"/>
        <v/>
      </c>
    </row>
    <row r="60" spans="2:7" ht="14.1" customHeight="1">
      <c r="B60" s="150">
        <v>54</v>
      </c>
      <c r="C60" s="153" t="s">
        <v>6</v>
      </c>
      <c r="D60" s="154" t="s">
        <v>7</v>
      </c>
      <c r="E60" s="123">
        <v>0</v>
      </c>
      <c r="F60" s="123">
        <v>0</v>
      </c>
      <c r="G60" s="155" t="str">
        <f t="shared" si="0"/>
        <v/>
      </c>
    </row>
    <row r="61" spans="2:7">
      <c r="B61" s="475">
        <v>55</v>
      </c>
      <c r="C61" s="479" t="s">
        <v>8</v>
      </c>
      <c r="D61" s="480" t="s">
        <v>9</v>
      </c>
      <c r="E61" s="477">
        <f>SUM(E62:E67)</f>
        <v>530000</v>
      </c>
      <c r="F61" s="477">
        <f>SUM(F62:F67)</f>
        <v>610000</v>
      </c>
      <c r="G61" s="481">
        <f t="shared" si="0"/>
        <v>115.09433962264151</v>
      </c>
    </row>
    <row r="62" spans="2:7">
      <c r="B62" s="150">
        <v>56</v>
      </c>
      <c r="C62" s="153" t="s">
        <v>10</v>
      </c>
      <c r="D62" s="154" t="s">
        <v>71</v>
      </c>
      <c r="E62" s="123">
        <f>'20'!I33</f>
        <v>280000</v>
      </c>
      <c r="F62" s="123">
        <f>'20'!M33</f>
        <v>280000</v>
      </c>
      <c r="G62" s="156">
        <f t="shared" si="0"/>
        <v>100</v>
      </c>
    </row>
    <row r="63" spans="2:7">
      <c r="B63" s="150">
        <v>57</v>
      </c>
      <c r="C63" s="153" t="s">
        <v>11</v>
      </c>
      <c r="D63" s="154" t="s">
        <v>12</v>
      </c>
      <c r="E63" s="123">
        <f>'20'!I34</f>
        <v>60000</v>
      </c>
      <c r="F63" s="123">
        <f>'20'!M34</f>
        <v>70000</v>
      </c>
      <c r="G63" s="156">
        <f t="shared" si="0"/>
        <v>116.66666666666667</v>
      </c>
    </row>
    <row r="64" spans="2:7">
      <c r="B64" s="150">
        <v>58</v>
      </c>
      <c r="C64" s="153" t="s">
        <v>13</v>
      </c>
      <c r="D64" s="154" t="s">
        <v>72</v>
      </c>
      <c r="E64" s="123">
        <f>'20'!I38</f>
        <v>40000</v>
      </c>
      <c r="F64" s="123">
        <f>'20'!M38</f>
        <v>40000</v>
      </c>
      <c r="G64" s="156">
        <f t="shared" si="0"/>
        <v>100</v>
      </c>
    </row>
    <row r="65" spans="2:7">
      <c r="B65" s="150">
        <v>59</v>
      </c>
      <c r="C65" s="153" t="s">
        <v>14</v>
      </c>
      <c r="D65" s="154" t="s">
        <v>57</v>
      </c>
      <c r="E65" s="123">
        <f>'20'!I39</f>
        <v>150000</v>
      </c>
      <c r="F65" s="123">
        <f>'20'!M39</f>
        <v>220000</v>
      </c>
      <c r="G65" s="156">
        <f t="shared" si="0"/>
        <v>146.66666666666666</v>
      </c>
    </row>
    <row r="66" spans="2:7">
      <c r="B66" s="150">
        <v>60</v>
      </c>
      <c r="C66" s="153" t="s">
        <v>15</v>
      </c>
      <c r="D66" s="154" t="s">
        <v>16</v>
      </c>
      <c r="E66" s="123">
        <v>0</v>
      </c>
      <c r="F66" s="123">
        <v>0</v>
      </c>
      <c r="G66" s="156" t="str">
        <f t="shared" si="0"/>
        <v/>
      </c>
    </row>
    <row r="67" spans="2:7">
      <c r="B67" s="150">
        <v>61</v>
      </c>
      <c r="C67" s="153" t="s">
        <v>17</v>
      </c>
      <c r="D67" s="154" t="s">
        <v>18</v>
      </c>
      <c r="E67" s="123">
        <v>0</v>
      </c>
      <c r="F67" s="123">
        <v>0</v>
      </c>
      <c r="G67" s="156" t="str">
        <f t="shared" si="0"/>
        <v/>
      </c>
    </row>
    <row r="68" spans="2:7">
      <c r="B68" s="475">
        <v>62</v>
      </c>
      <c r="C68" s="479" t="s">
        <v>19</v>
      </c>
      <c r="D68" s="480" t="s">
        <v>20</v>
      </c>
      <c r="E68" s="477">
        <f>SUM(E69:E76)</f>
        <v>12989440</v>
      </c>
      <c r="F68" s="477">
        <f>SUM(F69:F76)</f>
        <v>13048390</v>
      </c>
      <c r="G68" s="481">
        <f t="shared" si="0"/>
        <v>100.45383018821443</v>
      </c>
    </row>
    <row r="69" spans="2:7">
      <c r="B69" s="150">
        <v>63</v>
      </c>
      <c r="C69" s="153" t="s">
        <v>21</v>
      </c>
      <c r="D69" s="154" t="s">
        <v>22</v>
      </c>
      <c r="E69" s="123">
        <f>10000+'24'!I33+'25'!I33+'26'!I33+'27'!I33+'28'!I33+'29'!I33+'30'!I33</f>
        <v>7991890</v>
      </c>
      <c r="F69" s="123">
        <f>10000+'24'!M33+'25'!M33+'26'!M33+'27'!M33+'28'!M33+'29'!M33+'30'!M33</f>
        <v>7906020</v>
      </c>
      <c r="G69" s="156">
        <f t="shared" si="0"/>
        <v>98.925535761878606</v>
      </c>
    </row>
    <row r="70" spans="2:7">
      <c r="B70" s="150">
        <v>64</v>
      </c>
      <c r="C70" s="153" t="s">
        <v>23</v>
      </c>
      <c r="D70" s="154" t="s">
        <v>24</v>
      </c>
      <c r="E70" s="123">
        <f>5000+'21'!I33+'22'!I33+'23'!I34</f>
        <v>3857170</v>
      </c>
      <c r="F70" s="123">
        <f>5000+'21'!M33+'22'!M33+'23'!M34</f>
        <v>3837370</v>
      </c>
      <c r="G70" s="156">
        <f t="shared" si="0"/>
        <v>99.486670278986921</v>
      </c>
    </row>
    <row r="71" spans="2:7">
      <c r="B71" s="150">
        <v>65</v>
      </c>
      <c r="C71" s="153" t="s">
        <v>25</v>
      </c>
      <c r="D71" s="154" t="s">
        <v>26</v>
      </c>
      <c r="E71" s="123">
        <v>0</v>
      </c>
      <c r="F71" s="123">
        <v>0</v>
      </c>
      <c r="G71" s="156" t="str">
        <f t="shared" si="0"/>
        <v/>
      </c>
    </row>
    <row r="72" spans="2:7">
      <c r="B72" s="150">
        <v>66</v>
      </c>
      <c r="C72" s="153" t="s">
        <v>27</v>
      </c>
      <c r="D72" s="154" t="s">
        <v>28</v>
      </c>
      <c r="E72" s="123">
        <f>'20'!I31+'20'!I36</f>
        <v>300000</v>
      </c>
      <c r="F72" s="123">
        <f>'20'!M31+'20'!M36</f>
        <v>279000</v>
      </c>
      <c r="G72" s="156">
        <f t="shared" si="0"/>
        <v>93</v>
      </c>
    </row>
    <row r="73" spans="2:7">
      <c r="B73" s="150">
        <v>67</v>
      </c>
      <c r="C73" s="153" t="s">
        <v>29</v>
      </c>
      <c r="D73" s="154" t="s">
        <v>73</v>
      </c>
      <c r="E73" s="123">
        <v>0</v>
      </c>
      <c r="F73" s="123">
        <v>0</v>
      </c>
      <c r="G73" s="156" t="str">
        <f t="shared" si="0"/>
        <v/>
      </c>
    </row>
    <row r="74" spans="2:7">
      <c r="B74" s="150">
        <v>68</v>
      </c>
      <c r="C74" s="153" t="s">
        <v>30</v>
      </c>
      <c r="D74" s="154" t="s">
        <v>31</v>
      </c>
      <c r="E74" s="123">
        <v>0</v>
      </c>
      <c r="F74" s="123">
        <v>0</v>
      </c>
      <c r="G74" s="156" t="str">
        <f t="shared" ref="G74:G86" si="1">IF(E74=0,"",F74/E74*100)</f>
        <v/>
      </c>
    </row>
    <row r="75" spans="2:7">
      <c r="B75" s="150">
        <v>69</v>
      </c>
      <c r="C75" s="153" t="s">
        <v>32</v>
      </c>
      <c r="D75" s="154" t="s">
        <v>33</v>
      </c>
      <c r="E75" s="123">
        <v>0</v>
      </c>
      <c r="F75" s="123">
        <v>0</v>
      </c>
      <c r="G75" s="156" t="str">
        <f t="shared" si="1"/>
        <v/>
      </c>
    </row>
    <row r="76" spans="2:7">
      <c r="B76" s="150">
        <v>70</v>
      </c>
      <c r="C76" s="153" t="s">
        <v>34</v>
      </c>
      <c r="D76" s="154" t="s">
        <v>35</v>
      </c>
      <c r="E76" s="123">
        <f>'20'!I52-'20'!I31-'20'!I33-'20'!I34-'20'!I36-'20'!I37-'20'!I38-'20'!I39</f>
        <v>840380</v>
      </c>
      <c r="F76" s="123">
        <f>'20'!M52-'20'!M31-'20'!M33-'20'!M34-'20'!M36-'20'!M37-'20'!M38-'20'!M39</f>
        <v>1026000</v>
      </c>
      <c r="G76" s="156">
        <f t="shared" si="1"/>
        <v>122.08762702586924</v>
      </c>
    </row>
    <row r="77" spans="2:7">
      <c r="B77" s="475">
        <v>71</v>
      </c>
      <c r="C77" s="479" t="s">
        <v>36</v>
      </c>
      <c r="D77" s="476" t="s">
        <v>37</v>
      </c>
      <c r="E77" s="477">
        <f>SUM(E78:E86)</f>
        <v>5788760</v>
      </c>
      <c r="F77" s="477">
        <f>SUM(F78:F86)</f>
        <v>6102110</v>
      </c>
      <c r="G77" s="481">
        <f t="shared" si="1"/>
        <v>105.41307637559684</v>
      </c>
    </row>
    <row r="78" spans="2:7">
      <c r="B78" s="150">
        <v>72</v>
      </c>
      <c r="C78" s="153" t="s">
        <v>38</v>
      </c>
      <c r="D78" s="154" t="s">
        <v>39</v>
      </c>
      <c r="E78" s="123">
        <v>0</v>
      </c>
      <c r="F78" s="123">
        <v>0</v>
      </c>
      <c r="G78" s="156" t="str">
        <f t="shared" si="1"/>
        <v/>
      </c>
    </row>
    <row r="79" spans="2:7">
      <c r="B79" s="150">
        <v>73</v>
      </c>
      <c r="C79" s="153" t="s">
        <v>40</v>
      </c>
      <c r="D79" s="154" t="s">
        <v>41</v>
      </c>
      <c r="E79" s="123">
        <v>0</v>
      </c>
      <c r="F79" s="123">
        <v>0</v>
      </c>
      <c r="G79" s="156" t="str">
        <f t="shared" si="1"/>
        <v/>
      </c>
    </row>
    <row r="80" spans="2:7">
      <c r="B80" s="150">
        <v>74</v>
      </c>
      <c r="C80" s="153" t="s">
        <v>42</v>
      </c>
      <c r="D80" s="154" t="s">
        <v>43</v>
      </c>
      <c r="E80" s="123">
        <v>0</v>
      </c>
      <c r="F80" s="123">
        <v>0</v>
      </c>
      <c r="G80" s="156" t="str">
        <f t="shared" si="1"/>
        <v/>
      </c>
    </row>
    <row r="81" spans="2:7">
      <c r="B81" s="150">
        <v>75</v>
      </c>
      <c r="C81" s="153" t="s">
        <v>44</v>
      </c>
      <c r="D81" s="154" t="s">
        <v>74</v>
      </c>
      <c r="E81" s="123">
        <v>0</v>
      </c>
      <c r="F81" s="123">
        <v>0</v>
      </c>
      <c r="G81" s="156" t="str">
        <f t="shared" si="1"/>
        <v/>
      </c>
    </row>
    <row r="82" spans="2:7">
      <c r="B82" s="150">
        <v>76</v>
      </c>
      <c r="C82" s="153" t="s">
        <v>45</v>
      </c>
      <c r="D82" s="154" t="s">
        <v>75</v>
      </c>
      <c r="E82" s="123">
        <v>0</v>
      </c>
      <c r="F82" s="123">
        <v>0</v>
      </c>
      <c r="G82" s="156" t="str">
        <f t="shared" si="1"/>
        <v/>
      </c>
    </row>
    <row r="83" spans="2:7">
      <c r="B83" s="150">
        <v>77</v>
      </c>
      <c r="C83" s="153" t="s">
        <v>46</v>
      </c>
      <c r="D83" s="154" t="s">
        <v>47</v>
      </c>
      <c r="E83" s="123">
        <v>0</v>
      </c>
      <c r="F83" s="123">
        <v>0</v>
      </c>
      <c r="G83" s="156" t="str">
        <f t="shared" si="1"/>
        <v/>
      </c>
    </row>
    <row r="84" spans="2:7">
      <c r="B84" s="150">
        <v>78</v>
      </c>
      <c r="C84" s="153" t="s">
        <v>48</v>
      </c>
      <c r="D84" s="154" t="s">
        <v>49</v>
      </c>
      <c r="E84" s="123">
        <v>0</v>
      </c>
      <c r="F84" s="123">
        <v>0</v>
      </c>
      <c r="G84" s="156" t="str">
        <f t="shared" si="1"/>
        <v/>
      </c>
    </row>
    <row r="85" spans="2:7">
      <c r="B85" s="150">
        <v>79</v>
      </c>
      <c r="C85" s="153" t="s">
        <v>50</v>
      </c>
      <c r="D85" s="154" t="s">
        <v>51</v>
      </c>
      <c r="E85" s="123">
        <v>0</v>
      </c>
      <c r="F85" s="123">
        <v>0</v>
      </c>
      <c r="G85" s="156" t="str">
        <f t="shared" si="1"/>
        <v/>
      </c>
    </row>
    <row r="86" spans="2:7">
      <c r="B86" s="150">
        <v>80</v>
      </c>
      <c r="C86" s="153" t="s">
        <v>52</v>
      </c>
      <c r="D86" s="154" t="s">
        <v>53</v>
      </c>
      <c r="E86" s="123">
        <f>'17'!I39+'31'!I36</f>
        <v>5788760</v>
      </c>
      <c r="F86" s="123">
        <f>'17'!M39+'31'!M36</f>
        <v>6102110</v>
      </c>
      <c r="G86" s="156">
        <f t="shared" si="1"/>
        <v>105.41307637559684</v>
      </c>
    </row>
    <row r="87" spans="2:7">
      <c r="B87" s="59"/>
      <c r="C87" s="59"/>
      <c r="D87" s="59"/>
      <c r="E87" s="59"/>
      <c r="F87" s="59"/>
      <c r="G87" s="59"/>
    </row>
    <row r="88" spans="2:7">
      <c r="B88" s="59"/>
      <c r="C88" s="59"/>
      <c r="D88" s="59"/>
      <c r="E88" s="59"/>
      <c r="F88" s="59"/>
      <c r="G88" s="59"/>
    </row>
    <row r="89" spans="2:7">
      <c r="B89" s="59"/>
      <c r="C89" s="59"/>
      <c r="D89" s="59"/>
      <c r="E89" s="59"/>
      <c r="F89" s="59"/>
      <c r="G89" s="59"/>
    </row>
    <row r="90" spans="2:7">
      <c r="B90" s="59"/>
      <c r="C90" s="59"/>
      <c r="D90" s="59"/>
      <c r="E90" s="59"/>
      <c r="F90" s="59"/>
      <c r="G90" s="59"/>
    </row>
    <row r="91" spans="2:7">
      <c r="B91" s="59"/>
      <c r="C91" s="59"/>
      <c r="D91" s="59"/>
      <c r="E91" s="59"/>
      <c r="F91" s="59"/>
      <c r="G91" s="59"/>
    </row>
    <row r="92" spans="2:7">
      <c r="B92" s="59"/>
      <c r="C92" s="59"/>
      <c r="D92" s="59"/>
      <c r="E92" s="59"/>
      <c r="F92" s="59"/>
      <c r="G92" s="59"/>
    </row>
    <row r="93" spans="2:7">
      <c r="B93" s="59"/>
      <c r="C93" s="59"/>
      <c r="D93" s="59"/>
      <c r="E93" s="59"/>
      <c r="F93" s="59"/>
      <c r="G93" s="59"/>
    </row>
    <row r="94" spans="2:7">
      <c r="B94" s="59"/>
      <c r="C94" s="59"/>
      <c r="D94" s="59"/>
      <c r="E94" s="59"/>
      <c r="F94" s="59"/>
      <c r="G94" s="59"/>
    </row>
    <row r="95" spans="2:7">
      <c r="B95" s="59"/>
      <c r="C95" s="59"/>
      <c r="D95" s="59"/>
      <c r="E95" s="59"/>
      <c r="F95" s="59"/>
      <c r="G95" s="59"/>
    </row>
    <row r="96" spans="2:7">
      <c r="B96" s="59"/>
      <c r="C96" s="59"/>
      <c r="D96" s="59"/>
      <c r="E96" s="59"/>
      <c r="F96" s="59"/>
      <c r="G96" s="59"/>
    </row>
    <row r="97" spans="2:7">
      <c r="B97" s="59"/>
      <c r="C97" s="59"/>
      <c r="D97" s="59"/>
      <c r="E97" s="59"/>
      <c r="F97" s="59"/>
      <c r="G97" s="59"/>
    </row>
    <row r="98" spans="2:7">
      <c r="B98" s="59"/>
      <c r="C98" s="59"/>
      <c r="D98" s="59"/>
      <c r="E98" s="59"/>
      <c r="F98" s="59"/>
      <c r="G98" s="59"/>
    </row>
    <row r="99" spans="2:7">
      <c r="B99" s="59"/>
      <c r="C99" s="59"/>
      <c r="D99" s="59"/>
      <c r="E99" s="59"/>
      <c r="F99" s="59"/>
      <c r="G99" s="59"/>
    </row>
    <row r="100" spans="2:7">
      <c r="B100" s="59"/>
      <c r="C100" s="59"/>
      <c r="D100" s="59"/>
      <c r="E100" s="59"/>
      <c r="F100" s="59"/>
      <c r="G100" s="59"/>
    </row>
    <row r="101" spans="2:7">
      <c r="B101" s="59"/>
      <c r="C101" s="59"/>
      <c r="D101" s="59"/>
      <c r="E101" s="59"/>
      <c r="F101" s="59"/>
      <c r="G101" s="59"/>
    </row>
    <row r="102" spans="2:7">
      <c r="B102" s="59"/>
      <c r="C102" s="59"/>
      <c r="D102" s="59"/>
      <c r="E102" s="59"/>
      <c r="F102" s="59"/>
      <c r="G102" s="59"/>
    </row>
    <row r="103" spans="2:7">
      <c r="B103" s="59"/>
      <c r="C103" s="59"/>
      <c r="D103" s="59"/>
      <c r="E103" s="59"/>
      <c r="F103" s="59"/>
      <c r="G103" s="59"/>
    </row>
    <row r="104" spans="2:7">
      <c r="B104" s="59"/>
      <c r="C104" s="59"/>
      <c r="D104" s="59"/>
      <c r="E104" s="59"/>
      <c r="F104" s="59"/>
      <c r="G104" s="59"/>
    </row>
    <row r="105" spans="2:7">
      <c r="B105" s="59"/>
      <c r="C105" s="59"/>
      <c r="D105" s="59"/>
      <c r="E105" s="59"/>
      <c r="F105" s="59"/>
      <c r="G105" s="59"/>
    </row>
    <row r="106" spans="2:7">
      <c r="B106" s="59"/>
      <c r="C106" s="59"/>
      <c r="D106" s="59"/>
      <c r="E106" s="59"/>
      <c r="F106" s="59"/>
      <c r="G106" s="59"/>
    </row>
    <row r="107" spans="2:7">
      <c r="B107" s="59"/>
      <c r="C107" s="59"/>
      <c r="D107" s="59"/>
      <c r="E107" s="59"/>
      <c r="F107" s="59"/>
      <c r="G107" s="59"/>
    </row>
    <row r="108" spans="2:7">
      <c r="B108" s="59"/>
      <c r="C108" s="59"/>
      <c r="D108" s="59"/>
      <c r="E108" s="59"/>
      <c r="F108" s="59"/>
      <c r="G108" s="59"/>
    </row>
    <row r="109" spans="2:7">
      <c r="B109" s="59"/>
      <c r="C109" s="59"/>
      <c r="D109" s="59"/>
      <c r="E109" s="59"/>
      <c r="F109" s="59"/>
      <c r="G109" s="59"/>
    </row>
    <row r="110" spans="2:7">
      <c r="B110" s="59"/>
      <c r="C110" s="59"/>
      <c r="D110" s="59"/>
      <c r="E110" s="59"/>
      <c r="F110" s="59"/>
      <c r="G110" s="59"/>
    </row>
    <row r="111" spans="2:7">
      <c r="B111" s="59"/>
      <c r="C111" s="59"/>
      <c r="D111" s="59"/>
      <c r="E111" s="59"/>
      <c r="F111" s="59"/>
      <c r="G111" s="59"/>
    </row>
    <row r="112" spans="2:7">
      <c r="B112" s="59"/>
      <c r="C112" s="59"/>
      <c r="D112" s="59"/>
      <c r="E112" s="59"/>
      <c r="F112" s="59"/>
      <c r="G112" s="59"/>
    </row>
    <row r="113" spans="2:7">
      <c r="B113" s="59"/>
      <c r="C113" s="59"/>
      <c r="D113" s="59"/>
      <c r="E113" s="59"/>
      <c r="F113" s="59"/>
      <c r="G113" s="59"/>
    </row>
    <row r="114" spans="2:7">
      <c r="B114" s="59"/>
      <c r="C114" s="59"/>
      <c r="D114" s="59"/>
      <c r="E114" s="59"/>
      <c r="F114" s="59"/>
      <c r="G114" s="59"/>
    </row>
    <row r="115" spans="2:7">
      <c r="B115" s="59"/>
      <c r="C115" s="59"/>
      <c r="D115" s="59"/>
      <c r="E115" s="59"/>
      <c r="F115" s="59"/>
      <c r="G115" s="59"/>
    </row>
    <row r="116" spans="2:7">
      <c r="B116" s="59"/>
      <c r="C116" s="59"/>
      <c r="D116" s="59"/>
      <c r="E116" s="59"/>
      <c r="F116" s="59"/>
      <c r="G116" s="59"/>
    </row>
    <row r="117" spans="2:7">
      <c r="B117" s="59"/>
      <c r="C117" s="59"/>
      <c r="D117" s="59"/>
      <c r="E117" s="59"/>
      <c r="F117" s="59"/>
      <c r="G117" s="59"/>
    </row>
    <row r="118" spans="2:7">
      <c r="B118" s="59"/>
      <c r="C118" s="59"/>
      <c r="D118" s="59"/>
      <c r="E118" s="59"/>
      <c r="F118" s="59"/>
      <c r="G118" s="59"/>
    </row>
    <row r="119" spans="2:7">
      <c r="B119" s="59"/>
      <c r="C119" s="59"/>
      <c r="D119" s="59"/>
      <c r="E119" s="59"/>
      <c r="F119" s="59"/>
      <c r="G119" s="59"/>
    </row>
  </sheetData>
  <mergeCells count="1">
    <mergeCell ref="B2:G2"/>
  </mergeCells>
  <phoneticPr fontId="0" type="noConversion"/>
  <pageMargins left="0.9055118110236221" right="0.31496062992125984" top="0.35433070866141736" bottom="0.51181102362204722" header="0.39370078740157483" footer="0.31496062992125984"/>
  <pageSetup paperSize="9" scale="88" firstPageNumber="46" orientation="landscape" r:id="rId1"/>
  <headerFooter alignWithMargins="0">
    <oddFooter>&amp;R&amp;P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dimension ref="A2:F44"/>
  <sheetViews>
    <sheetView topLeftCell="A10" zoomScaleNormal="100" workbookViewId="0">
      <selection activeCell="E46" sqref="E46"/>
    </sheetView>
  </sheetViews>
  <sheetFormatPr defaultRowHeight="12.75"/>
  <cols>
    <col min="1" max="1" width="15.7109375" style="33" customWidth="1"/>
    <col min="2" max="2" width="82.28515625" customWidth="1"/>
    <col min="3" max="6" width="18.7109375" customWidth="1"/>
  </cols>
  <sheetData>
    <row r="2" spans="1:6" ht="15.75">
      <c r="A2" s="754" t="s">
        <v>848</v>
      </c>
      <c r="B2" s="755"/>
      <c r="C2" s="755"/>
      <c r="D2" s="755"/>
      <c r="E2" s="755"/>
      <c r="F2" s="755"/>
    </row>
    <row r="4" spans="1:6" s="39" customFormat="1">
      <c r="A4" s="760" t="s">
        <v>396</v>
      </c>
      <c r="B4" s="760" t="s">
        <v>414</v>
      </c>
      <c r="C4" s="760" t="s">
        <v>849</v>
      </c>
      <c r="D4" s="757" t="s">
        <v>421</v>
      </c>
      <c r="E4" s="758"/>
      <c r="F4" s="759"/>
    </row>
    <row r="5" spans="1:6" s="39" customFormat="1" ht="39" customHeight="1">
      <c r="A5" s="761"/>
      <c r="B5" s="761"/>
      <c r="C5" s="761"/>
      <c r="D5" s="134" t="s">
        <v>420</v>
      </c>
      <c r="E5" s="134" t="s">
        <v>539</v>
      </c>
      <c r="F5" s="134" t="s">
        <v>540</v>
      </c>
    </row>
    <row r="6" spans="1:6" s="39" customFormat="1">
      <c r="A6" s="134">
        <v>1</v>
      </c>
      <c r="B6" s="135">
        <v>2</v>
      </c>
      <c r="C6" s="134" t="s">
        <v>422</v>
      </c>
      <c r="D6" s="134">
        <v>4</v>
      </c>
      <c r="E6" s="134">
        <v>5</v>
      </c>
      <c r="F6" s="134">
        <v>6</v>
      </c>
    </row>
    <row r="7" spans="1:6" ht="15.95" customHeight="1">
      <c r="A7" s="128">
        <v>10010001</v>
      </c>
      <c r="B7" s="21" t="s">
        <v>230</v>
      </c>
      <c r="C7" s="126">
        <f>D7+E7+F7</f>
        <v>6000</v>
      </c>
      <c r="D7" s="126">
        <f>'1'!K28</f>
        <v>6000</v>
      </c>
      <c r="E7" s="126">
        <v>0</v>
      </c>
      <c r="F7" s="126">
        <v>0</v>
      </c>
    </row>
    <row r="8" spans="1:6" ht="15.95" customHeight="1">
      <c r="A8" s="128">
        <v>11010001</v>
      </c>
      <c r="B8" s="21" t="s">
        <v>231</v>
      </c>
      <c r="C8" s="126">
        <f t="shared" ref="C8:C42" si="0">D8+E8+F8</f>
        <v>15000</v>
      </c>
      <c r="D8" s="126">
        <f>'3'!K50</f>
        <v>15000</v>
      </c>
      <c r="E8" s="126">
        <v>0</v>
      </c>
      <c r="F8" s="126">
        <v>0</v>
      </c>
    </row>
    <row r="9" spans="1:6" ht="15.95" customHeight="1">
      <c r="A9" s="128">
        <v>11010002</v>
      </c>
      <c r="B9" s="21" t="s">
        <v>232</v>
      </c>
      <c r="C9" s="126">
        <f t="shared" si="0"/>
        <v>1000</v>
      </c>
      <c r="D9" s="126">
        <f>'4'!K31</f>
        <v>1000</v>
      </c>
      <c r="E9" s="126">
        <v>0</v>
      </c>
      <c r="F9" s="126">
        <v>0</v>
      </c>
    </row>
    <row r="10" spans="1:6" ht="15.95" customHeight="1">
      <c r="A10" s="128">
        <v>11010003</v>
      </c>
      <c r="B10" s="21" t="s">
        <v>233</v>
      </c>
      <c r="C10" s="126">
        <f t="shared" si="0"/>
        <v>0</v>
      </c>
      <c r="D10" s="126">
        <f>'5'!K28</f>
        <v>0</v>
      </c>
      <c r="E10" s="126">
        <v>0</v>
      </c>
      <c r="F10" s="126">
        <v>0</v>
      </c>
    </row>
    <row r="11" spans="1:6" ht="15.95" customHeight="1">
      <c r="A11" s="128">
        <v>11010004</v>
      </c>
      <c r="B11" s="21" t="s">
        <v>234</v>
      </c>
      <c r="C11" s="126">
        <f t="shared" si="0"/>
        <v>1500</v>
      </c>
      <c r="D11" s="126">
        <f>'6'!K28</f>
        <v>1500</v>
      </c>
      <c r="E11" s="126">
        <v>0</v>
      </c>
      <c r="F11" s="126">
        <v>0</v>
      </c>
    </row>
    <row r="12" spans="1:6" ht="15.95" customHeight="1">
      <c r="A12" s="128">
        <v>11010005</v>
      </c>
      <c r="B12" s="224" t="s">
        <v>605</v>
      </c>
      <c r="C12" s="126">
        <f t="shared" si="0"/>
        <v>1500</v>
      </c>
      <c r="D12" s="126">
        <f>'7'!K28</f>
        <v>1500</v>
      </c>
      <c r="E12" s="126">
        <v>0</v>
      </c>
      <c r="F12" s="126">
        <v>0</v>
      </c>
    </row>
    <row r="13" spans="1:6" ht="15.95" customHeight="1">
      <c r="A13" s="128">
        <v>12010001</v>
      </c>
      <c r="B13" s="21" t="s">
        <v>235</v>
      </c>
      <c r="C13" s="126">
        <f t="shared" si="0"/>
        <v>80000</v>
      </c>
      <c r="D13" s="126">
        <f>'8'!K28</f>
        <v>80000</v>
      </c>
      <c r="E13" s="126">
        <v>0</v>
      </c>
      <c r="F13" s="126">
        <v>0</v>
      </c>
    </row>
    <row r="14" spans="1:6" ht="15.95" customHeight="1">
      <c r="A14" s="128">
        <v>13010001</v>
      </c>
      <c r="B14" s="21" t="s">
        <v>395</v>
      </c>
      <c r="C14" s="126">
        <f t="shared" si="0"/>
        <v>100000</v>
      </c>
      <c r="D14" s="126">
        <f>'9'!K28</f>
        <v>100000</v>
      </c>
      <c r="E14" s="126">
        <v>0</v>
      </c>
      <c r="F14" s="126">
        <v>0</v>
      </c>
    </row>
    <row r="15" spans="1:6" ht="15.95" customHeight="1">
      <c r="A15" s="128">
        <v>14010001</v>
      </c>
      <c r="B15" s="21" t="s">
        <v>237</v>
      </c>
      <c r="C15" s="126">
        <f t="shared" si="0"/>
        <v>3000</v>
      </c>
      <c r="D15" s="126">
        <f>'10'!K28</f>
        <v>3000</v>
      </c>
      <c r="E15" s="126">
        <v>0</v>
      </c>
      <c r="F15" s="126">
        <v>0</v>
      </c>
    </row>
    <row r="16" spans="1:6" ht="15.95" customHeight="1">
      <c r="A16" s="128">
        <v>14020003</v>
      </c>
      <c r="B16" s="21" t="s">
        <v>238</v>
      </c>
      <c r="C16" s="126">
        <f t="shared" si="0"/>
        <v>25000</v>
      </c>
      <c r="D16" s="126">
        <f>'11'!K29</f>
        <v>25000</v>
      </c>
      <c r="E16" s="126">
        <v>0</v>
      </c>
      <c r="F16" s="126">
        <v>0</v>
      </c>
    </row>
    <row r="17" spans="1:6" ht="15.95" customHeight="1">
      <c r="A17" s="128">
        <v>14050001</v>
      </c>
      <c r="B17" s="21" t="s">
        <v>239</v>
      </c>
      <c r="C17" s="126">
        <f t="shared" si="0"/>
        <v>1000</v>
      </c>
      <c r="D17" s="126">
        <f>'12'!K28</f>
        <v>1000</v>
      </c>
      <c r="E17" s="126">
        <v>0</v>
      </c>
      <c r="F17" s="126">
        <v>0</v>
      </c>
    </row>
    <row r="18" spans="1:6" ht="15.95" customHeight="1">
      <c r="A18" s="128">
        <v>14050002</v>
      </c>
      <c r="B18" s="21" t="s">
        <v>240</v>
      </c>
      <c r="C18" s="126">
        <f t="shared" si="0"/>
        <v>1000</v>
      </c>
      <c r="D18" s="126">
        <f>'13'!K28</f>
        <v>1000</v>
      </c>
      <c r="E18" s="126">
        <v>0</v>
      </c>
      <c r="F18" s="126">
        <v>0</v>
      </c>
    </row>
    <row r="19" spans="1:6" ht="15.95" customHeight="1">
      <c r="A19" s="128">
        <v>14060001</v>
      </c>
      <c r="B19" s="21" t="s">
        <v>241</v>
      </c>
      <c r="C19" s="126">
        <f t="shared" si="0"/>
        <v>500</v>
      </c>
      <c r="D19" s="126">
        <f>'14'!K28</f>
        <v>500</v>
      </c>
      <c r="E19" s="126">
        <v>0</v>
      </c>
      <c r="F19" s="126">
        <v>0</v>
      </c>
    </row>
    <row r="20" spans="1:6" ht="15.95" customHeight="1">
      <c r="A20" s="128">
        <v>15010001</v>
      </c>
      <c r="B20" s="21" t="s">
        <v>242</v>
      </c>
      <c r="C20" s="126">
        <f t="shared" si="0"/>
        <v>860</v>
      </c>
      <c r="D20" s="126">
        <f>'15'!K32</f>
        <v>860</v>
      </c>
      <c r="E20" s="126">
        <v>0</v>
      </c>
      <c r="F20" s="126">
        <v>0</v>
      </c>
    </row>
    <row r="21" spans="1:6" ht="15.95" customHeight="1">
      <c r="A21" s="128">
        <v>16010001</v>
      </c>
      <c r="B21" s="21" t="s">
        <v>243</v>
      </c>
      <c r="C21" s="126">
        <f t="shared" si="0"/>
        <v>1380</v>
      </c>
      <c r="D21" s="126">
        <f>'16'!K41</f>
        <v>1380</v>
      </c>
      <c r="E21" s="126">
        <v>0</v>
      </c>
      <c r="F21" s="126">
        <v>0</v>
      </c>
    </row>
    <row r="22" spans="1:6" ht="15.95" customHeight="1">
      <c r="A22" s="128">
        <v>17010001</v>
      </c>
      <c r="B22" s="21" t="s">
        <v>244</v>
      </c>
      <c r="C22" s="126">
        <f t="shared" si="0"/>
        <v>1500</v>
      </c>
      <c r="D22" s="126">
        <f>'17'!K34</f>
        <v>1500</v>
      </c>
      <c r="E22" s="126">
        <v>0</v>
      </c>
      <c r="F22" s="126">
        <v>0</v>
      </c>
    </row>
    <row r="23" spans="1:6" ht="15.95" customHeight="1">
      <c r="A23" s="128">
        <v>18010001</v>
      </c>
      <c r="B23" s="21" t="s">
        <v>245</v>
      </c>
      <c r="C23" s="126">
        <f t="shared" si="0"/>
        <v>894600</v>
      </c>
      <c r="D23" s="126">
        <f>'18'!K33</f>
        <v>2600</v>
      </c>
      <c r="E23" s="126">
        <f>'18'!L33</f>
        <v>892000</v>
      </c>
      <c r="F23" s="126">
        <v>0</v>
      </c>
    </row>
    <row r="24" spans="1:6" ht="15.95" customHeight="1">
      <c r="A24" s="128">
        <v>19010001</v>
      </c>
      <c r="B24" s="21" t="s">
        <v>246</v>
      </c>
      <c r="C24" s="126">
        <f t="shared" si="0"/>
        <v>40000</v>
      </c>
      <c r="D24" s="126">
        <f>'19'!K34</f>
        <v>10000</v>
      </c>
      <c r="E24" s="126">
        <f>'19'!L34</f>
        <v>30000</v>
      </c>
      <c r="F24" s="126">
        <v>0</v>
      </c>
    </row>
    <row r="25" spans="1:6" ht="15.95" customHeight="1">
      <c r="A25" s="128">
        <v>20010001</v>
      </c>
      <c r="B25" s="21" t="s">
        <v>247</v>
      </c>
      <c r="C25" s="126">
        <f t="shared" si="0"/>
        <v>182790</v>
      </c>
      <c r="D25" s="126">
        <f>'20'!K44</f>
        <v>68600</v>
      </c>
      <c r="E25" s="126">
        <v>0</v>
      </c>
      <c r="F25" s="126">
        <f>'20'!L44</f>
        <v>114190</v>
      </c>
    </row>
    <row r="26" spans="1:6" ht="15.95" customHeight="1">
      <c r="A26" s="128">
        <v>20020002</v>
      </c>
      <c r="B26" s="21" t="s">
        <v>397</v>
      </c>
      <c r="C26" s="126">
        <f t="shared" si="0"/>
        <v>21860</v>
      </c>
      <c r="D26" s="126">
        <f>'21'!K28</f>
        <v>10000</v>
      </c>
      <c r="E26" s="126">
        <v>0</v>
      </c>
      <c r="F26" s="126">
        <f>'21'!L28</f>
        <v>11860</v>
      </c>
    </row>
    <row r="27" spans="1:6" ht="15.95" customHeight="1">
      <c r="A27" s="128">
        <v>20020003</v>
      </c>
      <c r="B27" s="21" t="s">
        <v>398</v>
      </c>
      <c r="C27" s="126">
        <f t="shared" si="0"/>
        <v>10000</v>
      </c>
      <c r="D27" s="126">
        <f>'22'!K28</f>
        <v>10000</v>
      </c>
      <c r="E27" s="126">
        <v>0</v>
      </c>
      <c r="F27" s="126">
        <f>'22'!L28</f>
        <v>0</v>
      </c>
    </row>
    <row r="28" spans="1:6" ht="15.95" customHeight="1">
      <c r="A28" s="128">
        <v>20020004</v>
      </c>
      <c r="B28" s="21" t="s">
        <v>399</v>
      </c>
      <c r="C28" s="126">
        <f t="shared" si="0"/>
        <v>36970</v>
      </c>
      <c r="D28" s="126">
        <f>'23'!K29</f>
        <v>10000</v>
      </c>
      <c r="E28" s="126">
        <v>0</v>
      </c>
      <c r="F28" s="126">
        <f>'23'!L29</f>
        <v>26970</v>
      </c>
    </row>
    <row r="29" spans="1:6" ht="15.95" customHeight="1">
      <c r="A29" s="128">
        <v>20030001</v>
      </c>
      <c r="B29" s="188" t="s">
        <v>400</v>
      </c>
      <c r="C29" s="126">
        <f t="shared" si="0"/>
        <v>5000</v>
      </c>
      <c r="D29" s="126">
        <f>'24'!K28</f>
        <v>5000</v>
      </c>
      <c r="E29" s="126">
        <v>0</v>
      </c>
      <c r="F29" s="126">
        <f>'24'!L28</f>
        <v>0</v>
      </c>
    </row>
    <row r="30" spans="1:6" ht="15.95" customHeight="1">
      <c r="A30" s="128">
        <v>20030002</v>
      </c>
      <c r="B30" s="21" t="s">
        <v>401</v>
      </c>
      <c r="C30" s="126">
        <f t="shared" si="0"/>
        <v>33730</v>
      </c>
      <c r="D30" s="126">
        <f>'25'!K28</f>
        <v>24000</v>
      </c>
      <c r="E30" s="126">
        <v>0</v>
      </c>
      <c r="F30" s="126">
        <f>'25'!L28</f>
        <v>9730</v>
      </c>
    </row>
    <row r="31" spans="1:6" ht="15.95" customHeight="1">
      <c r="A31" s="128">
        <v>20030003</v>
      </c>
      <c r="B31" s="21" t="s">
        <v>402</v>
      </c>
      <c r="C31" s="126">
        <f t="shared" si="0"/>
        <v>20000</v>
      </c>
      <c r="D31" s="126">
        <f>'26'!K28</f>
        <v>20000</v>
      </c>
      <c r="E31" s="126">
        <v>0</v>
      </c>
      <c r="F31" s="126">
        <f>'26'!L28</f>
        <v>0</v>
      </c>
    </row>
    <row r="32" spans="1:6" ht="15.95" customHeight="1">
      <c r="A32" s="128">
        <v>20030004</v>
      </c>
      <c r="B32" s="188" t="s">
        <v>533</v>
      </c>
      <c r="C32" s="126">
        <f t="shared" si="0"/>
        <v>17000</v>
      </c>
      <c r="D32" s="126">
        <f>'27'!K28</f>
        <v>12100</v>
      </c>
      <c r="E32" s="126">
        <v>0</v>
      </c>
      <c r="F32" s="126">
        <f>'27'!L28</f>
        <v>4900</v>
      </c>
    </row>
    <row r="33" spans="1:6" ht="15.95" customHeight="1">
      <c r="A33" s="128">
        <v>20030005</v>
      </c>
      <c r="B33" s="21" t="s">
        <v>541</v>
      </c>
      <c r="C33" s="126">
        <f t="shared" si="0"/>
        <v>30000</v>
      </c>
      <c r="D33" s="126">
        <f>'28'!K28</f>
        <v>30000</v>
      </c>
      <c r="E33" s="126">
        <v>0</v>
      </c>
      <c r="F33" s="126">
        <f>'28'!L28</f>
        <v>0</v>
      </c>
    </row>
    <row r="34" spans="1:6" ht="15.95" customHeight="1">
      <c r="A34" s="128">
        <v>20030006</v>
      </c>
      <c r="B34" s="21" t="s">
        <v>542</v>
      </c>
      <c r="C34" s="126">
        <f t="shared" si="0"/>
        <v>8000</v>
      </c>
      <c r="D34" s="126">
        <f>'29'!K28</f>
        <v>3000</v>
      </c>
      <c r="E34" s="126">
        <v>0</v>
      </c>
      <c r="F34" s="126">
        <f>'29'!L28</f>
        <v>5000</v>
      </c>
    </row>
    <row r="35" spans="1:6" ht="15.95" customHeight="1">
      <c r="A35" s="128">
        <v>20030007</v>
      </c>
      <c r="B35" s="21" t="s">
        <v>543</v>
      </c>
      <c r="C35" s="126">
        <f t="shared" si="0"/>
        <v>5000</v>
      </c>
      <c r="D35" s="126">
        <f>'30'!K28</f>
        <v>3000</v>
      </c>
      <c r="E35" s="126">
        <v>0</v>
      </c>
      <c r="F35" s="126">
        <f>'30'!L28</f>
        <v>2000</v>
      </c>
    </row>
    <row r="36" spans="1:6" ht="15.95" customHeight="1">
      <c r="A36" s="128">
        <v>21010001</v>
      </c>
      <c r="B36" s="21" t="s">
        <v>257</v>
      </c>
      <c r="C36" s="126">
        <f t="shared" si="0"/>
        <v>3000</v>
      </c>
      <c r="D36" s="126">
        <f>'31'!K31</f>
        <v>3000</v>
      </c>
      <c r="E36" s="126">
        <v>0</v>
      </c>
      <c r="F36" s="126">
        <f>'31'!L31</f>
        <v>0</v>
      </c>
    </row>
    <row r="37" spans="1:6" ht="15.95" customHeight="1">
      <c r="A37" s="128">
        <v>22010001</v>
      </c>
      <c r="B37" s="21" t="s">
        <v>258</v>
      </c>
      <c r="C37" s="126">
        <f t="shared" si="0"/>
        <v>0</v>
      </c>
      <c r="D37" s="126">
        <f>'32'!K28</f>
        <v>0</v>
      </c>
      <c r="E37" s="126">
        <v>0</v>
      </c>
      <c r="F37" s="126">
        <f>'32'!L28</f>
        <v>0</v>
      </c>
    </row>
    <row r="38" spans="1:6" ht="15.95" customHeight="1">
      <c r="A38" s="128">
        <v>23010001</v>
      </c>
      <c r="B38" s="21" t="s">
        <v>259</v>
      </c>
      <c r="C38" s="126">
        <f t="shared" si="0"/>
        <v>34400</v>
      </c>
      <c r="D38" s="126">
        <f>'33'!K32</f>
        <v>0</v>
      </c>
      <c r="E38" s="126">
        <v>0</v>
      </c>
      <c r="F38" s="126">
        <f>'33'!L32</f>
        <v>34400</v>
      </c>
    </row>
    <row r="39" spans="1:6" ht="15.95" customHeight="1">
      <c r="A39" s="128">
        <v>24010001</v>
      </c>
      <c r="B39" s="21" t="s">
        <v>260</v>
      </c>
      <c r="C39" s="126">
        <f t="shared" si="0"/>
        <v>10000</v>
      </c>
      <c r="D39" s="126">
        <f>'34'!K28</f>
        <v>10000</v>
      </c>
      <c r="E39" s="126">
        <v>0</v>
      </c>
      <c r="F39" s="126">
        <f>'34'!L28</f>
        <v>0</v>
      </c>
    </row>
    <row r="40" spans="1:6" ht="15.95" customHeight="1">
      <c r="A40" s="128">
        <v>26010001</v>
      </c>
      <c r="B40" s="21" t="s">
        <v>261</v>
      </c>
      <c r="C40" s="126">
        <f t="shared" si="0"/>
        <v>1000</v>
      </c>
      <c r="D40" s="126">
        <f>'35'!K28</f>
        <v>1000</v>
      </c>
      <c r="E40" s="126">
        <v>0</v>
      </c>
      <c r="F40" s="126">
        <f>'35'!L28</f>
        <v>0</v>
      </c>
    </row>
    <row r="41" spans="1:6" ht="15.95" customHeight="1">
      <c r="A41" s="128">
        <v>27010001</v>
      </c>
      <c r="B41" s="21" t="s">
        <v>262</v>
      </c>
      <c r="C41" s="126">
        <f t="shared" si="0"/>
        <v>1000</v>
      </c>
      <c r="D41" s="126">
        <f>'36'!K28</f>
        <v>1000</v>
      </c>
      <c r="E41" s="126">
        <v>0</v>
      </c>
      <c r="F41" s="126">
        <f>'36'!L28</f>
        <v>0</v>
      </c>
    </row>
    <row r="42" spans="1:6" ht="15.95" customHeight="1">
      <c r="A42" s="128">
        <v>28010001</v>
      </c>
      <c r="B42" s="21" t="s">
        <v>263</v>
      </c>
      <c r="C42" s="126">
        <f t="shared" si="0"/>
        <v>1000</v>
      </c>
      <c r="D42" s="126">
        <f>'37'!K28</f>
        <v>1000</v>
      </c>
      <c r="E42" s="126">
        <v>0</v>
      </c>
      <c r="F42" s="126">
        <f>'37'!L28</f>
        <v>0</v>
      </c>
    </row>
    <row r="43" spans="1:6" s="39" customFormat="1" ht="15.95" customHeight="1">
      <c r="A43" s="73"/>
      <c r="B43" s="132" t="s">
        <v>418</v>
      </c>
      <c r="C43" s="133">
        <f>SUM(C7:C42)</f>
        <v>1594590</v>
      </c>
      <c r="D43" s="133">
        <f>SUM(D7:D42)</f>
        <v>463540</v>
      </c>
      <c r="E43" s="133">
        <f>SUM(E7:E42)</f>
        <v>922000</v>
      </c>
      <c r="F43" s="133">
        <f>SUM(F7:F42)</f>
        <v>209050</v>
      </c>
    </row>
    <row r="44" spans="1:6" ht="18" customHeight="1"/>
  </sheetData>
  <mergeCells count="5">
    <mergeCell ref="A2:F2"/>
    <mergeCell ref="D4:F4"/>
    <mergeCell ref="A4:A5"/>
    <mergeCell ref="B4:B5"/>
    <mergeCell ref="C4:C5"/>
  </mergeCells>
  <phoneticPr fontId="0" type="noConversion"/>
  <pageMargins left="0.9055118110236221" right="0.31496062992125984" top="0.35433070866141736" bottom="0.51181102362204722" header="0.39370078740157483" footer="0.31496062992125984"/>
  <pageSetup paperSize="9" scale="78" orientation="landscape" r:id="rId1"/>
  <headerFooter alignWithMargins="0">
    <oddFooter>&amp;R&amp;P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sheetPr codeName="Sheet47"/>
  <dimension ref="A1:H38"/>
  <sheetViews>
    <sheetView zoomScaleNormal="100" workbookViewId="0">
      <selection activeCell="C19" sqref="C19"/>
    </sheetView>
  </sheetViews>
  <sheetFormatPr defaultRowHeight="15" customHeight="1"/>
  <cols>
    <col min="1" max="1" width="9.140625" style="498"/>
    <col min="2" max="2" width="46.7109375" style="498" customWidth="1"/>
    <col min="3" max="3" width="18" style="498" customWidth="1"/>
    <col min="4" max="4" width="12.42578125" style="498" customWidth="1"/>
    <col min="5" max="6" width="9.140625" style="498"/>
    <col min="7" max="8" width="15.7109375" style="498" customWidth="1"/>
    <col min="9" max="9" width="8.7109375" style="498" customWidth="1"/>
    <col min="10" max="257" width="9.140625" style="498"/>
    <col min="258" max="258" width="46.7109375" style="498" customWidth="1"/>
    <col min="259" max="259" width="18" style="498" customWidth="1"/>
    <col min="260" max="260" width="12.42578125" style="498" customWidth="1"/>
    <col min="261" max="262" width="9.140625" style="498"/>
    <col min="263" max="264" width="15.7109375" style="498" customWidth="1"/>
    <col min="265" max="265" width="8.7109375" style="498" customWidth="1"/>
    <col min="266" max="513" width="9.140625" style="498"/>
    <col min="514" max="514" width="46.7109375" style="498" customWidth="1"/>
    <col min="515" max="515" width="18" style="498" customWidth="1"/>
    <col min="516" max="516" width="12.42578125" style="498" customWidth="1"/>
    <col min="517" max="518" width="9.140625" style="498"/>
    <col min="519" max="520" width="15.7109375" style="498" customWidth="1"/>
    <col min="521" max="521" width="8.7109375" style="498" customWidth="1"/>
    <col min="522" max="769" width="9.140625" style="498"/>
    <col min="770" max="770" width="46.7109375" style="498" customWidth="1"/>
    <col min="771" max="771" width="18" style="498" customWidth="1"/>
    <col min="772" max="772" width="12.42578125" style="498" customWidth="1"/>
    <col min="773" max="774" width="9.140625" style="498"/>
    <col min="775" max="776" width="15.7109375" style="498" customWidth="1"/>
    <col min="777" max="777" width="8.7109375" style="498" customWidth="1"/>
    <col min="778" max="1025" width="9.140625" style="498"/>
    <col min="1026" max="1026" width="46.7109375" style="498" customWidth="1"/>
    <col min="1027" max="1027" width="18" style="498" customWidth="1"/>
    <col min="1028" max="1028" width="12.42578125" style="498" customWidth="1"/>
    <col min="1029" max="1030" width="9.140625" style="498"/>
    <col min="1031" max="1032" width="15.7109375" style="498" customWidth="1"/>
    <col min="1033" max="1033" width="8.7109375" style="498" customWidth="1"/>
    <col min="1034" max="1281" width="9.140625" style="498"/>
    <col min="1282" max="1282" width="46.7109375" style="498" customWidth="1"/>
    <col min="1283" max="1283" width="18" style="498" customWidth="1"/>
    <col min="1284" max="1284" width="12.42578125" style="498" customWidth="1"/>
    <col min="1285" max="1286" width="9.140625" style="498"/>
    <col min="1287" max="1288" width="15.7109375" style="498" customWidth="1"/>
    <col min="1289" max="1289" width="8.7109375" style="498" customWidth="1"/>
    <col min="1290" max="1537" width="9.140625" style="498"/>
    <col min="1538" max="1538" width="46.7109375" style="498" customWidth="1"/>
    <col min="1539" max="1539" width="18" style="498" customWidth="1"/>
    <col min="1540" max="1540" width="12.42578125" style="498" customWidth="1"/>
    <col min="1541" max="1542" width="9.140625" style="498"/>
    <col min="1543" max="1544" width="15.7109375" style="498" customWidth="1"/>
    <col min="1545" max="1545" width="8.7109375" style="498" customWidth="1"/>
    <col min="1546" max="1793" width="9.140625" style="498"/>
    <col min="1794" max="1794" width="46.7109375" style="498" customWidth="1"/>
    <col min="1795" max="1795" width="18" style="498" customWidth="1"/>
    <col min="1796" max="1796" width="12.42578125" style="498" customWidth="1"/>
    <col min="1797" max="1798" width="9.140625" style="498"/>
    <col min="1799" max="1800" width="15.7109375" style="498" customWidth="1"/>
    <col min="1801" max="1801" width="8.7109375" style="498" customWidth="1"/>
    <col min="1802" max="2049" width="9.140625" style="498"/>
    <col min="2050" max="2050" width="46.7109375" style="498" customWidth="1"/>
    <col min="2051" max="2051" width="18" style="498" customWidth="1"/>
    <col min="2052" max="2052" width="12.42578125" style="498" customWidth="1"/>
    <col min="2053" max="2054" width="9.140625" style="498"/>
    <col min="2055" max="2056" width="15.7109375" style="498" customWidth="1"/>
    <col min="2057" max="2057" width="8.7109375" style="498" customWidth="1"/>
    <col min="2058" max="2305" width="9.140625" style="498"/>
    <col min="2306" max="2306" width="46.7109375" style="498" customWidth="1"/>
    <col min="2307" max="2307" width="18" style="498" customWidth="1"/>
    <col min="2308" max="2308" width="12.42578125" style="498" customWidth="1"/>
    <col min="2309" max="2310" width="9.140625" style="498"/>
    <col min="2311" max="2312" width="15.7109375" style="498" customWidth="1"/>
    <col min="2313" max="2313" width="8.7109375" style="498" customWidth="1"/>
    <col min="2314" max="2561" width="9.140625" style="498"/>
    <col min="2562" max="2562" width="46.7109375" style="498" customWidth="1"/>
    <col min="2563" max="2563" width="18" style="498" customWidth="1"/>
    <col min="2564" max="2564" width="12.42578125" style="498" customWidth="1"/>
    <col min="2565" max="2566" width="9.140625" style="498"/>
    <col min="2567" max="2568" width="15.7109375" style="498" customWidth="1"/>
    <col min="2569" max="2569" width="8.7109375" style="498" customWidth="1"/>
    <col min="2570" max="2817" width="9.140625" style="498"/>
    <col min="2818" max="2818" width="46.7109375" style="498" customWidth="1"/>
    <col min="2819" max="2819" width="18" style="498" customWidth="1"/>
    <col min="2820" max="2820" width="12.42578125" style="498" customWidth="1"/>
    <col min="2821" max="2822" width="9.140625" style="498"/>
    <col min="2823" max="2824" width="15.7109375" style="498" customWidth="1"/>
    <col min="2825" max="2825" width="8.7109375" style="498" customWidth="1"/>
    <col min="2826" max="3073" width="9.140625" style="498"/>
    <col min="3074" max="3074" width="46.7109375" style="498" customWidth="1"/>
    <col min="3075" max="3075" width="18" style="498" customWidth="1"/>
    <col min="3076" max="3076" width="12.42578125" style="498" customWidth="1"/>
    <col min="3077" max="3078" width="9.140625" style="498"/>
    <col min="3079" max="3080" width="15.7109375" style="498" customWidth="1"/>
    <col min="3081" max="3081" width="8.7109375" style="498" customWidth="1"/>
    <col min="3082" max="3329" width="9.140625" style="498"/>
    <col min="3330" max="3330" width="46.7109375" style="498" customWidth="1"/>
    <col min="3331" max="3331" width="18" style="498" customWidth="1"/>
    <col min="3332" max="3332" width="12.42578125" style="498" customWidth="1"/>
    <col min="3333" max="3334" width="9.140625" style="498"/>
    <col min="3335" max="3336" width="15.7109375" style="498" customWidth="1"/>
    <col min="3337" max="3337" width="8.7109375" style="498" customWidth="1"/>
    <col min="3338" max="3585" width="9.140625" style="498"/>
    <col min="3586" max="3586" width="46.7109375" style="498" customWidth="1"/>
    <col min="3587" max="3587" width="18" style="498" customWidth="1"/>
    <col min="3588" max="3588" width="12.42578125" style="498" customWidth="1"/>
    <col min="3589" max="3590" width="9.140625" style="498"/>
    <col min="3591" max="3592" width="15.7109375" style="498" customWidth="1"/>
    <col min="3593" max="3593" width="8.7109375" style="498" customWidth="1"/>
    <col min="3594" max="3841" width="9.140625" style="498"/>
    <col min="3842" max="3842" width="46.7109375" style="498" customWidth="1"/>
    <col min="3843" max="3843" width="18" style="498" customWidth="1"/>
    <col min="3844" max="3844" width="12.42578125" style="498" customWidth="1"/>
    <col min="3845" max="3846" width="9.140625" style="498"/>
    <col min="3847" max="3848" width="15.7109375" style="498" customWidth="1"/>
    <col min="3849" max="3849" width="8.7109375" style="498" customWidth="1"/>
    <col min="3850" max="4097" width="9.140625" style="498"/>
    <col min="4098" max="4098" width="46.7109375" style="498" customWidth="1"/>
    <col min="4099" max="4099" width="18" style="498" customWidth="1"/>
    <col min="4100" max="4100" width="12.42578125" style="498" customWidth="1"/>
    <col min="4101" max="4102" width="9.140625" style="498"/>
    <col min="4103" max="4104" width="15.7109375" style="498" customWidth="1"/>
    <col min="4105" max="4105" width="8.7109375" style="498" customWidth="1"/>
    <col min="4106" max="4353" width="9.140625" style="498"/>
    <col min="4354" max="4354" width="46.7109375" style="498" customWidth="1"/>
    <col min="4355" max="4355" width="18" style="498" customWidth="1"/>
    <col min="4356" max="4356" width="12.42578125" style="498" customWidth="1"/>
    <col min="4357" max="4358" width="9.140625" style="498"/>
    <col min="4359" max="4360" width="15.7109375" style="498" customWidth="1"/>
    <col min="4361" max="4361" width="8.7109375" style="498" customWidth="1"/>
    <col min="4362" max="4609" width="9.140625" style="498"/>
    <col min="4610" max="4610" width="46.7109375" style="498" customWidth="1"/>
    <col min="4611" max="4611" width="18" style="498" customWidth="1"/>
    <col min="4612" max="4612" width="12.42578125" style="498" customWidth="1"/>
    <col min="4613" max="4614" width="9.140625" style="498"/>
    <col min="4615" max="4616" width="15.7109375" style="498" customWidth="1"/>
    <col min="4617" max="4617" width="8.7109375" style="498" customWidth="1"/>
    <col min="4618" max="4865" width="9.140625" style="498"/>
    <col min="4866" max="4866" width="46.7109375" style="498" customWidth="1"/>
    <col min="4867" max="4867" width="18" style="498" customWidth="1"/>
    <col min="4868" max="4868" width="12.42578125" style="498" customWidth="1"/>
    <col min="4869" max="4870" width="9.140625" style="498"/>
    <col min="4871" max="4872" width="15.7109375" style="498" customWidth="1"/>
    <col min="4873" max="4873" width="8.7109375" style="498" customWidth="1"/>
    <col min="4874" max="5121" width="9.140625" style="498"/>
    <col min="5122" max="5122" width="46.7109375" style="498" customWidth="1"/>
    <col min="5123" max="5123" width="18" style="498" customWidth="1"/>
    <col min="5124" max="5124" width="12.42578125" style="498" customWidth="1"/>
    <col min="5125" max="5126" width="9.140625" style="498"/>
    <col min="5127" max="5128" width="15.7109375" style="498" customWidth="1"/>
    <col min="5129" max="5129" width="8.7109375" style="498" customWidth="1"/>
    <col min="5130" max="5377" width="9.140625" style="498"/>
    <col min="5378" max="5378" width="46.7109375" style="498" customWidth="1"/>
    <col min="5379" max="5379" width="18" style="498" customWidth="1"/>
    <col min="5380" max="5380" width="12.42578125" style="498" customWidth="1"/>
    <col min="5381" max="5382" width="9.140625" style="498"/>
    <col min="5383" max="5384" width="15.7109375" style="498" customWidth="1"/>
    <col min="5385" max="5385" width="8.7109375" style="498" customWidth="1"/>
    <col min="5386" max="5633" width="9.140625" style="498"/>
    <col min="5634" max="5634" width="46.7109375" style="498" customWidth="1"/>
    <col min="5635" max="5635" width="18" style="498" customWidth="1"/>
    <col min="5636" max="5636" width="12.42578125" style="498" customWidth="1"/>
    <col min="5637" max="5638" width="9.140625" style="498"/>
    <col min="5639" max="5640" width="15.7109375" style="498" customWidth="1"/>
    <col min="5641" max="5641" width="8.7109375" style="498" customWidth="1"/>
    <col min="5642" max="5889" width="9.140625" style="498"/>
    <col min="5890" max="5890" width="46.7109375" style="498" customWidth="1"/>
    <col min="5891" max="5891" width="18" style="498" customWidth="1"/>
    <col min="5892" max="5892" width="12.42578125" style="498" customWidth="1"/>
    <col min="5893" max="5894" width="9.140625" style="498"/>
    <col min="5895" max="5896" width="15.7109375" style="498" customWidth="1"/>
    <col min="5897" max="5897" width="8.7109375" style="498" customWidth="1"/>
    <col min="5898" max="6145" width="9.140625" style="498"/>
    <col min="6146" max="6146" width="46.7109375" style="498" customWidth="1"/>
    <col min="6147" max="6147" width="18" style="498" customWidth="1"/>
    <col min="6148" max="6148" width="12.42578125" style="498" customWidth="1"/>
    <col min="6149" max="6150" width="9.140625" style="498"/>
    <col min="6151" max="6152" width="15.7109375" style="498" customWidth="1"/>
    <col min="6153" max="6153" width="8.7109375" style="498" customWidth="1"/>
    <col min="6154" max="6401" width="9.140625" style="498"/>
    <col min="6402" max="6402" width="46.7109375" style="498" customWidth="1"/>
    <col min="6403" max="6403" width="18" style="498" customWidth="1"/>
    <col min="6404" max="6404" width="12.42578125" style="498" customWidth="1"/>
    <col min="6405" max="6406" width="9.140625" style="498"/>
    <col min="6407" max="6408" width="15.7109375" style="498" customWidth="1"/>
    <col min="6409" max="6409" width="8.7109375" style="498" customWidth="1"/>
    <col min="6410" max="6657" width="9.140625" style="498"/>
    <col min="6658" max="6658" width="46.7109375" style="498" customWidth="1"/>
    <col min="6659" max="6659" width="18" style="498" customWidth="1"/>
    <col min="6660" max="6660" width="12.42578125" style="498" customWidth="1"/>
    <col min="6661" max="6662" width="9.140625" style="498"/>
    <col min="6663" max="6664" width="15.7109375" style="498" customWidth="1"/>
    <col min="6665" max="6665" width="8.7109375" style="498" customWidth="1"/>
    <col min="6666" max="6913" width="9.140625" style="498"/>
    <col min="6914" max="6914" width="46.7109375" style="498" customWidth="1"/>
    <col min="6915" max="6915" width="18" style="498" customWidth="1"/>
    <col min="6916" max="6916" width="12.42578125" style="498" customWidth="1"/>
    <col min="6917" max="6918" width="9.140625" style="498"/>
    <col min="6919" max="6920" width="15.7109375" style="498" customWidth="1"/>
    <col min="6921" max="6921" width="8.7109375" style="498" customWidth="1"/>
    <col min="6922" max="7169" width="9.140625" style="498"/>
    <col min="7170" max="7170" width="46.7109375" style="498" customWidth="1"/>
    <col min="7171" max="7171" width="18" style="498" customWidth="1"/>
    <col min="7172" max="7172" width="12.42578125" style="498" customWidth="1"/>
    <col min="7173" max="7174" width="9.140625" style="498"/>
    <col min="7175" max="7176" width="15.7109375" style="498" customWidth="1"/>
    <col min="7177" max="7177" width="8.7109375" style="498" customWidth="1"/>
    <col min="7178" max="7425" width="9.140625" style="498"/>
    <col min="7426" max="7426" width="46.7109375" style="498" customWidth="1"/>
    <col min="7427" max="7427" width="18" style="498" customWidth="1"/>
    <col min="7428" max="7428" width="12.42578125" style="498" customWidth="1"/>
    <col min="7429" max="7430" width="9.140625" style="498"/>
    <col min="7431" max="7432" width="15.7109375" style="498" customWidth="1"/>
    <col min="7433" max="7433" width="8.7109375" style="498" customWidth="1"/>
    <col min="7434" max="7681" width="9.140625" style="498"/>
    <col min="7682" max="7682" width="46.7109375" style="498" customWidth="1"/>
    <col min="7683" max="7683" width="18" style="498" customWidth="1"/>
    <col min="7684" max="7684" width="12.42578125" style="498" customWidth="1"/>
    <col min="7685" max="7686" width="9.140625" style="498"/>
    <col min="7687" max="7688" width="15.7109375" style="498" customWidth="1"/>
    <col min="7689" max="7689" width="8.7109375" style="498" customWidth="1"/>
    <col min="7690" max="7937" width="9.140625" style="498"/>
    <col min="7938" max="7938" width="46.7109375" style="498" customWidth="1"/>
    <col min="7939" max="7939" width="18" style="498" customWidth="1"/>
    <col min="7940" max="7940" width="12.42578125" style="498" customWidth="1"/>
    <col min="7941" max="7942" width="9.140625" style="498"/>
    <col min="7943" max="7944" width="15.7109375" style="498" customWidth="1"/>
    <col min="7945" max="7945" width="8.7109375" style="498" customWidth="1"/>
    <col min="7946" max="8193" width="9.140625" style="498"/>
    <col min="8194" max="8194" width="46.7109375" style="498" customWidth="1"/>
    <col min="8195" max="8195" width="18" style="498" customWidth="1"/>
    <col min="8196" max="8196" width="12.42578125" style="498" customWidth="1"/>
    <col min="8197" max="8198" width="9.140625" style="498"/>
    <col min="8199" max="8200" width="15.7109375" style="498" customWidth="1"/>
    <col min="8201" max="8201" width="8.7109375" style="498" customWidth="1"/>
    <col min="8202" max="8449" width="9.140625" style="498"/>
    <col min="8450" max="8450" width="46.7109375" style="498" customWidth="1"/>
    <col min="8451" max="8451" width="18" style="498" customWidth="1"/>
    <col min="8452" max="8452" width="12.42578125" style="498" customWidth="1"/>
    <col min="8453" max="8454" width="9.140625" style="498"/>
    <col min="8455" max="8456" width="15.7109375" style="498" customWidth="1"/>
    <col min="8457" max="8457" width="8.7109375" style="498" customWidth="1"/>
    <col min="8458" max="8705" width="9.140625" style="498"/>
    <col min="8706" max="8706" width="46.7109375" style="498" customWidth="1"/>
    <col min="8707" max="8707" width="18" style="498" customWidth="1"/>
    <col min="8708" max="8708" width="12.42578125" style="498" customWidth="1"/>
    <col min="8709" max="8710" width="9.140625" style="498"/>
    <col min="8711" max="8712" width="15.7109375" style="498" customWidth="1"/>
    <col min="8713" max="8713" width="8.7109375" style="498" customWidth="1"/>
    <col min="8714" max="8961" width="9.140625" style="498"/>
    <col min="8962" max="8962" width="46.7109375" style="498" customWidth="1"/>
    <col min="8963" max="8963" width="18" style="498" customWidth="1"/>
    <col min="8964" max="8964" width="12.42578125" style="498" customWidth="1"/>
    <col min="8965" max="8966" width="9.140625" style="498"/>
    <col min="8967" max="8968" width="15.7109375" style="498" customWidth="1"/>
    <col min="8969" max="8969" width="8.7109375" style="498" customWidth="1"/>
    <col min="8970" max="9217" width="9.140625" style="498"/>
    <col min="9218" max="9218" width="46.7109375" style="498" customWidth="1"/>
    <col min="9219" max="9219" width="18" style="498" customWidth="1"/>
    <col min="9220" max="9220" width="12.42578125" style="498" customWidth="1"/>
    <col min="9221" max="9222" width="9.140625" style="498"/>
    <col min="9223" max="9224" width="15.7109375" style="498" customWidth="1"/>
    <col min="9225" max="9225" width="8.7109375" style="498" customWidth="1"/>
    <col min="9226" max="9473" width="9.140625" style="498"/>
    <col min="9474" max="9474" width="46.7109375" style="498" customWidth="1"/>
    <col min="9475" max="9475" width="18" style="498" customWidth="1"/>
    <col min="9476" max="9476" width="12.42578125" style="498" customWidth="1"/>
    <col min="9477" max="9478" width="9.140625" style="498"/>
    <col min="9479" max="9480" width="15.7109375" style="498" customWidth="1"/>
    <col min="9481" max="9481" width="8.7109375" style="498" customWidth="1"/>
    <col min="9482" max="9729" width="9.140625" style="498"/>
    <col min="9730" max="9730" width="46.7109375" style="498" customWidth="1"/>
    <col min="9731" max="9731" width="18" style="498" customWidth="1"/>
    <col min="9732" max="9732" width="12.42578125" style="498" customWidth="1"/>
    <col min="9733" max="9734" width="9.140625" style="498"/>
    <col min="9735" max="9736" width="15.7109375" style="498" customWidth="1"/>
    <col min="9737" max="9737" width="8.7109375" style="498" customWidth="1"/>
    <col min="9738" max="9985" width="9.140625" style="498"/>
    <col min="9986" max="9986" width="46.7109375" style="498" customWidth="1"/>
    <col min="9987" max="9987" width="18" style="498" customWidth="1"/>
    <col min="9988" max="9988" width="12.42578125" style="498" customWidth="1"/>
    <col min="9989" max="9990" width="9.140625" style="498"/>
    <col min="9991" max="9992" width="15.7109375" style="498" customWidth="1"/>
    <col min="9993" max="9993" width="8.7109375" style="498" customWidth="1"/>
    <col min="9994" max="10241" width="9.140625" style="498"/>
    <col min="10242" max="10242" width="46.7109375" style="498" customWidth="1"/>
    <col min="10243" max="10243" width="18" style="498" customWidth="1"/>
    <col min="10244" max="10244" width="12.42578125" style="498" customWidth="1"/>
    <col min="10245" max="10246" width="9.140625" style="498"/>
    <col min="10247" max="10248" width="15.7109375" style="498" customWidth="1"/>
    <col min="10249" max="10249" width="8.7109375" style="498" customWidth="1"/>
    <col min="10250" max="10497" width="9.140625" style="498"/>
    <col min="10498" max="10498" width="46.7109375" style="498" customWidth="1"/>
    <col min="10499" max="10499" width="18" style="498" customWidth="1"/>
    <col min="10500" max="10500" width="12.42578125" style="498" customWidth="1"/>
    <col min="10501" max="10502" width="9.140625" style="498"/>
    <col min="10503" max="10504" width="15.7109375" style="498" customWidth="1"/>
    <col min="10505" max="10505" width="8.7109375" style="498" customWidth="1"/>
    <col min="10506" max="10753" width="9.140625" style="498"/>
    <col min="10754" max="10754" width="46.7109375" style="498" customWidth="1"/>
    <col min="10755" max="10755" width="18" style="498" customWidth="1"/>
    <col min="10756" max="10756" width="12.42578125" style="498" customWidth="1"/>
    <col min="10757" max="10758" width="9.140625" style="498"/>
    <col min="10759" max="10760" width="15.7109375" style="498" customWidth="1"/>
    <col min="10761" max="10761" width="8.7109375" style="498" customWidth="1"/>
    <col min="10762" max="11009" width="9.140625" style="498"/>
    <col min="11010" max="11010" width="46.7109375" style="498" customWidth="1"/>
    <col min="11011" max="11011" width="18" style="498" customWidth="1"/>
    <col min="11012" max="11012" width="12.42578125" style="498" customWidth="1"/>
    <col min="11013" max="11014" width="9.140625" style="498"/>
    <col min="11015" max="11016" width="15.7109375" style="498" customWidth="1"/>
    <col min="11017" max="11017" width="8.7109375" style="498" customWidth="1"/>
    <col min="11018" max="11265" width="9.140625" style="498"/>
    <col min="11266" max="11266" width="46.7109375" style="498" customWidth="1"/>
    <col min="11267" max="11267" width="18" style="498" customWidth="1"/>
    <col min="11268" max="11268" width="12.42578125" style="498" customWidth="1"/>
    <col min="11269" max="11270" width="9.140625" style="498"/>
    <col min="11271" max="11272" width="15.7109375" style="498" customWidth="1"/>
    <col min="11273" max="11273" width="8.7109375" style="498" customWidth="1"/>
    <col min="11274" max="11521" width="9.140625" style="498"/>
    <col min="11522" max="11522" width="46.7109375" style="498" customWidth="1"/>
    <col min="11523" max="11523" width="18" style="498" customWidth="1"/>
    <col min="11524" max="11524" width="12.42578125" style="498" customWidth="1"/>
    <col min="11525" max="11526" width="9.140625" style="498"/>
    <col min="11527" max="11528" width="15.7109375" style="498" customWidth="1"/>
    <col min="11529" max="11529" width="8.7109375" style="498" customWidth="1"/>
    <col min="11530" max="11777" width="9.140625" style="498"/>
    <col min="11778" max="11778" width="46.7109375" style="498" customWidth="1"/>
    <col min="11779" max="11779" width="18" style="498" customWidth="1"/>
    <col min="11780" max="11780" width="12.42578125" style="498" customWidth="1"/>
    <col min="11781" max="11782" width="9.140625" style="498"/>
    <col min="11783" max="11784" width="15.7109375" style="498" customWidth="1"/>
    <col min="11785" max="11785" width="8.7109375" style="498" customWidth="1"/>
    <col min="11786" max="12033" width="9.140625" style="498"/>
    <col min="12034" max="12034" width="46.7109375" style="498" customWidth="1"/>
    <col min="12035" max="12035" width="18" style="498" customWidth="1"/>
    <col min="12036" max="12036" width="12.42578125" style="498" customWidth="1"/>
    <col min="12037" max="12038" width="9.140625" style="498"/>
    <col min="12039" max="12040" width="15.7109375" style="498" customWidth="1"/>
    <col min="12041" max="12041" width="8.7109375" style="498" customWidth="1"/>
    <col min="12042" max="12289" width="9.140625" style="498"/>
    <col min="12290" max="12290" width="46.7109375" style="498" customWidth="1"/>
    <col min="12291" max="12291" width="18" style="498" customWidth="1"/>
    <col min="12292" max="12292" width="12.42578125" style="498" customWidth="1"/>
    <col min="12293" max="12294" width="9.140625" style="498"/>
    <col min="12295" max="12296" width="15.7109375" style="498" customWidth="1"/>
    <col min="12297" max="12297" width="8.7109375" style="498" customWidth="1"/>
    <col min="12298" max="12545" width="9.140625" style="498"/>
    <col min="12546" max="12546" width="46.7109375" style="498" customWidth="1"/>
    <col min="12547" max="12547" width="18" style="498" customWidth="1"/>
    <col min="12548" max="12548" width="12.42578125" style="498" customWidth="1"/>
    <col min="12549" max="12550" width="9.140625" style="498"/>
    <col min="12551" max="12552" width="15.7109375" style="498" customWidth="1"/>
    <col min="12553" max="12553" width="8.7109375" style="498" customWidth="1"/>
    <col min="12554" max="12801" width="9.140625" style="498"/>
    <col min="12802" max="12802" width="46.7109375" style="498" customWidth="1"/>
    <col min="12803" max="12803" width="18" style="498" customWidth="1"/>
    <col min="12804" max="12804" width="12.42578125" style="498" customWidth="1"/>
    <col min="12805" max="12806" width="9.140625" style="498"/>
    <col min="12807" max="12808" width="15.7109375" style="498" customWidth="1"/>
    <col min="12809" max="12809" width="8.7109375" style="498" customWidth="1"/>
    <col min="12810" max="13057" width="9.140625" style="498"/>
    <col min="13058" max="13058" width="46.7109375" style="498" customWidth="1"/>
    <col min="13059" max="13059" width="18" style="498" customWidth="1"/>
    <col min="13060" max="13060" width="12.42578125" style="498" customWidth="1"/>
    <col min="13061" max="13062" width="9.140625" style="498"/>
    <col min="13063" max="13064" width="15.7109375" style="498" customWidth="1"/>
    <col min="13065" max="13065" width="8.7109375" style="498" customWidth="1"/>
    <col min="13066" max="13313" width="9.140625" style="498"/>
    <col min="13314" max="13314" width="46.7109375" style="498" customWidth="1"/>
    <col min="13315" max="13315" width="18" style="498" customWidth="1"/>
    <col min="13316" max="13316" width="12.42578125" style="498" customWidth="1"/>
    <col min="13317" max="13318" width="9.140625" style="498"/>
    <col min="13319" max="13320" width="15.7109375" style="498" customWidth="1"/>
    <col min="13321" max="13321" width="8.7109375" style="498" customWidth="1"/>
    <col min="13322" max="13569" width="9.140625" style="498"/>
    <col min="13570" max="13570" width="46.7109375" style="498" customWidth="1"/>
    <col min="13571" max="13571" width="18" style="498" customWidth="1"/>
    <col min="13572" max="13572" width="12.42578125" style="498" customWidth="1"/>
    <col min="13573" max="13574" width="9.140625" style="498"/>
    <col min="13575" max="13576" width="15.7109375" style="498" customWidth="1"/>
    <col min="13577" max="13577" width="8.7109375" style="498" customWidth="1"/>
    <col min="13578" max="13825" width="9.140625" style="498"/>
    <col min="13826" max="13826" width="46.7109375" style="498" customWidth="1"/>
    <col min="13827" max="13827" width="18" style="498" customWidth="1"/>
    <col min="13828" max="13828" width="12.42578125" style="498" customWidth="1"/>
    <col min="13829" max="13830" width="9.140625" style="498"/>
    <col min="13831" max="13832" width="15.7109375" style="498" customWidth="1"/>
    <col min="13833" max="13833" width="8.7109375" style="498" customWidth="1"/>
    <col min="13834" max="14081" width="9.140625" style="498"/>
    <col min="14082" max="14082" width="46.7109375" style="498" customWidth="1"/>
    <col min="14083" max="14083" width="18" style="498" customWidth="1"/>
    <col min="14084" max="14084" width="12.42578125" style="498" customWidth="1"/>
    <col min="14085" max="14086" width="9.140625" style="498"/>
    <col min="14087" max="14088" width="15.7109375" style="498" customWidth="1"/>
    <col min="14089" max="14089" width="8.7109375" style="498" customWidth="1"/>
    <col min="14090" max="14337" width="9.140625" style="498"/>
    <col min="14338" max="14338" width="46.7109375" style="498" customWidth="1"/>
    <col min="14339" max="14339" width="18" style="498" customWidth="1"/>
    <col min="14340" max="14340" width="12.42578125" style="498" customWidth="1"/>
    <col min="14341" max="14342" width="9.140625" style="498"/>
    <col min="14343" max="14344" width="15.7109375" style="498" customWidth="1"/>
    <col min="14345" max="14345" width="8.7109375" style="498" customWidth="1"/>
    <col min="14346" max="14593" width="9.140625" style="498"/>
    <col min="14594" max="14594" width="46.7109375" style="498" customWidth="1"/>
    <col min="14595" max="14595" width="18" style="498" customWidth="1"/>
    <col min="14596" max="14596" width="12.42578125" style="498" customWidth="1"/>
    <col min="14597" max="14598" width="9.140625" style="498"/>
    <col min="14599" max="14600" width="15.7109375" style="498" customWidth="1"/>
    <col min="14601" max="14601" width="8.7109375" style="498" customWidth="1"/>
    <col min="14602" max="14849" width="9.140625" style="498"/>
    <col min="14850" max="14850" width="46.7109375" style="498" customWidth="1"/>
    <col min="14851" max="14851" width="18" style="498" customWidth="1"/>
    <col min="14852" max="14852" width="12.42578125" style="498" customWidth="1"/>
    <col min="14853" max="14854" width="9.140625" style="498"/>
    <col min="14855" max="14856" width="15.7109375" style="498" customWidth="1"/>
    <col min="14857" max="14857" width="8.7109375" style="498" customWidth="1"/>
    <col min="14858" max="15105" width="9.140625" style="498"/>
    <col min="15106" max="15106" width="46.7109375" style="498" customWidth="1"/>
    <col min="15107" max="15107" width="18" style="498" customWidth="1"/>
    <col min="15108" max="15108" width="12.42578125" style="498" customWidth="1"/>
    <col min="15109" max="15110" width="9.140625" style="498"/>
    <col min="15111" max="15112" width="15.7109375" style="498" customWidth="1"/>
    <col min="15113" max="15113" width="8.7109375" style="498" customWidth="1"/>
    <col min="15114" max="15361" width="9.140625" style="498"/>
    <col min="15362" max="15362" width="46.7109375" style="498" customWidth="1"/>
    <col min="15363" max="15363" width="18" style="498" customWidth="1"/>
    <col min="15364" max="15364" width="12.42578125" style="498" customWidth="1"/>
    <col min="15365" max="15366" width="9.140625" style="498"/>
    <col min="15367" max="15368" width="15.7109375" style="498" customWidth="1"/>
    <col min="15369" max="15369" width="8.7109375" style="498" customWidth="1"/>
    <col min="15370" max="15617" width="9.140625" style="498"/>
    <col min="15618" max="15618" width="46.7109375" style="498" customWidth="1"/>
    <col min="15619" max="15619" width="18" style="498" customWidth="1"/>
    <col min="15620" max="15620" width="12.42578125" style="498" customWidth="1"/>
    <col min="15621" max="15622" width="9.140625" style="498"/>
    <col min="15623" max="15624" width="15.7109375" style="498" customWidth="1"/>
    <col min="15625" max="15625" width="8.7109375" style="498" customWidth="1"/>
    <col min="15626" max="15873" width="9.140625" style="498"/>
    <col min="15874" max="15874" width="46.7109375" style="498" customWidth="1"/>
    <col min="15875" max="15875" width="18" style="498" customWidth="1"/>
    <col min="15876" max="15876" width="12.42578125" style="498" customWidth="1"/>
    <col min="15877" max="15878" width="9.140625" style="498"/>
    <col min="15879" max="15880" width="15.7109375" style="498" customWidth="1"/>
    <col min="15881" max="15881" width="8.7109375" style="498" customWidth="1"/>
    <col min="15882" max="16129" width="9.140625" style="498"/>
    <col min="16130" max="16130" width="46.7109375" style="498" customWidth="1"/>
    <col min="16131" max="16131" width="18" style="498" customWidth="1"/>
    <col min="16132" max="16132" width="12.42578125" style="498" customWidth="1"/>
    <col min="16133" max="16134" width="9.140625" style="498"/>
    <col min="16135" max="16136" width="15.7109375" style="498" customWidth="1"/>
    <col min="16137" max="16137" width="8.7109375" style="498" customWidth="1"/>
    <col min="16138" max="16384" width="9.140625" style="498"/>
  </cols>
  <sheetData>
    <row r="1" spans="1:8" ht="15" customHeight="1">
      <c r="A1" s="32" t="s">
        <v>850</v>
      </c>
      <c r="C1" s="32"/>
    </row>
    <row r="2" spans="1:8" ht="15" customHeight="1">
      <c r="A2" s="32"/>
      <c r="C2" s="184">
        <f>Rashodi!K9/(Prihodi!F235-Prihodi!F48-Prihodi!F50-Prihodi!F54-Prihodi!F61-Prihodi!F65-Prihodi!F66-Prihodi!F80-Prihodi!F84-Prihodi!F87-Prihodi!F92-Prihodi!F137-Prihodi!F158-Prihodi!F169-Prihodi!F170-Prihodi!F171-Prihodi!F174-Prihodi!F178-Prihodi!F180-Prihodi!F185-Prihodi!F227)*100</f>
        <v>1.5275527315585258</v>
      </c>
    </row>
    <row r="3" spans="1:8" ht="15" customHeight="1">
      <c r="A3" s="634" t="s">
        <v>851</v>
      </c>
      <c r="C3" s="184"/>
    </row>
    <row r="4" spans="1:8" ht="17.25" customHeight="1">
      <c r="A4" s="766" t="str">
        <f>CONCATENATE("     U tekuću pričuvu Vlade izdvojit će se ",TEXT(C2,"#.##0,00"),"% prihoda bez namjenskih prihoda, vlastitih prihoda i primitaka Proračuna.")</f>
        <v xml:space="preserve">     U tekuću pričuvu Vlade izdvojit će se 1,53% prihoda bez namjenskih prihoda, vlastitih prihoda i primitaka Proračuna.</v>
      </c>
      <c r="B4" s="767"/>
      <c r="C4" s="767"/>
      <c r="D4" s="665"/>
      <c r="E4" s="665"/>
      <c r="F4" s="665"/>
      <c r="G4" s="665"/>
      <c r="H4" s="665"/>
    </row>
    <row r="5" spans="1:8" ht="15" customHeight="1">
      <c r="G5" s="39"/>
      <c r="H5" s="39"/>
    </row>
    <row r="6" spans="1:8" ht="15" customHeight="1">
      <c r="A6" s="32" t="s">
        <v>852</v>
      </c>
      <c r="C6" s="32"/>
    </row>
    <row r="7" spans="1:8" ht="6.75" customHeight="1">
      <c r="A7" s="32"/>
      <c r="C7" s="32"/>
      <c r="E7" s="183"/>
    </row>
    <row r="8" spans="1:8" ht="15" customHeight="1">
      <c r="A8" s="694" t="s">
        <v>856</v>
      </c>
      <c r="B8" s="765"/>
      <c r="C8" s="765"/>
      <c r="D8" s="665"/>
      <c r="E8" s="665"/>
      <c r="F8" s="665"/>
      <c r="G8" s="665"/>
      <c r="H8" s="665"/>
    </row>
    <row r="9" spans="1:8" ht="15" customHeight="1">
      <c r="A9" s="765"/>
      <c r="B9" s="765"/>
      <c r="C9" s="765"/>
      <c r="D9" s="665"/>
      <c r="E9" s="665"/>
      <c r="F9" s="665"/>
      <c r="G9" s="665"/>
      <c r="H9" s="665"/>
    </row>
    <row r="14" spans="1:8" ht="15" customHeight="1">
      <c r="A14" s="498" t="s">
        <v>853</v>
      </c>
    </row>
    <row r="15" spans="1:8" ht="15" customHeight="1">
      <c r="A15" s="663" t="s">
        <v>878</v>
      </c>
    </row>
    <row r="16" spans="1:8" ht="15" customHeight="1">
      <c r="A16" s="498" t="s">
        <v>854</v>
      </c>
    </row>
    <row r="17" spans="1:8" ht="15" customHeight="1">
      <c r="A17" s="498" t="s">
        <v>855</v>
      </c>
    </row>
    <row r="18" spans="1:8" ht="15" customHeight="1">
      <c r="A18" s="635" t="s">
        <v>875</v>
      </c>
    </row>
    <row r="19" spans="1:8" ht="15" customHeight="1">
      <c r="A19" s="635" t="s">
        <v>876</v>
      </c>
    </row>
    <row r="20" spans="1:8" ht="15" customHeight="1">
      <c r="G20" s="764" t="s">
        <v>857</v>
      </c>
      <c r="H20" s="665"/>
    </row>
    <row r="21" spans="1:8" ht="15" customHeight="1">
      <c r="G21" s="763"/>
      <c r="H21" s="763"/>
    </row>
    <row r="22" spans="1:8" ht="15" customHeight="1">
      <c r="G22" s="762" t="s">
        <v>877</v>
      </c>
      <c r="H22" s="763"/>
    </row>
    <row r="25" spans="1:8" ht="15" customHeight="1">
      <c r="C25" s="33"/>
    </row>
    <row r="28" spans="1:8" ht="15" customHeight="1">
      <c r="C28" s="33"/>
    </row>
    <row r="38" ht="12.75"/>
  </sheetData>
  <mergeCells count="5">
    <mergeCell ref="G22:H22"/>
    <mergeCell ref="G20:H20"/>
    <mergeCell ref="G21:H21"/>
    <mergeCell ref="A8:H9"/>
    <mergeCell ref="A4:H4"/>
  </mergeCells>
  <phoneticPr fontId="0" type="noConversion"/>
  <pageMargins left="0.9055118110236221" right="0.31496062992125984" top="0.35433070866141736" bottom="0.51181102362204722" header="0.39370078740157483" footer="0.31496062992125984"/>
  <pageSetup paperSize="9" scale="88" orientation="landscape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4"/>
  <dimension ref="A2:M239"/>
  <sheetViews>
    <sheetView tabSelected="1" topLeftCell="B1" zoomScaleNormal="100" workbookViewId="0">
      <selection activeCell="L24" sqref="L24"/>
    </sheetView>
  </sheetViews>
  <sheetFormatPr defaultRowHeight="14.25"/>
  <cols>
    <col min="1" max="1" width="0.42578125" hidden="1" customWidth="1"/>
    <col min="2" max="2" width="13.28515625" style="33" customWidth="1"/>
    <col min="3" max="3" width="63.140625" customWidth="1"/>
    <col min="4" max="4" width="20.7109375" customWidth="1"/>
    <col min="5" max="5" width="20.7109375" style="498" customWidth="1"/>
    <col min="6" max="6" width="20.7109375" style="403" customWidth="1"/>
    <col min="7" max="7" width="9" customWidth="1"/>
    <col min="8" max="8" width="11" style="159" customWidth="1"/>
    <col min="9" max="9" width="15.28515625" style="649" customWidth="1"/>
    <col min="10" max="10" width="13.140625" style="649" bestFit="1" customWidth="1"/>
    <col min="11" max="11" width="17.140625" style="159" customWidth="1"/>
    <col min="12" max="12" width="16" customWidth="1"/>
    <col min="13" max="13" width="18.140625" customWidth="1"/>
  </cols>
  <sheetData>
    <row r="2" spans="2:13" ht="18.75" thickBot="1">
      <c r="B2" s="698" t="s">
        <v>76</v>
      </c>
      <c r="C2" s="698"/>
      <c r="D2" s="698"/>
      <c r="E2" s="698"/>
      <c r="F2" s="699"/>
      <c r="G2" s="699"/>
    </row>
    <row r="3" spans="2:13" ht="76.5" customHeight="1">
      <c r="B3" s="49" t="s">
        <v>184</v>
      </c>
      <c r="C3" s="50" t="s">
        <v>80</v>
      </c>
      <c r="D3" s="390" t="s">
        <v>880</v>
      </c>
      <c r="E3" s="390" t="s">
        <v>825</v>
      </c>
      <c r="F3" s="390" t="s">
        <v>881</v>
      </c>
      <c r="G3" s="189" t="s">
        <v>887</v>
      </c>
      <c r="H3" s="243"/>
      <c r="I3" s="651"/>
      <c r="J3" s="775"/>
      <c r="K3" s="776" t="s">
        <v>897</v>
      </c>
      <c r="L3" s="403" t="s">
        <v>899</v>
      </c>
      <c r="M3" s="403" t="s">
        <v>900</v>
      </c>
    </row>
    <row r="4" spans="2:13" ht="12.75" customHeight="1">
      <c r="B4" s="124">
        <v>1</v>
      </c>
      <c r="C4" s="125">
        <v>2</v>
      </c>
      <c r="D4" s="242">
        <v>3</v>
      </c>
      <c r="E4" s="242">
        <v>4</v>
      </c>
      <c r="F4" s="404">
        <v>5</v>
      </c>
      <c r="G4" s="158">
        <v>6</v>
      </c>
      <c r="I4" s="652"/>
      <c r="J4" s="784" t="s">
        <v>898</v>
      </c>
      <c r="K4" s="777">
        <f>I48+F50+F109</f>
        <v>1513761.06</v>
      </c>
      <c r="L4" s="778">
        <f>I109+I110</f>
        <v>495743</v>
      </c>
      <c r="M4" s="779">
        <f>K4-L4</f>
        <v>1018018.06</v>
      </c>
    </row>
    <row r="5" spans="2:13" s="30" customFormat="1" ht="17.25" customHeight="1">
      <c r="B5" s="190">
        <v>710000</v>
      </c>
      <c r="C5" s="191" t="s">
        <v>183</v>
      </c>
      <c r="D5" s="391">
        <f>D6+D15+D19+D27+D37+D46+D51</f>
        <v>37211840</v>
      </c>
      <c r="E5" s="391">
        <f>E6+E15+E19+E27+E37+E46+E51</f>
        <v>37211840</v>
      </c>
      <c r="F5" s="391">
        <f>F6+F15+F19+F27+F37+F46+F51</f>
        <v>39107879</v>
      </c>
      <c r="G5" s="174">
        <f>IF(E5=0,"",F5/E5*100)</f>
        <v>105.09525731595106</v>
      </c>
      <c r="H5" s="244"/>
      <c r="I5" s="652"/>
      <c r="J5" s="784" t="s">
        <v>901</v>
      </c>
      <c r="K5" s="777">
        <f>F84+F87+F114</f>
        <v>140443</v>
      </c>
      <c r="L5" s="779">
        <f>I84+I85</f>
        <v>89994</v>
      </c>
      <c r="M5" s="779">
        <f t="shared" ref="M5:M9" si="0">K5-L5</f>
        <v>50449</v>
      </c>
    </row>
    <row r="6" spans="2:13" s="103" customFormat="1" ht="17.100000000000001" customHeight="1">
      <c r="B6" s="192">
        <v>711000</v>
      </c>
      <c r="C6" s="193" t="s">
        <v>188</v>
      </c>
      <c r="D6" s="392">
        <f>D7+D12</f>
        <v>3061750</v>
      </c>
      <c r="E6" s="392">
        <f>E7+E12</f>
        <v>3061750</v>
      </c>
      <c r="F6" s="392">
        <f>F7+F12</f>
        <v>3243729</v>
      </c>
      <c r="G6" s="175">
        <f>IF(E6=0,"",F6/E6*100)</f>
        <v>105.9436270106965</v>
      </c>
      <c r="H6" s="245"/>
      <c r="I6" s="652"/>
      <c r="J6" s="784" t="s">
        <v>902</v>
      </c>
      <c r="K6" s="777">
        <f>F98</f>
        <v>228848</v>
      </c>
      <c r="L6" s="779">
        <f>I98</f>
        <v>266949</v>
      </c>
      <c r="M6" s="783">
        <f t="shared" si="0"/>
        <v>-38101</v>
      </c>
    </row>
    <row r="7" spans="2:13" s="103" customFormat="1" ht="15" customHeight="1">
      <c r="B7" s="104">
        <v>711100</v>
      </c>
      <c r="C7" s="105" t="s">
        <v>275</v>
      </c>
      <c r="D7" s="393">
        <f>SUM(D8:D11)</f>
        <v>3110</v>
      </c>
      <c r="E7" s="393">
        <f>SUM(E8:E11)</f>
        <v>3110</v>
      </c>
      <c r="F7" s="393">
        <f>SUM(F8:F11)</f>
        <v>2694</v>
      </c>
      <c r="G7" s="112">
        <f>IF(E7=0,"",F7/E7*100)</f>
        <v>86.623794212218655</v>
      </c>
      <c r="H7" s="245"/>
      <c r="I7" s="652"/>
      <c r="J7" s="784" t="s">
        <v>903</v>
      </c>
      <c r="K7" s="777">
        <f>F61+F81</f>
        <v>127716</v>
      </c>
      <c r="L7" s="779">
        <f>I81</f>
        <v>89605</v>
      </c>
      <c r="M7" s="779">
        <f t="shared" si="0"/>
        <v>38111</v>
      </c>
    </row>
    <row r="8" spans="2:13" ht="15" customHeight="1">
      <c r="B8" s="101">
        <v>711111</v>
      </c>
      <c r="C8" s="161" t="s">
        <v>276</v>
      </c>
      <c r="D8" s="394">
        <v>2910</v>
      </c>
      <c r="E8" s="394">
        <v>2910</v>
      </c>
      <c r="F8" s="394">
        <v>2679</v>
      </c>
      <c r="G8" s="106">
        <f>IF(E8=0,"",F8/E8*100)</f>
        <v>92.061855670103085</v>
      </c>
      <c r="H8" s="245"/>
      <c r="I8" s="652"/>
      <c r="J8" s="784" t="s">
        <v>904</v>
      </c>
      <c r="K8" s="777">
        <f>F116</f>
        <v>199770</v>
      </c>
      <c r="L8" s="779">
        <f>I116</f>
        <v>169500</v>
      </c>
      <c r="M8" s="779">
        <f t="shared" si="0"/>
        <v>30270</v>
      </c>
    </row>
    <row r="9" spans="2:13" ht="15" customHeight="1">
      <c r="B9" s="101">
        <v>711113</v>
      </c>
      <c r="C9" s="161" t="s">
        <v>630</v>
      </c>
      <c r="D9" s="394">
        <v>50</v>
      </c>
      <c r="E9" s="394">
        <v>50</v>
      </c>
      <c r="F9" s="394">
        <v>15</v>
      </c>
      <c r="G9" s="106">
        <f>IF(E9=0,"",F9/E9*100)</f>
        <v>30</v>
      </c>
      <c r="H9" s="245"/>
      <c r="I9" s="652"/>
      <c r="J9" s="784" t="s">
        <v>905</v>
      </c>
      <c r="K9" s="777">
        <f>F125</f>
        <v>70437</v>
      </c>
      <c r="L9" s="779">
        <f>I125+I126</f>
        <v>54718</v>
      </c>
      <c r="M9" s="779">
        <f t="shared" si="0"/>
        <v>15719</v>
      </c>
    </row>
    <row r="10" spans="2:13" ht="15" customHeight="1">
      <c r="B10" s="101">
        <v>711114</v>
      </c>
      <c r="C10" s="161" t="s">
        <v>522</v>
      </c>
      <c r="D10" s="394">
        <v>100</v>
      </c>
      <c r="E10" s="394">
        <v>100</v>
      </c>
      <c r="F10" s="394">
        <v>0</v>
      </c>
      <c r="G10" s="106">
        <f>IF(E10=0,"",F10/E10*100)</f>
        <v>0</v>
      </c>
      <c r="H10" s="245"/>
      <c r="I10" s="652"/>
      <c r="J10" s="775"/>
      <c r="K10" s="776"/>
      <c r="L10" s="403"/>
      <c r="M10" s="403"/>
    </row>
    <row r="11" spans="2:13" ht="15" customHeight="1">
      <c r="B11" s="101">
        <v>711115</v>
      </c>
      <c r="C11" s="161" t="s">
        <v>277</v>
      </c>
      <c r="D11" s="395">
        <v>50</v>
      </c>
      <c r="E11" s="395">
        <v>50</v>
      </c>
      <c r="F11" s="395">
        <v>0</v>
      </c>
      <c r="G11" s="106">
        <f>IF(E11=0,"",F11/E11*100)</f>
        <v>0</v>
      </c>
      <c r="H11" s="245"/>
      <c r="I11" s="652"/>
      <c r="J11" s="782"/>
      <c r="K11" s="776"/>
      <c r="L11" s="403"/>
      <c r="M11" s="403"/>
    </row>
    <row r="12" spans="2:13" s="103" customFormat="1" ht="15" customHeight="1">
      <c r="B12" s="104">
        <v>711200</v>
      </c>
      <c r="C12" s="105" t="s">
        <v>280</v>
      </c>
      <c r="D12" s="393">
        <f>SUM(D13:D14)</f>
        <v>3058640</v>
      </c>
      <c r="E12" s="393">
        <f>SUM(E13:E14)</f>
        <v>3058640</v>
      </c>
      <c r="F12" s="393">
        <f>SUM(F13:F14)</f>
        <v>3241035</v>
      </c>
      <c r="G12" s="112">
        <f>IF(E12=0,"",F12/E12*100)</f>
        <v>105.96327125781393</v>
      </c>
      <c r="H12" s="245"/>
      <c r="I12" s="655"/>
      <c r="J12" s="775"/>
      <c r="K12" s="780"/>
      <c r="L12" s="781"/>
      <c r="M12" s="781"/>
    </row>
    <row r="13" spans="2:13" ht="15" customHeight="1">
      <c r="B13" s="101">
        <v>711211</v>
      </c>
      <c r="C13" s="161" t="s">
        <v>278</v>
      </c>
      <c r="D13" s="395">
        <v>2980110</v>
      </c>
      <c r="E13" s="395">
        <v>2980110</v>
      </c>
      <c r="F13" s="395">
        <v>3167780</v>
      </c>
      <c r="G13" s="106">
        <f>IF(E13=0,"",F13/E13*100)</f>
        <v>106.29741855166419</v>
      </c>
      <c r="H13" s="245"/>
      <c r="J13" s="775"/>
      <c r="K13" s="776"/>
      <c r="L13" s="403"/>
      <c r="M13" s="403"/>
    </row>
    <row r="14" spans="2:13" ht="15" customHeight="1">
      <c r="B14" s="101">
        <v>711212</v>
      </c>
      <c r="C14" s="161" t="s">
        <v>279</v>
      </c>
      <c r="D14" s="395">
        <v>78530</v>
      </c>
      <c r="E14" s="395">
        <v>78530</v>
      </c>
      <c r="F14" s="395">
        <v>73255</v>
      </c>
      <c r="G14" s="106">
        <f>IF(E14=0,"",F14/E14*100)</f>
        <v>93.282821851521717</v>
      </c>
      <c r="H14" s="245"/>
      <c r="J14" s="775"/>
      <c r="K14" s="776"/>
      <c r="L14" s="403"/>
      <c r="M14" s="403"/>
    </row>
    <row r="15" spans="2:13" s="103" customFormat="1" ht="17.100000000000001" customHeight="1">
      <c r="B15" s="192">
        <v>713000</v>
      </c>
      <c r="C15" s="194" t="s">
        <v>281</v>
      </c>
      <c r="D15" s="392">
        <f>D16</f>
        <v>2590</v>
      </c>
      <c r="E15" s="392">
        <f>E16</f>
        <v>2590</v>
      </c>
      <c r="F15" s="392">
        <f>F16</f>
        <v>2107</v>
      </c>
      <c r="G15" s="175">
        <f>IF(E15=0,"",F15/E15*100)</f>
        <v>81.351351351351354</v>
      </c>
      <c r="H15" s="245"/>
      <c r="I15" s="656"/>
      <c r="J15" s="782"/>
      <c r="K15" s="780"/>
      <c r="L15" s="781"/>
      <c r="M15" s="781"/>
    </row>
    <row r="16" spans="2:13" s="103" customFormat="1" ht="15" customHeight="1">
      <c r="B16" s="104">
        <v>713100</v>
      </c>
      <c r="C16" s="113" t="s">
        <v>381</v>
      </c>
      <c r="D16" s="396">
        <f>SUM(D17:D18)</f>
        <v>2590</v>
      </c>
      <c r="E16" s="396">
        <f>SUM(E17:E18)</f>
        <v>2590</v>
      </c>
      <c r="F16" s="396">
        <f>SUM(F17:F18)</f>
        <v>2107</v>
      </c>
      <c r="G16" s="112">
        <f>IF(E16=0,"",F16/E16*100)</f>
        <v>81.351351351351354</v>
      </c>
      <c r="H16" s="245"/>
      <c r="I16" s="656"/>
      <c r="J16" s="782"/>
      <c r="K16" s="780"/>
      <c r="L16" s="781"/>
      <c r="M16" s="781"/>
    </row>
    <row r="17" spans="2:13" ht="15" customHeight="1">
      <c r="B17" s="101">
        <v>713111</v>
      </c>
      <c r="C17" s="161" t="s">
        <v>282</v>
      </c>
      <c r="D17" s="394">
        <v>2390</v>
      </c>
      <c r="E17" s="394">
        <v>2390</v>
      </c>
      <c r="F17" s="394">
        <v>1845</v>
      </c>
      <c r="G17" s="106">
        <f>IF(E17=0,"",F17/E17*100)</f>
        <v>77.196652719665266</v>
      </c>
      <c r="H17" s="206"/>
      <c r="J17" s="775"/>
      <c r="K17" s="776"/>
      <c r="L17" s="403"/>
      <c r="M17" s="403"/>
    </row>
    <row r="18" spans="2:13" ht="15" customHeight="1">
      <c r="B18" s="101">
        <v>713113</v>
      </c>
      <c r="C18" s="161" t="s">
        <v>283</v>
      </c>
      <c r="D18" s="394">
        <v>200</v>
      </c>
      <c r="E18" s="394">
        <v>200</v>
      </c>
      <c r="F18" s="394">
        <v>262</v>
      </c>
      <c r="G18" s="106">
        <f>IF(E18=0,"",F18/E18*100)</f>
        <v>131</v>
      </c>
      <c r="H18" s="206"/>
      <c r="J18" s="775"/>
      <c r="K18" s="776"/>
      <c r="L18" s="403"/>
      <c r="M18" s="403"/>
    </row>
    <row r="19" spans="2:13" s="103" customFormat="1" ht="17.100000000000001" customHeight="1">
      <c r="B19" s="192">
        <v>714000</v>
      </c>
      <c r="C19" s="194" t="s">
        <v>189</v>
      </c>
      <c r="D19" s="392">
        <f>D20</f>
        <v>301430</v>
      </c>
      <c r="E19" s="392">
        <f>E20</f>
        <v>301430</v>
      </c>
      <c r="F19" s="392">
        <f>F20</f>
        <v>311681</v>
      </c>
      <c r="G19" s="175">
        <f>IF(E19=0,"",F19/E19*100)</f>
        <v>103.40078956971767</v>
      </c>
      <c r="H19" s="245"/>
      <c r="I19" s="656"/>
      <c r="J19" s="782"/>
      <c r="K19" s="780"/>
      <c r="L19" s="781"/>
      <c r="M19" s="781"/>
    </row>
    <row r="20" spans="2:13" s="103" customFormat="1" ht="15" customHeight="1">
      <c r="B20" s="104">
        <v>714100</v>
      </c>
      <c r="C20" s="113" t="s">
        <v>380</v>
      </c>
      <c r="D20" s="396">
        <f>SUM(D21:D26)</f>
        <v>301430</v>
      </c>
      <c r="E20" s="396">
        <f>SUM(E21:E26)</f>
        <v>301430</v>
      </c>
      <c r="F20" s="396">
        <f>SUM(F21:F26)</f>
        <v>311681</v>
      </c>
      <c r="G20" s="112">
        <f>IF(E20=0,"",F20/E20*100)</f>
        <v>103.40078956971767</v>
      </c>
      <c r="H20" s="245"/>
      <c r="I20" s="656"/>
      <c r="J20" s="782"/>
      <c r="K20" s="780"/>
      <c r="L20" s="781"/>
      <c r="M20" s="781"/>
    </row>
    <row r="21" spans="2:13" ht="15" customHeight="1">
      <c r="B21" s="101">
        <v>714111</v>
      </c>
      <c r="C21" s="161" t="s">
        <v>284</v>
      </c>
      <c r="D21" s="394">
        <v>40540</v>
      </c>
      <c r="E21" s="394">
        <v>40540</v>
      </c>
      <c r="F21" s="394">
        <v>37649</v>
      </c>
      <c r="G21" s="106">
        <f>IF(E21=0,"",F21/E21*100)</f>
        <v>92.868771583621111</v>
      </c>
      <c r="H21" s="206"/>
      <c r="I21" s="638"/>
    </row>
    <row r="22" spans="2:13" ht="15" customHeight="1">
      <c r="B22" s="101">
        <v>714112</v>
      </c>
      <c r="C22" s="161" t="s">
        <v>285</v>
      </c>
      <c r="D22" s="394">
        <v>9520</v>
      </c>
      <c r="E22" s="394">
        <v>9520</v>
      </c>
      <c r="F22" s="394">
        <v>8115</v>
      </c>
      <c r="G22" s="106">
        <f>IF(E22=0,"",F22/E22*100)</f>
        <v>85.241596638655466</v>
      </c>
      <c r="H22" s="206"/>
    </row>
    <row r="23" spans="2:13" ht="15" customHeight="1">
      <c r="B23" s="101">
        <v>714113</v>
      </c>
      <c r="C23" s="161" t="s">
        <v>286</v>
      </c>
      <c r="D23" s="394">
        <v>2460</v>
      </c>
      <c r="E23" s="394">
        <v>2460</v>
      </c>
      <c r="F23" s="394">
        <v>2719</v>
      </c>
      <c r="G23" s="106">
        <f>IF(E23=0,"",F23/E23*100)</f>
        <v>110.52845528455283</v>
      </c>
      <c r="H23" s="206"/>
      <c r="I23" s="638"/>
    </row>
    <row r="24" spans="2:13" ht="15" customHeight="1">
      <c r="B24" s="101">
        <v>714121</v>
      </c>
      <c r="C24" s="161" t="s">
        <v>287</v>
      </c>
      <c r="D24" s="394">
        <v>13270</v>
      </c>
      <c r="E24" s="394">
        <v>13270</v>
      </c>
      <c r="F24" s="394">
        <v>12702</v>
      </c>
      <c r="G24" s="106">
        <f>IF(E24=0,"",F24/E24*100)</f>
        <v>95.719668425018838</v>
      </c>
      <c r="H24" s="206"/>
    </row>
    <row r="25" spans="2:13" ht="15" customHeight="1">
      <c r="B25" s="101">
        <v>714131</v>
      </c>
      <c r="C25" s="161" t="s">
        <v>288</v>
      </c>
      <c r="D25" s="394">
        <v>153870</v>
      </c>
      <c r="E25" s="394">
        <v>153870</v>
      </c>
      <c r="F25" s="394">
        <v>167949</v>
      </c>
      <c r="G25" s="106">
        <f>IF(E25=0,"",F25/E25*100)</f>
        <v>109.1499317605771</v>
      </c>
      <c r="H25" s="206"/>
    </row>
    <row r="26" spans="2:13" ht="15" customHeight="1">
      <c r="B26" s="101">
        <v>714132</v>
      </c>
      <c r="C26" s="161" t="s">
        <v>289</v>
      </c>
      <c r="D26" s="394">
        <v>81770</v>
      </c>
      <c r="E26" s="394">
        <v>81770</v>
      </c>
      <c r="F26" s="394">
        <v>82547</v>
      </c>
      <c r="G26" s="106">
        <f>IF(E26=0,"",F26/E26*100)</f>
        <v>100.9502262443439</v>
      </c>
      <c r="H26" s="206"/>
    </row>
    <row r="27" spans="2:13" s="103" customFormat="1" ht="25.5" customHeight="1">
      <c r="B27" s="192">
        <v>715000</v>
      </c>
      <c r="C27" s="193" t="s">
        <v>290</v>
      </c>
      <c r="D27" s="392">
        <f>D28+D33+D35</f>
        <v>2100</v>
      </c>
      <c r="E27" s="392">
        <f>E28+E33+E35</f>
        <v>2100</v>
      </c>
      <c r="F27" s="392">
        <f>F28+F33+F35</f>
        <v>1968</v>
      </c>
      <c r="G27" s="175">
        <f>IF(E27=0,"",F27/E27*100)</f>
        <v>93.714285714285722</v>
      </c>
      <c r="H27" s="245"/>
      <c r="I27" s="656"/>
      <c r="J27" s="656"/>
      <c r="K27" s="160"/>
    </row>
    <row r="28" spans="2:13" s="103" customFormat="1" ht="26.25" customHeight="1">
      <c r="B28" s="104">
        <v>715100</v>
      </c>
      <c r="C28" s="162" t="s">
        <v>294</v>
      </c>
      <c r="D28" s="393">
        <f>SUM(D29:D32)</f>
        <v>760</v>
      </c>
      <c r="E28" s="393">
        <f>SUM(E29:E32)</f>
        <v>760</v>
      </c>
      <c r="F28" s="393">
        <f>SUM(F29:F32)</f>
        <v>728</v>
      </c>
      <c r="G28" s="112">
        <f>IF(E28=0,"",F28/E28*100)</f>
        <v>95.78947368421052</v>
      </c>
      <c r="H28" s="245"/>
      <c r="I28" s="656"/>
      <c r="J28" s="656"/>
      <c r="K28" s="160"/>
    </row>
    <row r="29" spans="2:13" ht="15" customHeight="1">
      <c r="B29" s="101">
        <v>715131</v>
      </c>
      <c r="C29" s="161" t="s">
        <v>291</v>
      </c>
      <c r="D29" s="394">
        <v>250</v>
      </c>
      <c r="E29" s="394">
        <v>250</v>
      </c>
      <c r="F29" s="394">
        <v>306</v>
      </c>
      <c r="G29" s="106">
        <f>IF(E29=0,"",F29/E29*100)</f>
        <v>122.39999999999999</v>
      </c>
      <c r="H29" s="206"/>
    </row>
    <row r="30" spans="2:13" ht="15" customHeight="1">
      <c r="B30" s="101">
        <v>715132</v>
      </c>
      <c r="C30" s="161" t="s">
        <v>523</v>
      </c>
      <c r="D30" s="394">
        <v>40</v>
      </c>
      <c r="E30" s="394">
        <v>40</v>
      </c>
      <c r="F30" s="394">
        <v>0</v>
      </c>
      <c r="G30" s="106">
        <f>IF(E30=0,"",F30/E30*100)</f>
        <v>0</v>
      </c>
      <c r="H30" s="206"/>
    </row>
    <row r="31" spans="2:13" ht="15" customHeight="1">
      <c r="B31" s="101">
        <v>715137</v>
      </c>
      <c r="C31" s="161" t="s">
        <v>292</v>
      </c>
      <c r="D31" s="394">
        <v>50</v>
      </c>
      <c r="E31" s="394">
        <v>50</v>
      </c>
      <c r="F31" s="394">
        <v>0</v>
      </c>
      <c r="G31" s="106">
        <f>IF(E31=0,"",F31/E31*100)</f>
        <v>0</v>
      </c>
      <c r="H31" s="206"/>
    </row>
    <row r="32" spans="2:13" ht="15" customHeight="1">
      <c r="B32" s="101">
        <v>715141</v>
      </c>
      <c r="C32" s="161" t="s">
        <v>293</v>
      </c>
      <c r="D32" s="394">
        <v>420</v>
      </c>
      <c r="E32" s="394">
        <v>420</v>
      </c>
      <c r="F32" s="394">
        <v>422</v>
      </c>
      <c r="G32" s="106">
        <f>IF(E32=0,"",F32/E32*100)</f>
        <v>100.47619047619048</v>
      </c>
      <c r="H32" s="206"/>
    </row>
    <row r="33" spans="2:11" s="103" customFormat="1" ht="15" customHeight="1">
      <c r="B33" s="104">
        <v>715200</v>
      </c>
      <c r="C33" s="163" t="s">
        <v>295</v>
      </c>
      <c r="D33" s="393">
        <f>D34</f>
        <v>1290</v>
      </c>
      <c r="E33" s="393">
        <f>E34</f>
        <v>1290</v>
      </c>
      <c r="F33" s="393">
        <f>F34</f>
        <v>1171</v>
      </c>
      <c r="G33" s="112">
        <f>IF(E33=0,"",F33/E33*100)</f>
        <v>90.775193798449621</v>
      </c>
      <c r="H33" s="245"/>
      <c r="I33" s="656"/>
      <c r="J33" s="656"/>
      <c r="K33" s="160"/>
    </row>
    <row r="34" spans="2:11" ht="15" customHeight="1">
      <c r="B34" s="101">
        <v>715211</v>
      </c>
      <c r="C34" s="161" t="s">
        <v>296</v>
      </c>
      <c r="D34" s="394">
        <v>1290</v>
      </c>
      <c r="E34" s="394">
        <v>1290</v>
      </c>
      <c r="F34" s="394">
        <v>1171</v>
      </c>
      <c r="G34" s="106">
        <f>IF(E34=0,"",F34/E34*100)</f>
        <v>90.775193798449621</v>
      </c>
      <c r="H34" s="206"/>
    </row>
    <row r="35" spans="2:11" s="103" customFormat="1" ht="15" customHeight="1">
      <c r="B35" s="104">
        <v>715900</v>
      </c>
      <c r="C35" s="163" t="s">
        <v>297</v>
      </c>
      <c r="D35" s="393">
        <f>D36</f>
        <v>50</v>
      </c>
      <c r="E35" s="393">
        <f>E36</f>
        <v>50</v>
      </c>
      <c r="F35" s="393">
        <f>F36</f>
        <v>69</v>
      </c>
      <c r="G35" s="112">
        <f>IF(E35=0,"",F35/E35*100)</f>
        <v>138</v>
      </c>
      <c r="H35" s="245"/>
      <c r="I35" s="656"/>
      <c r="J35" s="656"/>
      <c r="K35" s="160"/>
    </row>
    <row r="36" spans="2:11" ht="27" customHeight="1">
      <c r="B36" s="101">
        <v>715914</v>
      </c>
      <c r="C36" s="164" t="s">
        <v>298</v>
      </c>
      <c r="D36" s="395">
        <v>50</v>
      </c>
      <c r="E36" s="395">
        <v>50</v>
      </c>
      <c r="F36" s="395">
        <v>69</v>
      </c>
      <c r="G36" s="106">
        <f>IF(E36=0,"",F36/E36*100)</f>
        <v>138</v>
      </c>
      <c r="H36" s="206"/>
    </row>
    <row r="37" spans="2:11" s="103" customFormat="1" ht="17.100000000000001" customHeight="1">
      <c r="B37" s="192">
        <v>716000</v>
      </c>
      <c r="C37" s="194" t="s">
        <v>190</v>
      </c>
      <c r="D37" s="392">
        <f>D38</f>
        <v>3085670</v>
      </c>
      <c r="E37" s="392">
        <f>E38</f>
        <v>3085670</v>
      </c>
      <c r="F37" s="392">
        <f>F38</f>
        <v>3109449</v>
      </c>
      <c r="G37" s="175">
        <f>IF(E37=0,"",F37/E37*100)</f>
        <v>100.77062680066243</v>
      </c>
      <c r="H37" s="245"/>
      <c r="I37" s="658"/>
      <c r="J37" s="659"/>
      <c r="K37" s="245"/>
    </row>
    <row r="38" spans="2:11" s="103" customFormat="1" ht="15" customHeight="1">
      <c r="B38" s="104">
        <v>716100</v>
      </c>
      <c r="C38" s="163" t="s">
        <v>299</v>
      </c>
      <c r="D38" s="393">
        <f>SUM(D39:D45)</f>
        <v>3085670</v>
      </c>
      <c r="E38" s="393">
        <f>SUM(E39:E45)</f>
        <v>3085670</v>
      </c>
      <c r="F38" s="393">
        <f>SUM(F39:F45)</f>
        <v>3109449</v>
      </c>
      <c r="G38" s="112">
        <f>IF(E38=0,"",F38/E38*100)</f>
        <v>100.77062680066243</v>
      </c>
      <c r="H38" s="246"/>
      <c r="I38" s="660"/>
      <c r="J38" s="656"/>
      <c r="K38" s="160"/>
    </row>
    <row r="39" spans="2:11" ht="15" customHeight="1">
      <c r="B39" s="101">
        <v>716111</v>
      </c>
      <c r="C39" s="161" t="s">
        <v>301</v>
      </c>
      <c r="D39" s="395">
        <f>2156880+960</f>
        <v>2157840</v>
      </c>
      <c r="E39" s="395">
        <f>2156880+960</f>
        <v>2157840</v>
      </c>
      <c r="F39" s="395">
        <v>2196487</v>
      </c>
      <c r="G39" s="106">
        <f>IF(E39=0,"",F39/E39*100)</f>
        <v>101.79100396692988</v>
      </c>
      <c r="H39" s="245"/>
      <c r="I39" s="660"/>
      <c r="J39" s="661"/>
    </row>
    <row r="40" spans="2:11" ht="15" customHeight="1">
      <c r="B40" s="101">
        <v>716112</v>
      </c>
      <c r="C40" s="161" t="s">
        <v>302</v>
      </c>
      <c r="D40" s="395">
        <v>105500</v>
      </c>
      <c r="E40" s="395">
        <v>105500</v>
      </c>
      <c r="F40" s="395">
        <v>107380</v>
      </c>
      <c r="G40" s="106">
        <f>IF(E40=0,"",F40/E40*100)</f>
        <v>101.78199052132702</v>
      </c>
      <c r="H40" s="245"/>
      <c r="I40" s="660"/>
      <c r="J40" s="656"/>
    </row>
    <row r="41" spans="2:11" ht="15" customHeight="1">
      <c r="B41" s="101">
        <v>716113</v>
      </c>
      <c r="C41" s="161" t="s">
        <v>303</v>
      </c>
      <c r="D41" s="395">
        <v>153050</v>
      </c>
      <c r="E41" s="395">
        <v>153050</v>
      </c>
      <c r="F41" s="395">
        <v>168863</v>
      </c>
      <c r="G41" s="106">
        <f>IF(E41=0,"",F41/E41*100)</f>
        <v>110.33191767396275</v>
      </c>
      <c r="H41" s="245"/>
      <c r="I41" s="660"/>
      <c r="J41" s="656"/>
    </row>
    <row r="42" spans="2:11" ht="15" customHeight="1">
      <c r="B42" s="101">
        <v>716114</v>
      </c>
      <c r="C42" s="161" t="s">
        <v>304</v>
      </c>
      <c r="D42" s="395">
        <v>30</v>
      </c>
      <c r="E42" s="395">
        <v>30</v>
      </c>
      <c r="F42" s="395">
        <v>23</v>
      </c>
      <c r="G42" s="106">
        <f>IF(E42=0,"",F42/E42*100)</f>
        <v>76.666666666666671</v>
      </c>
      <c r="H42" s="245"/>
      <c r="I42" s="660"/>
      <c r="J42" s="656"/>
    </row>
    <row r="43" spans="2:11" ht="25.5" customHeight="1">
      <c r="B43" s="101">
        <v>716115</v>
      </c>
      <c r="C43" s="164" t="s">
        <v>305</v>
      </c>
      <c r="D43" s="395">
        <v>291620</v>
      </c>
      <c r="E43" s="395">
        <v>291620</v>
      </c>
      <c r="F43" s="395">
        <v>283008</v>
      </c>
      <c r="G43" s="106">
        <f>IF(E43=0,"",F43/E43*100)</f>
        <v>97.046841780399149</v>
      </c>
      <c r="H43" s="245"/>
      <c r="I43" s="660"/>
      <c r="J43" s="656"/>
    </row>
    <row r="44" spans="2:11" ht="15" customHeight="1">
      <c r="B44" s="101">
        <v>716116</v>
      </c>
      <c r="C44" s="161" t="s">
        <v>306</v>
      </c>
      <c r="D44" s="395">
        <v>237920</v>
      </c>
      <c r="E44" s="395">
        <v>237920</v>
      </c>
      <c r="F44" s="395">
        <v>243972</v>
      </c>
      <c r="G44" s="106">
        <f>IF(E44=0,"",F44/E44*100)</f>
        <v>102.54371217215872</v>
      </c>
      <c r="H44" s="245"/>
      <c r="I44" s="660"/>
      <c r="J44" s="656"/>
    </row>
    <row r="45" spans="2:11" ht="15" customHeight="1">
      <c r="B45" s="101">
        <v>716117</v>
      </c>
      <c r="C45" s="161" t="s">
        <v>300</v>
      </c>
      <c r="D45" s="395">
        <v>139710</v>
      </c>
      <c r="E45" s="395">
        <v>139710</v>
      </c>
      <c r="F45" s="395">
        <v>109716</v>
      </c>
      <c r="G45" s="106">
        <f>IF(E45=0,"",F45/E45*100)</f>
        <v>78.531243289671465</v>
      </c>
      <c r="H45" s="245"/>
      <c r="I45" s="660"/>
      <c r="J45" s="656"/>
    </row>
    <row r="46" spans="2:11" s="103" customFormat="1" ht="17.100000000000001" customHeight="1">
      <c r="B46" s="192">
        <v>717000</v>
      </c>
      <c r="C46" s="194" t="s">
        <v>191</v>
      </c>
      <c r="D46" s="392">
        <f>D47</f>
        <v>30758120</v>
      </c>
      <c r="E46" s="392">
        <f>E47</f>
        <v>30758120</v>
      </c>
      <c r="F46" s="392">
        <f>F47</f>
        <v>32438824</v>
      </c>
      <c r="G46" s="175">
        <f>IF(E46=0,"",F46/E46*100)</f>
        <v>105.46426114469935</v>
      </c>
      <c r="H46" s="245"/>
      <c r="I46" s="656"/>
      <c r="J46" s="656"/>
      <c r="K46" s="160"/>
    </row>
    <row r="47" spans="2:11" s="103" customFormat="1" ht="15" customHeight="1">
      <c r="B47" s="104">
        <v>717100</v>
      </c>
      <c r="C47" s="163" t="s">
        <v>307</v>
      </c>
      <c r="D47" s="393">
        <f t="shared" ref="D47:E47" si="1">SUM(D48:D50)</f>
        <v>30758120</v>
      </c>
      <c r="E47" s="393">
        <f t="shared" si="1"/>
        <v>30758120</v>
      </c>
      <c r="F47" s="393">
        <f t="shared" ref="F47" si="2">SUM(F48:F50)</f>
        <v>32438824</v>
      </c>
      <c r="G47" s="112">
        <f>IF(E47=0,"",F47/E47*100)</f>
        <v>105.46426114469935</v>
      </c>
      <c r="H47" s="245"/>
      <c r="I47" s="656"/>
      <c r="J47" s="656"/>
      <c r="K47" s="160"/>
    </row>
    <row r="48" spans="2:11" ht="15" customHeight="1">
      <c r="B48" s="101">
        <v>717114</v>
      </c>
      <c r="C48" s="161" t="s">
        <v>631</v>
      </c>
      <c r="D48" s="395">
        <v>0</v>
      </c>
      <c r="E48" s="395">
        <v>0</v>
      </c>
      <c r="F48" s="768">
        <v>540607</v>
      </c>
      <c r="G48" s="106" t="str">
        <f>IF(E48=0,"",F48/E48*100)</f>
        <v/>
      </c>
      <c r="H48" s="639"/>
      <c r="I48" s="774">
        <f>540607*58/100</f>
        <v>313552.06</v>
      </c>
      <c r="J48" s="248"/>
      <c r="K48" s="206"/>
    </row>
    <row r="49" spans="1:11" ht="15" customHeight="1">
      <c r="B49" s="101">
        <v>717121</v>
      </c>
      <c r="C49" s="161" t="s">
        <v>308</v>
      </c>
      <c r="D49" s="395">
        <v>29941680</v>
      </c>
      <c r="E49" s="395">
        <v>29941680</v>
      </c>
      <c r="F49" s="395">
        <v>31051514</v>
      </c>
      <c r="G49" s="106">
        <f>IF(E49=0,"",F49/E49*100)</f>
        <v>103.70665239893017</v>
      </c>
      <c r="H49" s="206"/>
    </row>
    <row r="50" spans="1:11" ht="15" customHeight="1">
      <c r="B50" s="101">
        <v>717131</v>
      </c>
      <c r="C50" s="161" t="s">
        <v>309</v>
      </c>
      <c r="D50" s="395">
        <v>816440</v>
      </c>
      <c r="E50" s="395">
        <v>816440</v>
      </c>
      <c r="F50" s="768">
        <v>846703</v>
      </c>
      <c r="G50" s="106">
        <f>IF(E50=0,"",F50/E50*100)</f>
        <v>103.7067022683847</v>
      </c>
      <c r="H50" s="639"/>
      <c r="I50" s="248"/>
    </row>
    <row r="51" spans="1:11" s="103" customFormat="1" ht="17.100000000000001" customHeight="1">
      <c r="B51" s="192">
        <v>719000</v>
      </c>
      <c r="C51" s="194" t="s">
        <v>192</v>
      </c>
      <c r="D51" s="392">
        <f>D52</f>
        <v>180</v>
      </c>
      <c r="E51" s="392">
        <f>E52</f>
        <v>180</v>
      </c>
      <c r="F51" s="392">
        <f>F52</f>
        <v>121</v>
      </c>
      <c r="G51" s="175">
        <f>IF(E51=0,"",F51/E51*100)</f>
        <v>67.222222222222229</v>
      </c>
      <c r="H51" s="245"/>
      <c r="I51" s="662"/>
      <c r="J51" s="656"/>
      <c r="K51" s="160"/>
    </row>
    <row r="52" spans="1:11" s="103" customFormat="1" ht="15" customHeight="1">
      <c r="B52" s="104">
        <v>719100</v>
      </c>
      <c r="C52" s="163" t="s">
        <v>310</v>
      </c>
      <c r="D52" s="393">
        <f>SUM(D53:D55)</f>
        <v>180</v>
      </c>
      <c r="E52" s="393">
        <f>SUM(E53:E55)</f>
        <v>180</v>
      </c>
      <c r="F52" s="393">
        <f>SUM(F53:F55)</f>
        <v>121</v>
      </c>
      <c r="G52" s="112">
        <f>IF(E52=0,"",F52/E52*100)</f>
        <v>67.222222222222229</v>
      </c>
      <c r="H52" s="245"/>
      <c r="I52" s="656"/>
      <c r="J52" s="656"/>
      <c r="K52" s="160"/>
    </row>
    <row r="53" spans="1:11" ht="15" customHeight="1" thickBot="1">
      <c r="A53" s="138"/>
      <c r="B53" s="101">
        <v>719111</v>
      </c>
      <c r="C53" s="161" t="s">
        <v>310</v>
      </c>
      <c r="D53" s="394">
        <v>110</v>
      </c>
      <c r="E53" s="394">
        <v>110</v>
      </c>
      <c r="F53" s="394">
        <v>84</v>
      </c>
      <c r="G53" s="106">
        <f>IF(E53=0,"",F53/E53*100)</f>
        <v>76.363636363636374</v>
      </c>
      <c r="H53" s="206"/>
    </row>
    <row r="54" spans="1:11" ht="15" customHeight="1">
      <c r="B54" s="169">
        <v>719114</v>
      </c>
      <c r="C54" s="170" t="s">
        <v>311</v>
      </c>
      <c r="D54" s="397">
        <v>40</v>
      </c>
      <c r="E54" s="397">
        <v>40</v>
      </c>
      <c r="F54" s="397">
        <v>14</v>
      </c>
      <c r="G54" s="176">
        <f>IF(E54=0,"",F54/E54*100)</f>
        <v>35</v>
      </c>
    </row>
    <row r="55" spans="1:11" ht="25.5">
      <c r="B55" s="101">
        <v>719115</v>
      </c>
      <c r="C55" s="164" t="s">
        <v>312</v>
      </c>
      <c r="D55" s="397">
        <v>30</v>
      </c>
      <c r="E55" s="397">
        <v>30</v>
      </c>
      <c r="F55" s="397">
        <v>23</v>
      </c>
      <c r="G55" s="108">
        <f>IF(E55=0,"",F55/E55*100)</f>
        <v>76.666666666666671</v>
      </c>
      <c r="H55" s="247"/>
    </row>
    <row r="56" spans="1:11">
      <c r="B56" s="101"/>
      <c r="C56" s="21"/>
      <c r="D56" s="394"/>
      <c r="E56" s="394"/>
      <c r="F56" s="394"/>
      <c r="G56" s="108" t="str">
        <f>IF(E56=0,"",F56/E56*100)</f>
        <v/>
      </c>
      <c r="H56" s="247"/>
    </row>
    <row r="57" spans="1:11" ht="17.100000000000001" customHeight="1">
      <c r="B57" s="190">
        <v>720000</v>
      </c>
      <c r="C57" s="191" t="s">
        <v>187</v>
      </c>
      <c r="D57" s="391">
        <f>D58+D72+D147</f>
        <v>2692490</v>
      </c>
      <c r="E57" s="391">
        <f>E58+E72+E147</f>
        <v>2692490</v>
      </c>
      <c r="F57" s="391">
        <f>F58+F72+F147</f>
        <v>2740105</v>
      </c>
      <c r="G57" s="174">
        <f>IF(E57=0,"",F57/E57*100)</f>
        <v>101.76843739438215</v>
      </c>
      <c r="H57" s="248"/>
      <c r="I57" s="248"/>
    </row>
    <row r="58" spans="1:11" ht="26.25">
      <c r="B58" s="192">
        <v>721000</v>
      </c>
      <c r="C58" s="195" t="s">
        <v>209</v>
      </c>
      <c r="D58" s="392">
        <f>D59+D63+D67+D70</f>
        <v>69690</v>
      </c>
      <c r="E58" s="392">
        <f>E59+E63+E67+E70</f>
        <v>69690</v>
      </c>
      <c r="F58" s="392">
        <f>F59+F63+F67+F70</f>
        <v>94010</v>
      </c>
      <c r="G58" s="175">
        <f>IF(E58=0,"",F58/E58*100)</f>
        <v>134.89740278375663</v>
      </c>
    </row>
    <row r="59" spans="1:11" ht="15" customHeight="1">
      <c r="B59" s="104">
        <v>721100</v>
      </c>
      <c r="C59" s="163" t="s">
        <v>313</v>
      </c>
      <c r="D59" s="393">
        <f t="shared" ref="D59:E59" si="3">SUM(D60:D62)</f>
        <v>58820</v>
      </c>
      <c r="E59" s="393">
        <f t="shared" si="3"/>
        <v>58820</v>
      </c>
      <c r="F59" s="393">
        <f>SUM(F60:F62)</f>
        <v>78870</v>
      </c>
      <c r="G59" s="208">
        <f>IF(E59=0,"",F59/E59*100)</f>
        <v>134.08704522271336</v>
      </c>
      <c r="I59" s="248"/>
    </row>
    <row r="60" spans="1:11" ht="15" customHeight="1">
      <c r="B60" s="101">
        <v>721112</v>
      </c>
      <c r="C60" s="161" t="s">
        <v>314</v>
      </c>
      <c r="D60" s="395">
        <v>170</v>
      </c>
      <c r="E60" s="395">
        <v>170</v>
      </c>
      <c r="F60" s="395">
        <v>163</v>
      </c>
      <c r="G60" s="108">
        <f>IF(E60=0,"",F60/E60*100)</f>
        <v>95.882352941176478</v>
      </c>
      <c r="H60" s="249"/>
    </row>
    <row r="61" spans="1:11" ht="15" customHeight="1">
      <c r="B61" s="101">
        <v>721121</v>
      </c>
      <c r="C61" s="161" t="s">
        <v>786</v>
      </c>
      <c r="D61" s="395">
        <v>58650</v>
      </c>
      <c r="E61" s="395">
        <v>58650</v>
      </c>
      <c r="F61" s="768">
        <v>78657</v>
      </c>
      <c r="G61" s="186">
        <f>IF(E61=0,"",F61/E61*100)</f>
        <v>134.11253196930946</v>
      </c>
      <c r="H61" s="492"/>
      <c r="I61" s="248"/>
    </row>
    <row r="62" spans="1:11" s="664" customFormat="1" ht="15" customHeight="1">
      <c r="B62" s="101">
        <v>721123</v>
      </c>
      <c r="C62" s="161" t="s">
        <v>883</v>
      </c>
      <c r="D62" s="395">
        <v>0</v>
      </c>
      <c r="E62" s="395">
        <v>0</v>
      </c>
      <c r="F62" s="395">
        <v>50</v>
      </c>
      <c r="G62" s="186" t="str">
        <f>IF(E62=0,"",F62/E62*100)</f>
        <v/>
      </c>
      <c r="H62" s="492"/>
      <c r="I62" s="248"/>
      <c r="J62" s="649"/>
      <c r="K62" s="159"/>
    </row>
    <row r="63" spans="1:11" ht="15" customHeight="1">
      <c r="B63" s="109">
        <v>721200</v>
      </c>
      <c r="C63" s="163" t="s">
        <v>315</v>
      </c>
      <c r="D63" s="396">
        <f>SUM(D64:D66)</f>
        <v>10520</v>
      </c>
      <c r="E63" s="396">
        <f>SUM(E64:E66)</f>
        <v>10520</v>
      </c>
      <c r="F63" s="396">
        <f>SUM(F64:F66)</f>
        <v>14840</v>
      </c>
      <c r="G63" s="102">
        <f>IF(E63=0,"",F63/E63*100)</f>
        <v>141.06463878326997</v>
      </c>
    </row>
    <row r="64" spans="1:11" ht="15" customHeight="1">
      <c r="B64" s="110">
        <v>721211</v>
      </c>
      <c r="C64" s="161" t="s">
        <v>316</v>
      </c>
      <c r="D64" s="395">
        <v>390</v>
      </c>
      <c r="E64" s="395">
        <v>390</v>
      </c>
      <c r="F64" s="395">
        <v>394</v>
      </c>
      <c r="G64" s="108">
        <f>IF(E64=0,"",F64/E64*100)</f>
        <v>101.02564102564102</v>
      </c>
      <c r="I64" s="248"/>
    </row>
    <row r="65" spans="2:11" ht="15" customHeight="1">
      <c r="B65" s="110">
        <v>721225</v>
      </c>
      <c r="C65" s="161" t="s">
        <v>610</v>
      </c>
      <c r="D65" s="395">
        <v>8010</v>
      </c>
      <c r="E65" s="395">
        <v>8010</v>
      </c>
      <c r="F65" s="395">
        <v>8006</v>
      </c>
      <c r="G65" s="108">
        <f>IF(E65=0,"",F65/E65*100)</f>
        <v>99.950062421972532</v>
      </c>
      <c r="H65" s="492"/>
    </row>
    <row r="66" spans="2:11" ht="15" customHeight="1">
      <c r="B66" s="110">
        <v>721227</v>
      </c>
      <c r="C66" s="161" t="s">
        <v>632</v>
      </c>
      <c r="D66" s="395">
        <v>2120</v>
      </c>
      <c r="E66" s="395">
        <v>2120</v>
      </c>
      <c r="F66" s="768">
        <v>6440</v>
      </c>
      <c r="G66" s="108">
        <f>IF(E66=0,"",F66/E66*100)</f>
        <v>303.77358490566036</v>
      </c>
      <c r="H66" s="492"/>
    </row>
    <row r="67" spans="2:11" ht="15" customHeight="1">
      <c r="B67" s="109">
        <v>721300</v>
      </c>
      <c r="C67" s="163" t="s">
        <v>317</v>
      </c>
      <c r="D67" s="393">
        <f>SUM(D68:D69)</f>
        <v>50</v>
      </c>
      <c r="E67" s="393">
        <f>SUM(E68:E69)</f>
        <v>50</v>
      </c>
      <c r="F67" s="393">
        <f>SUM(F68:F69)</f>
        <v>50</v>
      </c>
      <c r="G67" s="102">
        <f>IF(E67=0,"",F67/E67*100)</f>
        <v>100</v>
      </c>
      <c r="I67" s="248"/>
    </row>
    <row r="68" spans="2:11" s="489" customFormat="1" ht="15" customHeight="1">
      <c r="B68" s="110">
        <v>721311</v>
      </c>
      <c r="C68" s="161" t="s">
        <v>796</v>
      </c>
      <c r="D68" s="394">
        <v>50</v>
      </c>
      <c r="E68" s="394">
        <v>50</v>
      </c>
      <c r="F68" s="394">
        <v>50</v>
      </c>
      <c r="G68" s="108">
        <f>IF(E68=0,"",F68/E68*100)</f>
        <v>100</v>
      </c>
      <c r="H68" s="159"/>
      <c r="I68" s="248"/>
      <c r="J68" s="649"/>
      <c r="K68" s="159"/>
    </row>
    <row r="69" spans="2:11" ht="15" customHeight="1">
      <c r="B69" s="110">
        <v>721312</v>
      </c>
      <c r="C69" s="161" t="s">
        <v>318</v>
      </c>
      <c r="D69" s="394">
        <v>0</v>
      </c>
      <c r="E69" s="394">
        <v>0</v>
      </c>
      <c r="F69" s="394">
        <v>0</v>
      </c>
      <c r="G69" s="108" t="str">
        <f>IF(E69=0,"",F69/E69*100)</f>
        <v/>
      </c>
      <c r="I69" s="248"/>
    </row>
    <row r="70" spans="2:11" ht="15" customHeight="1">
      <c r="B70" s="109">
        <v>721500</v>
      </c>
      <c r="C70" s="163" t="s">
        <v>319</v>
      </c>
      <c r="D70" s="393">
        <f>D71</f>
        <v>300</v>
      </c>
      <c r="E70" s="393">
        <f>E71</f>
        <v>300</v>
      </c>
      <c r="F70" s="393">
        <f>F71</f>
        <v>250</v>
      </c>
      <c r="G70" s="102">
        <f>IF(E70=0,"",F70/E70*100)</f>
        <v>83.333333333333343</v>
      </c>
    </row>
    <row r="71" spans="2:11" ht="15" customHeight="1">
      <c r="B71" s="110">
        <v>721511</v>
      </c>
      <c r="C71" s="161" t="s">
        <v>319</v>
      </c>
      <c r="D71" s="394">
        <v>300</v>
      </c>
      <c r="E71" s="394">
        <v>300</v>
      </c>
      <c r="F71" s="394">
        <v>250</v>
      </c>
      <c r="G71" s="108">
        <f>IF(E71=0,"",F71/E71*100)</f>
        <v>83.333333333333343</v>
      </c>
      <c r="I71" s="248"/>
    </row>
    <row r="72" spans="2:11" ht="15">
      <c r="B72" s="192">
        <v>722000</v>
      </c>
      <c r="C72" s="193" t="s">
        <v>382</v>
      </c>
      <c r="D72" s="391">
        <f>D73+D75+D77+D92+D132+D141</f>
        <v>2024460</v>
      </c>
      <c r="E72" s="391">
        <f>E73+E75+E77+E92+E132+E141</f>
        <v>2024460</v>
      </c>
      <c r="F72" s="391">
        <f>F73+F75+F77+F92+F132+F141</f>
        <v>2017793</v>
      </c>
      <c r="G72" s="175">
        <f>IF(E72=0,"",F72/E72*100)</f>
        <v>99.670677612795515</v>
      </c>
    </row>
    <row r="73" spans="2:11" ht="15" customHeight="1">
      <c r="B73" s="104">
        <v>722100</v>
      </c>
      <c r="C73" s="115" t="s">
        <v>320</v>
      </c>
      <c r="D73" s="396">
        <f>D74</f>
        <v>113690</v>
      </c>
      <c r="E73" s="396">
        <f>E74</f>
        <v>113690</v>
      </c>
      <c r="F73" s="396">
        <f>F74</f>
        <v>111116</v>
      </c>
      <c r="G73" s="102">
        <f>IF(E73=0,"",F73/E73*100)</f>
        <v>97.735948632245581</v>
      </c>
      <c r="I73" s="248"/>
    </row>
    <row r="74" spans="2:11" ht="15" customHeight="1">
      <c r="B74" s="107">
        <v>722121</v>
      </c>
      <c r="C74" s="165" t="s">
        <v>321</v>
      </c>
      <c r="D74" s="395">
        <v>113690</v>
      </c>
      <c r="E74" s="395">
        <v>113690</v>
      </c>
      <c r="F74" s="395">
        <v>111116</v>
      </c>
      <c r="G74" s="108">
        <f>IF(E74=0,"",F74/E74*100)</f>
        <v>97.735948632245581</v>
      </c>
      <c r="H74" s="650"/>
    </row>
    <row r="75" spans="2:11" ht="15" customHeight="1">
      <c r="B75" s="104">
        <v>722200</v>
      </c>
      <c r="C75" s="115" t="s">
        <v>322</v>
      </c>
      <c r="D75" s="396">
        <f>D76</f>
        <v>390290</v>
      </c>
      <c r="E75" s="396">
        <f>E76</f>
        <v>390290</v>
      </c>
      <c r="F75" s="396">
        <f>F76</f>
        <v>398852</v>
      </c>
      <c r="G75" s="102">
        <f>IF(E75=0,"",F75/E75*100)</f>
        <v>102.19375336288401</v>
      </c>
      <c r="I75" s="248"/>
      <c r="K75" s="250"/>
    </row>
    <row r="76" spans="2:11" ht="15" customHeight="1">
      <c r="B76" s="107">
        <v>722221</v>
      </c>
      <c r="C76" s="165" t="s">
        <v>323</v>
      </c>
      <c r="D76" s="395">
        <v>390290</v>
      </c>
      <c r="E76" s="395">
        <v>390290</v>
      </c>
      <c r="F76" s="395">
        <v>398852</v>
      </c>
      <c r="G76" s="108">
        <f>IF(E76=0,"",F76/E76*100)</f>
        <v>102.19375336288401</v>
      </c>
      <c r="H76" s="206"/>
      <c r="I76" s="638"/>
      <c r="J76" s="248"/>
    </row>
    <row r="77" spans="2:11" ht="15" customHeight="1">
      <c r="B77" s="104">
        <v>722400</v>
      </c>
      <c r="C77" s="115" t="s">
        <v>324</v>
      </c>
      <c r="D77" s="396">
        <f>D78+D84+D87</f>
        <v>292280</v>
      </c>
      <c r="E77" s="396">
        <f>E78+E84+E87</f>
        <v>292280</v>
      </c>
      <c r="F77" s="396">
        <f>F78+F84+F87</f>
        <v>196315</v>
      </c>
      <c r="G77" s="102">
        <f>IF(E77=0,"",F77/E77*100)</f>
        <v>67.166757903380329</v>
      </c>
    </row>
    <row r="78" spans="2:11" ht="15" customHeight="1">
      <c r="B78" s="116">
        <v>722420</v>
      </c>
      <c r="C78" s="166" t="s">
        <v>325</v>
      </c>
      <c r="D78" s="398">
        <f>D79+D80+D82+D83</f>
        <v>142580</v>
      </c>
      <c r="E78" s="398">
        <f>E79+E80+E82+E83</f>
        <v>142580</v>
      </c>
      <c r="F78" s="398">
        <f>F79+F80+F82+F83</f>
        <v>56168</v>
      </c>
      <c r="G78" s="102">
        <f>IF(E78=0,"",F78/E78*100)</f>
        <v>39.394024407350258</v>
      </c>
      <c r="I78" s="248"/>
    </row>
    <row r="79" spans="2:11" ht="15" customHeight="1">
      <c r="B79" s="107">
        <v>722421</v>
      </c>
      <c r="C79" s="165" t="s">
        <v>325</v>
      </c>
      <c r="D79" s="395">
        <v>20</v>
      </c>
      <c r="E79" s="395">
        <v>20</v>
      </c>
      <c r="F79" s="395">
        <v>0</v>
      </c>
      <c r="G79" s="108">
        <f>IF(E79=0,"",F79/E79*100)</f>
        <v>0</v>
      </c>
    </row>
    <row r="80" spans="2:11" ht="15" customHeight="1">
      <c r="B80" s="107">
        <v>722422</v>
      </c>
      <c r="C80" s="165" t="s">
        <v>390</v>
      </c>
      <c r="D80" s="395">
        <f>D81</f>
        <v>135210</v>
      </c>
      <c r="E80" s="395">
        <f>E81</f>
        <v>135210</v>
      </c>
      <c r="F80" s="395">
        <f>F81</f>
        <v>49059</v>
      </c>
      <c r="G80" s="108">
        <f>IF(E80=0,"",F80/E80*100)</f>
        <v>36.283558908364768</v>
      </c>
    </row>
    <row r="81" spans="2:10" ht="15" customHeight="1">
      <c r="B81" s="107"/>
      <c r="C81" s="167" t="s">
        <v>621</v>
      </c>
      <c r="D81" s="395">
        <f>37550+97660</f>
        <v>135210</v>
      </c>
      <c r="E81" s="395">
        <f>37550+97660</f>
        <v>135210</v>
      </c>
      <c r="F81" s="768">
        <v>49059</v>
      </c>
      <c r="G81" s="108">
        <f>IF(E81=0,"",F81/E81*100)</f>
        <v>36.283558908364768</v>
      </c>
      <c r="H81" s="492"/>
      <c r="I81" s="770">
        <v>89605</v>
      </c>
      <c r="J81" s="649" t="s">
        <v>892</v>
      </c>
    </row>
    <row r="82" spans="2:10" ht="15" customHeight="1">
      <c r="B82" s="107">
        <v>722424</v>
      </c>
      <c r="C82" s="165" t="s">
        <v>328</v>
      </c>
      <c r="D82" s="395">
        <v>6850</v>
      </c>
      <c r="E82" s="395">
        <v>6850</v>
      </c>
      <c r="F82" s="395">
        <v>7109</v>
      </c>
      <c r="G82" s="108">
        <f>IF(E82=0,"",F82/E82*100)</f>
        <v>103.78102189781022</v>
      </c>
      <c r="I82" s="248"/>
    </row>
    <row r="83" spans="2:10" ht="15" customHeight="1">
      <c r="B83" s="107">
        <v>722429</v>
      </c>
      <c r="C83" s="165" t="s">
        <v>326</v>
      </c>
      <c r="D83" s="395">
        <v>500</v>
      </c>
      <c r="E83" s="395">
        <v>500</v>
      </c>
      <c r="F83" s="395">
        <v>0</v>
      </c>
      <c r="G83" s="108">
        <f>IF(E83=0,"",F83/E83*100)</f>
        <v>0</v>
      </c>
      <c r="J83" s="248"/>
    </row>
    <row r="84" spans="2:10" ht="15" customHeight="1">
      <c r="B84" s="114">
        <v>722450</v>
      </c>
      <c r="C84" s="166" t="s">
        <v>327</v>
      </c>
      <c r="D84" s="398">
        <f>SUM(D85:D86)</f>
        <v>2910</v>
      </c>
      <c r="E84" s="398">
        <f>SUM(E85:E86)</f>
        <v>2910</v>
      </c>
      <c r="F84" s="398">
        <f>SUM(F85:F86)</f>
        <v>2428</v>
      </c>
      <c r="G84" s="102">
        <f>IF(E84=0,"",F84/E84*100)</f>
        <v>83.43642611683849</v>
      </c>
      <c r="H84" s="492"/>
      <c r="I84" s="770">
        <v>59994</v>
      </c>
      <c r="J84" s="649" t="s">
        <v>888</v>
      </c>
    </row>
    <row r="85" spans="2:10" ht="15" customHeight="1">
      <c r="B85" s="107">
        <v>722451</v>
      </c>
      <c r="C85" s="165" t="s">
        <v>329</v>
      </c>
      <c r="D85" s="395">
        <v>1590</v>
      </c>
      <c r="E85" s="395">
        <v>1590</v>
      </c>
      <c r="F85" s="768">
        <v>1324</v>
      </c>
      <c r="G85" s="108">
        <f>IF(E85=0,"",F85/E85*100)</f>
        <v>83.270440251572325</v>
      </c>
      <c r="I85" s="770">
        <v>30000</v>
      </c>
      <c r="J85" s="657" t="s">
        <v>895</v>
      </c>
    </row>
    <row r="86" spans="2:10" ht="15" customHeight="1">
      <c r="B86" s="107">
        <v>722454</v>
      </c>
      <c r="C86" s="165" t="s">
        <v>330</v>
      </c>
      <c r="D86" s="395">
        <v>1320</v>
      </c>
      <c r="E86" s="395">
        <v>1320</v>
      </c>
      <c r="F86" s="768">
        <v>1104</v>
      </c>
      <c r="G86" s="108">
        <f>IF(E86=0,"",F86/E86*100)</f>
        <v>83.636363636363626</v>
      </c>
    </row>
    <row r="87" spans="2:10" ht="25.5">
      <c r="B87" s="114">
        <v>722470</v>
      </c>
      <c r="C87" s="168" t="s">
        <v>383</v>
      </c>
      <c r="D87" s="398">
        <f>D88+D90+D91</f>
        <v>146790</v>
      </c>
      <c r="E87" s="398">
        <f>E88+E90+E91</f>
        <v>146790</v>
      </c>
      <c r="F87" s="398">
        <f>F88+F90+F91</f>
        <v>137719</v>
      </c>
      <c r="G87" s="102">
        <f>IF(E87=0,"",F87/E87*100)</f>
        <v>93.820423734586825</v>
      </c>
      <c r="H87" s="492"/>
      <c r="I87" s="248"/>
    </row>
    <row r="88" spans="2:10" ht="15" customHeight="1">
      <c r="B88" s="107">
        <v>722471</v>
      </c>
      <c r="C88" s="165" t="s">
        <v>331</v>
      </c>
      <c r="D88" s="395">
        <f>D89</f>
        <v>101820</v>
      </c>
      <c r="E88" s="395">
        <f>E89</f>
        <v>101820</v>
      </c>
      <c r="F88" s="768">
        <f>F89</f>
        <v>85159</v>
      </c>
      <c r="G88" s="108">
        <f>IF(E88=0,"",F88/E88*100)</f>
        <v>83.63681005696327</v>
      </c>
      <c r="I88" s="248"/>
    </row>
    <row r="89" spans="2:10" ht="15" customHeight="1">
      <c r="B89" s="107"/>
      <c r="C89" s="167" t="s">
        <v>780</v>
      </c>
      <c r="D89" s="395">
        <v>101820</v>
      </c>
      <c r="E89" s="395">
        <v>101820</v>
      </c>
      <c r="F89" s="768">
        <v>85159</v>
      </c>
      <c r="G89" s="108">
        <f>IF(E89=0,"",F89/E89*100)</f>
        <v>83.63681005696327</v>
      </c>
    </row>
    <row r="90" spans="2:10" ht="25.5">
      <c r="B90" s="107">
        <v>722472</v>
      </c>
      <c r="C90" s="167" t="s">
        <v>332</v>
      </c>
      <c r="D90" s="395">
        <v>42520</v>
      </c>
      <c r="E90" s="395">
        <v>42520</v>
      </c>
      <c r="F90" s="768">
        <v>48636</v>
      </c>
      <c r="G90" s="108">
        <f>IF(E90=0,"",F90/E90*100)</f>
        <v>114.38381937911571</v>
      </c>
    </row>
    <row r="91" spans="2:10" ht="17.100000000000001" customHeight="1">
      <c r="B91" s="107">
        <v>722479</v>
      </c>
      <c r="C91" s="167" t="s">
        <v>611</v>
      </c>
      <c r="D91" s="395">
        <v>2450</v>
      </c>
      <c r="E91" s="395">
        <v>2450</v>
      </c>
      <c r="F91" s="768">
        <v>3924</v>
      </c>
      <c r="G91" s="108">
        <f>IF(E91=0,"",F91/E91*100)</f>
        <v>160.16326530612247</v>
      </c>
    </row>
    <row r="92" spans="2:10" ht="17.100000000000001" customHeight="1">
      <c r="B92" s="104">
        <v>722500</v>
      </c>
      <c r="C92" s="43" t="s">
        <v>620</v>
      </c>
      <c r="D92" s="396">
        <f>D93+D98+D109+D114+D116+D125</f>
        <v>770370</v>
      </c>
      <c r="E92" s="396">
        <f>E93+E98+E109+E114+E116+E125</f>
        <v>770370</v>
      </c>
      <c r="F92" s="396">
        <f>F93+F98+F109+F114+F116+F125</f>
        <v>865119</v>
      </c>
      <c r="G92" s="102">
        <f>IF(E92=0,"",F92/E92*100)</f>
        <v>112.29915495151681</v>
      </c>
    </row>
    <row r="93" spans="2:10" ht="27" customHeight="1">
      <c r="B93" s="114">
        <v>722510</v>
      </c>
      <c r="C93" s="117" t="s">
        <v>384</v>
      </c>
      <c r="D93" s="398">
        <f t="shared" ref="D93:E93" si="4">SUM(D94:D97)</f>
        <v>13770</v>
      </c>
      <c r="E93" s="398">
        <f t="shared" si="4"/>
        <v>13770</v>
      </c>
      <c r="F93" s="398">
        <f t="shared" ref="F93" si="5">SUM(F94:F97)</f>
        <v>12262</v>
      </c>
      <c r="G93" s="102">
        <f>IF(E93=0,"",F93/E93*100)</f>
        <v>89.048656499636891</v>
      </c>
    </row>
    <row r="94" spans="2:10" ht="25.5">
      <c r="B94" s="101">
        <v>722511</v>
      </c>
      <c r="C94" s="68" t="s">
        <v>633</v>
      </c>
      <c r="D94" s="395">
        <v>20</v>
      </c>
      <c r="E94" s="395">
        <v>20</v>
      </c>
      <c r="F94" s="395">
        <v>10</v>
      </c>
      <c r="G94" s="108">
        <f>IF(E94=0,"",F94/E94*100)</f>
        <v>50</v>
      </c>
    </row>
    <row r="95" spans="2:10" ht="25.5">
      <c r="B95" s="101">
        <v>722514</v>
      </c>
      <c r="C95" s="68" t="s">
        <v>347</v>
      </c>
      <c r="D95" s="395">
        <v>1490</v>
      </c>
      <c r="E95" s="395">
        <v>1490</v>
      </c>
      <c r="F95" s="395">
        <v>1572</v>
      </c>
      <c r="G95" s="108">
        <f>IF(E95=0,"",F95/E95*100)</f>
        <v>105.50335570469798</v>
      </c>
    </row>
    <row r="96" spans="2:10" ht="15" customHeight="1">
      <c r="B96" s="101">
        <v>722515</v>
      </c>
      <c r="C96" s="69" t="s">
        <v>333</v>
      </c>
      <c r="D96" s="395">
        <v>12230</v>
      </c>
      <c r="E96" s="395">
        <v>12230</v>
      </c>
      <c r="F96" s="395">
        <v>10661</v>
      </c>
      <c r="G96" s="108">
        <f>IF(E96=0,"",F96/E96*100)</f>
        <v>87.17089125102207</v>
      </c>
    </row>
    <row r="97" spans="2:11" ht="15" customHeight="1">
      <c r="B97" s="101">
        <v>722516</v>
      </c>
      <c r="C97" s="69" t="s">
        <v>334</v>
      </c>
      <c r="D97" s="395">
        <v>30</v>
      </c>
      <c r="E97" s="395">
        <v>30</v>
      </c>
      <c r="F97" s="395">
        <v>19</v>
      </c>
      <c r="G97" s="108">
        <f>IF(E97=0,"",F97/E97*100)</f>
        <v>63.333333333333329</v>
      </c>
    </row>
    <row r="98" spans="2:11" ht="15" customHeight="1">
      <c r="B98" s="114">
        <v>722520</v>
      </c>
      <c r="C98" s="118" t="s">
        <v>335</v>
      </c>
      <c r="D98" s="398">
        <f>D99+D101+D102+D103+D104+D105+D106+D107+D108</f>
        <v>231810</v>
      </c>
      <c r="E98" s="398">
        <f>E99+E101+E102+E103+E104+E105+E106+E107+E108</f>
        <v>231810</v>
      </c>
      <c r="F98" s="398">
        <f>F99+F101+F102+F103+F104+F105+F106+F107+F108</f>
        <v>228848</v>
      </c>
      <c r="G98" s="102">
        <f>IF(E98=0,"",F98/E98*100)</f>
        <v>98.722229412018464</v>
      </c>
      <c r="H98" s="492"/>
      <c r="I98" s="770">
        <v>266949</v>
      </c>
      <c r="J98" s="649" t="s">
        <v>891</v>
      </c>
    </row>
    <row r="99" spans="2:11" ht="25.5">
      <c r="B99" s="101">
        <v>722521</v>
      </c>
      <c r="C99" s="68" t="s">
        <v>348</v>
      </c>
      <c r="D99" s="395">
        <f>D100</f>
        <v>95740</v>
      </c>
      <c r="E99" s="395">
        <f>E100</f>
        <v>95740</v>
      </c>
      <c r="F99" s="395">
        <f>F100</f>
        <v>96295</v>
      </c>
      <c r="G99" s="108">
        <f>IF(E99=0,"",F99/E99*100)</f>
        <v>100.57969500731147</v>
      </c>
    </row>
    <row r="100" spans="2:11" ht="15" customHeight="1">
      <c r="B100" s="107"/>
      <c r="C100" s="167" t="s">
        <v>781</v>
      </c>
      <c r="D100" s="395">
        <v>95740</v>
      </c>
      <c r="E100" s="395">
        <v>95740</v>
      </c>
      <c r="F100" s="768">
        <v>96295</v>
      </c>
      <c r="G100" s="108">
        <f>IF(E100=0,"",F100/E100*100)</f>
        <v>100.57969500731147</v>
      </c>
    </row>
    <row r="101" spans="2:11" ht="25.5" customHeight="1">
      <c r="B101" s="169">
        <v>722522</v>
      </c>
      <c r="C101" s="171" t="s">
        <v>349</v>
      </c>
      <c r="D101" s="397">
        <v>27610</v>
      </c>
      <c r="E101" s="397">
        <v>27610</v>
      </c>
      <c r="F101" s="769">
        <v>27069</v>
      </c>
      <c r="G101" s="177">
        <f>IF(E101=0,"",F101/E101*100)</f>
        <v>98.040565012676566</v>
      </c>
    </row>
    <row r="102" spans="2:11" ht="25.5">
      <c r="B102" s="101">
        <v>722523</v>
      </c>
      <c r="C102" s="68" t="s">
        <v>350</v>
      </c>
      <c r="D102" s="397">
        <v>5160</v>
      </c>
      <c r="E102" s="397">
        <v>5160</v>
      </c>
      <c r="F102" s="769">
        <v>5139</v>
      </c>
      <c r="G102" s="106">
        <f>IF(E102=0,"",F102/E102*100)</f>
        <v>99.593023255813947</v>
      </c>
    </row>
    <row r="103" spans="2:11" ht="27" customHeight="1">
      <c r="B103" s="101">
        <v>722524</v>
      </c>
      <c r="C103" s="253" t="s">
        <v>617</v>
      </c>
      <c r="D103" s="397">
        <v>470</v>
      </c>
      <c r="E103" s="397">
        <v>470</v>
      </c>
      <c r="F103" s="769">
        <v>480</v>
      </c>
      <c r="G103" s="106">
        <f>IF(E103=0,"",F103/E103*100)</f>
        <v>102.12765957446808</v>
      </c>
    </row>
    <row r="104" spans="2:11" ht="25.5">
      <c r="B104" s="101">
        <v>722525</v>
      </c>
      <c r="C104" s="253" t="s">
        <v>616</v>
      </c>
      <c r="D104" s="397">
        <v>40</v>
      </c>
      <c r="E104" s="397">
        <v>40</v>
      </c>
      <c r="F104" s="769">
        <v>32</v>
      </c>
      <c r="G104" s="106">
        <f>IF(E104=0,"",F104/E104*100)</f>
        <v>80</v>
      </c>
    </row>
    <row r="105" spans="2:11" ht="25.5">
      <c r="B105" s="101">
        <v>722526</v>
      </c>
      <c r="C105" s="68" t="s">
        <v>619</v>
      </c>
      <c r="D105" s="397">
        <v>0</v>
      </c>
      <c r="E105" s="397">
        <v>0</v>
      </c>
      <c r="F105" s="769">
        <v>0</v>
      </c>
      <c r="G105" s="106" t="str">
        <f>IF(E105=0,"",F105/E105*100)</f>
        <v/>
      </c>
    </row>
    <row r="106" spans="2:11" ht="15" customHeight="1">
      <c r="B106" s="101">
        <v>722527</v>
      </c>
      <c r="C106" s="69" t="s">
        <v>525</v>
      </c>
      <c r="D106" s="397">
        <v>18220</v>
      </c>
      <c r="E106" s="397">
        <v>18220</v>
      </c>
      <c r="F106" s="769">
        <v>15767</v>
      </c>
      <c r="G106" s="187">
        <f>IF(E106=0,"",F106/E106*100)</f>
        <v>86.536772777167954</v>
      </c>
    </row>
    <row r="107" spans="2:11" ht="15" customHeight="1">
      <c r="B107" s="101">
        <v>722528</v>
      </c>
      <c r="C107" s="69" t="s">
        <v>336</v>
      </c>
      <c r="D107" s="397">
        <v>1010</v>
      </c>
      <c r="E107" s="397">
        <v>1010</v>
      </c>
      <c r="F107" s="769">
        <v>957</v>
      </c>
      <c r="G107" s="106">
        <f>IF(E107=0,"",F107/E107*100)</f>
        <v>94.752475247524742</v>
      </c>
    </row>
    <row r="108" spans="2:11" ht="15" customHeight="1">
      <c r="B108" s="101">
        <v>722529</v>
      </c>
      <c r="C108" s="69" t="s">
        <v>337</v>
      </c>
      <c r="D108" s="397">
        <v>83560</v>
      </c>
      <c r="E108" s="397">
        <v>83560</v>
      </c>
      <c r="F108" s="769">
        <v>83109</v>
      </c>
      <c r="G108" s="106">
        <f>IF(E108=0,"",F108/E108*100)</f>
        <v>99.460268070847292</v>
      </c>
      <c r="I108" s="638"/>
    </row>
    <row r="109" spans="2:11" ht="15" customHeight="1">
      <c r="B109" s="114">
        <v>722530</v>
      </c>
      <c r="C109" s="118" t="s">
        <v>338</v>
      </c>
      <c r="D109" s="398">
        <f>SUM(D110:D113)</f>
        <v>270560</v>
      </c>
      <c r="E109" s="398">
        <f>SUM(E110:E113)</f>
        <v>270560</v>
      </c>
      <c r="F109" s="398">
        <f>SUM(F110:F113)</f>
        <v>353506</v>
      </c>
      <c r="G109" s="112">
        <f>IF(E109=0,"",F109/E109*100)</f>
        <v>130.65715552927261</v>
      </c>
      <c r="H109" s="492"/>
      <c r="I109" s="770">
        <v>165283</v>
      </c>
      <c r="J109" s="649" t="s">
        <v>893</v>
      </c>
      <c r="K109" s="773">
        <f>SUM(I109:I110)</f>
        <v>495743</v>
      </c>
    </row>
    <row r="110" spans="2:11" ht="15" customHeight="1">
      <c r="B110" s="101">
        <v>722531</v>
      </c>
      <c r="C110" s="69" t="s">
        <v>339</v>
      </c>
      <c r="D110" s="395">
        <v>99960</v>
      </c>
      <c r="E110" s="395">
        <v>99960</v>
      </c>
      <c r="F110" s="768">
        <v>102929</v>
      </c>
      <c r="G110" s="106">
        <f>IF(E110=0,"",F110/E110*100)</f>
        <v>102.97018807523008</v>
      </c>
      <c r="H110" s="650"/>
      <c r="I110" s="771">
        <v>330460</v>
      </c>
      <c r="J110" s="649" t="s">
        <v>894</v>
      </c>
    </row>
    <row r="111" spans="2:11" ht="15" customHeight="1">
      <c r="B111" s="101">
        <v>722532</v>
      </c>
      <c r="C111" s="69" t="s">
        <v>340</v>
      </c>
      <c r="D111" s="395">
        <v>170600</v>
      </c>
      <c r="E111" s="395">
        <v>170600</v>
      </c>
      <c r="F111" s="768">
        <v>250577</v>
      </c>
      <c r="G111" s="106">
        <f>IF(E111=0,"",F111/E111*100)</f>
        <v>146.87983587338803</v>
      </c>
      <c r="H111" s="650"/>
      <c r="I111" s="248"/>
    </row>
    <row r="112" spans="2:11" ht="15" customHeight="1">
      <c r="B112" s="101">
        <v>722538</v>
      </c>
      <c r="C112" s="69" t="s">
        <v>341</v>
      </c>
      <c r="D112" s="395">
        <v>0</v>
      </c>
      <c r="E112" s="395">
        <v>0</v>
      </c>
      <c r="F112" s="395">
        <v>0</v>
      </c>
      <c r="G112" s="106" t="str">
        <f>IF(E112=0,"",F112/E112*100)</f>
        <v/>
      </c>
      <c r="I112" s="638"/>
    </row>
    <row r="113" spans="2:11" ht="15" customHeight="1">
      <c r="B113" s="101">
        <v>722539</v>
      </c>
      <c r="C113" s="69" t="s">
        <v>529</v>
      </c>
      <c r="D113" s="395">
        <v>0</v>
      </c>
      <c r="E113" s="395">
        <v>0</v>
      </c>
      <c r="F113" s="395">
        <v>0</v>
      </c>
      <c r="G113" s="106" t="str">
        <f>IF(E113=0,"",F113/E113*100)</f>
        <v/>
      </c>
      <c r="I113" s="638"/>
    </row>
    <row r="114" spans="2:11" ht="15" customHeight="1">
      <c r="B114" s="114">
        <v>722540</v>
      </c>
      <c r="C114" s="118" t="s">
        <v>342</v>
      </c>
      <c r="D114" s="398">
        <f>D115</f>
        <v>300</v>
      </c>
      <c r="E114" s="398">
        <f>E115</f>
        <v>300</v>
      </c>
      <c r="F114" s="398">
        <f>F115</f>
        <v>296</v>
      </c>
      <c r="G114" s="112">
        <f>IF(E114=0,"",F114/E114*100)</f>
        <v>98.666666666666671</v>
      </c>
      <c r="H114" s="492"/>
    </row>
    <row r="115" spans="2:11" ht="15" customHeight="1">
      <c r="B115" s="101">
        <v>722541</v>
      </c>
      <c r="C115" s="69" t="s">
        <v>343</v>
      </c>
      <c r="D115" s="395">
        <v>300</v>
      </c>
      <c r="E115" s="395">
        <v>300</v>
      </c>
      <c r="F115" s="768">
        <v>296</v>
      </c>
      <c r="G115" s="106">
        <f>IF(E115=0,"",F115/E115*100)</f>
        <v>98.666666666666671</v>
      </c>
      <c r="I115" s="638"/>
    </row>
    <row r="116" spans="2:11" ht="15" customHeight="1">
      <c r="B116" s="114">
        <v>722550</v>
      </c>
      <c r="C116" s="118" t="s">
        <v>344</v>
      </c>
      <c r="D116" s="398">
        <f>D117+D119+D121+D123</f>
        <v>180000</v>
      </c>
      <c r="E116" s="398">
        <f>E117+E119+E121+E123</f>
        <v>180000</v>
      </c>
      <c r="F116" s="398">
        <f>F117+F119+F121+F123</f>
        <v>199770</v>
      </c>
      <c r="G116" s="112">
        <f>IF(E116=0,"",F116/E116*100)</f>
        <v>110.98333333333332</v>
      </c>
      <c r="H116" s="492"/>
      <c r="I116" s="772">
        <v>169500</v>
      </c>
      <c r="J116" s="248" t="s">
        <v>889</v>
      </c>
    </row>
    <row r="117" spans="2:11" ht="15" customHeight="1">
      <c r="B117" s="101">
        <v>722551</v>
      </c>
      <c r="C117" s="69" t="s">
        <v>345</v>
      </c>
      <c r="D117" s="395">
        <f>D118</f>
        <v>15170</v>
      </c>
      <c r="E117" s="395">
        <f>E118</f>
        <v>15170</v>
      </c>
      <c r="F117" s="768">
        <f>F118</f>
        <v>14761</v>
      </c>
      <c r="G117" s="106">
        <f>IF(E117=0,"",F117/E117*100)</f>
        <v>97.303889255108771</v>
      </c>
    </row>
    <row r="118" spans="2:11" ht="15" customHeight="1">
      <c r="B118" s="107"/>
      <c r="C118" s="167" t="s">
        <v>781</v>
      </c>
      <c r="D118" s="395">
        <v>15170</v>
      </c>
      <c r="E118" s="395">
        <v>15170</v>
      </c>
      <c r="F118" s="768">
        <v>14761</v>
      </c>
      <c r="G118" s="106">
        <f>IF(E118=0,"",F118/E118*100)</f>
        <v>97.303889255108771</v>
      </c>
    </row>
    <row r="119" spans="2:11" s="490" customFormat="1" ht="15" customHeight="1">
      <c r="B119" s="101">
        <v>722552</v>
      </c>
      <c r="C119" s="491" t="s">
        <v>797</v>
      </c>
      <c r="D119" s="395">
        <f>D120</f>
        <v>20</v>
      </c>
      <c r="E119" s="395">
        <f>E120</f>
        <v>20</v>
      </c>
      <c r="F119" s="768">
        <f>F120</f>
        <v>17</v>
      </c>
      <c r="G119" s="106">
        <f>IF(E119=0,"",F119/E119*100)</f>
        <v>85</v>
      </c>
      <c r="H119" s="159"/>
      <c r="I119" s="649"/>
      <c r="J119" s="649"/>
      <c r="K119" s="159"/>
    </row>
    <row r="120" spans="2:11" s="490" customFormat="1" ht="15" customHeight="1">
      <c r="B120" s="107"/>
      <c r="C120" s="167" t="s">
        <v>781</v>
      </c>
      <c r="D120" s="395">
        <v>20</v>
      </c>
      <c r="E120" s="395">
        <v>20</v>
      </c>
      <c r="F120" s="768">
        <v>17</v>
      </c>
      <c r="G120" s="106">
        <f>IF(E120=0,"",F120/E120*100)</f>
        <v>85</v>
      </c>
      <c r="H120" s="159"/>
      <c r="I120" s="649"/>
      <c r="J120" s="649"/>
      <c r="K120" s="159"/>
    </row>
    <row r="121" spans="2:11" ht="25.5">
      <c r="B121" s="101">
        <v>722555</v>
      </c>
      <c r="C121" s="68" t="s">
        <v>351</v>
      </c>
      <c r="D121" s="395">
        <f>D122</f>
        <v>61190</v>
      </c>
      <c r="E121" s="395">
        <f>E122</f>
        <v>61190</v>
      </c>
      <c r="F121" s="768">
        <f>F122</f>
        <v>61977</v>
      </c>
      <c r="G121" s="106">
        <f>IF(E121=0,"",F121/E121*100)</f>
        <v>101.28615786893282</v>
      </c>
    </row>
    <row r="122" spans="2:11" ht="17.100000000000001" customHeight="1">
      <c r="B122" s="107"/>
      <c r="C122" s="167" t="s">
        <v>781</v>
      </c>
      <c r="D122" s="395">
        <v>61190</v>
      </c>
      <c r="E122" s="395">
        <v>61190</v>
      </c>
      <c r="F122" s="768">
        <v>61977</v>
      </c>
      <c r="G122" s="106">
        <f>IF(E122=0,"",F122/E122*100)</f>
        <v>101.28615786893282</v>
      </c>
    </row>
    <row r="123" spans="2:11" ht="25.5">
      <c r="B123" s="101">
        <v>722556</v>
      </c>
      <c r="C123" s="68" t="s">
        <v>352</v>
      </c>
      <c r="D123" s="395">
        <f>D124</f>
        <v>103620</v>
      </c>
      <c r="E123" s="395">
        <f>E124</f>
        <v>103620</v>
      </c>
      <c r="F123" s="768">
        <f>F124</f>
        <v>123015</v>
      </c>
      <c r="G123" s="106">
        <f>IF(E123=0,"",F123/E123*100)</f>
        <v>118.71742906774753</v>
      </c>
    </row>
    <row r="124" spans="2:11" ht="15" customHeight="1">
      <c r="B124" s="107"/>
      <c r="C124" s="167" t="s">
        <v>524</v>
      </c>
      <c r="D124" s="395">
        <f>105350-1730</f>
        <v>103620</v>
      </c>
      <c r="E124" s="395">
        <f>105350-1730</f>
        <v>103620</v>
      </c>
      <c r="F124" s="768">
        <v>123015</v>
      </c>
      <c r="G124" s="106">
        <f>IF(E124=0,"",F124/E124*100)</f>
        <v>118.71742906774753</v>
      </c>
    </row>
    <row r="125" spans="2:11" ht="15" customHeight="1">
      <c r="B125" s="114">
        <v>722580</v>
      </c>
      <c r="C125" s="118" t="s">
        <v>353</v>
      </c>
      <c r="D125" s="398">
        <f>D126+D128+D129+D130+D131</f>
        <v>73930</v>
      </c>
      <c r="E125" s="398">
        <f>E126+E128+E129+E130+E131</f>
        <v>73930</v>
      </c>
      <c r="F125" s="398">
        <f>F126+F128+F129+F130+F131</f>
        <v>70437</v>
      </c>
      <c r="G125" s="112">
        <f>IF(E125=0,"",F125/E125*100)</f>
        <v>95.27526038144191</v>
      </c>
      <c r="I125" s="248">
        <v>20344</v>
      </c>
      <c r="J125" s="649" t="s">
        <v>890</v>
      </c>
    </row>
    <row r="126" spans="2:11" ht="25.5">
      <c r="B126" s="101">
        <v>722581</v>
      </c>
      <c r="C126" s="68" t="s">
        <v>618</v>
      </c>
      <c r="D126" s="395">
        <f>D127</f>
        <v>65990</v>
      </c>
      <c r="E126" s="395">
        <f>E127</f>
        <v>65990</v>
      </c>
      <c r="F126" s="395">
        <f>F127</f>
        <v>62372</v>
      </c>
      <c r="G126" s="106">
        <f>IF(E126=0,"",F126/E126*100)</f>
        <v>94.51735111380512</v>
      </c>
      <c r="I126" s="248">
        <v>34374</v>
      </c>
      <c r="J126" s="657" t="s">
        <v>896</v>
      </c>
    </row>
    <row r="127" spans="2:11" ht="15" customHeight="1">
      <c r="B127" s="107"/>
      <c r="C127" s="167" t="s">
        <v>779</v>
      </c>
      <c r="D127" s="395">
        <f>58410+7010+570</f>
        <v>65990</v>
      </c>
      <c r="E127" s="395">
        <f>58410+7010+570</f>
        <v>65990</v>
      </c>
      <c r="F127" s="768">
        <v>62372</v>
      </c>
      <c r="G127" s="106">
        <f>IF(E127=0,"",F127/E127*100)</f>
        <v>94.51735111380512</v>
      </c>
      <c r="I127" s="662"/>
    </row>
    <row r="128" spans="2:11" ht="37.5" customHeight="1">
      <c r="B128" s="101">
        <v>722582</v>
      </c>
      <c r="C128" s="253" t="s">
        <v>615</v>
      </c>
      <c r="D128" s="395">
        <v>5170</v>
      </c>
      <c r="E128" s="395">
        <v>5170</v>
      </c>
      <c r="F128" s="768">
        <v>5087</v>
      </c>
      <c r="G128" s="106">
        <f>IF(E128=0,"",F128/E128*100)</f>
        <v>98.394584139264992</v>
      </c>
      <c r="K128" s="649"/>
    </row>
    <row r="129" spans="2:11" ht="26.25" customHeight="1">
      <c r="B129" s="101">
        <v>722583</v>
      </c>
      <c r="C129" s="68" t="s">
        <v>354</v>
      </c>
      <c r="D129" s="395">
        <v>1050</v>
      </c>
      <c r="E129" s="395">
        <v>1050</v>
      </c>
      <c r="F129" s="768">
        <v>1262</v>
      </c>
      <c r="G129" s="106">
        <f>IF(E129=0,"",F129/E129*100)</f>
        <v>120.19047619047618</v>
      </c>
      <c r="K129" s="649"/>
    </row>
    <row r="130" spans="2:11" ht="25.5">
      <c r="B130" s="101">
        <v>722584</v>
      </c>
      <c r="C130" s="68" t="s">
        <v>355</v>
      </c>
      <c r="D130" s="395">
        <v>810</v>
      </c>
      <c r="E130" s="395">
        <v>810</v>
      </c>
      <c r="F130" s="768">
        <v>1033</v>
      </c>
      <c r="G130" s="106">
        <f>IF(E130=0,"",F130/E130*100)</f>
        <v>127.53086419753086</v>
      </c>
      <c r="K130" s="649"/>
    </row>
    <row r="131" spans="2:11" ht="25.5">
      <c r="B131" s="101">
        <v>722585</v>
      </c>
      <c r="C131" s="68" t="s">
        <v>356</v>
      </c>
      <c r="D131" s="395">
        <v>910</v>
      </c>
      <c r="E131" s="395">
        <v>910</v>
      </c>
      <c r="F131" s="768">
        <v>683</v>
      </c>
      <c r="G131" s="106">
        <f>IF(E131=0,"",F131/E131*100)</f>
        <v>75.054945054945051</v>
      </c>
      <c r="K131" s="248"/>
    </row>
    <row r="132" spans="2:11" ht="15" customHeight="1">
      <c r="B132" s="104">
        <v>722600</v>
      </c>
      <c r="C132" s="43" t="s">
        <v>346</v>
      </c>
      <c r="D132" s="396">
        <f t="shared" ref="D132:E132" si="6">SUM(D133:D140)</f>
        <v>405410</v>
      </c>
      <c r="E132" s="396">
        <f t="shared" si="6"/>
        <v>405410</v>
      </c>
      <c r="F132" s="396">
        <f>SUM(F133:F140)</f>
        <v>397607</v>
      </c>
      <c r="G132" s="112">
        <f>IF(E132=0,"",F132/E132*100)</f>
        <v>98.075281813472785</v>
      </c>
      <c r="J132" s="248"/>
      <c r="K132" s="649"/>
    </row>
    <row r="133" spans="2:11" ht="15" customHeight="1">
      <c r="B133" s="107">
        <v>722611</v>
      </c>
      <c r="C133" s="69" t="s">
        <v>357</v>
      </c>
      <c r="D133" s="395">
        <v>121950</v>
      </c>
      <c r="E133" s="395">
        <v>121950</v>
      </c>
      <c r="F133" s="395">
        <v>125212</v>
      </c>
      <c r="G133" s="106">
        <f>IF(E133=0,"",F133/E133*100)</f>
        <v>102.67486674866748</v>
      </c>
      <c r="H133" s="206"/>
      <c r="I133" s="638"/>
      <c r="J133" s="248"/>
      <c r="K133" s="649"/>
    </row>
    <row r="134" spans="2:11" ht="15" customHeight="1">
      <c r="B134" s="107">
        <v>722612</v>
      </c>
      <c r="C134" s="69" t="s">
        <v>358</v>
      </c>
      <c r="D134" s="395">
        <v>91330</v>
      </c>
      <c r="E134" s="395">
        <v>91330</v>
      </c>
      <c r="F134" s="395">
        <v>86862</v>
      </c>
      <c r="G134" s="106">
        <f>IF(E134=0,"",F134/E134*100)</f>
        <v>95.107850651483631</v>
      </c>
      <c r="H134" s="206"/>
      <c r="I134" s="638"/>
      <c r="J134" s="248"/>
      <c r="K134" s="649"/>
    </row>
    <row r="135" spans="2:11" ht="15" customHeight="1">
      <c r="B135" s="107">
        <v>722613</v>
      </c>
      <c r="C135" s="69" t="s">
        <v>359</v>
      </c>
      <c r="D135" s="395">
        <v>9550</v>
      </c>
      <c r="E135" s="395">
        <v>9550</v>
      </c>
      <c r="F135" s="395">
        <v>9484</v>
      </c>
      <c r="G135" s="106">
        <f>IF(E135=0,"",F135/E135*100)</f>
        <v>99.308900523560212</v>
      </c>
      <c r="H135" s="206"/>
      <c r="I135" s="638"/>
      <c r="J135" s="248"/>
      <c r="K135" s="649"/>
    </row>
    <row r="136" spans="2:11" ht="15" customHeight="1">
      <c r="B136" s="107">
        <v>722621</v>
      </c>
      <c r="C136" s="69" t="s">
        <v>360</v>
      </c>
      <c r="D136" s="395">
        <v>132380</v>
      </c>
      <c r="E136" s="395">
        <v>132380</v>
      </c>
      <c r="F136" s="395">
        <v>124352</v>
      </c>
      <c r="G136" s="106">
        <f>IF(E136=0,"",F136/E136*100)</f>
        <v>93.935639824746943</v>
      </c>
      <c r="H136" s="206"/>
      <c r="I136" s="638"/>
      <c r="J136" s="248"/>
      <c r="K136" s="649"/>
    </row>
    <row r="137" spans="2:11" ht="15" customHeight="1">
      <c r="B137" s="107">
        <v>722631</v>
      </c>
      <c r="C137" s="69" t="s">
        <v>361</v>
      </c>
      <c r="D137" s="395">
        <v>50140</v>
      </c>
      <c r="E137" s="395">
        <v>50140</v>
      </c>
      <c r="F137" s="395">
        <v>51392</v>
      </c>
      <c r="G137" s="106">
        <f>IF(E137=0,"",F137/E137*100)</f>
        <v>102.49700837654568</v>
      </c>
      <c r="H137" s="206"/>
      <c r="I137" s="638"/>
      <c r="J137" s="248"/>
      <c r="K137" s="248"/>
    </row>
    <row r="138" spans="2:11" ht="15" customHeight="1">
      <c r="B138" s="107">
        <v>722632</v>
      </c>
      <c r="C138" s="69" t="s">
        <v>530</v>
      </c>
      <c r="D138" s="395">
        <v>50</v>
      </c>
      <c r="E138" s="395">
        <v>50</v>
      </c>
      <c r="F138" s="395">
        <v>0</v>
      </c>
      <c r="G138" s="106">
        <f>IF(E138=0,"",F138/E138*100)</f>
        <v>0</v>
      </c>
      <c r="I138" s="638"/>
      <c r="K138" s="649"/>
    </row>
    <row r="139" spans="2:11" s="490" customFormat="1" ht="15" customHeight="1">
      <c r="B139" s="107">
        <v>722633</v>
      </c>
      <c r="C139" s="491" t="s">
        <v>798</v>
      </c>
      <c r="D139" s="395">
        <v>10</v>
      </c>
      <c r="E139" s="395">
        <v>10</v>
      </c>
      <c r="F139" s="395">
        <v>5</v>
      </c>
      <c r="G139" s="106">
        <f>IF(E139=0,"",F139/E139*100)</f>
        <v>50</v>
      </c>
      <c r="H139" s="159"/>
      <c r="I139" s="638"/>
      <c r="J139" s="649"/>
      <c r="K139" s="649"/>
    </row>
    <row r="140" spans="2:11" s="664" customFormat="1" ht="15" customHeight="1">
      <c r="B140" s="107">
        <v>722634</v>
      </c>
      <c r="C140" s="491" t="s">
        <v>882</v>
      </c>
      <c r="D140" s="395">
        <v>0</v>
      </c>
      <c r="E140" s="395">
        <v>0</v>
      </c>
      <c r="F140" s="395">
        <v>300</v>
      </c>
      <c r="G140" s="106" t="str">
        <f>IF(E140=0,"",F140/E140*100)</f>
        <v/>
      </c>
      <c r="H140" s="159"/>
      <c r="I140" s="638"/>
      <c r="J140" s="649"/>
      <c r="K140" s="649"/>
    </row>
    <row r="141" spans="2:11" ht="15" customHeight="1">
      <c r="B141" s="114">
        <v>722700</v>
      </c>
      <c r="C141" s="43" t="s">
        <v>362</v>
      </c>
      <c r="D141" s="396">
        <f t="shared" ref="D141:E141" si="7">SUM(D142:D146)</f>
        <v>52420</v>
      </c>
      <c r="E141" s="396">
        <f t="shared" si="7"/>
        <v>52420</v>
      </c>
      <c r="F141" s="396">
        <f t="shared" ref="F141" si="8">SUM(F142:F146)</f>
        <v>48784</v>
      </c>
      <c r="G141" s="112">
        <f>IF(E141=0,"",F141/E141*100)</f>
        <v>93.063716138878291</v>
      </c>
      <c r="K141" s="649"/>
    </row>
    <row r="142" spans="2:11" ht="15" customHeight="1">
      <c r="B142" s="107">
        <v>722715</v>
      </c>
      <c r="C142" s="69" t="s">
        <v>634</v>
      </c>
      <c r="D142" s="395">
        <v>0</v>
      </c>
      <c r="E142" s="395">
        <v>0</v>
      </c>
      <c r="F142" s="395">
        <v>0</v>
      </c>
      <c r="G142" s="106" t="str">
        <f>IF(E142=0,"",F142/E142*100)</f>
        <v/>
      </c>
    </row>
    <row r="143" spans="2:11" ht="15" customHeight="1">
      <c r="B143" s="107">
        <v>722719</v>
      </c>
      <c r="C143" s="69" t="s">
        <v>526</v>
      </c>
      <c r="D143" s="395">
        <v>150</v>
      </c>
      <c r="E143" s="395">
        <v>150</v>
      </c>
      <c r="F143" s="395">
        <v>118</v>
      </c>
      <c r="G143" s="106">
        <f>IF(E143=0,"",F143/E143*100)</f>
        <v>78.666666666666657</v>
      </c>
    </row>
    <row r="144" spans="2:11" ht="15" customHeight="1">
      <c r="B144" s="107">
        <v>722732</v>
      </c>
      <c r="C144" s="69" t="s">
        <v>363</v>
      </c>
      <c r="D144" s="395">
        <v>50</v>
      </c>
      <c r="E144" s="395">
        <v>50</v>
      </c>
      <c r="F144" s="395">
        <v>0</v>
      </c>
      <c r="G144" s="106">
        <f>IF(E144=0,"",F144/E144*100)</f>
        <v>0</v>
      </c>
    </row>
    <row r="145" spans="2:11" s="664" customFormat="1" ht="15" customHeight="1">
      <c r="B145" s="107">
        <v>722741</v>
      </c>
      <c r="C145" s="69" t="s">
        <v>884</v>
      </c>
      <c r="D145" s="395">
        <v>0</v>
      </c>
      <c r="E145" s="395">
        <v>0</v>
      </c>
      <c r="F145" s="395">
        <v>55</v>
      </c>
      <c r="G145" s="106" t="str">
        <f>IF(E145=0,"",F145/E145*100)</f>
        <v/>
      </c>
      <c r="H145" s="159"/>
      <c r="I145" s="649"/>
      <c r="J145" s="649"/>
      <c r="K145" s="159"/>
    </row>
    <row r="146" spans="2:11" ht="15" customHeight="1">
      <c r="B146" s="107">
        <v>722791</v>
      </c>
      <c r="C146" s="69" t="s">
        <v>364</v>
      </c>
      <c r="D146" s="395">
        <v>52220</v>
      </c>
      <c r="E146" s="395">
        <v>52220</v>
      </c>
      <c r="F146" s="395">
        <v>48611</v>
      </c>
      <c r="G146" s="106">
        <f>IF(E146=0,"",F146/E146*100)</f>
        <v>93.08885484488701</v>
      </c>
    </row>
    <row r="147" spans="2:11" ht="17.100000000000001" customHeight="1">
      <c r="B147" s="192">
        <v>723000</v>
      </c>
      <c r="C147" s="193" t="s">
        <v>193</v>
      </c>
      <c r="D147" s="392">
        <f>D148</f>
        <v>598340</v>
      </c>
      <c r="E147" s="392">
        <f>E148</f>
        <v>598340</v>
      </c>
      <c r="F147" s="392">
        <f>F148</f>
        <v>628302</v>
      </c>
      <c r="G147" s="175">
        <f>IF(E147=0,"",F147/E147*100)</f>
        <v>105.00752080756762</v>
      </c>
    </row>
    <row r="148" spans="2:11" ht="15" customHeight="1">
      <c r="B148" s="109">
        <v>723100</v>
      </c>
      <c r="C148" s="117" t="s">
        <v>365</v>
      </c>
      <c r="D148" s="398">
        <f>SUM(D149:D152)</f>
        <v>598340</v>
      </c>
      <c r="E148" s="398">
        <f>SUM(E149:E152)</f>
        <v>598340</v>
      </c>
      <c r="F148" s="398">
        <f>SUM(F149:F152)</f>
        <v>628302</v>
      </c>
      <c r="G148" s="106">
        <f>IF(E148=0,"",F148/E148*100)</f>
        <v>105.00752080756762</v>
      </c>
    </row>
    <row r="149" spans="2:11" ht="15" customHeight="1">
      <c r="B149" s="107">
        <v>723121</v>
      </c>
      <c r="C149" s="21" t="s">
        <v>366</v>
      </c>
      <c r="D149" s="394">
        <v>390</v>
      </c>
      <c r="E149" s="394">
        <v>390</v>
      </c>
      <c r="F149" s="394">
        <v>540</v>
      </c>
      <c r="G149" s="106">
        <f>IF(E149=0,"",F149/E149*100)</f>
        <v>138.46153846153845</v>
      </c>
    </row>
    <row r="150" spans="2:11" ht="15" customHeight="1">
      <c r="B150" s="107">
        <v>723122</v>
      </c>
      <c r="C150" s="21" t="s">
        <v>367</v>
      </c>
      <c r="D150" s="395">
        <v>50</v>
      </c>
      <c r="E150" s="395">
        <v>50</v>
      </c>
      <c r="F150" s="395">
        <v>0</v>
      </c>
      <c r="G150" s="106">
        <f>IF(E150=0,"",F150/E150*100)</f>
        <v>0</v>
      </c>
    </row>
    <row r="151" spans="2:11" ht="25.5">
      <c r="B151" s="107">
        <v>723123</v>
      </c>
      <c r="C151" s="41" t="s">
        <v>369</v>
      </c>
      <c r="D151" s="394">
        <v>590370</v>
      </c>
      <c r="E151" s="394">
        <v>590370</v>
      </c>
      <c r="F151" s="394">
        <v>620598</v>
      </c>
      <c r="G151" s="106">
        <f>IF(E151=0,"",F151/E151*100)</f>
        <v>105.1201788708776</v>
      </c>
    </row>
    <row r="152" spans="2:11" ht="15" customHeight="1">
      <c r="B152" s="172">
        <v>723129</v>
      </c>
      <c r="C152" s="173" t="s">
        <v>368</v>
      </c>
      <c r="D152" s="399">
        <v>7530</v>
      </c>
      <c r="E152" s="399">
        <v>7530</v>
      </c>
      <c r="F152" s="399">
        <v>7164</v>
      </c>
      <c r="G152" s="176">
        <f>IF(E152=0,"",F152/E152*100)</f>
        <v>95.139442231075705</v>
      </c>
    </row>
    <row r="153" spans="2:11">
      <c r="B153" s="107"/>
      <c r="C153" s="100"/>
      <c r="D153" s="394"/>
      <c r="E153" s="394"/>
      <c r="F153" s="394"/>
      <c r="G153" s="108" t="str">
        <f>IF(E153=0,"",F153/E153*100)</f>
        <v/>
      </c>
    </row>
    <row r="154" spans="2:11" ht="17.100000000000001" customHeight="1">
      <c r="B154" s="700" t="s">
        <v>388</v>
      </c>
      <c r="C154" s="701"/>
      <c r="D154" s="400">
        <f>D5+D57</f>
        <v>39904330</v>
      </c>
      <c r="E154" s="400">
        <f>E5+E57</f>
        <v>39904330</v>
      </c>
      <c r="F154" s="400">
        <f>F5+F57</f>
        <v>41847984</v>
      </c>
      <c r="G154" s="178">
        <f>IF(E154=0,"",F154/E154*100)</f>
        <v>104.87078469930455</v>
      </c>
      <c r="I154" s="248"/>
    </row>
    <row r="155" spans="2:11">
      <c r="B155" s="44"/>
      <c r="C155" s="42"/>
      <c r="D155" s="394"/>
      <c r="E155" s="394"/>
      <c r="F155" s="394"/>
      <c r="G155" s="108" t="str">
        <f>IF(E155=0,"",F155/E155*100)</f>
        <v/>
      </c>
    </row>
    <row r="156" spans="2:11" ht="17.100000000000001" customHeight="1">
      <c r="B156" s="190">
        <v>730000</v>
      </c>
      <c r="C156" s="196" t="s">
        <v>441</v>
      </c>
      <c r="D156" s="391">
        <f>D157+D164+D180</f>
        <v>1825750</v>
      </c>
      <c r="E156" s="391">
        <f>E157+E164+E180</f>
        <v>1825750</v>
      </c>
      <c r="F156" s="391">
        <f>F157+F164+F180</f>
        <v>968270</v>
      </c>
      <c r="G156" s="174">
        <f>IF(E156=0,"",F156/E156*100)</f>
        <v>53.034095577160066</v>
      </c>
    </row>
    <row r="157" spans="2:11" ht="26.25">
      <c r="B157" s="197">
        <v>731000</v>
      </c>
      <c r="C157" s="198" t="s">
        <v>423</v>
      </c>
      <c r="D157" s="392">
        <f>D158</f>
        <v>50270</v>
      </c>
      <c r="E157" s="392">
        <f>E158</f>
        <v>50270</v>
      </c>
      <c r="F157" s="392">
        <f>F158</f>
        <v>0</v>
      </c>
      <c r="G157" s="175">
        <f>IF(E157=0,"",F157/E157*100)</f>
        <v>0</v>
      </c>
    </row>
    <row r="158" spans="2:11" ht="15" customHeight="1">
      <c r="B158" s="114">
        <v>731100</v>
      </c>
      <c r="C158" s="166" t="s">
        <v>424</v>
      </c>
      <c r="D158" s="398">
        <f>D159+D160</f>
        <v>50270</v>
      </c>
      <c r="E158" s="398">
        <f>E159+E160</f>
        <v>50270</v>
      </c>
      <c r="F158" s="398">
        <f>F159+F160</f>
        <v>0</v>
      </c>
      <c r="G158" s="102">
        <f>IF(E158=0,"",F158/E158*100)</f>
        <v>0</v>
      </c>
    </row>
    <row r="159" spans="2:11" ht="15" customHeight="1">
      <c r="B159" s="209">
        <v>731111</v>
      </c>
      <c r="C159" s="161" t="s">
        <v>544</v>
      </c>
      <c r="D159" s="394">
        <v>0</v>
      </c>
      <c r="E159" s="394">
        <v>0</v>
      </c>
      <c r="F159" s="394">
        <v>0</v>
      </c>
      <c r="G159" s="210" t="str">
        <f>IF(E159=0,"",F159/E159*100)</f>
        <v/>
      </c>
    </row>
    <row r="160" spans="2:11" ht="15" customHeight="1">
      <c r="B160" s="209">
        <v>731121</v>
      </c>
      <c r="C160" s="161" t="s">
        <v>425</v>
      </c>
      <c r="D160" s="394">
        <f t="shared" ref="D160:E160" si="9">SUM(D161:D163)</f>
        <v>50270</v>
      </c>
      <c r="E160" s="394">
        <f t="shared" si="9"/>
        <v>50270</v>
      </c>
      <c r="F160" s="394">
        <f t="shared" ref="F160" si="10">SUM(F161:F163)</f>
        <v>0</v>
      </c>
      <c r="G160" s="210">
        <f>IF(E160=0,"",F160/E160*100)</f>
        <v>0</v>
      </c>
    </row>
    <row r="161" spans="2:11" ht="15" customHeight="1">
      <c r="B161" s="209"/>
      <c r="C161" s="353" t="s">
        <v>699</v>
      </c>
      <c r="D161" s="395">
        <v>50000</v>
      </c>
      <c r="E161" s="395">
        <v>50000</v>
      </c>
      <c r="F161" s="768">
        <v>0</v>
      </c>
      <c r="G161" s="210">
        <f>IF(E161=0,"",F161/E161*100)</f>
        <v>0</v>
      </c>
      <c r="I161" s="649">
        <v>0</v>
      </c>
    </row>
    <row r="162" spans="2:11" ht="15" customHeight="1">
      <c r="B162" s="209"/>
      <c r="C162" s="167" t="s">
        <v>612</v>
      </c>
      <c r="D162" s="395">
        <v>0</v>
      </c>
      <c r="E162" s="395">
        <v>0</v>
      </c>
      <c r="F162" s="395">
        <v>0</v>
      </c>
      <c r="G162" s="210" t="str">
        <f>IF(E162=0,"",F162/E162*100)</f>
        <v/>
      </c>
    </row>
    <row r="163" spans="2:11" ht="15" customHeight="1">
      <c r="B163" s="209"/>
      <c r="C163" s="167" t="s">
        <v>794</v>
      </c>
      <c r="D163" s="395">
        <v>270</v>
      </c>
      <c r="E163" s="395">
        <v>270</v>
      </c>
      <c r="F163" s="768">
        <v>0</v>
      </c>
      <c r="G163" s="210">
        <f>IF(E163=0,"",F163/E163*100)</f>
        <v>0</v>
      </c>
    </row>
    <row r="164" spans="2:11" ht="17.100000000000001" customHeight="1">
      <c r="B164" s="199">
        <v>732000</v>
      </c>
      <c r="C164" s="198" t="s">
        <v>426</v>
      </c>
      <c r="D164" s="392">
        <f>D165</f>
        <v>1775480</v>
      </c>
      <c r="E164" s="392">
        <f>E165</f>
        <v>1775480</v>
      </c>
      <c r="F164" s="392">
        <f>F165</f>
        <v>968270</v>
      </c>
      <c r="G164" s="175">
        <f>IF(E164=0,"",F164/E164*100)</f>
        <v>54.535674859756234</v>
      </c>
    </row>
    <row r="165" spans="2:11" ht="15" customHeight="1">
      <c r="B165" s="114">
        <v>732100</v>
      </c>
      <c r="C165" s="166" t="s">
        <v>427</v>
      </c>
      <c r="D165" s="398">
        <f>D166+D175+D177</f>
        <v>1775480</v>
      </c>
      <c r="E165" s="398">
        <f>E166+E175+E177</f>
        <v>1775480</v>
      </c>
      <c r="F165" s="398">
        <f>F166+F175+F177</f>
        <v>968270</v>
      </c>
      <c r="G165" s="102">
        <f>IF(E165=0,"",F165/E165*100)</f>
        <v>54.535674859756234</v>
      </c>
    </row>
    <row r="166" spans="2:11" ht="15" customHeight="1">
      <c r="B166" s="104">
        <v>732110</v>
      </c>
      <c r="C166" s="111" t="s">
        <v>428</v>
      </c>
      <c r="D166" s="396">
        <f>D167+D173</f>
        <v>1749080</v>
      </c>
      <c r="E166" s="396">
        <f>E167+E173</f>
        <v>1749080</v>
      </c>
      <c r="F166" s="396">
        <f>F167+F173</f>
        <v>943670</v>
      </c>
      <c r="G166" s="102">
        <f>IF(E166=0,"",F166/E166*100)</f>
        <v>53.952363528254857</v>
      </c>
    </row>
    <row r="167" spans="2:11" ht="15" customHeight="1">
      <c r="B167" s="209">
        <v>732112</v>
      </c>
      <c r="C167" s="161" t="s">
        <v>429</v>
      </c>
      <c r="D167" s="394">
        <f>SUM(D168:D172)</f>
        <v>1744080</v>
      </c>
      <c r="E167" s="394">
        <f>SUM(E168:E172)</f>
        <v>1744080</v>
      </c>
      <c r="F167" s="394">
        <f>SUM(F168:F172)</f>
        <v>938670</v>
      </c>
      <c r="G167" s="210">
        <f>IF(E167=0,"",F167/E167*100)</f>
        <v>53.820352277418472</v>
      </c>
    </row>
    <row r="168" spans="2:11" ht="15" customHeight="1">
      <c r="B168" s="209"/>
      <c r="C168" s="167" t="s">
        <v>531</v>
      </c>
      <c r="D168" s="395">
        <v>0</v>
      </c>
      <c r="E168" s="395">
        <v>0</v>
      </c>
      <c r="F168" s="395">
        <v>0</v>
      </c>
      <c r="G168" s="210" t="str">
        <f>IF(E168=0,"",F168/E168*100)</f>
        <v/>
      </c>
    </row>
    <row r="169" spans="2:11" ht="25.5">
      <c r="B169" s="209"/>
      <c r="C169" s="167" t="s">
        <v>386</v>
      </c>
      <c r="D169" s="395">
        <v>261820</v>
      </c>
      <c r="E169" s="395">
        <v>261820</v>
      </c>
      <c r="F169" s="395">
        <v>260510</v>
      </c>
      <c r="G169" s="210">
        <f>IF(E169=0,"",F169/E169*100)</f>
        <v>99.49965625238714</v>
      </c>
    </row>
    <row r="170" spans="2:11" ht="25.5">
      <c r="B170" s="209"/>
      <c r="C170" s="167" t="s">
        <v>700</v>
      </c>
      <c r="D170" s="395">
        <v>0</v>
      </c>
      <c r="E170" s="395">
        <v>0</v>
      </c>
      <c r="F170" s="395">
        <v>0</v>
      </c>
      <c r="G170" s="210" t="str">
        <f>IF(E170=0,"",F170/E170*100)</f>
        <v/>
      </c>
    </row>
    <row r="171" spans="2:11" ht="25.5">
      <c r="B171" s="209"/>
      <c r="C171" s="167" t="s">
        <v>774</v>
      </c>
      <c r="D171" s="395">
        <v>8160</v>
      </c>
      <c r="E171" s="395">
        <v>8160</v>
      </c>
      <c r="F171" s="395">
        <v>8160</v>
      </c>
      <c r="G171" s="210">
        <f>IF(E171=0,"",F171/E171*100)</f>
        <v>100</v>
      </c>
    </row>
    <row r="172" spans="2:11" ht="17.100000000000001" customHeight="1">
      <c r="B172" s="209"/>
      <c r="C172" s="167" t="s">
        <v>387</v>
      </c>
      <c r="D172" s="395">
        <f>1070000+410000-5900</f>
        <v>1474100</v>
      </c>
      <c r="E172" s="395">
        <f>1070000+410000-5900</f>
        <v>1474100</v>
      </c>
      <c r="F172" s="395">
        <v>670000</v>
      </c>
      <c r="G172" s="210">
        <f>IF(E172=0,"",F172/E172*100)</f>
        <v>45.451461908961399</v>
      </c>
      <c r="H172" s="206"/>
    </row>
    <row r="173" spans="2:11" ht="15" customHeight="1">
      <c r="B173" s="209">
        <v>732115</v>
      </c>
      <c r="C173" s="161" t="s">
        <v>642</v>
      </c>
      <c r="D173" s="394">
        <f>D174</f>
        <v>5000</v>
      </c>
      <c r="E173" s="394">
        <f>E174</f>
        <v>5000</v>
      </c>
      <c r="F173" s="394">
        <f>F174</f>
        <v>5000</v>
      </c>
      <c r="G173" s="210">
        <f>IF(E173=0,"",F173/E173*100)</f>
        <v>100</v>
      </c>
      <c r="I173" s="248"/>
    </row>
    <row r="174" spans="2:11" s="498" customFormat="1" ht="15" customHeight="1">
      <c r="B174" s="209"/>
      <c r="C174" s="161" t="s">
        <v>839</v>
      </c>
      <c r="D174" s="394">
        <v>5000</v>
      </c>
      <c r="E174" s="394">
        <v>5000</v>
      </c>
      <c r="F174" s="394">
        <v>5000</v>
      </c>
      <c r="G174" s="210">
        <f>IF(E174=0,"",F174/E174*100)</f>
        <v>100</v>
      </c>
      <c r="H174" s="159"/>
      <c r="I174" s="248"/>
      <c r="J174" s="649"/>
      <c r="K174" s="159"/>
    </row>
    <row r="175" spans="2:11" ht="15" customHeight="1">
      <c r="B175" s="104">
        <v>732120</v>
      </c>
      <c r="C175" s="111" t="s">
        <v>430</v>
      </c>
      <c r="D175" s="396">
        <f>SUM(D176:D176)</f>
        <v>0</v>
      </c>
      <c r="E175" s="396">
        <f>SUM(E176:E176)</f>
        <v>0</v>
      </c>
      <c r="F175" s="396">
        <f>SUM(F176:F176)</f>
        <v>0</v>
      </c>
      <c r="G175" s="102" t="str">
        <f>IF(E175=0,"",F175/E175*100)</f>
        <v/>
      </c>
    </row>
    <row r="176" spans="2:11" ht="15" customHeight="1">
      <c r="B176" s="110">
        <v>732125</v>
      </c>
      <c r="C176" s="165" t="s">
        <v>613</v>
      </c>
      <c r="D176" s="395">
        <v>0</v>
      </c>
      <c r="E176" s="395">
        <v>0</v>
      </c>
      <c r="F176" s="395">
        <v>0</v>
      </c>
      <c r="G176" s="210" t="str">
        <f>IF(E176=0,"",F176/E176*100)</f>
        <v/>
      </c>
      <c r="H176" s="254"/>
    </row>
    <row r="177" spans="2:11" ht="15" customHeight="1">
      <c r="B177" s="104">
        <v>732130</v>
      </c>
      <c r="C177" s="111" t="s">
        <v>603</v>
      </c>
      <c r="D177" s="396">
        <f>SUM(D178:D179)</f>
        <v>26400</v>
      </c>
      <c r="E177" s="396">
        <f>SUM(E178:E179)</f>
        <v>26400</v>
      </c>
      <c r="F177" s="396">
        <f>SUM(F178:F179)</f>
        <v>24600</v>
      </c>
      <c r="G177" s="102">
        <f>IF(E177=0,"",F177/E177*100)</f>
        <v>93.181818181818173</v>
      </c>
    </row>
    <row r="178" spans="2:11" ht="15" customHeight="1">
      <c r="B178" s="110">
        <v>732131</v>
      </c>
      <c r="C178" s="165" t="s">
        <v>626</v>
      </c>
      <c r="D178" s="395">
        <f>21000+3*600*3</f>
        <v>26400</v>
      </c>
      <c r="E178" s="395">
        <f>21000+3*600*3</f>
        <v>26400</v>
      </c>
      <c r="F178" s="395">
        <v>24600</v>
      </c>
      <c r="G178" s="210">
        <f>IF(E178=0,"",F178/E178*100)</f>
        <v>93.181818181818173</v>
      </c>
      <c r="I178" s="657"/>
    </row>
    <row r="179" spans="2:11" ht="15" customHeight="1">
      <c r="B179" s="110">
        <v>732131</v>
      </c>
      <c r="C179" s="165" t="s">
        <v>627</v>
      </c>
      <c r="D179" s="395">
        <v>0</v>
      </c>
      <c r="E179" s="395">
        <v>0</v>
      </c>
      <c r="F179" s="395">
        <v>0</v>
      </c>
      <c r="G179" s="210" t="str">
        <f>IF(E179=0,"",F179/E179*100)</f>
        <v/>
      </c>
      <c r="H179" s="492"/>
    </row>
    <row r="180" spans="2:11" ht="17.100000000000001" customHeight="1">
      <c r="B180" s="199">
        <v>733000</v>
      </c>
      <c r="C180" s="198" t="s">
        <v>370</v>
      </c>
      <c r="D180" s="392">
        <f>D181</f>
        <v>0</v>
      </c>
      <c r="E180" s="392">
        <f>E181</f>
        <v>0</v>
      </c>
      <c r="F180" s="392">
        <f>F181</f>
        <v>0</v>
      </c>
      <c r="G180" s="175" t="str">
        <f>IF(E180=0,"",F180/E180*100)</f>
        <v/>
      </c>
    </row>
    <row r="181" spans="2:11" ht="15" customHeight="1">
      <c r="B181" s="114">
        <v>733100</v>
      </c>
      <c r="C181" s="166" t="s">
        <v>371</v>
      </c>
      <c r="D181" s="398">
        <f>D182+D183</f>
        <v>0</v>
      </c>
      <c r="E181" s="398">
        <f>E182+E183</f>
        <v>0</v>
      </c>
      <c r="F181" s="398">
        <f>F182+F183</f>
        <v>0</v>
      </c>
      <c r="G181" s="102" t="str">
        <f>IF(E181=0,"",F181/E181*100)</f>
        <v/>
      </c>
    </row>
    <row r="182" spans="2:11" ht="15" customHeight="1">
      <c r="B182" s="104">
        <v>733110</v>
      </c>
      <c r="C182" s="111" t="s">
        <v>372</v>
      </c>
      <c r="D182" s="396">
        <v>0</v>
      </c>
      <c r="E182" s="396">
        <v>0</v>
      </c>
      <c r="F182" s="396">
        <v>0</v>
      </c>
      <c r="G182" s="102" t="str">
        <f>IF(E182=0,"",F182/E182*100)</f>
        <v/>
      </c>
    </row>
    <row r="183" spans="2:11" ht="15" customHeight="1">
      <c r="B183" s="104">
        <v>733120</v>
      </c>
      <c r="C183" s="111" t="s">
        <v>373</v>
      </c>
      <c r="D183" s="396">
        <v>0</v>
      </c>
      <c r="E183" s="396">
        <v>0</v>
      </c>
      <c r="F183" s="396">
        <v>0</v>
      </c>
      <c r="G183" s="102" t="str">
        <f>IF(E183=0,"",F183/E183*100)</f>
        <v/>
      </c>
    </row>
    <row r="184" spans="2:11" ht="15">
      <c r="B184" s="29"/>
      <c r="C184" s="43"/>
      <c r="D184" s="393"/>
      <c r="E184" s="393"/>
      <c r="F184" s="393"/>
      <c r="G184" s="210" t="str">
        <f>IF(E184=0,"",F184/E184*100)</f>
        <v/>
      </c>
    </row>
    <row r="185" spans="2:11" ht="17.100000000000001" customHeight="1">
      <c r="B185" s="190">
        <v>740000</v>
      </c>
      <c r="C185" s="196" t="s">
        <v>431</v>
      </c>
      <c r="D185" s="391">
        <f>D186+D195</f>
        <v>261340</v>
      </c>
      <c r="E185" s="391">
        <f>E186+E195</f>
        <v>261340</v>
      </c>
      <c r="F185" s="391">
        <f>F186+F195</f>
        <v>366314</v>
      </c>
      <c r="G185" s="174">
        <f>IF(E185=0,"",F185/E185*100)</f>
        <v>140.16759776536313</v>
      </c>
    </row>
    <row r="186" spans="2:11" ht="26.25">
      <c r="B186" s="199">
        <v>741000</v>
      </c>
      <c r="C186" s="198" t="s">
        <v>432</v>
      </c>
      <c r="D186" s="392">
        <f t="shared" ref="D186:F187" si="11">D187</f>
        <v>107480</v>
      </c>
      <c r="E186" s="392">
        <f t="shared" si="11"/>
        <v>107480</v>
      </c>
      <c r="F186" s="392">
        <f t="shared" si="11"/>
        <v>107473</v>
      </c>
      <c r="G186" s="175">
        <f>IF(E186=0,"",F186/E186*100)</f>
        <v>99.993487160401941</v>
      </c>
    </row>
    <row r="187" spans="2:11" ht="25.5">
      <c r="B187" s="114">
        <v>741100</v>
      </c>
      <c r="C187" s="168" t="s">
        <v>433</v>
      </c>
      <c r="D187" s="398">
        <f t="shared" si="11"/>
        <v>107480</v>
      </c>
      <c r="E187" s="398">
        <f t="shared" si="11"/>
        <v>107480</v>
      </c>
      <c r="F187" s="398">
        <f t="shared" si="11"/>
        <v>107473</v>
      </c>
      <c r="G187" s="102">
        <f>IF(E187=0,"",F187/E187*100)</f>
        <v>99.993487160401941</v>
      </c>
    </row>
    <row r="188" spans="2:11" ht="15" customHeight="1">
      <c r="B188" s="110">
        <v>741111</v>
      </c>
      <c r="C188" s="161" t="s">
        <v>434</v>
      </c>
      <c r="D188" s="394">
        <f>SUM(D189:D194)</f>
        <v>107480</v>
      </c>
      <c r="E188" s="394">
        <f>SUM(E189:E194)</f>
        <v>107480</v>
      </c>
      <c r="F188" s="394">
        <f>SUM(F189:F194)</f>
        <v>107473</v>
      </c>
      <c r="G188" s="210">
        <f>IF(E188=0,"",F188/E188*100)</f>
        <v>99.993487160401941</v>
      </c>
    </row>
    <row r="189" spans="2:11" ht="15" customHeight="1">
      <c r="B189" s="209"/>
      <c r="C189" s="167" t="s">
        <v>532</v>
      </c>
      <c r="D189" s="395">
        <v>0</v>
      </c>
      <c r="E189" s="395">
        <v>0</v>
      </c>
      <c r="F189" s="395">
        <v>0</v>
      </c>
      <c r="G189" s="210" t="str">
        <f>IF(E189=0,"",F189/E189*100)</f>
        <v/>
      </c>
    </row>
    <row r="190" spans="2:11" s="643" customFormat="1" ht="25.5" customHeight="1">
      <c r="B190" s="209"/>
      <c r="C190" s="167" t="s">
        <v>864</v>
      </c>
      <c r="D190" s="395">
        <v>102330</v>
      </c>
      <c r="E190" s="395">
        <v>102330</v>
      </c>
      <c r="F190" s="395">
        <v>102330</v>
      </c>
      <c r="G190" s="210">
        <f>IF(E190=0,"",F190/E190*100)</f>
        <v>100</v>
      </c>
      <c r="H190" s="159"/>
      <c r="I190" s="649"/>
      <c r="J190" s="649"/>
      <c r="K190" s="159"/>
    </row>
    <row r="191" spans="2:11" ht="15" customHeight="1">
      <c r="B191" s="209"/>
      <c r="C191" s="167" t="s">
        <v>614</v>
      </c>
      <c r="D191" s="395">
        <v>0</v>
      </c>
      <c r="E191" s="395">
        <v>0</v>
      </c>
      <c r="F191" s="395">
        <v>0</v>
      </c>
      <c r="G191" s="210" t="str">
        <f>IF(E191=0,"",F191/E191*100)</f>
        <v/>
      </c>
    </row>
    <row r="192" spans="2:11" ht="15" customHeight="1">
      <c r="B192" s="209"/>
      <c r="C192" s="167" t="s">
        <v>793</v>
      </c>
      <c r="D192" s="395">
        <v>5150</v>
      </c>
      <c r="E192" s="395">
        <v>5150</v>
      </c>
      <c r="F192" s="395">
        <v>5143</v>
      </c>
      <c r="G192" s="210">
        <f>IF(E192=0,"",F192/E192*100)</f>
        <v>99.864077669902912</v>
      </c>
    </row>
    <row r="193" spans="2:11" ht="15" customHeight="1">
      <c r="B193" s="209"/>
      <c r="C193" s="167" t="s">
        <v>635</v>
      </c>
      <c r="D193" s="395">
        <v>0</v>
      </c>
      <c r="E193" s="395">
        <v>0</v>
      </c>
      <c r="F193" s="395">
        <v>0</v>
      </c>
      <c r="G193" s="210" t="str">
        <f>IF(E193=0,"",F193/E193*100)</f>
        <v/>
      </c>
    </row>
    <row r="194" spans="2:11" ht="15" customHeight="1">
      <c r="B194" s="209"/>
      <c r="C194" s="167" t="s">
        <v>636</v>
      </c>
      <c r="D194" s="395">
        <v>0</v>
      </c>
      <c r="E194" s="395">
        <v>0</v>
      </c>
      <c r="F194" s="395">
        <v>0</v>
      </c>
      <c r="G194" s="210" t="str">
        <f>IF(E194=0,"",F194/E194*100)</f>
        <v/>
      </c>
    </row>
    <row r="195" spans="2:11" ht="25.5" customHeight="1">
      <c r="B195" s="199">
        <v>742000</v>
      </c>
      <c r="C195" s="198" t="s">
        <v>435</v>
      </c>
      <c r="D195" s="392">
        <f>D196+D213</f>
        <v>153860</v>
      </c>
      <c r="E195" s="392">
        <f>E196+E213</f>
        <v>153860</v>
      </c>
      <c r="F195" s="392">
        <f>F196+F213</f>
        <v>258841</v>
      </c>
      <c r="G195" s="175">
        <f>IF(E195=0,"",F195/E195*100)</f>
        <v>168.23150916417521</v>
      </c>
    </row>
    <row r="196" spans="2:11" ht="15" customHeight="1">
      <c r="B196" s="114">
        <v>742100</v>
      </c>
      <c r="C196" s="168" t="s">
        <v>436</v>
      </c>
      <c r="D196" s="398">
        <f t="shared" ref="D196:E196" si="12">D197+D198+D210</f>
        <v>148310</v>
      </c>
      <c r="E196" s="398">
        <f t="shared" si="12"/>
        <v>148310</v>
      </c>
      <c r="F196" s="398">
        <f t="shared" ref="F196" si="13">F197+F198+F210</f>
        <v>253291</v>
      </c>
      <c r="G196" s="102">
        <f>IF(E196=0,"",F196/E196*100)</f>
        <v>170.78484255950374</v>
      </c>
    </row>
    <row r="197" spans="2:11" ht="15" customHeight="1">
      <c r="B197" s="110">
        <v>742111</v>
      </c>
      <c r="C197" s="161" t="s">
        <v>545</v>
      </c>
      <c r="D197" s="394">
        <v>0</v>
      </c>
      <c r="E197" s="394">
        <v>0</v>
      </c>
      <c r="F197" s="394">
        <v>0</v>
      </c>
      <c r="G197" s="210" t="str">
        <f>IF(E197=0,"",F197/E197*100)</f>
        <v/>
      </c>
    </row>
    <row r="198" spans="2:11" ht="15" customHeight="1">
      <c r="B198" s="110">
        <v>742112</v>
      </c>
      <c r="C198" s="161" t="s">
        <v>437</v>
      </c>
      <c r="D198" s="394">
        <f>SUM(D199:D209)</f>
        <v>143310</v>
      </c>
      <c r="E198" s="394">
        <f>SUM(E199:E209)</f>
        <v>143310</v>
      </c>
      <c r="F198" s="394">
        <f>SUM(F199:F209)</f>
        <v>243291</v>
      </c>
      <c r="G198" s="210">
        <f>IF(E198=0,"",F198/E198*100)</f>
        <v>169.76554322796736</v>
      </c>
    </row>
    <row r="199" spans="2:11" ht="15" customHeight="1">
      <c r="B199" s="104"/>
      <c r="C199" s="167" t="s">
        <v>602</v>
      </c>
      <c r="D199" s="395">
        <v>0</v>
      </c>
      <c r="E199" s="395">
        <v>0</v>
      </c>
      <c r="F199" s="395">
        <v>0</v>
      </c>
      <c r="G199" s="210" t="str">
        <f>IF(E199=0,"",F199/E199*100)</f>
        <v/>
      </c>
    </row>
    <row r="200" spans="2:11" ht="25.5">
      <c r="B200" s="104"/>
      <c r="C200" s="167" t="s">
        <v>527</v>
      </c>
      <c r="D200" s="395">
        <v>0</v>
      </c>
      <c r="E200" s="395">
        <v>0</v>
      </c>
      <c r="F200" s="395">
        <v>0</v>
      </c>
      <c r="G200" s="210" t="str">
        <f>IF(E200=0,"",F200/E200*100)</f>
        <v/>
      </c>
    </row>
    <row r="201" spans="2:11" s="498" customFormat="1" ht="25.5">
      <c r="B201" s="209"/>
      <c r="C201" s="167" t="s">
        <v>840</v>
      </c>
      <c r="D201" s="395">
        <v>100000</v>
      </c>
      <c r="E201" s="395">
        <v>100000</v>
      </c>
      <c r="F201" s="768">
        <v>100000</v>
      </c>
      <c r="G201" s="210">
        <f>IF(E201=0,"",F201/E201*100)</f>
        <v>100</v>
      </c>
      <c r="H201" s="492"/>
      <c r="I201" s="649"/>
      <c r="J201" s="649"/>
      <c r="K201" s="159"/>
    </row>
    <row r="202" spans="2:11" s="664" customFormat="1" ht="25.5">
      <c r="B202" s="209"/>
      <c r="C202" s="167" t="s">
        <v>871</v>
      </c>
      <c r="D202" s="395">
        <v>0</v>
      </c>
      <c r="E202" s="395">
        <v>0</v>
      </c>
      <c r="F202" s="768">
        <v>100000</v>
      </c>
      <c r="G202" s="210" t="str">
        <f>IF(E202=0,"",F202/E202*100)</f>
        <v/>
      </c>
      <c r="H202" s="492"/>
      <c r="I202" s="649"/>
      <c r="J202" s="649"/>
      <c r="K202" s="159"/>
    </row>
    <row r="203" spans="2:11" s="653" customFormat="1" ht="25.5">
      <c r="B203" s="209"/>
      <c r="C203" s="167" t="s">
        <v>871</v>
      </c>
      <c r="D203" s="395">
        <v>11860</v>
      </c>
      <c r="E203" s="395">
        <v>11860</v>
      </c>
      <c r="F203" s="768">
        <v>11852</v>
      </c>
      <c r="G203" s="210">
        <f>IF(E203=0,"",F203/E203*100)</f>
        <v>99.932546374367632</v>
      </c>
      <c r="H203" s="492"/>
      <c r="I203" s="649"/>
      <c r="J203" s="649"/>
      <c r="K203" s="159"/>
    </row>
    <row r="204" spans="2:11" ht="25.5">
      <c r="B204" s="209"/>
      <c r="C204" s="167" t="s">
        <v>637</v>
      </c>
      <c r="D204" s="395">
        <v>0</v>
      </c>
      <c r="E204" s="395">
        <v>0</v>
      </c>
      <c r="F204" s="395">
        <v>0</v>
      </c>
      <c r="G204" s="210" t="str">
        <f>IF(E204=0,"",F204/E204*100)</f>
        <v/>
      </c>
    </row>
    <row r="205" spans="2:11" ht="25.5">
      <c r="B205" s="209"/>
      <c r="C205" s="167" t="s">
        <v>885</v>
      </c>
      <c r="D205" s="395">
        <v>11940</v>
      </c>
      <c r="E205" s="395">
        <v>11940</v>
      </c>
      <c r="F205" s="768">
        <v>11941</v>
      </c>
      <c r="G205" s="210">
        <f>IF(E205=0,"",F205/E205*100)</f>
        <v>100.00837520938023</v>
      </c>
    </row>
    <row r="206" spans="2:11" s="636" customFormat="1" ht="25.5">
      <c r="B206" s="209"/>
      <c r="C206" s="167" t="s">
        <v>885</v>
      </c>
      <c r="D206" s="395">
        <v>4880</v>
      </c>
      <c r="E206" s="395">
        <v>4880</v>
      </c>
      <c r="F206" s="768">
        <v>4875</v>
      </c>
      <c r="G206" s="210">
        <f>IF(E206=0,"",F206/E206*100)</f>
        <v>99.897540983606561</v>
      </c>
      <c r="H206" s="159"/>
      <c r="I206" s="649"/>
      <c r="J206" s="649"/>
      <c r="K206" s="159"/>
    </row>
    <row r="207" spans="2:11" s="485" customFormat="1" ht="25.5">
      <c r="B207" s="209"/>
      <c r="C207" s="167" t="s">
        <v>777</v>
      </c>
      <c r="D207" s="395">
        <v>4660</v>
      </c>
      <c r="E207" s="395">
        <v>4660</v>
      </c>
      <c r="F207" s="768">
        <v>4660</v>
      </c>
      <c r="G207" s="210">
        <f>IF(E207=0,"",F207/E207*100)</f>
        <v>100</v>
      </c>
      <c r="H207" s="159"/>
      <c r="I207" s="649"/>
      <c r="J207" s="649"/>
      <c r="K207" s="159"/>
    </row>
    <row r="208" spans="2:11" s="636" customFormat="1" ht="25.5">
      <c r="B208" s="209"/>
      <c r="C208" s="167" t="s">
        <v>777</v>
      </c>
      <c r="D208" s="395">
        <v>5070</v>
      </c>
      <c r="E208" s="395">
        <v>5070</v>
      </c>
      <c r="F208" s="768">
        <v>5064</v>
      </c>
      <c r="G208" s="210">
        <f>IF(E208=0,"",F208/E208*100)</f>
        <v>99.881656804733737</v>
      </c>
      <c r="H208" s="159"/>
      <c r="I208" s="649"/>
      <c r="J208" s="649"/>
      <c r="K208" s="159"/>
    </row>
    <row r="209" spans="2:11" s="485" customFormat="1" ht="25.5">
      <c r="B209" s="209"/>
      <c r="C209" s="167" t="s">
        <v>778</v>
      </c>
      <c r="D209" s="395">
        <v>4900</v>
      </c>
      <c r="E209" s="395">
        <v>4900</v>
      </c>
      <c r="F209" s="768">
        <v>4899</v>
      </c>
      <c r="G209" s="210">
        <f>IF(E209=0,"",F209/E209*100)</f>
        <v>99.979591836734699</v>
      </c>
      <c r="H209" s="159"/>
      <c r="I209" s="649"/>
      <c r="J209" s="649"/>
      <c r="K209" s="159"/>
    </row>
    <row r="210" spans="2:11" s="498" customFormat="1" ht="15" customHeight="1">
      <c r="B210" s="110">
        <v>742114</v>
      </c>
      <c r="C210" s="161" t="s">
        <v>841</v>
      </c>
      <c r="D210" s="394">
        <f>D211+D212</f>
        <v>5000</v>
      </c>
      <c r="E210" s="394">
        <f t="shared" ref="E210:F210" si="14">E211+E212</f>
        <v>5000</v>
      </c>
      <c r="F210" s="394">
        <f t="shared" si="14"/>
        <v>10000</v>
      </c>
      <c r="G210" s="210">
        <f>IF(E210=0,"",F210/E210*100)</f>
        <v>200</v>
      </c>
      <c r="H210" s="159"/>
      <c r="I210" s="649"/>
      <c r="J210" s="649"/>
      <c r="K210" s="159"/>
    </row>
    <row r="211" spans="2:11" s="498" customFormat="1" ht="26.25" customHeight="1">
      <c r="B211" s="104"/>
      <c r="C211" s="167" t="s">
        <v>842</v>
      </c>
      <c r="D211" s="395">
        <v>5000</v>
      </c>
      <c r="E211" s="395">
        <v>5000</v>
      </c>
      <c r="F211" s="768">
        <v>5000</v>
      </c>
      <c r="G211" s="210">
        <f>IF(E211=0,"",F211/E211*100)</f>
        <v>100</v>
      </c>
      <c r="H211" s="159"/>
      <c r="I211" s="649"/>
      <c r="J211" s="649"/>
      <c r="K211" s="159"/>
    </row>
    <row r="212" spans="2:11" s="664" customFormat="1" ht="26.25" customHeight="1">
      <c r="B212" s="104"/>
      <c r="C212" s="167" t="s">
        <v>886</v>
      </c>
      <c r="D212" s="395">
        <v>0</v>
      </c>
      <c r="E212" s="395">
        <v>0</v>
      </c>
      <c r="F212" s="768">
        <v>5000</v>
      </c>
      <c r="G212" s="210" t="str">
        <f>IF(E212=0,"",F212/E212*100)</f>
        <v/>
      </c>
      <c r="H212" s="159"/>
      <c r="I212" s="649"/>
      <c r="J212" s="649"/>
      <c r="K212" s="159"/>
    </row>
    <row r="213" spans="2:11" ht="15" customHeight="1">
      <c r="B213" s="114">
        <v>742200</v>
      </c>
      <c r="C213" s="168" t="s">
        <v>638</v>
      </c>
      <c r="D213" s="398">
        <f>SUM(D214:D219)</f>
        <v>5550</v>
      </c>
      <c r="E213" s="398">
        <f>SUM(E214:E219)</f>
        <v>5550</v>
      </c>
      <c r="F213" s="398">
        <f>SUM(F214:F219)</f>
        <v>5550</v>
      </c>
      <c r="G213" s="102">
        <f>IF(E213=0,"",F213/E213*100)</f>
        <v>100</v>
      </c>
    </row>
    <row r="214" spans="2:11" ht="15" customHeight="1">
      <c r="B214" s="110">
        <v>742212</v>
      </c>
      <c r="C214" s="161" t="s">
        <v>639</v>
      </c>
      <c r="D214" s="394">
        <f t="shared" ref="D214:E214" si="15">SUM(D215:D216)</f>
        <v>0</v>
      </c>
      <c r="E214" s="394">
        <f t="shared" si="15"/>
        <v>0</v>
      </c>
      <c r="F214" s="394">
        <f t="shared" ref="F214" si="16">SUM(F215:F216)</f>
        <v>0</v>
      </c>
      <c r="G214" s="210" t="str">
        <f>IF(E214=0,"",F214/E214*100)</f>
        <v/>
      </c>
    </row>
    <row r="215" spans="2:11" ht="15" customHeight="1">
      <c r="B215" s="104"/>
      <c r="C215" s="167" t="s">
        <v>640</v>
      </c>
      <c r="D215" s="395">
        <v>0</v>
      </c>
      <c r="E215" s="395">
        <v>0</v>
      </c>
      <c r="F215" s="395">
        <v>0</v>
      </c>
      <c r="G215" s="210" t="str">
        <f>IF(E215=0,"",F215/E215*100)</f>
        <v/>
      </c>
    </row>
    <row r="216" spans="2:11" ht="15" customHeight="1">
      <c r="B216" s="104"/>
      <c r="C216" s="167" t="s">
        <v>641</v>
      </c>
      <c r="D216" s="395">
        <v>0</v>
      </c>
      <c r="E216" s="395">
        <v>0</v>
      </c>
      <c r="F216" s="395">
        <v>0</v>
      </c>
      <c r="G216" s="210" t="str">
        <f>IF(E216=0,"",F216/E216*100)</f>
        <v/>
      </c>
    </row>
    <row r="217" spans="2:11" s="490" customFormat="1" ht="15" customHeight="1">
      <c r="B217" s="104"/>
      <c r="C217" s="167" t="s">
        <v>801</v>
      </c>
      <c r="D217" s="395">
        <v>550</v>
      </c>
      <c r="E217" s="395">
        <v>550</v>
      </c>
      <c r="F217" s="768">
        <v>550</v>
      </c>
      <c r="G217" s="210">
        <f>IF(E217=0,"",F217/E217*100)</f>
        <v>100</v>
      </c>
      <c r="H217" s="159"/>
      <c r="I217" s="649"/>
      <c r="J217" s="649"/>
      <c r="K217" s="159"/>
    </row>
    <row r="218" spans="2:11" s="490" customFormat="1" ht="15" customHeight="1">
      <c r="B218" s="104"/>
      <c r="C218" s="167" t="s">
        <v>800</v>
      </c>
      <c r="D218" s="395">
        <v>3000</v>
      </c>
      <c r="E218" s="395">
        <v>3000</v>
      </c>
      <c r="F218" s="768">
        <v>3000</v>
      </c>
      <c r="G218" s="210">
        <f>IF(E218=0,"",F218/E218*100)</f>
        <v>100</v>
      </c>
      <c r="H218" s="159"/>
      <c r="I218" s="649"/>
      <c r="J218" s="649"/>
      <c r="K218" s="159"/>
    </row>
    <row r="219" spans="2:11" s="490" customFormat="1" ht="15" customHeight="1">
      <c r="B219" s="104"/>
      <c r="C219" s="167" t="s">
        <v>799</v>
      </c>
      <c r="D219" s="395">
        <v>2000</v>
      </c>
      <c r="E219" s="395">
        <v>2000</v>
      </c>
      <c r="F219" s="768">
        <v>2000</v>
      </c>
      <c r="G219" s="210">
        <f>IF(E219=0,"",F219/E219*100)</f>
        <v>100</v>
      </c>
      <c r="H219" s="159"/>
      <c r="I219" s="649"/>
      <c r="J219" s="649"/>
      <c r="K219" s="159"/>
    </row>
    <row r="220" spans="2:11">
      <c r="B220" s="104"/>
      <c r="C220" s="167"/>
      <c r="D220" s="395"/>
      <c r="E220" s="395"/>
      <c r="F220" s="395"/>
      <c r="G220" s="210" t="str">
        <f>IF(E220=0,"",F220/E220*100)</f>
        <v/>
      </c>
    </row>
    <row r="221" spans="2:11" ht="17.100000000000001" customHeight="1">
      <c r="B221" s="190">
        <v>777000</v>
      </c>
      <c r="C221" s="191" t="s">
        <v>374</v>
      </c>
      <c r="D221" s="392">
        <f>SUM(D222:D223)</f>
        <v>1690</v>
      </c>
      <c r="E221" s="392">
        <f>SUM(E222:E223)</f>
        <v>1690</v>
      </c>
      <c r="F221" s="392">
        <f>SUM(F222:F223)</f>
        <v>1315</v>
      </c>
      <c r="G221" s="185">
        <f>IF(E221=0,"",F221/E221*100)</f>
        <v>77.810650887573956</v>
      </c>
    </row>
    <row r="222" spans="2:11" ht="15" customHeight="1">
      <c r="B222" s="101">
        <v>777778</v>
      </c>
      <c r="C222" s="165" t="s">
        <v>375</v>
      </c>
      <c r="D222" s="394">
        <v>1690</v>
      </c>
      <c r="E222" s="394">
        <v>1690</v>
      </c>
      <c r="F222" s="394">
        <v>1315</v>
      </c>
      <c r="G222" s="210">
        <f>IF(E222=0,"",F222/E222*100)</f>
        <v>77.810650887573956</v>
      </c>
    </row>
    <row r="223" spans="2:11" ht="15" customHeight="1">
      <c r="B223" s="101">
        <v>777779</v>
      </c>
      <c r="C223" s="161" t="s">
        <v>376</v>
      </c>
      <c r="D223" s="395">
        <v>0</v>
      </c>
      <c r="E223" s="395">
        <v>0</v>
      </c>
      <c r="F223" s="395">
        <v>0</v>
      </c>
      <c r="G223" s="210" t="str">
        <f>IF(E223=0,"",F223/E223*100)</f>
        <v/>
      </c>
    </row>
    <row r="224" spans="2:11" ht="15" customHeight="1">
      <c r="B224" s="60"/>
      <c r="C224" s="61"/>
      <c r="D224" s="395"/>
      <c r="E224" s="395"/>
      <c r="F224" s="395"/>
      <c r="G224" s="210" t="str">
        <f>IF(E224=0,"",F224/E224*100)</f>
        <v/>
      </c>
    </row>
    <row r="225" spans="2:11" ht="15" customHeight="1">
      <c r="B225" s="700" t="s">
        <v>389</v>
      </c>
      <c r="C225" s="701"/>
      <c r="D225" s="400">
        <f>D154+D156+D185+D221</f>
        <v>41993110</v>
      </c>
      <c r="E225" s="400">
        <f>E154+E156+E185+E221</f>
        <v>41993110</v>
      </c>
      <c r="F225" s="400">
        <f>F154+F156+F185+F221</f>
        <v>43183883</v>
      </c>
      <c r="G225" s="178">
        <f>IF(E225=0,"",F225/E225*100)</f>
        <v>102.83563898934848</v>
      </c>
    </row>
    <row r="226" spans="2:11" ht="15" customHeight="1">
      <c r="B226" s="119"/>
      <c r="C226" s="120"/>
      <c r="D226" s="400"/>
      <c r="E226" s="400"/>
      <c r="F226" s="400"/>
      <c r="G226" s="210" t="str">
        <f>IF(E226=0,"",F226/E226*100)</f>
        <v/>
      </c>
    </row>
    <row r="227" spans="2:11" ht="17.100000000000001" customHeight="1">
      <c r="B227" s="190">
        <v>810000</v>
      </c>
      <c r="C227" s="191" t="s">
        <v>377</v>
      </c>
      <c r="D227" s="391">
        <f>D228</f>
        <v>5440</v>
      </c>
      <c r="E227" s="391">
        <f>E228</f>
        <v>5440</v>
      </c>
      <c r="F227" s="391">
        <f>F228</f>
        <v>5436</v>
      </c>
      <c r="G227" s="175">
        <f>IF(E227=0,"",F227/E227*100)</f>
        <v>99.92647058823529</v>
      </c>
    </row>
    <row r="228" spans="2:11" ht="17.100000000000001" customHeight="1">
      <c r="B228" s="197">
        <v>811000</v>
      </c>
      <c r="C228" s="198" t="s">
        <v>379</v>
      </c>
      <c r="D228" s="392">
        <f>SUM(D229:D229)</f>
        <v>5440</v>
      </c>
      <c r="E228" s="392">
        <f>SUM(E229:E229)</f>
        <v>5440</v>
      </c>
      <c r="F228" s="392">
        <f>SUM(F229:F229)</f>
        <v>5436</v>
      </c>
      <c r="G228" s="175">
        <f>IF(E228=0,"",F228/E228*100)</f>
        <v>99.92647058823529</v>
      </c>
    </row>
    <row r="229" spans="2:11" ht="15" customHeight="1">
      <c r="B229" s="114">
        <v>811100</v>
      </c>
      <c r="C229" s="118" t="s">
        <v>378</v>
      </c>
      <c r="D229" s="396">
        <f>D230+D232</f>
        <v>5440</v>
      </c>
      <c r="E229" s="396">
        <f>E230+E232</f>
        <v>5440</v>
      </c>
      <c r="F229" s="396">
        <f>F230+F232</f>
        <v>5436</v>
      </c>
      <c r="G229" s="102">
        <f>IF(E229=0,"",F229/E229*100)</f>
        <v>99.92647058823529</v>
      </c>
    </row>
    <row r="230" spans="2:11" ht="15" customHeight="1">
      <c r="B230" s="101">
        <v>811111</v>
      </c>
      <c r="C230" s="165" t="s">
        <v>536</v>
      </c>
      <c r="D230" s="394">
        <f t="shared" ref="D230:F230" si="17">D231</f>
        <v>4080</v>
      </c>
      <c r="E230" s="394">
        <f t="shared" si="17"/>
        <v>4080</v>
      </c>
      <c r="F230" s="394">
        <f t="shared" si="17"/>
        <v>4080</v>
      </c>
      <c r="G230" s="210">
        <f>IF(E230=0,"",F230/E230*100)</f>
        <v>100</v>
      </c>
    </row>
    <row r="231" spans="2:11" s="498" customFormat="1" ht="15" customHeight="1">
      <c r="B231" s="101"/>
      <c r="C231" s="167" t="s">
        <v>843</v>
      </c>
      <c r="D231" s="394">
        <v>4080</v>
      </c>
      <c r="E231" s="394">
        <v>4080</v>
      </c>
      <c r="F231" s="394">
        <v>4080</v>
      </c>
      <c r="G231" s="210">
        <f>IF(E231=0,"",F231/E231*100)</f>
        <v>100</v>
      </c>
      <c r="H231" s="159"/>
      <c r="I231" s="649"/>
      <c r="J231" s="649"/>
      <c r="K231" s="159"/>
    </row>
    <row r="232" spans="2:11" ht="15" customHeight="1">
      <c r="B232" s="101">
        <v>811114</v>
      </c>
      <c r="C232" s="161" t="s">
        <v>537</v>
      </c>
      <c r="D232" s="394">
        <f t="shared" ref="D232:F232" si="18">D233</f>
        <v>1360</v>
      </c>
      <c r="E232" s="394">
        <f t="shared" si="18"/>
        <v>1360</v>
      </c>
      <c r="F232" s="394">
        <f t="shared" si="18"/>
        <v>1356</v>
      </c>
      <c r="G232" s="210">
        <f>IF(E232=0,"",F232/E232*100)</f>
        <v>99.705882352941174</v>
      </c>
    </row>
    <row r="233" spans="2:11" ht="15" customHeight="1">
      <c r="B233" s="101"/>
      <c r="C233" s="167" t="s">
        <v>643</v>
      </c>
      <c r="D233" s="395">
        <v>1360</v>
      </c>
      <c r="E233" s="395">
        <v>1360</v>
      </c>
      <c r="F233" s="395">
        <v>1356</v>
      </c>
      <c r="G233" s="210">
        <f>IF(E233=0,"",F233/E233*100)</f>
        <v>99.705882352941174</v>
      </c>
    </row>
    <row r="234" spans="2:11" ht="15" customHeight="1" thickBot="1">
      <c r="B234" s="139"/>
      <c r="C234" s="140"/>
      <c r="D234" s="401"/>
      <c r="E234" s="401"/>
      <c r="F234" s="401"/>
      <c r="G234" s="211" t="str">
        <f>IF(E234=0,"",F234/E234*100)</f>
        <v/>
      </c>
    </row>
    <row r="235" spans="2:11" ht="17.100000000000001" customHeight="1" thickBot="1">
      <c r="B235" s="702" t="s">
        <v>438</v>
      </c>
      <c r="C235" s="703"/>
      <c r="D235" s="402">
        <f>D225+D227</f>
        <v>41998550</v>
      </c>
      <c r="E235" s="402">
        <f>E225+E227</f>
        <v>41998550</v>
      </c>
      <c r="F235" s="402">
        <f>F225+F227</f>
        <v>43189319</v>
      </c>
      <c r="G235" s="179">
        <f>IF(E235=0,"",F235/E235*100)</f>
        <v>102.8352621697654</v>
      </c>
    </row>
    <row r="237" spans="2:11">
      <c r="E237" s="62"/>
    </row>
    <row r="238" spans="2:11">
      <c r="D238" s="62"/>
      <c r="E238" s="62"/>
    </row>
    <row r="239" spans="2:11">
      <c r="F239" s="654"/>
    </row>
  </sheetData>
  <mergeCells count="4">
    <mergeCell ref="B2:G2"/>
    <mergeCell ref="B154:C154"/>
    <mergeCell ref="B225:C225"/>
    <mergeCell ref="B235:C235"/>
  </mergeCells>
  <pageMargins left="0.69" right="0.31496062992125984" top="0.57999999999999996" bottom="0.51181102362204722" header="0.57999999999999996" footer="0.31496062992125984"/>
  <pageSetup paperSize="9" scale="88" firstPageNumber="2" orientation="landscape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2:P121"/>
  <sheetViews>
    <sheetView topLeftCell="C13" zoomScaleNormal="100" workbookViewId="0">
      <selection activeCell="P48" sqref="P48"/>
    </sheetView>
  </sheetViews>
  <sheetFormatPr defaultRowHeight="12" customHeight="1"/>
  <cols>
    <col min="1" max="1" width="0.5703125" style="9" hidden="1" customWidth="1"/>
    <col min="2" max="2" width="5.7109375" style="9" hidden="1" customWidth="1"/>
    <col min="3" max="3" width="9.7109375" style="17" customWidth="1"/>
    <col min="4" max="4" width="7.42578125" style="277" customWidth="1"/>
    <col min="5" max="5" width="54" style="9" customWidth="1"/>
    <col min="6" max="7" width="12.7109375" style="272" customWidth="1"/>
    <col min="8" max="8" width="14.7109375" style="510" customWidth="1"/>
    <col min="9" max="10" width="12.7109375" style="272" customWidth="1"/>
    <col min="11" max="11" width="14.7109375" style="272" customWidth="1"/>
    <col min="12" max="12" width="7.85546875" style="77" customWidth="1"/>
    <col min="13" max="13" width="9.140625" style="9"/>
    <col min="14" max="14" width="13.140625" style="9" bestFit="1" customWidth="1"/>
    <col min="15" max="16" width="10.140625" style="9" bestFit="1" customWidth="1"/>
    <col min="17" max="16384" width="9.140625" style="9"/>
  </cols>
  <sheetData>
    <row r="2" spans="2:16" ht="2.25" customHeight="1"/>
    <row r="3" spans="2:16" s="1" customFormat="1" ht="30.75" customHeight="1" thickBot="1">
      <c r="C3" s="708" t="s">
        <v>77</v>
      </c>
      <c r="D3" s="708"/>
      <c r="E3" s="708"/>
      <c r="F3" s="356"/>
      <c r="G3" s="356"/>
      <c r="H3" s="706"/>
      <c r="I3" s="706"/>
      <c r="J3" s="706"/>
      <c r="K3" s="706"/>
      <c r="L3" s="707"/>
    </row>
    <row r="4" spans="2:16" s="1" customFormat="1" ht="39.75" customHeight="1">
      <c r="B4" s="3" t="s">
        <v>78</v>
      </c>
      <c r="C4" s="710" t="s">
        <v>594</v>
      </c>
      <c r="D4" s="712" t="s">
        <v>650</v>
      </c>
      <c r="E4" s="714" t="s">
        <v>80</v>
      </c>
      <c r="F4" s="721" t="s">
        <v>644</v>
      </c>
      <c r="G4" s="723" t="s">
        <v>821</v>
      </c>
      <c r="H4" s="723" t="s">
        <v>822</v>
      </c>
      <c r="I4" s="718" t="s">
        <v>817</v>
      </c>
      <c r="J4" s="719"/>
      <c r="K4" s="720"/>
      <c r="L4" s="716" t="s">
        <v>824</v>
      </c>
    </row>
    <row r="5" spans="2:16" s="269" customFormat="1" ht="28.5" customHeight="1">
      <c r="B5" s="360"/>
      <c r="C5" s="711"/>
      <c r="D5" s="713"/>
      <c r="E5" s="715"/>
      <c r="F5" s="722"/>
      <c r="G5" s="724"/>
      <c r="H5" s="724"/>
      <c r="I5" s="612" t="s">
        <v>701</v>
      </c>
      <c r="J5" s="374" t="s">
        <v>702</v>
      </c>
      <c r="K5" s="541" t="s">
        <v>413</v>
      </c>
      <c r="L5" s="717"/>
    </row>
    <row r="6" spans="2:16" s="2" customFormat="1" ht="14.1" customHeight="1">
      <c r="B6" s="4">
        <v>1</v>
      </c>
      <c r="C6" s="464">
        <v>1</v>
      </c>
      <c r="D6" s="304"/>
      <c r="E6" s="318">
        <v>2</v>
      </c>
      <c r="F6" s="318">
        <v>3</v>
      </c>
      <c r="G6" s="318">
        <v>4</v>
      </c>
      <c r="H6" s="568">
        <v>5</v>
      </c>
      <c r="I6" s="464">
        <v>6</v>
      </c>
      <c r="J6" s="318">
        <v>7</v>
      </c>
      <c r="K6" s="613" t="s">
        <v>704</v>
      </c>
      <c r="L6" s="465">
        <v>9</v>
      </c>
    </row>
    <row r="7" spans="2:16" s="2" customFormat="1" ht="15" customHeight="1">
      <c r="B7" s="4"/>
      <c r="C7" s="375"/>
      <c r="D7" s="376"/>
      <c r="E7" s="377" t="s">
        <v>159</v>
      </c>
      <c r="F7" s="378">
        <f t="shared" ref="F7:G7" si="0">F9+F15+F21+F24+F46+F91+F94+F99+F105</f>
        <v>41220340</v>
      </c>
      <c r="G7" s="378">
        <f t="shared" si="0"/>
        <v>41248500</v>
      </c>
      <c r="H7" s="378">
        <f t="shared" ref="H7" si="1">H9+H15+H21+H24+H46+H91+H94+H99+H105</f>
        <v>27318957</v>
      </c>
      <c r="I7" s="614">
        <f t="shared" ref="I7:K7" si="2">I9+I15+I21+I24+I46+I91+I94+I99+I105</f>
        <v>39444090</v>
      </c>
      <c r="J7" s="378">
        <f t="shared" si="2"/>
        <v>2551790</v>
      </c>
      <c r="K7" s="581">
        <f t="shared" si="2"/>
        <v>41995880</v>
      </c>
      <c r="L7" s="379">
        <f>IF(G7=0,"",K7/G7*100)</f>
        <v>101.81189619016449</v>
      </c>
      <c r="N7" s="137"/>
    </row>
    <row r="8" spans="2:16" s="2" customFormat="1" ht="9" customHeight="1">
      <c r="B8" s="4"/>
      <c r="C8" s="4"/>
      <c r="D8" s="304"/>
      <c r="E8" s="19"/>
      <c r="F8" s="266"/>
      <c r="G8" s="266"/>
      <c r="H8" s="266"/>
      <c r="I8" s="580"/>
      <c r="J8" s="266"/>
      <c r="K8" s="581"/>
      <c r="L8" s="84" t="str">
        <f t="shared" ref="L8" si="3">IF(H8=0,"",K8/H8*100)</f>
        <v/>
      </c>
      <c r="N8" s="76"/>
    </row>
    <row r="9" spans="2:16" s="2" customFormat="1" ht="15" customHeight="1">
      <c r="B9" s="4"/>
      <c r="C9" s="380">
        <v>600000</v>
      </c>
      <c r="D9" s="381"/>
      <c r="E9" s="377" t="s">
        <v>120</v>
      </c>
      <c r="F9" s="378">
        <f t="shared" ref="F9:K9" si="4">F10+F11+F12+F13</f>
        <v>460000</v>
      </c>
      <c r="G9" s="378">
        <f t="shared" si="4"/>
        <v>460000</v>
      </c>
      <c r="H9" s="378">
        <f t="shared" ref="H9" si="5">H10+H11+H12+H13</f>
        <v>393416</v>
      </c>
      <c r="I9" s="614">
        <f t="shared" si="4"/>
        <v>610000</v>
      </c>
      <c r="J9" s="378">
        <f t="shared" si="4"/>
        <v>0</v>
      </c>
      <c r="K9" s="581">
        <f t="shared" si="4"/>
        <v>610000</v>
      </c>
      <c r="L9" s="379">
        <f t="shared" ref="L9:L72" si="6">IF(G9=0,"",K9/G9*100)</f>
        <v>132.60869565217391</v>
      </c>
      <c r="N9" s="137"/>
    </row>
    <row r="10" spans="2:16" s="2" customFormat="1" ht="15" customHeight="1">
      <c r="B10" s="4"/>
      <c r="C10" s="226">
        <v>600000</v>
      </c>
      <c r="D10" s="306"/>
      <c r="E10" s="34" t="s">
        <v>97</v>
      </c>
      <c r="F10" s="207">
        <f>'3'!H9</f>
        <v>400000</v>
      </c>
      <c r="G10" s="207">
        <f>'3'!I9</f>
        <v>400000</v>
      </c>
      <c r="H10" s="207">
        <f>'3'!J9</f>
        <v>350716</v>
      </c>
      <c r="I10" s="615">
        <f>'3'!K9</f>
        <v>550000</v>
      </c>
      <c r="J10" s="207">
        <f>'3'!L9</f>
        <v>0</v>
      </c>
      <c r="K10" s="616">
        <f>'3'!M9</f>
        <v>550000</v>
      </c>
      <c r="L10" s="84">
        <f t="shared" si="6"/>
        <v>137.5</v>
      </c>
      <c r="P10" s="76"/>
    </row>
    <row r="11" spans="2:16" s="2" customFormat="1" ht="15" customHeight="1">
      <c r="B11" s="4"/>
      <c r="C11" s="226">
        <v>600000</v>
      </c>
      <c r="D11" s="306"/>
      <c r="E11" s="34" t="s">
        <v>98</v>
      </c>
      <c r="F11" s="37">
        <f>'3'!H10</f>
        <v>30000</v>
      </c>
      <c r="G11" s="37">
        <f>'3'!I10</f>
        <v>30000</v>
      </c>
      <c r="H11" s="37">
        <f>'3'!J10</f>
        <v>21200</v>
      </c>
      <c r="I11" s="617">
        <f>'3'!K10</f>
        <v>30000</v>
      </c>
      <c r="J11" s="37">
        <f>'3'!L10</f>
        <v>0</v>
      </c>
      <c r="K11" s="616">
        <f>'3'!M10</f>
        <v>30000</v>
      </c>
      <c r="L11" s="84">
        <f t="shared" si="6"/>
        <v>100</v>
      </c>
      <c r="O11" s="76"/>
    </row>
    <row r="12" spans="2:16" s="2" customFormat="1" ht="15" customHeight="1">
      <c r="B12" s="4"/>
      <c r="C12" s="226">
        <v>600000</v>
      </c>
      <c r="D12" s="306"/>
      <c r="E12" s="34" t="s">
        <v>121</v>
      </c>
      <c r="F12" s="37">
        <f>'3'!H11</f>
        <v>15000</v>
      </c>
      <c r="G12" s="37">
        <f>'3'!I11</f>
        <v>15000</v>
      </c>
      <c r="H12" s="37">
        <f>'3'!J11</f>
        <v>14800</v>
      </c>
      <c r="I12" s="617">
        <f>'3'!K11</f>
        <v>15000</v>
      </c>
      <c r="J12" s="37">
        <f>'3'!L11</f>
        <v>0</v>
      </c>
      <c r="K12" s="616">
        <f>'3'!M11</f>
        <v>15000</v>
      </c>
      <c r="L12" s="84">
        <f t="shared" si="6"/>
        <v>100</v>
      </c>
      <c r="P12" s="76"/>
    </row>
    <row r="13" spans="2:16" s="2" customFormat="1" ht="15" customHeight="1">
      <c r="B13" s="4"/>
      <c r="C13" s="226">
        <v>600000</v>
      </c>
      <c r="D13" s="306"/>
      <c r="E13" s="34" t="s">
        <v>109</v>
      </c>
      <c r="F13" s="37">
        <f>'16'!H9</f>
        <v>15000</v>
      </c>
      <c r="G13" s="37">
        <f>'16'!I9</f>
        <v>15000</v>
      </c>
      <c r="H13" s="37">
        <f>'16'!J9</f>
        <v>6700</v>
      </c>
      <c r="I13" s="617">
        <f>'16'!K9</f>
        <v>15000</v>
      </c>
      <c r="J13" s="37">
        <f>'16'!L9</f>
        <v>0</v>
      </c>
      <c r="K13" s="616">
        <f>'16'!M9</f>
        <v>15000</v>
      </c>
      <c r="L13" s="84">
        <f t="shared" si="6"/>
        <v>100</v>
      </c>
    </row>
    <row r="14" spans="2:16" s="2" customFormat="1" ht="10.5" customHeight="1">
      <c r="B14" s="4"/>
      <c r="C14" s="226"/>
      <c r="D14" s="306"/>
      <c r="E14" s="34"/>
      <c r="F14" s="284"/>
      <c r="G14" s="284"/>
      <c r="H14" s="284"/>
      <c r="I14" s="583"/>
      <c r="J14" s="284"/>
      <c r="K14" s="581"/>
      <c r="L14" s="84" t="str">
        <f t="shared" si="6"/>
        <v/>
      </c>
    </row>
    <row r="15" spans="2:16" s="1" customFormat="1" ht="15" customHeight="1">
      <c r="B15" s="6"/>
      <c r="C15" s="380">
        <v>611000</v>
      </c>
      <c r="D15" s="381"/>
      <c r="E15" s="382" t="s">
        <v>163</v>
      </c>
      <c r="F15" s="383">
        <f t="shared" ref="F15:K15" si="7">F16+F17</f>
        <v>21500940</v>
      </c>
      <c r="G15" s="383">
        <f t="shared" si="7"/>
        <v>21500940</v>
      </c>
      <c r="H15" s="383">
        <f t="shared" ref="H15" si="8">H16+H17</f>
        <v>15602041</v>
      </c>
      <c r="I15" s="618">
        <f t="shared" si="7"/>
        <v>21343590</v>
      </c>
      <c r="J15" s="383">
        <f t="shared" si="7"/>
        <v>0</v>
      </c>
      <c r="K15" s="553">
        <f t="shared" si="7"/>
        <v>21343590</v>
      </c>
      <c r="L15" s="384">
        <f t="shared" si="6"/>
        <v>99.268171531105153</v>
      </c>
      <c r="N15" s="55"/>
      <c r="O15" s="55"/>
    </row>
    <row r="16" spans="2:16" ht="15" customHeight="1">
      <c r="B16" s="10"/>
      <c r="C16" s="227">
        <v>611100</v>
      </c>
      <c r="D16" s="306"/>
      <c r="E16" s="18" t="s">
        <v>198</v>
      </c>
      <c r="F16" s="279">
        <f>'1'!H9+'3'!H14+'4'!H9+'5'!H9+'6'!H9+'8'!H9+'9'!H9+'10'!H9+'11'!H9+'12'!H9+'13'!H9+'14'!H9+'15'!H9+'16'!H12+'17'!H9+'18'!H9+'19'!H9+'20'!H9+'22'!H9+'23'!H9+'21'!H9+'24'!H9+'25'!H9+'26'!H9+'27'!H9+'28'!H9+'29'!H9+'30'!H9+'31'!H9+'32'!H9+'33'!H9+'34'!H9+'35'!H9+'36'!H9+'37'!H9+'7'!H9</f>
        <v>17704390</v>
      </c>
      <c r="G16" s="279">
        <f>'1'!I9+'3'!I14+'4'!I9+'5'!I9+'6'!I9+'8'!I9+'9'!I9+'10'!I9+'11'!I9+'12'!I9+'13'!I9+'14'!I9+'15'!I9+'16'!I12+'17'!I9+'18'!I9+'19'!I9+'20'!I9+'22'!I9+'23'!I9+'21'!I9+'24'!I9+'25'!I9+'26'!I9+'27'!I9+'28'!I9+'29'!I9+'30'!I9+'31'!I9+'32'!I9+'33'!I9+'34'!I9+'35'!I9+'36'!I9+'37'!I9+'7'!I9</f>
        <v>17704390</v>
      </c>
      <c r="H16" s="279">
        <f>'1'!J9+'3'!J14+'4'!J9+'5'!J9+'6'!J9+'8'!J9+'9'!J9+'10'!J9+'11'!J9+'12'!J9+'13'!J9+'14'!J9+'15'!J9+'16'!J12+'17'!J9+'18'!J9+'19'!J9+'20'!J9+'22'!J9+'23'!J9+'21'!J9+'24'!J9+'25'!J9+'26'!J9+'27'!J9+'28'!J9+'29'!J9+'30'!J9+'31'!J9+'32'!J9+'33'!J9+'34'!J9+'35'!J9+'36'!J9+'37'!J9+'7'!J9</f>
        <v>12991086</v>
      </c>
      <c r="I16" s="550">
        <f>'1'!K9+'3'!K14+'4'!K9+'5'!K9+'6'!K9+'8'!K9+'9'!K9+'10'!K9+'11'!K9+'12'!K9+'13'!K9+'14'!K9+'15'!K9+'16'!K12+'17'!K9+'18'!K9+'19'!K9+'20'!K9+'22'!K9+'23'!K9+'21'!K9+'24'!K9+'25'!K9+'26'!K9+'27'!K9+'28'!K9+'29'!K9+'30'!K9+'31'!K9+'32'!K9+'33'!K9+'34'!K9+'35'!K9+'36'!K9+'37'!K9+'7'!K9</f>
        <v>17491150</v>
      </c>
      <c r="J16" s="279">
        <f>'1'!L9+'3'!L14+'4'!L9+'5'!L9+'6'!L9+'8'!L9+'9'!L9+'10'!L9+'11'!L9+'12'!L9+'13'!L9+'14'!L9+'15'!L9+'16'!L12+'17'!L9+'18'!L9+'19'!L9+'20'!L9+'22'!L9+'23'!L9+'21'!L9+'24'!L9+'25'!L9+'26'!L9+'27'!L9+'28'!L9+'29'!L9+'30'!L9+'31'!L9+'32'!L9+'33'!L9+'34'!L9+'35'!L9+'36'!L9+'37'!L9+'7'!L9</f>
        <v>0</v>
      </c>
      <c r="K16" s="551">
        <f>'1'!M9+'3'!M14+'4'!M9+'5'!M9+'6'!M9+'8'!M9+'9'!M9+'10'!M9+'11'!M9+'12'!M9+'13'!M9+'14'!M9+'15'!M9+'16'!M12+'17'!M9+'18'!M9+'19'!M9+'20'!M9+'22'!M9+'23'!M9+'21'!M9+'24'!M9+'25'!M9+'26'!M9+'27'!M9+'28'!M9+'29'!M9+'30'!M9+'31'!M9+'32'!M9+'33'!M9+'34'!M9+'35'!M9+'36'!M9+'37'!M9+'7'!M9</f>
        <v>17491150</v>
      </c>
      <c r="L16" s="84">
        <f t="shared" si="6"/>
        <v>98.795552967371364</v>
      </c>
      <c r="N16" s="54"/>
    </row>
    <row r="17" spans="2:15" ht="15" customHeight="1">
      <c r="B17" s="10"/>
      <c r="C17" s="227">
        <v>611200</v>
      </c>
      <c r="D17" s="306"/>
      <c r="E17" s="18" t="s">
        <v>199</v>
      </c>
      <c r="F17" s="279">
        <f t="shared" ref="F17:G17" si="9">F18+F19</f>
        <v>3796550</v>
      </c>
      <c r="G17" s="279">
        <f t="shared" si="9"/>
        <v>3796550</v>
      </c>
      <c r="H17" s="279">
        <f t="shared" ref="H17" si="10">H18+H19</f>
        <v>2610955</v>
      </c>
      <c r="I17" s="550">
        <f t="shared" ref="I17:J17" si="11">I18+I19</f>
        <v>3852440</v>
      </c>
      <c r="J17" s="279">
        <f t="shared" si="11"/>
        <v>0</v>
      </c>
      <c r="K17" s="551">
        <f t="shared" ref="K17" si="12">K18+K19</f>
        <v>3852440</v>
      </c>
      <c r="L17" s="84">
        <f t="shared" si="6"/>
        <v>101.47212600913988</v>
      </c>
      <c r="N17" s="54"/>
    </row>
    <row r="18" spans="2:15" ht="15" customHeight="1">
      <c r="B18" s="10"/>
      <c r="C18" s="228">
        <v>611200</v>
      </c>
      <c r="D18" s="307"/>
      <c r="E18" s="215" t="s">
        <v>199</v>
      </c>
      <c r="F18" s="287">
        <f>'1'!H10+'3'!H15+'4'!H10+'5'!H10+'6'!H10+'8'!H10+'9'!H10+'10'!H10+'11'!H10+'12'!H10+'13'!H10+'14'!H10+'15'!H10+'16'!H13+'17'!H10+'18'!H10+'19'!H10+'20'!H10+'22'!H10+'23'!H10+'21'!H10+'24'!H10+'25'!H10+'26'!H10+'27'!H10+'28'!H10+'29'!H10+'30'!H10+'31'!H10+'32'!H10+'33'!H10+'34'!H10+'35'!H10+'36'!H10+'37'!H10+'7'!H10</f>
        <v>3678290</v>
      </c>
      <c r="G18" s="287">
        <f>'1'!I10+'3'!I15+'4'!I10+'5'!I10+'6'!I10+'8'!I10+'9'!I10+'10'!I10+'11'!I10+'12'!I10+'13'!I10+'14'!I10+'15'!I10+'16'!I13+'17'!I10+'18'!I10+'19'!I10+'20'!I10+'22'!I10+'23'!I10+'21'!I10+'24'!I10+'25'!I10+'26'!I10+'27'!I10+'28'!I10+'29'!I10+'30'!I10+'31'!I10+'32'!I10+'33'!I10+'34'!I10+'35'!I10+'36'!I10+'37'!I10+'7'!I10</f>
        <v>3678290</v>
      </c>
      <c r="H18" s="287">
        <f>'1'!J10+'3'!J15+'4'!J10+'5'!J10+'6'!J10+'8'!J10+'9'!J10+'10'!J10+'11'!J10+'12'!J10+'13'!J10+'14'!J10+'15'!J10+'16'!J13+'17'!J10+'18'!J10+'19'!J10+'20'!J10+'22'!J10+'23'!J10+'21'!J10+'24'!J10+'25'!J10+'26'!J10+'27'!J10+'28'!J10+'29'!J10+'30'!J10+'31'!J10+'32'!J10+'33'!J10+'34'!J10+'35'!J10+'36'!J10+'37'!J10+'7'!J10</f>
        <v>2550149</v>
      </c>
      <c r="I18" s="619">
        <f>'1'!K10+'3'!K15+'4'!K10+'5'!K10+'6'!K10+'8'!K10+'9'!K10+'10'!K10+'11'!K10+'12'!K10+'13'!K10+'14'!K10+'15'!K10+'16'!K13+'17'!K10+'18'!K10+'19'!K10+'20'!K10+'22'!K10+'23'!K10+'21'!K10+'24'!K10+'25'!K10+'26'!K10+'27'!K10+'28'!K10+'29'!K10+'30'!K10+'31'!K10+'32'!K10+'33'!K10+'34'!K10+'35'!K10+'36'!K10+'37'!K10+'7'!K10</f>
        <v>3789850</v>
      </c>
      <c r="J18" s="287">
        <f>'1'!L10+'3'!L15+'4'!L10+'5'!L10+'6'!L10+'8'!L10+'9'!L10+'10'!L10+'11'!L10+'12'!L10+'13'!L10+'14'!L10+'15'!L10+'16'!L13+'17'!L10+'18'!L10+'19'!L10+'20'!L10+'22'!L10+'23'!L10+'21'!L10+'24'!L10+'25'!L10+'26'!L10+'27'!L10+'28'!L10+'29'!L10+'30'!L10+'31'!L10+'32'!L10+'33'!L10+'34'!L10+'35'!L10+'36'!L10+'37'!L10+'7'!L10</f>
        <v>0</v>
      </c>
      <c r="K18" s="620">
        <f>'1'!M10+'3'!M15+'4'!M10+'5'!M10+'6'!M10+'8'!M10+'9'!M10+'10'!M10+'11'!M10+'12'!M10+'13'!M10+'14'!M10+'15'!M10+'16'!M13+'17'!M10+'18'!M10+'19'!M10+'20'!M10+'22'!M10+'23'!M10+'21'!M10+'24'!M10+'25'!M10+'26'!M10+'27'!M10+'28'!M10+'29'!M10+'30'!M10+'31'!M10+'32'!M10+'33'!M10+'34'!M10+'35'!M10+'36'!M10+'37'!M10+'7'!M10</f>
        <v>3789850</v>
      </c>
      <c r="L18" s="216">
        <f t="shared" si="6"/>
        <v>103.03293106307549</v>
      </c>
      <c r="N18" s="54"/>
    </row>
    <row r="19" spans="2:15" ht="15" customHeight="1">
      <c r="B19" s="10"/>
      <c r="C19" s="228">
        <v>611200</v>
      </c>
      <c r="D19" s="307" t="s">
        <v>651</v>
      </c>
      <c r="E19" s="286" t="s">
        <v>861</v>
      </c>
      <c r="F19" s="287">
        <f>'1'!H11+'3'!H16+'4'!H11+'5'!H11+'6'!H11+'8'!H11+'9'!H11+'10'!H11+'11'!H11+'12'!H11+'13'!H11+'14'!H11+'15'!H11+'16'!H14+'17'!H11+'18'!H11+'19'!H11+'20'!H11+'22'!H11+'23'!H11+'21'!H11+'24'!H11+'25'!H11+'26'!H11+'27'!H11+'28'!H11+'29'!H11+'30'!H11+'31'!H11+'32'!H11+'33'!H11+'34'!H11+'35'!H11+'36'!H11+'37'!H11+'7'!H11</f>
        <v>118260</v>
      </c>
      <c r="G19" s="287">
        <f>'1'!I11+'3'!I16+'4'!I11+'5'!I11+'6'!I11+'8'!I11+'9'!I11+'10'!I11+'11'!I11+'12'!I11+'13'!I11+'14'!I11+'15'!I11+'16'!I14+'17'!I11+'18'!I11+'19'!I11+'20'!I11+'22'!I11+'23'!I11+'21'!I11+'24'!I11+'25'!I11+'26'!I11+'27'!I11+'28'!I11+'29'!I11+'30'!I11+'31'!I11+'32'!I11+'33'!I11+'34'!I11+'35'!I11+'36'!I11+'37'!I11+'7'!I11</f>
        <v>118260</v>
      </c>
      <c r="H19" s="287">
        <f>'1'!J11+'3'!J16+'4'!J11+'5'!J11+'6'!J11+'8'!J11+'9'!J11+'10'!J11+'11'!J11+'12'!J11+'13'!J11+'14'!J11+'15'!J11+'16'!J14+'17'!J11+'18'!J11+'19'!J11+'20'!J11+'22'!J11+'23'!J11+'21'!J11+'24'!J11+'25'!J11+'26'!J11+'27'!J11+'28'!J11+'29'!J11+'30'!J11+'31'!J11+'32'!J11+'33'!J11+'34'!J11+'35'!J11+'36'!J11+'37'!J11+'7'!J11</f>
        <v>60806</v>
      </c>
      <c r="I19" s="619">
        <f>'1'!K11+'3'!K16+'4'!K11+'5'!K11+'6'!K11+'8'!K11+'9'!K11+'10'!K11+'11'!K11+'12'!K11+'13'!K11+'14'!K11+'15'!K11+'16'!K14+'17'!K11+'18'!K11+'19'!K11+'20'!K11+'22'!K11+'23'!K11+'21'!K11+'24'!K11+'25'!K11+'26'!K11+'27'!K11+'28'!K11+'29'!K11+'30'!K11+'31'!K11+'32'!K11+'33'!K11+'34'!K11+'35'!K11+'36'!K11+'37'!K11+'7'!K11</f>
        <v>62590</v>
      </c>
      <c r="J19" s="287">
        <f>'1'!L11+'3'!L16+'4'!L11+'5'!L11+'6'!L11+'8'!L11+'9'!L11+'10'!L11+'11'!L11+'12'!L11+'13'!L11+'14'!L11+'15'!L11+'16'!L14+'17'!L11+'18'!L11+'19'!L11+'20'!L11+'22'!L11+'23'!L11+'21'!L11+'24'!L11+'25'!L11+'26'!L11+'27'!L11+'28'!L11+'29'!L11+'30'!L11+'31'!L11+'32'!L11+'33'!L11+'34'!L11+'35'!L11+'36'!L11+'37'!L11+'7'!L11</f>
        <v>0</v>
      </c>
      <c r="K19" s="620">
        <f>'1'!M11+'3'!M16+'4'!M11+'5'!M11+'6'!M11+'8'!M11+'9'!M11+'10'!M11+'11'!M11+'12'!M11+'13'!M11+'14'!M11+'15'!M11+'16'!M14+'17'!M11+'18'!M11+'19'!M11+'20'!M11+'22'!M11+'23'!M11+'21'!M11+'24'!M11+'25'!M11+'26'!M11+'27'!M11+'28'!M11+'29'!M11+'30'!M11+'31'!M11+'32'!M11+'33'!M11+'34'!M11+'35'!M11+'36'!M11+'37'!M11+'7'!M11</f>
        <v>62590</v>
      </c>
      <c r="L19" s="216">
        <f t="shared" si="6"/>
        <v>52.925756807035349</v>
      </c>
      <c r="N19" s="54"/>
    </row>
    <row r="20" spans="2:15" ht="12.75" customHeight="1">
      <c r="B20" s="10"/>
      <c r="C20" s="227"/>
      <c r="D20" s="306"/>
      <c r="E20" s="11"/>
      <c r="F20" s="268"/>
      <c r="G20" s="268"/>
      <c r="H20" s="268"/>
      <c r="I20" s="573"/>
      <c r="J20" s="268"/>
      <c r="K20" s="551"/>
      <c r="L20" s="84" t="str">
        <f t="shared" si="6"/>
        <v/>
      </c>
      <c r="N20" s="54"/>
    </row>
    <row r="21" spans="2:15" ht="15" customHeight="1">
      <c r="B21" s="10"/>
      <c r="C21" s="380">
        <v>612000</v>
      </c>
      <c r="D21" s="381"/>
      <c r="E21" s="382" t="s">
        <v>162</v>
      </c>
      <c r="F21" s="383">
        <f t="shared" ref="F21:K21" si="13">F22</f>
        <v>2108270</v>
      </c>
      <c r="G21" s="383">
        <f t="shared" si="13"/>
        <v>2108270</v>
      </c>
      <c r="H21" s="383">
        <f t="shared" si="13"/>
        <v>1548857</v>
      </c>
      <c r="I21" s="618">
        <f t="shared" si="13"/>
        <v>2087970</v>
      </c>
      <c r="J21" s="383">
        <f t="shared" si="13"/>
        <v>0</v>
      </c>
      <c r="K21" s="553">
        <f t="shared" si="13"/>
        <v>2087970</v>
      </c>
      <c r="L21" s="384">
        <f t="shared" si="6"/>
        <v>99.037125225896119</v>
      </c>
      <c r="N21" s="54"/>
      <c r="O21" s="54"/>
    </row>
    <row r="22" spans="2:15" s="1" customFormat="1" ht="15" customHeight="1">
      <c r="B22" s="12"/>
      <c r="C22" s="227">
        <v>612100</v>
      </c>
      <c r="D22" s="306"/>
      <c r="E22" s="13" t="s">
        <v>83</v>
      </c>
      <c r="F22" s="279">
        <f>'1'!H14+'3'!H19+'4'!H14+'5'!H14+'6'!H14+'8'!H14+'9'!H14+'10'!H14+'11'!H14+'12'!H14+'13'!H14+'14'!H14+'15'!H14+'16'!H17+'17'!H14+'18'!H14+'19'!H14+'20'!H14+'22'!H14+'23'!H14+'21'!H14+'24'!H14+'25'!H14+'26'!H14+'27'!H14+'28'!H14+'29'!H14+'30'!H14+'31'!H14+'32'!H14+'33'!H14+'34'!H14+'35'!H14+'36'!H14+'37'!H14+'7'!H14</f>
        <v>2108270</v>
      </c>
      <c r="G22" s="279">
        <f>'1'!I14+'3'!I19+'4'!I14+'5'!I14+'6'!I14+'8'!I14+'9'!I14+'10'!I14+'11'!I14+'12'!I14+'13'!I14+'14'!I14+'15'!I14+'16'!I17+'17'!I14+'18'!I14+'19'!I14+'20'!I14+'22'!I14+'23'!I14+'21'!I14+'24'!I14+'25'!I14+'26'!I14+'27'!I14+'28'!I14+'29'!I14+'30'!I14+'31'!I14+'32'!I14+'33'!I14+'34'!I14+'35'!I14+'36'!I14+'37'!I14+'7'!I14</f>
        <v>2108270</v>
      </c>
      <c r="H22" s="279">
        <f>'1'!J14+'3'!J19+'4'!J14+'5'!J14+'6'!J14+'8'!J14+'9'!J14+'10'!J14+'11'!J14+'12'!J14+'13'!J14+'14'!J14+'15'!J14+'16'!J17+'17'!J14+'18'!J14+'19'!J14+'20'!J14+'22'!J14+'23'!J14+'21'!J14+'24'!J14+'25'!J14+'26'!J14+'27'!J14+'28'!J14+'29'!J14+'30'!J14+'31'!J14+'32'!J14+'33'!J14+'34'!J14+'35'!J14+'36'!J14+'37'!J14+'7'!J14</f>
        <v>1548857</v>
      </c>
      <c r="I22" s="550">
        <f>'1'!K14+'3'!K19+'4'!K14+'5'!K14+'6'!K14+'8'!K14+'9'!K14+'10'!K14+'11'!K14+'12'!K14+'13'!K14+'14'!K14+'15'!K14+'16'!K17+'17'!K14+'18'!K14+'19'!K14+'20'!K14+'22'!K14+'23'!K14+'21'!K14+'24'!K14+'25'!K14+'26'!K14+'27'!K14+'28'!K14+'29'!K14+'30'!K14+'31'!K14+'32'!K14+'33'!K14+'34'!K14+'35'!K14+'36'!K14+'37'!K14+'7'!K14</f>
        <v>2087970</v>
      </c>
      <c r="J22" s="279">
        <f>'1'!L14+'3'!L19+'4'!L14+'5'!L14+'6'!L14+'8'!L14+'9'!L14+'10'!L14+'11'!L14+'12'!L14+'13'!L14+'14'!L14+'15'!L14+'16'!L17+'17'!L14+'18'!L14+'19'!L14+'20'!L14+'22'!L14+'23'!L14+'21'!L14+'24'!L14+'25'!L14+'26'!L14+'27'!L14+'28'!L14+'29'!L14+'30'!L14+'31'!L14+'32'!L14+'33'!L14+'34'!L14+'35'!L14+'36'!L14+'37'!L14+'7'!L14</f>
        <v>0</v>
      </c>
      <c r="K22" s="551">
        <f>'1'!M14+'3'!M19+'4'!M14+'5'!M14+'6'!M14+'8'!M14+'9'!M14+'10'!M14+'11'!M14+'12'!M14+'13'!M14+'14'!M14+'15'!M14+'16'!M17+'17'!M14+'18'!M14+'19'!M14+'20'!M14+'22'!M14+'23'!M14+'21'!M14+'24'!M14+'25'!M14+'26'!M14+'27'!M14+'28'!M14+'29'!M14+'30'!M14+'31'!M14+'32'!M14+'33'!M14+'34'!M14+'35'!M14+'36'!M14+'37'!M14+'7'!M14</f>
        <v>2087970</v>
      </c>
      <c r="L22" s="84">
        <f t="shared" si="6"/>
        <v>99.037125225896119</v>
      </c>
      <c r="N22" s="55"/>
    </row>
    <row r="23" spans="2:15" ht="11.25" customHeight="1">
      <c r="B23" s="10"/>
      <c r="C23" s="227"/>
      <c r="D23" s="306"/>
      <c r="E23" s="18"/>
      <c r="F23" s="279"/>
      <c r="G23" s="279"/>
      <c r="H23" s="279"/>
      <c r="I23" s="550"/>
      <c r="J23" s="279"/>
      <c r="K23" s="551"/>
      <c r="L23" s="84" t="str">
        <f t="shared" si="6"/>
        <v/>
      </c>
    </row>
    <row r="24" spans="2:15" ht="15" customHeight="1">
      <c r="B24" s="10"/>
      <c r="C24" s="380">
        <v>613000</v>
      </c>
      <c r="D24" s="381"/>
      <c r="E24" s="382" t="s">
        <v>164</v>
      </c>
      <c r="F24" s="383">
        <f t="shared" ref="F24:K24" si="14">F25+F26+F27+F28+F29+F30+F31+F34+F37</f>
        <v>4410130</v>
      </c>
      <c r="G24" s="383">
        <f t="shared" si="14"/>
        <v>4418290</v>
      </c>
      <c r="H24" s="383">
        <f t="shared" ref="H24" si="15">H25+H26+H27+H28+H29+H30+H31+H34+H37</f>
        <v>2697652</v>
      </c>
      <c r="I24" s="618">
        <f t="shared" si="14"/>
        <v>4022140</v>
      </c>
      <c r="J24" s="383">
        <f t="shared" si="14"/>
        <v>255240</v>
      </c>
      <c r="K24" s="553">
        <f t="shared" si="14"/>
        <v>4277380</v>
      </c>
      <c r="L24" s="384">
        <f t="shared" si="6"/>
        <v>96.810757102861061</v>
      </c>
      <c r="N24" s="77"/>
    </row>
    <row r="25" spans="2:15" s="1" customFormat="1" ht="15" customHeight="1">
      <c r="B25" s="12"/>
      <c r="C25" s="227">
        <v>613100</v>
      </c>
      <c r="D25" s="306"/>
      <c r="E25" s="11" t="s">
        <v>84</v>
      </c>
      <c r="F25" s="279">
        <f>'1'!H17+'3'!H22+'4'!H17+'5'!H17+'6'!H17+'8'!H17+'9'!H17+'10'!H17+'11'!H17+'12'!H17+'13'!H17+'14'!H17+'15'!H17+'16'!H20+'17'!H17+'18'!H17+'19'!H17+'20'!H17+'22'!H17+'23'!H17+'21'!H17+'24'!H17+'25'!H17+'26'!H17+'27'!H17+'28'!H17+'29'!H17+'30'!H17+'31'!H17+'32'!H17+'33'!H17+'34'!H17+'35'!H17+'36'!H17+'37'!H17+'7'!H17</f>
        <v>161600</v>
      </c>
      <c r="G25" s="279">
        <f>'1'!I17+'3'!I22+'4'!I17+'5'!I17+'6'!I17+'8'!I17+'9'!I17+'10'!I17+'11'!I17+'12'!I17+'13'!I17+'14'!I17+'15'!I17+'16'!I20+'17'!I17+'18'!I17+'19'!I17+'20'!I17+'22'!I17+'23'!I17+'21'!I17+'24'!I17+'25'!I17+'26'!I17+'27'!I17+'28'!I17+'29'!I17+'30'!I17+'31'!I17+'32'!I17+'33'!I17+'34'!I17+'35'!I17+'36'!I17+'37'!I17+'7'!I17</f>
        <v>162600</v>
      </c>
      <c r="H25" s="279">
        <f>'1'!J17+'3'!J22+'4'!J17+'5'!J17+'6'!J17+'8'!J17+'9'!J17+'10'!J17+'11'!J17+'12'!J17+'13'!J17+'14'!J17+'15'!J17+'16'!J20+'17'!J17+'18'!J17+'19'!J17+'20'!J17+'22'!J17+'23'!J17+'21'!J17+'24'!J17+'25'!J17+'26'!J17+'27'!J17+'28'!J17+'29'!J17+'30'!J17+'31'!J17+'32'!J17+'33'!J17+'34'!J17+'35'!J17+'36'!J17+'37'!J17+'7'!J17</f>
        <v>90003</v>
      </c>
      <c r="I25" s="550">
        <f>'1'!K17+'3'!K22+'4'!K17+'5'!K17+'6'!K17+'8'!K17+'9'!K17+'10'!K17+'11'!K17+'12'!K17+'13'!K17+'14'!K17+'15'!K17+'16'!K20+'17'!K17+'18'!K17+'19'!K17+'20'!K17+'22'!K17+'23'!K17+'21'!K17+'24'!K17+'25'!K17+'26'!K17+'27'!K17+'28'!K17+'29'!K17+'30'!K17+'31'!K17+'32'!K17+'33'!K17+'34'!K17+'35'!K17+'36'!K17+'37'!K17+'7'!K17</f>
        <v>152100</v>
      </c>
      <c r="J25" s="279">
        <f>'1'!L17+'3'!L22+'4'!L17+'5'!L17+'6'!L17+'8'!L17+'9'!L17+'10'!L17+'11'!L17+'12'!L17+'13'!L17+'14'!L17+'15'!L17+'16'!L20+'17'!L17+'18'!L17+'19'!L17+'20'!L17+'22'!L17+'23'!L17+'21'!L17+'24'!L17+'25'!L17+'26'!L17+'27'!L17+'28'!L17+'29'!L17+'30'!L17+'31'!L17+'32'!L17+'33'!L17+'34'!L17+'35'!L17+'36'!L17+'37'!L17+'7'!L17</f>
        <v>0</v>
      </c>
      <c r="K25" s="551">
        <f>'1'!M17+'3'!M22+'4'!M17+'5'!M17+'6'!M17+'8'!M17+'9'!M17+'10'!M17+'11'!M17+'12'!M17+'13'!M17+'14'!M17+'15'!M17+'16'!M20+'17'!M17+'18'!M17+'19'!M17+'20'!M17+'22'!M17+'23'!M17+'21'!M17+'24'!M17+'25'!M17+'26'!M17+'27'!M17+'28'!M17+'29'!M17+'30'!M17+'31'!M17+'32'!M17+'33'!M17+'34'!M17+'35'!M17+'36'!M17+'37'!M17+'7'!M17</f>
        <v>152100</v>
      </c>
      <c r="L25" s="84">
        <f t="shared" si="6"/>
        <v>93.542435424354238</v>
      </c>
      <c r="N25" s="55"/>
    </row>
    <row r="26" spans="2:15" ht="15" customHeight="1">
      <c r="B26" s="10"/>
      <c r="C26" s="227">
        <v>613200</v>
      </c>
      <c r="D26" s="306"/>
      <c r="E26" s="11" t="s">
        <v>85</v>
      </c>
      <c r="F26" s="279">
        <f>'1'!H18+'3'!H23+'4'!H18+'5'!H18+'6'!H18+'8'!H18+'9'!H18+'10'!H18+'11'!H18+'12'!H18+'13'!H18+'14'!H18+'15'!H18+'16'!H21+'17'!H18+'18'!H18+'19'!H18+'20'!H18+'22'!H18+'23'!H18+'21'!H18+'24'!H18+'25'!H18+'26'!H18+'27'!H18+'28'!H18+'29'!H18+'30'!H18+'31'!H18+'32'!H18+'33'!H18+'34'!H18+'35'!H18+'36'!H18+'37'!H18+'7'!H18</f>
        <v>748100</v>
      </c>
      <c r="G26" s="279">
        <f>'1'!I18+'3'!I23+'4'!I18+'5'!I18+'6'!I18+'8'!I18+'9'!I18+'10'!I18+'11'!I18+'12'!I18+'13'!I18+'14'!I18+'15'!I18+'16'!I21+'17'!I18+'18'!I18+'19'!I18+'20'!I18+'22'!I18+'23'!I18+'21'!I18+'24'!I18+'25'!I18+'26'!I18+'27'!I18+'28'!I18+'29'!I18+'30'!I18+'31'!I18+'32'!I18+'33'!I18+'34'!I18+'35'!I18+'36'!I18+'37'!I18+'7'!I18</f>
        <v>748100</v>
      </c>
      <c r="H26" s="279">
        <f>'1'!J18+'3'!J23+'4'!J18+'5'!J18+'6'!J18+'8'!J18+'9'!J18+'10'!J18+'11'!J18+'12'!J18+'13'!J18+'14'!J18+'15'!J18+'16'!J21+'17'!J18+'18'!J18+'19'!J18+'20'!J18+'22'!J18+'23'!J18+'21'!J18+'24'!J18+'25'!J18+'26'!J18+'27'!J18+'28'!J18+'29'!J18+'30'!J18+'31'!J18+'32'!J18+'33'!J18+'34'!J18+'35'!J18+'36'!J18+'37'!J18+'7'!J18</f>
        <v>472477</v>
      </c>
      <c r="I26" s="550">
        <f>'1'!K18+'3'!K23+'4'!K18+'5'!K18+'6'!K18+'8'!K18+'9'!K18+'10'!K18+'11'!K18+'12'!K18+'13'!K18+'14'!K18+'15'!K18+'16'!K21+'17'!K18+'18'!K18+'19'!K18+'20'!K18+'22'!K18+'23'!K18+'21'!K18+'24'!K18+'25'!K18+'26'!K18+'27'!K18+'28'!K18+'29'!K18+'30'!K18+'31'!K18+'32'!K18+'33'!K18+'34'!K18+'35'!K18+'36'!K18+'37'!K18+'7'!K18</f>
        <v>808600</v>
      </c>
      <c r="J26" s="279">
        <f>'1'!L18+'3'!L23+'4'!L18+'5'!L18+'6'!L18+'8'!L18+'9'!L18+'10'!L18+'11'!L18+'12'!L18+'13'!L18+'14'!L18+'15'!L18+'16'!L21+'17'!L18+'18'!L18+'19'!L18+'20'!L18+'22'!L18+'23'!L18+'21'!L18+'24'!L18+'25'!L18+'26'!L18+'27'!L18+'28'!L18+'29'!L18+'30'!L18+'31'!L18+'32'!L18+'33'!L18+'34'!L18+'35'!L18+'36'!L18+'37'!L18+'7'!L18</f>
        <v>0</v>
      </c>
      <c r="K26" s="551">
        <f>'1'!M18+'3'!M23+'4'!M18+'5'!M18+'6'!M18+'8'!M18+'9'!M18+'10'!M18+'11'!M18+'12'!M18+'13'!M18+'14'!M18+'15'!M18+'16'!M21+'17'!M18+'18'!M18+'19'!M18+'20'!M18+'22'!M18+'23'!M18+'21'!M18+'24'!M18+'25'!M18+'26'!M18+'27'!M18+'28'!M18+'29'!M18+'30'!M18+'31'!M18+'32'!M18+'33'!M18+'34'!M18+'35'!M18+'36'!M18+'37'!M18+'7'!M18</f>
        <v>808600</v>
      </c>
      <c r="L26" s="84">
        <f t="shared" si="6"/>
        <v>108.08715412378025</v>
      </c>
    </row>
    <row r="27" spans="2:15" ht="15" customHeight="1">
      <c r="B27" s="10"/>
      <c r="C27" s="227">
        <v>613300</v>
      </c>
      <c r="D27" s="306"/>
      <c r="E27" s="18" t="s">
        <v>200</v>
      </c>
      <c r="F27" s="279">
        <f>'1'!H19+'3'!H24+'4'!H19+'5'!H19+'6'!H19+'8'!H19+'9'!H19+'10'!H19+'11'!H19+'12'!H19+'13'!H19+'14'!H19+'15'!H19+'16'!H22+'17'!H19+'18'!H19+'19'!H19+'20'!H19+'22'!H19+'23'!H19+'21'!H19+'24'!H19+'25'!H19+'26'!H19+'27'!H19+'28'!H19+'29'!H19+'30'!H19+'31'!H19+'32'!H19+'33'!H19+'34'!H19+'35'!H19+'36'!H19+'37'!H19+'7'!H19</f>
        <v>438680</v>
      </c>
      <c r="G27" s="279">
        <f>'1'!I19+'3'!I24+'4'!I19+'5'!I19+'6'!I19+'8'!I19+'9'!I19+'10'!I19+'11'!I19+'12'!I19+'13'!I19+'14'!I19+'15'!I19+'16'!I22+'17'!I19+'18'!I19+'19'!I19+'20'!I19+'22'!I19+'23'!I19+'21'!I19+'24'!I19+'25'!I19+'26'!I19+'27'!I19+'28'!I19+'29'!I19+'30'!I19+'31'!I19+'32'!I19+'33'!I19+'34'!I19+'35'!I19+'36'!I19+'37'!I19+'7'!I19</f>
        <v>438580</v>
      </c>
      <c r="H27" s="279">
        <f>'1'!J19+'3'!J24+'4'!J19+'5'!J19+'6'!J19+'8'!J19+'9'!J19+'10'!J19+'11'!J19+'12'!J19+'13'!J19+'14'!J19+'15'!J19+'16'!J22+'17'!J19+'18'!J19+'19'!J19+'20'!J19+'22'!J19+'23'!J19+'21'!J19+'24'!J19+'25'!J19+'26'!J19+'27'!J19+'28'!J19+'29'!J19+'30'!J19+'31'!J19+'32'!J19+'33'!J19+'34'!J19+'35'!J19+'36'!J19+'37'!J19+'7'!J19</f>
        <v>273881</v>
      </c>
      <c r="I27" s="550">
        <f>'1'!K19+'3'!K24+'4'!K19+'5'!K19+'6'!K19+'8'!K19+'9'!K19+'10'!K19+'11'!K19+'12'!K19+'13'!K19+'14'!K19+'15'!K19+'16'!K22+'17'!K19+'18'!K19+'19'!K19+'20'!K19+'22'!K19+'23'!K19+'21'!K19+'24'!K19+'25'!K19+'26'!K19+'27'!K19+'28'!K19+'29'!K19+'30'!K19+'31'!K19+'32'!K19+'33'!K19+'34'!K19+'35'!K19+'36'!K19+'37'!K19+'7'!K19</f>
        <v>409180</v>
      </c>
      <c r="J27" s="279">
        <f>'1'!L19+'3'!L24+'4'!L19+'5'!L19+'6'!L19+'8'!L19+'9'!L19+'10'!L19+'11'!L19+'12'!L19+'13'!L19+'14'!L19+'15'!L19+'16'!L22+'17'!L19+'18'!L19+'19'!L19+'20'!L19+'22'!L19+'23'!L19+'21'!L19+'24'!L19+'25'!L19+'26'!L19+'27'!L19+'28'!L19+'29'!L19+'30'!L19+'31'!L19+'32'!L19+'33'!L19+'34'!L19+'35'!L19+'36'!L19+'37'!L19+'7'!L19</f>
        <v>0</v>
      </c>
      <c r="K27" s="551">
        <f>'1'!M19+'3'!M24+'4'!M19+'5'!M19+'6'!M19+'8'!M19+'9'!M19+'10'!M19+'11'!M19+'12'!M19+'13'!M19+'14'!M19+'15'!M19+'16'!M22+'17'!M19+'18'!M19+'19'!M19+'20'!M19+'22'!M19+'23'!M19+'21'!M19+'24'!M19+'25'!M19+'26'!M19+'27'!M19+'28'!M19+'29'!M19+'30'!M19+'31'!M19+'32'!M19+'33'!M19+'34'!M19+'35'!M19+'36'!M19+'37'!M19+'7'!M19</f>
        <v>409180</v>
      </c>
      <c r="L27" s="84">
        <f t="shared" si="6"/>
        <v>93.296547950202921</v>
      </c>
    </row>
    <row r="28" spans="2:15" ht="15" customHeight="1">
      <c r="B28" s="10"/>
      <c r="C28" s="227">
        <v>613400</v>
      </c>
      <c r="D28" s="306"/>
      <c r="E28" s="18" t="s">
        <v>165</v>
      </c>
      <c r="F28" s="279">
        <f>'1'!H20+'3'!H25+'4'!H20+'5'!H20+'6'!H20+'8'!H20+'9'!H20+'10'!H20+'11'!H20+'12'!H20+'13'!H20+'14'!H20+'15'!H20+'16'!H23+'17'!H20+'18'!H20+'19'!H20+'20'!H20+'22'!H20+'23'!H20+'21'!H20+'24'!H20+'25'!H20+'26'!H20+'27'!H20+'28'!H20+'29'!H20+'30'!H20+'31'!H20+'32'!H20+'33'!H20+'34'!H20+'35'!H20+'36'!H20+'37'!H20+'7'!H20</f>
        <v>514650</v>
      </c>
      <c r="G28" s="279">
        <f>'1'!I20+'3'!I25+'4'!I20+'5'!I20+'6'!I20+'8'!I20+'9'!I20+'10'!I20+'11'!I20+'12'!I20+'13'!I20+'14'!I20+'15'!I20+'16'!I23+'17'!I20+'18'!I20+'19'!I20+'20'!I20+'22'!I20+'23'!I20+'21'!I20+'24'!I20+'25'!I20+'26'!I20+'27'!I20+'28'!I20+'29'!I20+'30'!I20+'31'!I20+'32'!I20+'33'!I20+'34'!I20+'35'!I20+'36'!I20+'37'!I20+'7'!I20</f>
        <v>523410</v>
      </c>
      <c r="H28" s="279">
        <f>'1'!J20+'3'!J25+'4'!J20+'5'!J20+'6'!J20+'8'!J20+'9'!J20+'10'!J20+'11'!J20+'12'!J20+'13'!J20+'14'!J20+'15'!J20+'16'!J23+'17'!J20+'18'!J20+'19'!J20+'20'!J20+'22'!J20+'23'!J20+'21'!J20+'24'!J20+'25'!J20+'26'!J20+'27'!J20+'28'!J20+'29'!J20+'30'!J20+'31'!J20+'32'!J20+'33'!J20+'34'!J20+'35'!J20+'36'!J20+'37'!J20+'7'!J20</f>
        <v>279709</v>
      </c>
      <c r="I28" s="550">
        <f>'1'!K20+'3'!K25+'4'!K20+'5'!K20+'6'!K20+'8'!K20+'9'!K20+'10'!K20+'11'!K20+'12'!K20+'13'!K20+'14'!K20+'15'!K20+'16'!K23+'17'!K20+'18'!K20+'19'!K20+'20'!K20+'22'!K20+'23'!K20+'21'!K20+'24'!K20+'25'!K20+'26'!K20+'27'!K20+'28'!K20+'29'!K20+'30'!K20+'31'!K20+'32'!K20+'33'!K20+'34'!K20+'35'!K20+'36'!K20+'37'!K20+'7'!K20</f>
        <v>463280</v>
      </c>
      <c r="J28" s="279">
        <f>'1'!L20+'3'!L25+'4'!L20+'5'!L20+'6'!L20+'8'!L20+'9'!L20+'10'!L20+'11'!L20+'12'!L20+'13'!L20+'14'!L20+'15'!L20+'16'!L23+'17'!L20+'18'!L20+'19'!L20+'20'!L20+'22'!L20+'23'!L20+'21'!L20+'24'!L20+'25'!L20+'26'!L20+'27'!L20+'28'!L20+'29'!L20+'30'!L20+'31'!L20+'32'!L20+'33'!L20+'34'!L20+'35'!L20+'36'!L20+'37'!L20+'7'!L20</f>
        <v>8160</v>
      </c>
      <c r="K28" s="551">
        <f>'1'!M20+'3'!M25+'4'!M20+'5'!M20+'6'!M20+'8'!M20+'9'!M20+'10'!M20+'11'!M20+'12'!M20+'13'!M20+'14'!M20+'15'!M20+'16'!M23+'17'!M20+'18'!M20+'19'!M20+'20'!M20+'22'!M20+'23'!M20+'21'!M20+'24'!M20+'25'!M20+'26'!M20+'27'!M20+'28'!M20+'29'!M20+'30'!M20+'31'!M20+'32'!M20+'33'!M20+'34'!M20+'35'!M20+'36'!M20+'37'!M20+'7'!M20</f>
        <v>471440</v>
      </c>
      <c r="L28" s="84">
        <f t="shared" si="6"/>
        <v>90.070881335855262</v>
      </c>
    </row>
    <row r="29" spans="2:15" ht="15" customHeight="1">
      <c r="B29" s="10"/>
      <c r="C29" s="227">
        <v>613500</v>
      </c>
      <c r="D29" s="306"/>
      <c r="E29" s="14" t="s">
        <v>86</v>
      </c>
      <c r="F29" s="283">
        <f>'1'!H21+'3'!H26+'4'!H21+'5'!H21+'6'!H21+'8'!H21+'9'!H21+'10'!H21+'11'!H21+'12'!H21+'13'!H21+'14'!H21+'15'!H21+'16'!H24+'17'!H21+'18'!H21+'19'!H21+'20'!H21+'22'!H21+'23'!H21+'21'!H21+'24'!H21+'25'!H21+'26'!H21+'27'!H21+'28'!H21+'29'!H21+'30'!H21+'31'!H21+'32'!H21+'33'!H21+'34'!H21+'35'!H21+'36'!H21+'37'!H21+'7'!H21</f>
        <v>210500</v>
      </c>
      <c r="G29" s="283">
        <f>'1'!I21+'3'!I26+'4'!I21+'5'!I21+'6'!I21+'8'!I21+'9'!I21+'10'!I21+'11'!I21+'12'!I21+'13'!I21+'14'!I21+'15'!I21+'16'!I24+'17'!I21+'18'!I21+'19'!I21+'20'!I21+'22'!I21+'23'!I21+'21'!I21+'24'!I21+'25'!I21+'26'!I21+'27'!I21+'28'!I21+'29'!I21+'30'!I21+'31'!I21+'32'!I21+'33'!I21+'34'!I21+'35'!I21+'36'!I21+'37'!I21+'7'!I21</f>
        <v>210500</v>
      </c>
      <c r="H29" s="283">
        <f>'1'!J21+'3'!J26+'4'!J21+'5'!J21+'6'!J21+'8'!J21+'9'!J21+'10'!J21+'11'!J21+'12'!J21+'13'!J21+'14'!J21+'15'!J21+'16'!J24+'17'!J21+'18'!J21+'19'!J21+'20'!J21+'22'!J21+'23'!J21+'21'!J21+'24'!J21+'25'!J21+'26'!J21+'27'!J21+'28'!J21+'29'!J21+'30'!J21+'31'!J21+'32'!J21+'33'!J21+'34'!J21+'35'!J21+'36'!J21+'37'!J21+'7'!J21</f>
        <v>153886</v>
      </c>
      <c r="I29" s="556">
        <f>'1'!K21+'3'!K26+'4'!K21+'5'!K21+'6'!K21+'8'!K21+'9'!K21+'10'!K21+'11'!K21+'12'!K21+'13'!K21+'14'!K21+'15'!K21+'16'!K24+'17'!K21+'18'!K21+'19'!K21+'20'!K21+'22'!K21+'23'!K21+'21'!K21+'24'!K21+'25'!K21+'26'!K21+'27'!K21+'28'!K21+'29'!K21+'30'!K21+'31'!K21+'32'!K21+'33'!K21+'34'!K21+'35'!K21+'36'!K21+'37'!K21+'7'!K21</f>
        <v>222300</v>
      </c>
      <c r="J29" s="283">
        <f>'1'!L21+'3'!L26+'4'!L21+'5'!L21+'6'!L21+'8'!L21+'9'!L21+'10'!L21+'11'!L21+'12'!L21+'13'!L21+'14'!L21+'15'!L21+'16'!L24+'17'!L21+'18'!L21+'19'!L21+'20'!L21+'22'!L21+'23'!L21+'21'!L21+'24'!L21+'25'!L21+'26'!L21+'27'!L21+'28'!L21+'29'!L21+'30'!L21+'31'!L21+'32'!L21+'33'!L21+'34'!L21+'35'!L21+'36'!L21+'37'!L21+'7'!L21</f>
        <v>0</v>
      </c>
      <c r="K29" s="551">
        <f>'1'!M21+'3'!M26+'4'!M21+'5'!M21+'6'!M21+'8'!M21+'9'!M21+'10'!M21+'11'!M21+'12'!M21+'13'!M21+'14'!M21+'15'!M21+'16'!M24+'17'!M21+'18'!M21+'19'!M21+'20'!M21+'22'!M21+'23'!M21+'21'!M21+'24'!M21+'25'!M21+'26'!M21+'27'!M21+'28'!M21+'29'!M21+'30'!M21+'31'!M21+'32'!M21+'33'!M21+'34'!M21+'35'!M21+'36'!M21+'37'!M21+'7'!M21</f>
        <v>222300</v>
      </c>
      <c r="L29" s="84">
        <f t="shared" si="6"/>
        <v>105.60570071258908</v>
      </c>
    </row>
    <row r="30" spans="2:15" ht="15" customHeight="1">
      <c r="B30" s="10"/>
      <c r="C30" s="227">
        <v>613600</v>
      </c>
      <c r="D30" s="306"/>
      <c r="E30" s="64" t="s">
        <v>201</v>
      </c>
      <c r="F30" s="283">
        <f>'1'!H22+'3'!H27+'4'!H22+'5'!H22+'6'!H22+'8'!H22+'9'!H22+'10'!H22+'11'!H22+'12'!H22+'13'!H22+'14'!H22+'15'!H22+'16'!H25+'17'!H22+'18'!H22+'19'!H22+'20'!H22+'22'!H22+'23'!H22+'21'!H22+'24'!H22+'25'!H22+'26'!H22+'27'!H22+'28'!H22+'29'!H22+'30'!H22+'31'!H22+'32'!H22+'33'!H22+'34'!H22+'35'!H22+'36'!H22+'37'!H22+'7'!H22</f>
        <v>38500</v>
      </c>
      <c r="G30" s="283">
        <f>'1'!I22+'3'!I27+'4'!I22+'5'!I22+'6'!I22+'8'!I22+'9'!I22+'10'!I22+'11'!I22+'12'!I22+'13'!I22+'14'!I22+'15'!I22+'16'!I25+'17'!I22+'18'!I22+'19'!I22+'20'!I22+'22'!I22+'23'!I22+'21'!I22+'24'!I22+'25'!I22+'26'!I22+'27'!I22+'28'!I22+'29'!I22+'30'!I22+'31'!I22+'32'!I22+'33'!I22+'34'!I22+'35'!I22+'36'!I22+'37'!I22+'7'!I22</f>
        <v>38500</v>
      </c>
      <c r="H30" s="283">
        <f>'1'!J22+'3'!J27+'4'!J22+'5'!J22+'6'!J22+'8'!J22+'9'!J22+'10'!J22+'11'!J22+'12'!J22+'13'!J22+'14'!J22+'15'!J22+'16'!J25+'17'!J22+'18'!J22+'19'!J22+'20'!J22+'22'!J22+'23'!J22+'21'!J22+'24'!J22+'25'!J22+'26'!J22+'27'!J22+'28'!J22+'29'!J22+'30'!J22+'31'!J22+'32'!J22+'33'!J22+'34'!J22+'35'!J22+'36'!J22+'37'!J22+'7'!J22</f>
        <v>27586</v>
      </c>
      <c r="I30" s="556">
        <f>'1'!K22+'3'!K27+'4'!K22+'5'!K22+'6'!K22+'8'!K22+'9'!K22+'10'!K22+'11'!K22+'12'!K22+'13'!K22+'14'!K22+'15'!K22+'16'!K25+'17'!K22+'18'!K22+'19'!K22+'20'!K22+'22'!K22+'23'!K22+'21'!K22+'24'!K22+'25'!K22+'26'!K22+'27'!K22+'28'!K22+'29'!K22+'30'!K22+'31'!K22+'32'!K22+'33'!K22+'34'!K22+'35'!K22+'36'!K22+'37'!K22+'7'!K22</f>
        <v>36050</v>
      </c>
      <c r="J30" s="283">
        <f>'1'!L22+'3'!L27+'4'!L22+'5'!L22+'6'!L22+'8'!L22+'9'!L22+'10'!L22+'11'!L22+'12'!L22+'13'!L22+'14'!L22+'15'!L22+'16'!L25+'17'!L22+'18'!L22+'19'!L22+'20'!L22+'22'!L22+'23'!L22+'21'!L22+'24'!L22+'25'!L22+'26'!L22+'27'!L22+'28'!L22+'29'!L22+'30'!L22+'31'!L22+'32'!L22+'33'!L22+'34'!L22+'35'!L22+'36'!L22+'37'!L22+'7'!L22</f>
        <v>0</v>
      </c>
      <c r="K30" s="551">
        <f>'1'!M22+'3'!M27+'4'!M22+'5'!M22+'6'!M22+'8'!M22+'9'!M22+'10'!M22+'11'!M22+'12'!M22+'13'!M22+'14'!M22+'15'!M22+'16'!M25+'17'!M22+'18'!M22+'19'!M22+'20'!M22+'22'!M22+'23'!M22+'21'!M22+'24'!M22+'25'!M22+'26'!M22+'27'!M22+'28'!M22+'29'!M22+'30'!M22+'31'!M22+'32'!M22+'33'!M22+'34'!M22+'35'!M22+'36'!M22+'37'!M22+'7'!M22</f>
        <v>36050</v>
      </c>
      <c r="L30" s="84">
        <f t="shared" si="6"/>
        <v>93.63636363636364</v>
      </c>
    </row>
    <row r="31" spans="2:15" ht="15" customHeight="1">
      <c r="B31" s="10"/>
      <c r="C31" s="227">
        <v>613700</v>
      </c>
      <c r="D31" s="306"/>
      <c r="E31" s="14" t="s">
        <v>87</v>
      </c>
      <c r="F31" s="283">
        <f t="shared" ref="F31:G31" si="16">F32+F33</f>
        <v>514800</v>
      </c>
      <c r="G31" s="283">
        <f t="shared" si="16"/>
        <v>514800</v>
      </c>
      <c r="H31" s="283">
        <f t="shared" ref="H31" si="17">H32+H33</f>
        <v>323468</v>
      </c>
      <c r="I31" s="556">
        <f t="shared" ref="I31:J31" si="18">I32+I33</f>
        <v>321580</v>
      </c>
      <c r="J31" s="283">
        <f t="shared" si="18"/>
        <v>195000</v>
      </c>
      <c r="K31" s="551">
        <f t="shared" ref="K31" si="19">K32+K33</f>
        <v>516580</v>
      </c>
      <c r="L31" s="84">
        <f t="shared" si="6"/>
        <v>100.34576534576533</v>
      </c>
    </row>
    <row r="32" spans="2:15" ht="15" customHeight="1">
      <c r="B32" s="10"/>
      <c r="C32" s="228">
        <v>613700</v>
      </c>
      <c r="D32" s="307"/>
      <c r="E32" s="217" t="s">
        <v>549</v>
      </c>
      <c r="F32" s="289">
        <f>'1'!H23+'3'!H28+'4'!H23+'5'!H23+'6'!H23+'8'!H23+'9'!H23+'10'!H23+'11'!H23+'12'!H23+'13'!H23+'14'!H23+'15'!H23+'16'!H26+'17'!H23+'18'!H23+'19'!H23+'20'!H23+'22'!H23+'23'!H23+'21'!H23+'24'!H23+'25'!H23+'26'!H23+'27'!H23+'28'!H23+'29'!H23+'30'!H23+'31'!H23+'32'!H23+'33'!H23+'34'!H23+'35'!H23+'36'!H23+'37'!H23+'7'!H23</f>
        <v>314800</v>
      </c>
      <c r="G32" s="289">
        <f>'1'!I23+'3'!I28+'4'!I23+'5'!I23+'6'!I23+'8'!I23+'9'!I23+'10'!I23+'11'!I23+'12'!I23+'13'!I23+'14'!I23+'15'!I23+'16'!I26+'17'!I23+'18'!I23+'19'!I23+'20'!I23+'22'!I23+'23'!I23+'21'!I23+'24'!I23+'25'!I23+'26'!I23+'27'!I23+'28'!I23+'29'!I23+'30'!I23+'31'!I23+'32'!I23+'33'!I23+'34'!I23+'35'!I23+'36'!I23+'37'!I23+'7'!I23</f>
        <v>314800</v>
      </c>
      <c r="H32" s="289">
        <f>'1'!J23+'3'!J28+'4'!J23+'5'!J23+'6'!J23+'8'!J23+'9'!J23+'10'!J23+'11'!J23+'12'!J23+'13'!J23+'14'!J23+'15'!J23+'16'!J26+'17'!J23+'18'!J23+'19'!J23+'20'!J23+'22'!J23+'23'!J23+'21'!J23+'24'!J23+'25'!J23+'26'!J23+'27'!J23+'28'!J23+'29'!J23+'30'!J23+'31'!J23+'32'!J23+'33'!J23+'34'!J23+'35'!J23+'36'!J23+'37'!J23+'7'!J23</f>
        <v>196521</v>
      </c>
      <c r="I32" s="621">
        <f>'1'!K23+'3'!K28+'4'!K23+'5'!K23+'6'!K23+'8'!K23+'9'!K23+'10'!K23+'11'!K23+'12'!K23+'13'!K23+'14'!K23+'15'!K23+'16'!K26+'17'!K23+'18'!K23+'19'!K23+'20'!K23+'22'!K23+'23'!K23+'21'!K23+'24'!K23+'25'!K23+'26'!K23+'27'!K23+'28'!K23+'29'!K23+'30'!K23+'31'!K23+'32'!K23+'33'!K23+'34'!K23+'35'!K23+'36'!K23+'37'!K23+'7'!K23</f>
        <v>321580</v>
      </c>
      <c r="J32" s="289">
        <f>'1'!L23+'3'!L28+'4'!L23+'5'!L23+'6'!L23+'8'!L23+'9'!L23+'10'!L23+'11'!L23+'12'!L23+'13'!L23+'14'!L23+'15'!L23+'16'!L26+'17'!L23+'18'!L23+'19'!L23+'20'!L23+'22'!L23+'23'!L23+'21'!L23+'24'!L23+'25'!L23+'26'!L23+'27'!L23+'28'!L23+'29'!L23+'30'!L23+'31'!L23+'32'!L23+'33'!L23+'34'!L23+'35'!L23+'36'!L23+'37'!L23+'7'!L23</f>
        <v>0</v>
      </c>
      <c r="K32" s="620">
        <f>'1'!M23+'3'!M28+'4'!M23+'5'!M23+'6'!M23+'8'!M23+'9'!M23+'10'!M23+'11'!M23+'12'!M23+'13'!M23+'14'!M23+'15'!M23+'16'!M26+'17'!M23+'18'!M23+'19'!M23+'20'!M23+'22'!M23+'23'!M23+'21'!M23+'24'!M23+'25'!M23+'26'!M23+'27'!M23+'28'!M23+'29'!M23+'30'!M23+'31'!M23+'32'!M23+'33'!M23+'34'!M23+'35'!M23+'36'!M23+'37'!M23+'7'!M23</f>
        <v>321580</v>
      </c>
      <c r="L32" s="216">
        <f t="shared" si="6"/>
        <v>102.15374841168996</v>
      </c>
    </row>
    <row r="33" spans="2:14" ht="15" customHeight="1">
      <c r="B33" s="10"/>
      <c r="C33" s="228">
        <v>613700</v>
      </c>
      <c r="D33" s="307" t="s">
        <v>673</v>
      </c>
      <c r="E33" s="217" t="s">
        <v>550</v>
      </c>
      <c r="F33" s="289">
        <f>'18'!H24</f>
        <v>200000</v>
      </c>
      <c r="G33" s="289">
        <f>'18'!I24</f>
        <v>200000</v>
      </c>
      <c r="H33" s="289">
        <f>'18'!J24</f>
        <v>126947</v>
      </c>
      <c r="I33" s="621">
        <f>'18'!K24</f>
        <v>0</v>
      </c>
      <c r="J33" s="289">
        <f>'18'!L24</f>
        <v>195000</v>
      </c>
      <c r="K33" s="620">
        <f>'18'!M24</f>
        <v>195000</v>
      </c>
      <c r="L33" s="216">
        <f t="shared" si="6"/>
        <v>97.5</v>
      </c>
    </row>
    <row r="34" spans="2:14" ht="15" customHeight="1">
      <c r="B34" s="10"/>
      <c r="C34" s="227">
        <v>613800</v>
      </c>
      <c r="D34" s="306"/>
      <c r="E34" s="64" t="s">
        <v>166</v>
      </c>
      <c r="F34" s="283">
        <f t="shared" ref="F34:K34" si="20">F35+F36</f>
        <v>41500</v>
      </c>
      <c r="G34" s="283">
        <f t="shared" si="20"/>
        <v>41500</v>
      </c>
      <c r="H34" s="283">
        <f t="shared" ref="H34" si="21">H35+H36</f>
        <v>26021</v>
      </c>
      <c r="I34" s="556">
        <f t="shared" si="20"/>
        <v>43240</v>
      </c>
      <c r="J34" s="283">
        <f t="shared" si="20"/>
        <v>0</v>
      </c>
      <c r="K34" s="551">
        <f t="shared" si="20"/>
        <v>43240</v>
      </c>
      <c r="L34" s="84">
        <f t="shared" si="6"/>
        <v>104.19277108433735</v>
      </c>
    </row>
    <row r="35" spans="2:14" ht="15" customHeight="1">
      <c r="B35" s="10"/>
      <c r="C35" s="228">
        <v>613800</v>
      </c>
      <c r="D35" s="307"/>
      <c r="E35" s="217" t="s">
        <v>551</v>
      </c>
      <c r="F35" s="289">
        <f>'1'!H24+'3'!H29+'4'!H24+'5'!H24+'6'!H24+'8'!H24+'9'!H24+'10'!H24+'11'!H24+'12'!H24+'13'!H24+'14'!H24+'15'!H24+'16'!H27+'17'!H24+'18'!H25+'19'!H24+'20'!H24+'22'!H24+'23'!H24+'21'!H24+'24'!H24+'25'!H24+'26'!H24+'27'!H24+'28'!H24+'29'!H24+'30'!H24+'31'!H24+'32'!H24+'33'!H24+'34'!H24+'35'!H24+'36'!H24+'37'!H24+'7'!H24</f>
        <v>41500</v>
      </c>
      <c r="G35" s="289">
        <f>'1'!I24+'3'!I29+'4'!I24+'5'!I24+'6'!I24+'8'!I24+'9'!I24+'10'!I24+'11'!I24+'12'!I24+'13'!I24+'14'!I24+'15'!I24+'16'!I27+'17'!I24+'18'!I25+'19'!I24+'20'!I24+'22'!I24+'23'!I24+'21'!I24+'24'!I24+'25'!I24+'26'!I24+'27'!I24+'28'!I24+'29'!I24+'30'!I24+'31'!I24+'32'!I24+'33'!I24+'34'!I24+'35'!I24+'36'!I24+'37'!I24+'7'!I24</f>
        <v>41500</v>
      </c>
      <c r="H35" s="289">
        <f>'1'!J24+'3'!J29+'4'!J24+'5'!J24+'6'!J24+'8'!J24+'9'!J24+'10'!J24+'11'!J24+'12'!J24+'13'!J24+'14'!J24+'15'!J24+'16'!J27+'17'!J24+'18'!J25+'19'!J24+'20'!J24+'22'!J24+'23'!J24+'21'!J24+'24'!J24+'25'!J24+'26'!J24+'27'!J24+'28'!J24+'29'!J24+'30'!J24+'31'!J24+'32'!J24+'33'!J24+'34'!J24+'35'!J24+'36'!J24+'37'!J24+'7'!J24</f>
        <v>26021</v>
      </c>
      <c r="I35" s="621">
        <f>'1'!K24+'3'!K29+'4'!K24+'5'!K24+'6'!K24+'8'!K24+'9'!K24+'10'!K24+'11'!K24+'12'!K24+'13'!K24+'14'!K24+'15'!K24+'16'!K27+'17'!K24+'18'!K25+'19'!K24+'20'!K24+'22'!K24+'23'!K24+'21'!K24+'24'!K24+'25'!K24+'26'!K24+'27'!K24+'28'!K24+'29'!K24+'30'!K24+'31'!K24+'32'!K24+'33'!K24+'34'!K24+'35'!K24+'36'!K24+'37'!K24+'7'!K24</f>
        <v>43240</v>
      </c>
      <c r="J35" s="289">
        <f>'1'!L24+'3'!L29+'4'!L24+'5'!L24+'6'!L24+'8'!L24+'9'!L24+'10'!L24+'11'!L24+'12'!L24+'13'!L24+'14'!L24+'15'!L24+'16'!L27+'17'!L24+'18'!L25+'19'!L24+'20'!L24+'22'!L24+'23'!L24+'21'!L24+'24'!L24+'25'!L24+'26'!L24+'27'!L24+'28'!L24+'29'!L24+'30'!L24+'31'!L24+'32'!L24+'33'!L24+'34'!L24+'35'!L24+'36'!L24+'37'!L24+'7'!L24</f>
        <v>0</v>
      </c>
      <c r="K35" s="620">
        <f>'1'!M24+'3'!M29+'4'!M24+'5'!M24+'6'!M24+'8'!M24+'9'!M24+'10'!M24+'11'!M24+'12'!M24+'13'!M24+'14'!M24+'15'!M24+'16'!M27+'17'!M24+'18'!M25+'19'!M24+'20'!M24+'22'!M24+'23'!M24+'21'!M24+'24'!M24+'25'!M24+'26'!M24+'27'!M24+'28'!M24+'29'!M24+'30'!M24+'31'!M24+'32'!M24+'33'!M24+'34'!M24+'35'!M24+'36'!M24+'37'!M24+'7'!M24</f>
        <v>43240</v>
      </c>
      <c r="L35" s="216">
        <f t="shared" si="6"/>
        <v>104.19277108433735</v>
      </c>
    </row>
    <row r="36" spans="2:14" ht="15" customHeight="1">
      <c r="B36" s="10"/>
      <c r="C36" s="228">
        <v>613800</v>
      </c>
      <c r="D36" s="307"/>
      <c r="E36" s="215" t="s">
        <v>552</v>
      </c>
      <c r="F36" s="287">
        <f>'20'!H25</f>
        <v>0</v>
      </c>
      <c r="G36" s="287">
        <f>'20'!I25</f>
        <v>0</v>
      </c>
      <c r="H36" s="287">
        <f>'20'!J25</f>
        <v>0</v>
      </c>
      <c r="I36" s="619">
        <f>'20'!K25</f>
        <v>0</v>
      </c>
      <c r="J36" s="287">
        <f>'20'!L25</f>
        <v>0</v>
      </c>
      <c r="K36" s="620">
        <f>'20'!M25</f>
        <v>0</v>
      </c>
      <c r="L36" s="216" t="str">
        <f t="shared" si="6"/>
        <v/>
      </c>
    </row>
    <row r="37" spans="2:14" ht="15" customHeight="1">
      <c r="B37" s="10"/>
      <c r="C37" s="229">
        <v>613900</v>
      </c>
      <c r="D37" s="308"/>
      <c r="E37" s="64" t="s">
        <v>167</v>
      </c>
      <c r="F37" s="71">
        <f t="shared" ref="F37:K37" si="22">SUM(F38:F44)</f>
        <v>1741800</v>
      </c>
      <c r="G37" s="71">
        <f t="shared" si="22"/>
        <v>1740300</v>
      </c>
      <c r="H37" s="71">
        <f t="shared" ref="H37" si="23">SUM(H38:H44)</f>
        <v>1050621</v>
      </c>
      <c r="I37" s="622">
        <f t="shared" si="22"/>
        <v>1565810</v>
      </c>
      <c r="J37" s="71">
        <f t="shared" si="22"/>
        <v>52080</v>
      </c>
      <c r="K37" s="623">
        <f t="shared" si="22"/>
        <v>1617890</v>
      </c>
      <c r="L37" s="84">
        <f t="shared" si="6"/>
        <v>92.966155260587257</v>
      </c>
    </row>
    <row r="38" spans="2:14" ht="15" customHeight="1">
      <c r="B38" s="10"/>
      <c r="C38" s="230">
        <v>613900</v>
      </c>
      <c r="D38" s="309"/>
      <c r="E38" s="217" t="s">
        <v>553</v>
      </c>
      <c r="F38" s="290">
        <f>'1'!H25+'3'!H30+'4'!H25+'5'!H25+'6'!H25+'8'!H25+'9'!H25+'10'!H25+'11'!H25+'12'!H25+'13'!H25+'14'!H25+'15'!H25+'16'!H28+'17'!H25+'18'!H26+'19'!H25+'20'!H26+'22'!H25+'23'!H25+'21'!H25+'24'!H25+'25'!H25+'26'!H25+'27'!H25+'28'!H25+'29'!H25+'30'!H25+'31'!H25+'32'!H25+'33'!H25+'34'!H25+'35'!H25+'36'!H25+'37'!H25+'7'!H25</f>
        <v>1400700</v>
      </c>
      <c r="G38" s="290">
        <f>'1'!I25+'3'!I30+'4'!I25+'5'!I25+'6'!I25+'8'!I25+'9'!I25+'10'!I25+'11'!I25+'12'!I25+'13'!I25+'14'!I25+'15'!I25+'16'!I28+'17'!I25+'18'!I26+'19'!I25+'20'!I26+'22'!I25+'23'!I25+'21'!I25+'24'!I25+'25'!I25+'26'!I25+'27'!I25+'28'!I25+'29'!I25+'30'!I25+'31'!I25+'32'!I25+'33'!I25+'34'!I25+'35'!I25+'36'!I25+'37'!I25+'7'!I25</f>
        <v>1399200</v>
      </c>
      <c r="H38" s="290">
        <f>'1'!J25+'3'!J30+'4'!J25+'5'!J25+'6'!J25+'8'!J25+'9'!J25+'10'!J25+'11'!J25+'12'!J25+'13'!J25+'14'!J25+'15'!J25+'16'!J28+'17'!J25+'18'!J26+'19'!J25+'20'!J26+'22'!J25+'23'!J25+'21'!J25+'24'!J25+'25'!J25+'26'!J25+'27'!J25+'28'!J25+'29'!J25+'30'!J25+'31'!J25+'32'!J25+'33'!J25+'34'!J25+'35'!J25+'36'!J25+'37'!J25+'7'!J25</f>
        <v>893295</v>
      </c>
      <c r="I38" s="624">
        <f>'1'!K25+'3'!K30+'4'!K25+'5'!K25+'6'!K25+'8'!K25+'9'!K25+'10'!K25+'11'!K25+'12'!K25+'13'!K25+'14'!K25+'15'!K25+'16'!K28+'17'!K25+'18'!K26+'19'!K25+'20'!K26+'22'!K25+'23'!K25+'21'!K25+'24'!K25+'25'!K25+'26'!K25+'27'!K25+'28'!K25+'29'!K25+'30'!K25+'31'!K25+'32'!K25+'33'!K25+'34'!K25+'35'!K25+'36'!K25+'37'!K25+'7'!K25</f>
        <v>1342000</v>
      </c>
      <c r="J38" s="290">
        <f>'1'!L25+'3'!L30+'4'!L25+'5'!L25+'6'!L25+'8'!L25+'9'!L25+'10'!L25+'11'!L25+'12'!L25+'13'!L25+'14'!L25+'15'!L25+'16'!L28+'17'!L25+'18'!L26+'19'!L25+'20'!L26+'22'!L25+'23'!L25+'21'!L25+'24'!L25+'25'!L25+'26'!L25+'27'!L25+'28'!L25+'29'!L25+'30'!L25+'31'!L25+'32'!L25+'33'!L25+'34'!L25+'35'!L25+'36'!L25+'37'!L25+'7'!L25</f>
        <v>2080</v>
      </c>
      <c r="K38" s="625">
        <f>'1'!M25+'3'!M30+'4'!M25+'5'!M25+'6'!M25+'8'!M25+'9'!M25+'10'!M25+'11'!M25+'12'!M25+'13'!M25+'14'!M25+'15'!M25+'16'!M28+'17'!M25+'18'!M26+'19'!M25+'20'!M26+'22'!M25+'23'!M25+'21'!M25+'24'!M25+'25'!M25+'26'!M25+'27'!M25+'28'!M25+'29'!M25+'30'!M25+'31'!M25+'32'!M25+'33'!M25+'34'!M25+'35'!M25+'36'!M25+'37'!M25+'7'!M25</f>
        <v>1344080</v>
      </c>
      <c r="L38" s="216">
        <f t="shared" si="6"/>
        <v>96.060606060606062</v>
      </c>
    </row>
    <row r="39" spans="2:14" ht="15" customHeight="1">
      <c r="B39" s="10"/>
      <c r="C39" s="228">
        <v>613900</v>
      </c>
      <c r="D39" s="307" t="s">
        <v>652</v>
      </c>
      <c r="E39" s="215" t="s">
        <v>554</v>
      </c>
      <c r="F39" s="287">
        <f>'3'!H31</f>
        <v>44400</v>
      </c>
      <c r="G39" s="287">
        <f>'3'!I31</f>
        <v>44400</v>
      </c>
      <c r="H39" s="287">
        <f>'3'!J31</f>
        <v>17747</v>
      </c>
      <c r="I39" s="619">
        <f>'3'!K31</f>
        <v>39200</v>
      </c>
      <c r="J39" s="287">
        <f>'3'!L31</f>
        <v>0</v>
      </c>
      <c r="K39" s="620">
        <f>'3'!M31</f>
        <v>39200</v>
      </c>
      <c r="L39" s="216">
        <f t="shared" si="6"/>
        <v>88.288288288288285</v>
      </c>
    </row>
    <row r="40" spans="2:14" ht="15" customHeight="1">
      <c r="B40" s="10"/>
      <c r="C40" s="228">
        <v>613900</v>
      </c>
      <c r="D40" s="307" t="s">
        <v>666</v>
      </c>
      <c r="E40" s="215" t="s">
        <v>555</v>
      </c>
      <c r="F40" s="287">
        <f>'16'!H29</f>
        <v>64700</v>
      </c>
      <c r="G40" s="287">
        <f>'16'!I29</f>
        <v>64700</v>
      </c>
      <c r="H40" s="287">
        <f>'16'!J29</f>
        <v>37970</v>
      </c>
      <c r="I40" s="619">
        <f>'16'!K29</f>
        <v>64700</v>
      </c>
      <c r="J40" s="287">
        <f>'16'!L29</f>
        <v>0</v>
      </c>
      <c r="K40" s="620">
        <f>'16'!M29</f>
        <v>64700</v>
      </c>
      <c r="L40" s="216">
        <f t="shared" si="6"/>
        <v>100</v>
      </c>
    </row>
    <row r="41" spans="2:14" ht="15" customHeight="1">
      <c r="B41" s="10"/>
      <c r="C41" s="228">
        <v>613900</v>
      </c>
      <c r="D41" s="307" t="s">
        <v>680</v>
      </c>
      <c r="E41" s="215" t="s">
        <v>556</v>
      </c>
      <c r="F41" s="287">
        <f>'20'!H27</f>
        <v>60000</v>
      </c>
      <c r="G41" s="287">
        <f>'20'!I27</f>
        <v>60000</v>
      </c>
      <c r="H41" s="287">
        <f>'20'!J27</f>
        <v>32514</v>
      </c>
      <c r="I41" s="619">
        <f>'20'!K27</f>
        <v>49000</v>
      </c>
      <c r="J41" s="287">
        <f>'20'!L27</f>
        <v>0</v>
      </c>
      <c r="K41" s="620">
        <f>'20'!M27</f>
        <v>49000</v>
      </c>
      <c r="L41" s="216">
        <f t="shared" si="6"/>
        <v>81.666666666666671</v>
      </c>
    </row>
    <row r="42" spans="2:14" ht="15" customHeight="1">
      <c r="B42" s="10"/>
      <c r="C42" s="228">
        <v>613900</v>
      </c>
      <c r="D42" s="307" t="s">
        <v>651</v>
      </c>
      <c r="E42" s="286" t="s">
        <v>865</v>
      </c>
      <c r="F42" s="287">
        <f>'1'!H26+'3'!H32+'4'!H26+'5'!H26+'6'!H26+'8'!H26+'9'!H26+'10'!H26+'11'!H26+'12'!H26+'13'!H26+'14'!H26+'15'!H26+'16'!H30+'17'!H26+'18'!H27+'19'!H26+'20'!H28+'22'!H26+'23'!H26+'21'!H26+'24'!H26+'25'!H26+'26'!H26+'27'!H26+'28'!H26+'29'!H26+'30'!H26+'31'!H26+'32'!H26+'33'!H26+'34'!H26+'35'!H26+'36'!H26+'37'!H26+'7'!H26</f>
        <v>122000</v>
      </c>
      <c r="G42" s="287">
        <f>'1'!I26+'3'!I32+'4'!I26+'5'!I26+'6'!I26+'8'!I26+'9'!I26+'10'!I26+'11'!I26+'12'!I26+'13'!I26+'14'!I26+'15'!I26+'16'!I30+'17'!I26+'18'!I27+'19'!I26+'20'!I28+'22'!I26+'23'!I26+'21'!I26+'24'!I26+'25'!I26+'26'!I26+'27'!I26+'28'!I26+'29'!I26+'30'!I26+'31'!I26+'32'!I26+'33'!I26+'34'!I26+'35'!I26+'36'!I26+'37'!I26+'7'!I26</f>
        <v>122000</v>
      </c>
      <c r="H42" s="287">
        <f>'1'!J26+'3'!J32+'4'!J26+'5'!J26+'6'!J26+'8'!J26+'9'!J26+'10'!J26+'11'!J26+'12'!J26+'13'!J26+'14'!J26+'15'!J26+'16'!J30+'17'!J26+'18'!J27+'19'!J26+'20'!J28+'22'!J26+'23'!J26+'21'!J26+'24'!J26+'25'!J26+'26'!J26+'27'!J26+'28'!J26+'29'!J26+'30'!J26+'31'!J26+'32'!J26+'33'!J26+'34'!J26+'35'!J26+'36'!J26+'37'!J26+'7'!J26</f>
        <v>69095</v>
      </c>
      <c r="I42" s="619">
        <f>'1'!K26+'3'!K32+'4'!K26+'5'!K26+'6'!K26+'8'!K26+'9'!K26+'10'!K26+'11'!K26+'12'!K26+'13'!K26+'14'!K26+'15'!K26+'16'!K30+'17'!K26+'18'!K27+'19'!K26+'20'!K28+'22'!K26+'23'!K26+'21'!K26+'24'!K26+'25'!K26+'26'!K26+'27'!K26+'28'!K26+'29'!K26+'30'!K26+'31'!K26+'32'!K26+'33'!K26+'34'!K26+'35'!K26+'36'!K26+'37'!K26+'7'!K26</f>
        <v>70910</v>
      </c>
      <c r="J42" s="287">
        <f>'1'!L26+'3'!L32+'4'!L26+'5'!L26+'6'!L26+'8'!L26+'9'!L26+'10'!L26+'11'!L26+'12'!L26+'13'!L26+'14'!L26+'15'!L26+'16'!L30+'17'!L26+'18'!L27+'19'!L26+'20'!L28+'22'!L26+'23'!L26+'21'!L26+'24'!L26+'25'!L26+'26'!L26+'27'!L26+'28'!L26+'29'!L26+'30'!L26+'31'!L26+'32'!L26+'33'!L26+'34'!L26+'35'!L26+'36'!L26+'37'!L26+'7'!L26</f>
        <v>0</v>
      </c>
      <c r="K42" s="620">
        <f>'1'!M26+'3'!M32+'4'!M26+'5'!M26+'6'!M26+'8'!M26+'9'!M26+'10'!M26+'11'!M26+'12'!M26+'13'!M26+'14'!M26+'15'!M26+'16'!M30+'17'!M26+'18'!M27+'19'!M26+'20'!M28+'22'!M26+'23'!M26+'21'!M26+'24'!M26+'25'!M26+'26'!M26+'27'!M26+'28'!M26+'29'!M26+'30'!M26+'31'!M26+'32'!M26+'33'!M26+'34'!M26+'35'!M26+'36'!M26+'37'!M26+'7'!M26</f>
        <v>70910</v>
      </c>
      <c r="L42" s="216">
        <f t="shared" si="6"/>
        <v>58.122950819672127</v>
      </c>
    </row>
    <row r="43" spans="2:14" ht="15" customHeight="1">
      <c r="B43" s="10"/>
      <c r="C43" s="228">
        <v>613900</v>
      </c>
      <c r="D43" s="307" t="s">
        <v>664</v>
      </c>
      <c r="E43" s="215" t="s">
        <v>557</v>
      </c>
      <c r="F43" s="287">
        <f>'15'!H27</f>
        <v>50000</v>
      </c>
      <c r="G43" s="287">
        <f>'15'!I27</f>
        <v>50000</v>
      </c>
      <c r="H43" s="287">
        <f>'15'!J27</f>
        <v>0</v>
      </c>
      <c r="I43" s="619">
        <f>'15'!K27</f>
        <v>0</v>
      </c>
      <c r="J43" s="287">
        <f>'15'!L27</f>
        <v>50000</v>
      </c>
      <c r="K43" s="620">
        <f>'15'!M27</f>
        <v>50000</v>
      </c>
      <c r="L43" s="216">
        <f t="shared" si="6"/>
        <v>100</v>
      </c>
    </row>
    <row r="44" spans="2:14" ht="15" customHeight="1">
      <c r="B44" s="10"/>
      <c r="C44" s="228">
        <v>613900</v>
      </c>
      <c r="D44" s="307" t="s">
        <v>689</v>
      </c>
      <c r="E44" s="215" t="s">
        <v>558</v>
      </c>
      <c r="F44" s="287">
        <f>'23'!H27</f>
        <v>0</v>
      </c>
      <c r="G44" s="287">
        <f>'23'!I27</f>
        <v>0</v>
      </c>
      <c r="H44" s="287">
        <f>'23'!J27</f>
        <v>0</v>
      </c>
      <c r="I44" s="619">
        <f>'23'!K27</f>
        <v>0</v>
      </c>
      <c r="J44" s="287">
        <f>'23'!L27</f>
        <v>0</v>
      </c>
      <c r="K44" s="620">
        <f>'23'!M27</f>
        <v>0</v>
      </c>
      <c r="L44" s="216" t="str">
        <f t="shared" si="6"/>
        <v/>
      </c>
    </row>
    <row r="45" spans="2:14" ht="11.25" customHeight="1">
      <c r="B45" s="10"/>
      <c r="C45" s="227"/>
      <c r="D45" s="306"/>
      <c r="E45" s="11"/>
      <c r="F45" s="268"/>
      <c r="G45" s="268"/>
      <c r="H45" s="268"/>
      <c r="I45" s="573"/>
      <c r="J45" s="268"/>
      <c r="K45" s="551"/>
      <c r="L45" s="84" t="str">
        <f t="shared" si="6"/>
        <v/>
      </c>
    </row>
    <row r="46" spans="2:14" ht="15" customHeight="1">
      <c r="B46" s="10"/>
      <c r="C46" s="380">
        <v>614000</v>
      </c>
      <c r="D46" s="381"/>
      <c r="E46" s="382" t="s">
        <v>202</v>
      </c>
      <c r="F46" s="383">
        <f t="shared" ref="F46:G46" si="24">F47+F60+F70+F82+F87</f>
        <v>10335000</v>
      </c>
      <c r="G46" s="383">
        <f t="shared" si="24"/>
        <v>10373000</v>
      </c>
      <c r="H46" s="383">
        <f t="shared" ref="H46" si="25">H47+H60+H70+H82+H87</f>
        <v>6194991</v>
      </c>
      <c r="I46" s="618">
        <f t="shared" ref="I46:K46" si="26">I47+I60+I70+I82+I87</f>
        <v>9873700</v>
      </c>
      <c r="J46" s="383">
        <f t="shared" si="26"/>
        <v>1165500</v>
      </c>
      <c r="K46" s="553">
        <f t="shared" si="26"/>
        <v>11039200</v>
      </c>
      <c r="L46" s="384">
        <f t="shared" si="6"/>
        <v>106.42244288055529</v>
      </c>
      <c r="N46" s="77"/>
    </row>
    <row r="47" spans="2:14" s="48" customFormat="1" ht="15" customHeight="1">
      <c r="B47" s="236"/>
      <c r="C47" s="237">
        <v>614100</v>
      </c>
      <c r="D47" s="306"/>
      <c r="E47" s="18" t="s">
        <v>589</v>
      </c>
      <c r="F47" s="265">
        <f t="shared" ref="F47:K47" si="27">SUM(F48:F59)</f>
        <v>2005000</v>
      </c>
      <c r="G47" s="265">
        <f t="shared" si="27"/>
        <v>2005000</v>
      </c>
      <c r="H47" s="265">
        <f t="shared" ref="H47" si="28">SUM(H48:H59)</f>
        <v>1140089</v>
      </c>
      <c r="I47" s="598">
        <f t="shared" si="27"/>
        <v>1975500</v>
      </c>
      <c r="J47" s="265">
        <f t="shared" si="27"/>
        <v>330000</v>
      </c>
      <c r="K47" s="551">
        <f t="shared" si="27"/>
        <v>2305500</v>
      </c>
      <c r="L47" s="84">
        <f t="shared" si="6"/>
        <v>114.98753117206984</v>
      </c>
      <c r="N47" s="56"/>
    </row>
    <row r="48" spans="2:14" s="57" customFormat="1" ht="15" customHeight="1">
      <c r="B48" s="58"/>
      <c r="C48" s="228">
        <v>614100</v>
      </c>
      <c r="D48" s="307" t="s">
        <v>653</v>
      </c>
      <c r="E48" s="215" t="s">
        <v>559</v>
      </c>
      <c r="F48" s="289">
        <f>'3'!H35</f>
        <v>0</v>
      </c>
      <c r="G48" s="289">
        <f>'3'!I35</f>
        <v>0</v>
      </c>
      <c r="H48" s="289">
        <f>'3'!J35</f>
        <v>0</v>
      </c>
      <c r="I48" s="621">
        <f>'3'!K35</f>
        <v>0</v>
      </c>
      <c r="J48" s="289">
        <f>'3'!L35</f>
        <v>0</v>
      </c>
      <c r="K48" s="620">
        <f>'3'!M35</f>
        <v>0</v>
      </c>
      <c r="L48" s="216" t="str">
        <f t="shared" si="6"/>
        <v/>
      </c>
      <c r="N48" s="85"/>
    </row>
    <row r="49" spans="2:12" s="57" customFormat="1" ht="15" customHeight="1">
      <c r="B49" s="58"/>
      <c r="C49" s="228">
        <v>614100</v>
      </c>
      <c r="D49" s="307" t="s">
        <v>654</v>
      </c>
      <c r="E49" s="217" t="s">
        <v>560</v>
      </c>
      <c r="F49" s="289">
        <f>'3'!H36</f>
        <v>200000</v>
      </c>
      <c r="G49" s="289">
        <f>'3'!I36</f>
        <v>200000</v>
      </c>
      <c r="H49" s="289">
        <f>'3'!J36</f>
        <v>100000</v>
      </c>
      <c r="I49" s="621">
        <f>'3'!K36</f>
        <v>200000</v>
      </c>
      <c r="J49" s="289">
        <f>'3'!L36</f>
        <v>0</v>
      </c>
      <c r="K49" s="620">
        <f>'3'!M36</f>
        <v>200000</v>
      </c>
      <c r="L49" s="216">
        <f t="shared" si="6"/>
        <v>100</v>
      </c>
    </row>
    <row r="50" spans="2:12" s="1" customFormat="1" ht="15" customHeight="1">
      <c r="B50" s="12"/>
      <c r="C50" s="228">
        <v>614100</v>
      </c>
      <c r="D50" s="307" t="s">
        <v>667</v>
      </c>
      <c r="E50" s="218" t="s">
        <v>561</v>
      </c>
      <c r="F50" s="287">
        <f>'16'!H33</f>
        <v>200000</v>
      </c>
      <c r="G50" s="287">
        <f>'16'!I33</f>
        <v>200000</v>
      </c>
      <c r="H50" s="287">
        <f>'16'!J33</f>
        <v>123500</v>
      </c>
      <c r="I50" s="619">
        <f>'16'!K33</f>
        <v>230000</v>
      </c>
      <c r="J50" s="287">
        <f>'16'!L33</f>
        <v>0</v>
      </c>
      <c r="K50" s="620">
        <f>'16'!M33</f>
        <v>230000</v>
      </c>
      <c r="L50" s="216">
        <f t="shared" si="6"/>
        <v>114.99999999999999</v>
      </c>
    </row>
    <row r="51" spans="2:12" s="1" customFormat="1" ht="15" customHeight="1">
      <c r="B51" s="12"/>
      <c r="C51" s="231">
        <v>614100</v>
      </c>
      <c r="D51" s="310" t="s">
        <v>684</v>
      </c>
      <c r="E51" s="215" t="s">
        <v>562</v>
      </c>
      <c r="F51" s="287">
        <f>'17'!H29</f>
        <v>420000</v>
      </c>
      <c r="G51" s="287">
        <f>'17'!I29</f>
        <v>420000</v>
      </c>
      <c r="H51" s="287">
        <f>'17'!J29</f>
        <v>270000</v>
      </c>
      <c r="I51" s="619">
        <f>'17'!K29</f>
        <v>720000</v>
      </c>
      <c r="J51" s="287">
        <f>'17'!L29</f>
        <v>0</v>
      </c>
      <c r="K51" s="620">
        <f>'17'!M29</f>
        <v>720000</v>
      </c>
      <c r="L51" s="216">
        <f t="shared" si="6"/>
        <v>171.42857142857142</v>
      </c>
    </row>
    <row r="52" spans="2:12" s="1" customFormat="1" ht="15" customHeight="1">
      <c r="B52" s="12"/>
      <c r="C52" s="228">
        <v>614100</v>
      </c>
      <c r="D52" s="311" t="s">
        <v>674</v>
      </c>
      <c r="E52" s="219" t="s">
        <v>563</v>
      </c>
      <c r="F52" s="287">
        <f>'18'!H30</f>
        <v>180000</v>
      </c>
      <c r="G52" s="287">
        <f>'18'!I30</f>
        <v>180000</v>
      </c>
      <c r="H52" s="287">
        <f>'18'!J30</f>
        <v>17500</v>
      </c>
      <c r="I52" s="619">
        <f>'18'!K30</f>
        <v>0</v>
      </c>
      <c r="J52" s="287">
        <f>'18'!L30</f>
        <v>180000</v>
      </c>
      <c r="K52" s="620">
        <f>'18'!M30</f>
        <v>180000</v>
      </c>
      <c r="L52" s="216">
        <f t="shared" si="6"/>
        <v>100</v>
      </c>
    </row>
    <row r="53" spans="2:12" s="1" customFormat="1" ht="15" customHeight="1">
      <c r="B53" s="12"/>
      <c r="C53" s="228">
        <v>614100</v>
      </c>
      <c r="D53" s="311" t="s">
        <v>675</v>
      </c>
      <c r="E53" s="219" t="s">
        <v>564</v>
      </c>
      <c r="F53" s="289">
        <f>'18'!H31</f>
        <v>30000</v>
      </c>
      <c r="G53" s="289">
        <f>'18'!I31</f>
        <v>30000</v>
      </c>
      <c r="H53" s="289">
        <f>'18'!J31</f>
        <v>0</v>
      </c>
      <c r="I53" s="621">
        <f>'18'!K31</f>
        <v>0</v>
      </c>
      <c r="J53" s="289">
        <f>'18'!L31</f>
        <v>0</v>
      </c>
      <c r="K53" s="620">
        <f>'18'!M31</f>
        <v>0</v>
      </c>
      <c r="L53" s="216">
        <f t="shared" si="6"/>
        <v>0</v>
      </c>
    </row>
    <row r="54" spans="2:12" s="1" customFormat="1" ht="15" customHeight="1">
      <c r="B54" s="12"/>
      <c r="C54" s="228">
        <v>614100</v>
      </c>
      <c r="D54" s="307" t="s">
        <v>677</v>
      </c>
      <c r="E54" s="217" t="s">
        <v>565</v>
      </c>
      <c r="F54" s="287">
        <f>'19'!H29</f>
        <v>150000</v>
      </c>
      <c r="G54" s="287">
        <f>'19'!I29</f>
        <v>150000</v>
      </c>
      <c r="H54" s="287">
        <f>'19'!J29</f>
        <v>12029</v>
      </c>
      <c r="I54" s="619">
        <f>'19'!K29</f>
        <v>0</v>
      </c>
      <c r="J54" s="287">
        <f>'19'!L29</f>
        <v>150000</v>
      </c>
      <c r="K54" s="620">
        <f>'19'!M29</f>
        <v>150000</v>
      </c>
      <c r="L54" s="216">
        <f t="shared" si="6"/>
        <v>100</v>
      </c>
    </row>
    <row r="55" spans="2:12" s="1" customFormat="1" ht="24.75" customHeight="1">
      <c r="B55" s="12"/>
      <c r="C55" s="231">
        <v>614100</v>
      </c>
      <c r="D55" s="310" t="s">
        <v>681</v>
      </c>
      <c r="E55" s="220" t="s">
        <v>566</v>
      </c>
      <c r="F55" s="287">
        <f>'20'!H31</f>
        <v>150000</v>
      </c>
      <c r="G55" s="287">
        <f>'20'!I31</f>
        <v>150000</v>
      </c>
      <c r="H55" s="287">
        <f>'20'!J31</f>
        <v>101750</v>
      </c>
      <c r="I55" s="619">
        <f>'20'!K31</f>
        <v>129000</v>
      </c>
      <c r="J55" s="287">
        <f>'20'!L31</f>
        <v>0</v>
      </c>
      <c r="K55" s="620">
        <f>'20'!M31</f>
        <v>129000</v>
      </c>
      <c r="L55" s="216">
        <f t="shared" si="6"/>
        <v>86</v>
      </c>
    </row>
    <row r="56" spans="2:12" s="1" customFormat="1" ht="15" customHeight="1">
      <c r="B56" s="12"/>
      <c r="C56" s="232" t="s">
        <v>108</v>
      </c>
      <c r="D56" s="312"/>
      <c r="E56" s="221" t="s">
        <v>567</v>
      </c>
      <c r="F56" s="289">
        <f>'20'!H32</f>
        <v>0</v>
      </c>
      <c r="G56" s="289">
        <f>'20'!I32</f>
        <v>0</v>
      </c>
      <c r="H56" s="289">
        <f>'20'!J32</f>
        <v>0</v>
      </c>
      <c r="I56" s="621">
        <f>'20'!K32</f>
        <v>0</v>
      </c>
      <c r="J56" s="289">
        <f>'20'!L32</f>
        <v>0</v>
      </c>
      <c r="K56" s="620">
        <f>'20'!M32</f>
        <v>0</v>
      </c>
      <c r="L56" s="216" t="str">
        <f t="shared" si="6"/>
        <v/>
      </c>
    </row>
    <row r="57" spans="2:12" s="269" customFormat="1" ht="15" customHeight="1">
      <c r="B57" s="275"/>
      <c r="C57" s="232" t="s">
        <v>108</v>
      </c>
      <c r="D57" s="312" t="s">
        <v>787</v>
      </c>
      <c r="E57" s="221" t="s">
        <v>697</v>
      </c>
      <c r="F57" s="289">
        <f>'20'!H33</f>
        <v>280000</v>
      </c>
      <c r="G57" s="289">
        <f>'20'!I33</f>
        <v>280000</v>
      </c>
      <c r="H57" s="289">
        <f>'20'!J33</f>
        <v>270400</v>
      </c>
      <c r="I57" s="621">
        <f>'20'!K33</f>
        <v>280000</v>
      </c>
      <c r="J57" s="289">
        <f>'20'!L33</f>
        <v>0</v>
      </c>
      <c r="K57" s="620">
        <f>'20'!M33</f>
        <v>280000</v>
      </c>
      <c r="L57" s="288">
        <f t="shared" si="6"/>
        <v>100</v>
      </c>
    </row>
    <row r="58" spans="2:12" s="269" customFormat="1" ht="15" customHeight="1">
      <c r="B58" s="275"/>
      <c r="C58" s="232" t="s">
        <v>108</v>
      </c>
      <c r="D58" s="312" t="s">
        <v>788</v>
      </c>
      <c r="E58" s="221" t="s">
        <v>698</v>
      </c>
      <c r="F58" s="289">
        <f>'20'!H34</f>
        <v>60000</v>
      </c>
      <c r="G58" s="289">
        <f>'20'!I34</f>
        <v>60000</v>
      </c>
      <c r="H58" s="289">
        <f>'20'!J34</f>
        <v>51100</v>
      </c>
      <c r="I58" s="621">
        <f>'20'!K34</f>
        <v>70000</v>
      </c>
      <c r="J58" s="289">
        <f>'20'!L34</f>
        <v>0</v>
      </c>
      <c r="K58" s="620">
        <f>'20'!M34</f>
        <v>70000</v>
      </c>
      <c r="L58" s="288">
        <f t="shared" si="6"/>
        <v>116.66666666666667</v>
      </c>
    </row>
    <row r="59" spans="2:12" s="1" customFormat="1" ht="15" customHeight="1">
      <c r="B59" s="12"/>
      <c r="C59" s="232" t="s">
        <v>108</v>
      </c>
      <c r="D59" s="312" t="s">
        <v>684</v>
      </c>
      <c r="E59" s="221" t="s">
        <v>568</v>
      </c>
      <c r="F59" s="289">
        <f>'20'!H35</f>
        <v>335000</v>
      </c>
      <c r="G59" s="289">
        <f>'20'!I35</f>
        <v>335000</v>
      </c>
      <c r="H59" s="289">
        <f>'20'!J35</f>
        <v>193810</v>
      </c>
      <c r="I59" s="621">
        <f>'20'!K35</f>
        <v>346500</v>
      </c>
      <c r="J59" s="289">
        <f>'20'!L35</f>
        <v>0</v>
      </c>
      <c r="K59" s="620">
        <f>'20'!M35</f>
        <v>346500</v>
      </c>
      <c r="L59" s="216">
        <f t="shared" si="6"/>
        <v>103.43283582089553</v>
      </c>
    </row>
    <row r="60" spans="2:12" s="48" customFormat="1" ht="15" customHeight="1">
      <c r="B60" s="236"/>
      <c r="C60" s="238" t="s">
        <v>106</v>
      </c>
      <c r="D60" s="313"/>
      <c r="E60" s="239" t="s">
        <v>590</v>
      </c>
      <c r="F60" s="265">
        <f t="shared" ref="F60:K60" si="29">SUM(F61:F69)</f>
        <v>5055000</v>
      </c>
      <c r="G60" s="265">
        <f t="shared" si="29"/>
        <v>5093000</v>
      </c>
      <c r="H60" s="265">
        <f t="shared" ref="H60" si="30">SUM(H61:H69)</f>
        <v>3423694</v>
      </c>
      <c r="I60" s="598">
        <f t="shared" si="29"/>
        <v>4788580</v>
      </c>
      <c r="J60" s="265">
        <f t="shared" si="29"/>
        <v>301820</v>
      </c>
      <c r="K60" s="551">
        <f t="shared" si="29"/>
        <v>5090400</v>
      </c>
      <c r="L60" s="84">
        <f t="shared" si="6"/>
        <v>99.948949538582369</v>
      </c>
    </row>
    <row r="61" spans="2:12" s="1" customFormat="1" ht="15" customHeight="1">
      <c r="B61" s="12"/>
      <c r="C61" s="232" t="s">
        <v>106</v>
      </c>
      <c r="D61" s="312" t="s">
        <v>655</v>
      </c>
      <c r="E61" s="222" t="s">
        <v>569</v>
      </c>
      <c r="F61" s="289">
        <f>'3'!H37</f>
        <v>150000</v>
      </c>
      <c r="G61" s="289">
        <f>'3'!I37</f>
        <v>188000</v>
      </c>
      <c r="H61" s="289">
        <f>'3'!J37</f>
        <v>185400</v>
      </c>
      <c r="I61" s="621">
        <f>'3'!K37</f>
        <v>185400</v>
      </c>
      <c r="J61" s="289">
        <f>'3'!L37</f>
        <v>0</v>
      </c>
      <c r="K61" s="620">
        <f>'3'!M37</f>
        <v>185400</v>
      </c>
      <c r="L61" s="216">
        <f t="shared" si="6"/>
        <v>98.617021276595736</v>
      </c>
    </row>
    <row r="62" spans="2:12" s="1" customFormat="1" ht="15" customHeight="1">
      <c r="B62" s="12"/>
      <c r="C62" s="231">
        <v>614200</v>
      </c>
      <c r="D62" s="312" t="s">
        <v>663</v>
      </c>
      <c r="E62" s="218" t="s">
        <v>570</v>
      </c>
      <c r="F62" s="287">
        <f>'4'!H29</f>
        <v>20000</v>
      </c>
      <c r="G62" s="287">
        <f>'4'!I29</f>
        <v>20000</v>
      </c>
      <c r="H62" s="287">
        <f>'4'!J29</f>
        <v>0</v>
      </c>
      <c r="I62" s="619">
        <f>'4'!K29</f>
        <v>20000</v>
      </c>
      <c r="J62" s="287">
        <f>'4'!L29</f>
        <v>0</v>
      </c>
      <c r="K62" s="620">
        <f>'4'!M29</f>
        <v>20000</v>
      </c>
      <c r="L62" s="216">
        <f t="shared" si="6"/>
        <v>100</v>
      </c>
    </row>
    <row r="63" spans="2:12" s="1" customFormat="1" ht="15" customHeight="1">
      <c r="B63" s="12"/>
      <c r="C63" s="231" t="s">
        <v>106</v>
      </c>
      <c r="D63" s="312"/>
      <c r="E63" s="215" t="s">
        <v>571</v>
      </c>
      <c r="F63" s="287">
        <f>'17'!H30</f>
        <v>0</v>
      </c>
      <c r="G63" s="287">
        <f>'17'!I30</f>
        <v>0</v>
      </c>
      <c r="H63" s="287">
        <f>'17'!J30</f>
        <v>0</v>
      </c>
      <c r="I63" s="619">
        <f>'17'!K30</f>
        <v>0</v>
      </c>
      <c r="J63" s="287">
        <f>'17'!L30</f>
        <v>0</v>
      </c>
      <c r="K63" s="620">
        <f>'17'!M30</f>
        <v>0</v>
      </c>
      <c r="L63" s="216" t="str">
        <f t="shared" si="6"/>
        <v/>
      </c>
    </row>
    <row r="64" spans="2:12" s="269" customFormat="1" ht="15" customHeight="1">
      <c r="B64" s="275"/>
      <c r="C64" s="231" t="s">
        <v>106</v>
      </c>
      <c r="D64" s="312" t="s">
        <v>789</v>
      </c>
      <c r="E64" s="286" t="s">
        <v>695</v>
      </c>
      <c r="F64" s="287">
        <f>'17'!H31</f>
        <v>60000</v>
      </c>
      <c r="G64" s="287">
        <f>'17'!I31</f>
        <v>60000</v>
      </c>
      <c r="H64" s="287">
        <f>'17'!J31</f>
        <v>45200</v>
      </c>
      <c r="I64" s="619">
        <f>'17'!K31</f>
        <v>60000</v>
      </c>
      <c r="J64" s="287">
        <f>'17'!L31</f>
        <v>0</v>
      </c>
      <c r="K64" s="620">
        <f>'17'!M31</f>
        <v>60000</v>
      </c>
      <c r="L64" s="288">
        <f t="shared" si="6"/>
        <v>100</v>
      </c>
    </row>
    <row r="65" spans="2:12" s="269" customFormat="1" ht="15" customHeight="1">
      <c r="B65" s="275"/>
      <c r="C65" s="231" t="s">
        <v>106</v>
      </c>
      <c r="D65" s="312" t="s">
        <v>790</v>
      </c>
      <c r="E65" s="286" t="s">
        <v>696</v>
      </c>
      <c r="F65" s="287">
        <f>'17'!H32</f>
        <v>3520000</v>
      </c>
      <c r="G65" s="287">
        <f>'17'!I32</f>
        <v>3520000</v>
      </c>
      <c r="H65" s="287">
        <f>'17'!J32</f>
        <v>2339636</v>
      </c>
      <c r="I65" s="619">
        <f>'17'!K32</f>
        <v>3258180</v>
      </c>
      <c r="J65" s="287">
        <f>'17'!L32</f>
        <v>261820</v>
      </c>
      <c r="K65" s="620">
        <f>'17'!M32</f>
        <v>3520000</v>
      </c>
      <c r="L65" s="288">
        <f t="shared" si="6"/>
        <v>100</v>
      </c>
    </row>
    <row r="66" spans="2:12" s="1" customFormat="1" ht="15" customHeight="1">
      <c r="B66" s="12"/>
      <c r="C66" s="231" t="s">
        <v>106</v>
      </c>
      <c r="D66" s="310" t="s">
        <v>685</v>
      </c>
      <c r="E66" s="218" t="s">
        <v>572</v>
      </c>
      <c r="F66" s="287">
        <f>'20'!H36</f>
        <v>150000</v>
      </c>
      <c r="G66" s="287">
        <f>'20'!I36</f>
        <v>150000</v>
      </c>
      <c r="H66" s="287">
        <f>'20'!J36</f>
        <v>114000</v>
      </c>
      <c r="I66" s="619">
        <f>'20'!K36</f>
        <v>150000</v>
      </c>
      <c r="J66" s="287">
        <f>'20'!L36</f>
        <v>0</v>
      </c>
      <c r="K66" s="620">
        <f>'20'!M36</f>
        <v>150000</v>
      </c>
      <c r="L66" s="216">
        <f t="shared" si="6"/>
        <v>100</v>
      </c>
    </row>
    <row r="67" spans="2:12" s="1" customFormat="1" ht="24.75" customHeight="1">
      <c r="B67" s="12"/>
      <c r="C67" s="231" t="s">
        <v>106</v>
      </c>
      <c r="D67" s="310" t="s">
        <v>686</v>
      </c>
      <c r="E67" s="223" t="s">
        <v>573</v>
      </c>
      <c r="F67" s="287">
        <f>'20'!H37</f>
        <v>15000</v>
      </c>
      <c r="G67" s="287">
        <f>'20'!I37</f>
        <v>15000</v>
      </c>
      <c r="H67" s="287">
        <f>'20'!J37</f>
        <v>0</v>
      </c>
      <c r="I67" s="619">
        <f>'20'!K37</f>
        <v>15000</v>
      </c>
      <c r="J67" s="287">
        <f>'20'!L37</f>
        <v>0</v>
      </c>
      <c r="K67" s="620">
        <f>'20'!M37</f>
        <v>15000</v>
      </c>
      <c r="L67" s="216">
        <f t="shared" si="6"/>
        <v>100</v>
      </c>
    </row>
    <row r="68" spans="2:12" s="1" customFormat="1" ht="15" customHeight="1">
      <c r="B68" s="12"/>
      <c r="C68" s="231">
        <v>614200</v>
      </c>
      <c r="D68" s="310" t="s">
        <v>690</v>
      </c>
      <c r="E68" s="218" t="s">
        <v>574</v>
      </c>
      <c r="F68" s="287">
        <f>'31'!H29</f>
        <v>1100000</v>
      </c>
      <c r="G68" s="287">
        <f>'31'!I29</f>
        <v>1100000</v>
      </c>
      <c r="H68" s="287">
        <f>'31'!J29</f>
        <v>738134</v>
      </c>
      <c r="I68" s="619">
        <f>'31'!K29</f>
        <v>1100000</v>
      </c>
      <c r="J68" s="287">
        <f>'31'!L29</f>
        <v>0</v>
      </c>
      <c r="K68" s="620">
        <f>'31'!M29</f>
        <v>1100000</v>
      </c>
      <c r="L68" s="216">
        <f t="shared" si="6"/>
        <v>100</v>
      </c>
    </row>
    <row r="69" spans="2:12" s="1" customFormat="1" ht="15" customHeight="1">
      <c r="B69" s="12"/>
      <c r="C69" s="231" t="s">
        <v>106</v>
      </c>
      <c r="D69" s="310" t="s">
        <v>691</v>
      </c>
      <c r="E69" s="215" t="s">
        <v>575</v>
      </c>
      <c r="F69" s="287">
        <f>'33'!H29</f>
        <v>40000</v>
      </c>
      <c r="G69" s="287">
        <f>'33'!I29</f>
        <v>40000</v>
      </c>
      <c r="H69" s="287">
        <f>'33'!J29</f>
        <v>1324</v>
      </c>
      <c r="I69" s="619">
        <f>'33'!K29</f>
        <v>0</v>
      </c>
      <c r="J69" s="287">
        <f>'33'!L29</f>
        <v>40000</v>
      </c>
      <c r="K69" s="620">
        <f>'33'!M29</f>
        <v>40000</v>
      </c>
      <c r="L69" s="216">
        <f t="shared" si="6"/>
        <v>100</v>
      </c>
    </row>
    <row r="70" spans="2:12" s="48" customFormat="1" ht="15" customHeight="1">
      <c r="B70" s="236"/>
      <c r="C70" s="240" t="s">
        <v>107</v>
      </c>
      <c r="D70" s="314"/>
      <c r="E70" s="224" t="s">
        <v>591</v>
      </c>
      <c r="F70" s="264">
        <f t="shared" ref="F70:G70" si="31">SUM(F71:F81)</f>
        <v>595000</v>
      </c>
      <c r="G70" s="264">
        <f t="shared" si="31"/>
        <v>595000</v>
      </c>
      <c r="H70" s="264">
        <f t="shared" ref="H70" si="32">SUM(H71:H81)</f>
        <v>445796</v>
      </c>
      <c r="I70" s="626">
        <f t="shared" ref="I70:J70" si="33">SUM(I71:I81)</f>
        <v>665000</v>
      </c>
      <c r="J70" s="264">
        <f t="shared" si="33"/>
        <v>0</v>
      </c>
      <c r="K70" s="551">
        <f t="shared" ref="K70" si="34">SUM(K71:K81)</f>
        <v>665000</v>
      </c>
      <c r="L70" s="84">
        <f t="shared" si="6"/>
        <v>111.76470588235294</v>
      </c>
    </row>
    <row r="71" spans="2:12" s="1" customFormat="1" ht="15" customHeight="1">
      <c r="B71" s="12"/>
      <c r="C71" s="231" t="s">
        <v>107</v>
      </c>
      <c r="D71" s="310" t="s">
        <v>860</v>
      </c>
      <c r="E71" s="218" t="s">
        <v>576</v>
      </c>
      <c r="F71" s="287">
        <f>'3'!H45</f>
        <v>160000</v>
      </c>
      <c r="G71" s="287">
        <f>'3'!I45</f>
        <v>160000</v>
      </c>
      <c r="H71" s="287">
        <f>'3'!J45</f>
        <v>101524</v>
      </c>
      <c r="I71" s="619">
        <f>'3'!K45</f>
        <v>160000</v>
      </c>
      <c r="J71" s="287">
        <f>'3'!L45</f>
        <v>0</v>
      </c>
      <c r="K71" s="620">
        <f>'3'!M45</f>
        <v>160000</v>
      </c>
      <c r="L71" s="216">
        <f t="shared" si="6"/>
        <v>100</v>
      </c>
    </row>
    <row r="72" spans="2:12" s="1" customFormat="1" ht="15" customHeight="1">
      <c r="B72" s="12"/>
      <c r="C72" s="231" t="s">
        <v>107</v>
      </c>
      <c r="D72" s="310" t="s">
        <v>656</v>
      </c>
      <c r="E72" s="217" t="s">
        <v>577</v>
      </c>
      <c r="F72" s="287">
        <f>'3'!H38</f>
        <v>70000</v>
      </c>
      <c r="G72" s="287">
        <f>'3'!I38</f>
        <v>70000</v>
      </c>
      <c r="H72" s="287">
        <f>'3'!J38</f>
        <v>70000</v>
      </c>
      <c r="I72" s="619">
        <f>'3'!K38</f>
        <v>70000</v>
      </c>
      <c r="J72" s="287">
        <f>'3'!L38</f>
        <v>0</v>
      </c>
      <c r="K72" s="620">
        <f>'3'!M38</f>
        <v>70000</v>
      </c>
      <c r="L72" s="216">
        <f t="shared" si="6"/>
        <v>100</v>
      </c>
    </row>
    <row r="73" spans="2:12" ht="15" customHeight="1">
      <c r="B73" s="10"/>
      <c r="C73" s="231" t="s">
        <v>107</v>
      </c>
      <c r="D73" s="310" t="s">
        <v>657</v>
      </c>
      <c r="E73" s="217" t="s">
        <v>578</v>
      </c>
      <c r="F73" s="289">
        <f>'3'!H39</f>
        <v>35000</v>
      </c>
      <c r="G73" s="289">
        <f>'3'!I39</f>
        <v>35000</v>
      </c>
      <c r="H73" s="289">
        <f>'3'!J39</f>
        <v>23336</v>
      </c>
      <c r="I73" s="621">
        <f>'3'!K39</f>
        <v>35000</v>
      </c>
      <c r="J73" s="289">
        <f>'3'!L39</f>
        <v>0</v>
      </c>
      <c r="K73" s="620">
        <f>'3'!M39</f>
        <v>35000</v>
      </c>
      <c r="L73" s="216">
        <f t="shared" ref="L73:L111" si="35">IF(G73=0,"",K73/G73*100)</f>
        <v>100</v>
      </c>
    </row>
    <row r="74" spans="2:12" s="1" customFormat="1" ht="15" customHeight="1">
      <c r="B74" s="12"/>
      <c r="C74" s="232" t="s">
        <v>107</v>
      </c>
      <c r="D74" s="312" t="s">
        <v>658</v>
      </c>
      <c r="E74" s="217" t="s">
        <v>579</v>
      </c>
      <c r="F74" s="289">
        <f>'3'!H40</f>
        <v>40000</v>
      </c>
      <c r="G74" s="289">
        <f>'3'!I40</f>
        <v>40000</v>
      </c>
      <c r="H74" s="289">
        <f>'3'!J40</f>
        <v>26668</v>
      </c>
      <c r="I74" s="621">
        <f>'3'!K40</f>
        <v>40000</v>
      </c>
      <c r="J74" s="289">
        <f>'3'!L40</f>
        <v>0</v>
      </c>
      <c r="K74" s="620">
        <f>'3'!M40</f>
        <v>40000</v>
      </c>
      <c r="L74" s="216">
        <f t="shared" si="35"/>
        <v>100</v>
      </c>
    </row>
    <row r="75" spans="2:12" s="1" customFormat="1" ht="25.5" customHeight="1">
      <c r="B75" s="20"/>
      <c r="C75" s="232" t="s">
        <v>107</v>
      </c>
      <c r="D75" s="312" t="s">
        <v>659</v>
      </c>
      <c r="E75" s="222" t="s">
        <v>625</v>
      </c>
      <c r="F75" s="289">
        <f>'3'!H41</f>
        <v>40000</v>
      </c>
      <c r="G75" s="289">
        <f>'3'!I41</f>
        <v>40000</v>
      </c>
      <c r="H75" s="289">
        <f>'3'!J41</f>
        <v>26668</v>
      </c>
      <c r="I75" s="621">
        <f>'3'!K41</f>
        <v>40000</v>
      </c>
      <c r="J75" s="289">
        <f>'3'!L41</f>
        <v>0</v>
      </c>
      <c r="K75" s="620">
        <f>'3'!M41</f>
        <v>40000</v>
      </c>
      <c r="L75" s="216">
        <f t="shared" si="35"/>
        <v>100</v>
      </c>
    </row>
    <row r="76" spans="2:12" s="1" customFormat="1" ht="26.25" customHeight="1">
      <c r="B76" s="20"/>
      <c r="C76" s="232" t="s">
        <v>107</v>
      </c>
      <c r="D76" s="312" t="s">
        <v>660</v>
      </c>
      <c r="E76" s="222" t="s">
        <v>580</v>
      </c>
      <c r="F76" s="289">
        <f>'3'!H42</f>
        <v>15000</v>
      </c>
      <c r="G76" s="289">
        <f>'3'!I42</f>
        <v>15000</v>
      </c>
      <c r="H76" s="289">
        <f>'3'!J42</f>
        <v>10000</v>
      </c>
      <c r="I76" s="621">
        <f>'3'!K42</f>
        <v>15000</v>
      </c>
      <c r="J76" s="289">
        <f>'3'!L42</f>
        <v>0</v>
      </c>
      <c r="K76" s="620">
        <f>'3'!M42</f>
        <v>15000</v>
      </c>
      <c r="L76" s="216">
        <f t="shared" si="35"/>
        <v>100</v>
      </c>
    </row>
    <row r="77" spans="2:12" s="1" customFormat="1" ht="15" customHeight="1">
      <c r="B77" s="20"/>
      <c r="C77" s="232" t="s">
        <v>107</v>
      </c>
      <c r="D77" s="312" t="s">
        <v>661</v>
      </c>
      <c r="E77" s="217" t="s">
        <v>581</v>
      </c>
      <c r="F77" s="289">
        <f>'3'!H43</f>
        <v>30000</v>
      </c>
      <c r="G77" s="289">
        <f>'3'!I43</f>
        <v>30000</v>
      </c>
      <c r="H77" s="289">
        <f>'3'!J43</f>
        <v>22500</v>
      </c>
      <c r="I77" s="621">
        <f>'3'!K43</f>
        <v>30000</v>
      </c>
      <c r="J77" s="289">
        <f>'3'!L43</f>
        <v>0</v>
      </c>
      <c r="K77" s="620">
        <f>'3'!M43</f>
        <v>30000</v>
      </c>
      <c r="L77" s="216">
        <f t="shared" si="35"/>
        <v>100</v>
      </c>
    </row>
    <row r="78" spans="2:12" s="1" customFormat="1" ht="15" customHeight="1">
      <c r="B78" s="20"/>
      <c r="C78" s="232" t="s">
        <v>107</v>
      </c>
      <c r="D78" s="312" t="s">
        <v>662</v>
      </c>
      <c r="E78" s="217" t="s">
        <v>623</v>
      </c>
      <c r="F78" s="289">
        <f>'3'!H44</f>
        <v>15000</v>
      </c>
      <c r="G78" s="289">
        <f>'3'!I44</f>
        <v>15000</v>
      </c>
      <c r="H78" s="289">
        <f>'3'!J44</f>
        <v>10000</v>
      </c>
      <c r="I78" s="621">
        <f>'3'!K44</f>
        <v>15000</v>
      </c>
      <c r="J78" s="289">
        <f>'3'!L44</f>
        <v>0</v>
      </c>
      <c r="K78" s="620">
        <f>'3'!M44</f>
        <v>15000</v>
      </c>
      <c r="L78" s="216">
        <f t="shared" si="35"/>
        <v>100</v>
      </c>
    </row>
    <row r="79" spans="2:12" ht="15" customHeight="1" thickBot="1">
      <c r="B79" s="15"/>
      <c r="C79" s="232" t="s">
        <v>107</v>
      </c>
      <c r="D79" s="312" t="s">
        <v>687</v>
      </c>
      <c r="E79" s="221" t="s">
        <v>582</v>
      </c>
      <c r="F79" s="289">
        <f>'20'!H38</f>
        <v>40000</v>
      </c>
      <c r="G79" s="289">
        <f>'20'!I38</f>
        <v>40000</v>
      </c>
      <c r="H79" s="289">
        <f>'20'!J38</f>
        <v>23100</v>
      </c>
      <c r="I79" s="621">
        <f>'20'!K38</f>
        <v>40000</v>
      </c>
      <c r="J79" s="289">
        <f>'20'!L38</f>
        <v>0</v>
      </c>
      <c r="K79" s="620">
        <f>'20'!M38</f>
        <v>40000</v>
      </c>
      <c r="L79" s="216">
        <f t="shared" si="35"/>
        <v>100</v>
      </c>
    </row>
    <row r="80" spans="2:12" ht="15" customHeight="1">
      <c r="C80" s="232" t="s">
        <v>107</v>
      </c>
      <c r="D80" s="312" t="s">
        <v>688</v>
      </c>
      <c r="E80" s="221" t="s">
        <v>583</v>
      </c>
      <c r="F80" s="289">
        <f>'20'!H39</f>
        <v>150000</v>
      </c>
      <c r="G80" s="289">
        <f>'20'!I39</f>
        <v>150000</v>
      </c>
      <c r="H80" s="289">
        <f>'20'!J39</f>
        <v>132000</v>
      </c>
      <c r="I80" s="621">
        <f>'20'!K39</f>
        <v>220000</v>
      </c>
      <c r="J80" s="289">
        <f>'20'!L39</f>
        <v>0</v>
      </c>
      <c r="K80" s="620">
        <f>'20'!M39</f>
        <v>220000</v>
      </c>
      <c r="L80" s="216">
        <f t="shared" si="35"/>
        <v>146.66666666666666</v>
      </c>
    </row>
    <row r="81" spans="3:12" ht="15" customHeight="1">
      <c r="C81" s="232" t="s">
        <v>107</v>
      </c>
      <c r="D81" s="312" t="s">
        <v>692</v>
      </c>
      <c r="E81" s="221" t="s">
        <v>604</v>
      </c>
      <c r="F81" s="289">
        <f>'33'!H30</f>
        <v>0</v>
      </c>
      <c r="G81" s="289">
        <f>'33'!I30</f>
        <v>0</v>
      </c>
      <c r="H81" s="289">
        <f>'33'!J30</f>
        <v>0</v>
      </c>
      <c r="I81" s="621">
        <f>'33'!K30</f>
        <v>0</v>
      </c>
      <c r="J81" s="289">
        <f>'33'!L30</f>
        <v>0</v>
      </c>
      <c r="K81" s="620">
        <f>'33'!M30</f>
        <v>0</v>
      </c>
      <c r="L81" s="216" t="str">
        <f t="shared" si="35"/>
        <v/>
      </c>
    </row>
    <row r="82" spans="3:12" s="48" customFormat="1" ht="15" customHeight="1">
      <c r="C82" s="238" t="s">
        <v>206</v>
      </c>
      <c r="D82" s="313"/>
      <c r="E82" s="225" t="s">
        <v>592</v>
      </c>
      <c r="F82" s="265">
        <f t="shared" ref="F82:K82" si="36">SUM(F83:F86)</f>
        <v>2600000</v>
      </c>
      <c r="G82" s="265">
        <f t="shared" si="36"/>
        <v>2600000</v>
      </c>
      <c r="H82" s="265">
        <f t="shared" ref="H82" si="37">SUM(H83:H86)</f>
        <v>1107577</v>
      </c>
      <c r="I82" s="598">
        <f t="shared" si="36"/>
        <v>2336320</v>
      </c>
      <c r="J82" s="265">
        <f t="shared" si="36"/>
        <v>533680</v>
      </c>
      <c r="K82" s="551">
        <f t="shared" si="36"/>
        <v>2870000</v>
      </c>
      <c r="L82" s="84">
        <f t="shared" si="35"/>
        <v>110.38461538461539</v>
      </c>
    </row>
    <row r="83" spans="3:12" ht="15" customHeight="1">
      <c r="C83" s="232" t="s">
        <v>206</v>
      </c>
      <c r="D83" s="312" t="s">
        <v>665</v>
      </c>
      <c r="E83" s="221" t="s">
        <v>629</v>
      </c>
      <c r="F83" s="289">
        <f>'15'!H30</f>
        <v>1000000</v>
      </c>
      <c r="G83" s="289">
        <f>'15'!I30</f>
        <v>1000000</v>
      </c>
      <c r="H83" s="289">
        <f>'15'!J30</f>
        <v>218783</v>
      </c>
      <c r="I83" s="621">
        <f>'15'!K30</f>
        <v>1150000</v>
      </c>
      <c r="J83" s="289">
        <f>'15'!L30</f>
        <v>0</v>
      </c>
      <c r="K83" s="620">
        <f>'15'!M30</f>
        <v>1150000</v>
      </c>
      <c r="L83" s="216">
        <f t="shared" si="35"/>
        <v>114.99999999999999</v>
      </c>
    </row>
    <row r="84" spans="3:12" ht="15" customHeight="1">
      <c r="C84" s="231" t="s">
        <v>206</v>
      </c>
      <c r="D84" s="310" t="s">
        <v>676</v>
      </c>
      <c r="E84" s="218" t="s">
        <v>584</v>
      </c>
      <c r="F84" s="287">
        <f>'19'!H30</f>
        <v>1100000</v>
      </c>
      <c r="G84" s="287">
        <f>'19'!I30</f>
        <v>1100000</v>
      </c>
      <c r="H84" s="287">
        <f>'19'!J30</f>
        <v>805304</v>
      </c>
      <c r="I84" s="619">
        <f>'19'!K30</f>
        <v>1100000</v>
      </c>
      <c r="J84" s="287">
        <f>'19'!L30</f>
        <v>0</v>
      </c>
      <c r="K84" s="620">
        <f>'19'!M30</f>
        <v>1100000</v>
      </c>
      <c r="L84" s="216">
        <f t="shared" si="35"/>
        <v>100</v>
      </c>
    </row>
    <row r="85" spans="3:12" ht="15" customHeight="1">
      <c r="C85" s="231" t="s">
        <v>206</v>
      </c>
      <c r="D85" s="310" t="s">
        <v>678</v>
      </c>
      <c r="E85" s="218" t="s">
        <v>585</v>
      </c>
      <c r="F85" s="287">
        <f>'19'!H31</f>
        <v>300000</v>
      </c>
      <c r="G85" s="287">
        <f>'19'!I31</f>
        <v>300000</v>
      </c>
      <c r="H85" s="287">
        <f>'19'!J31</f>
        <v>83490</v>
      </c>
      <c r="I85" s="619">
        <f>'19'!K31</f>
        <v>60180</v>
      </c>
      <c r="J85" s="287">
        <f>'19'!L31</f>
        <v>339820</v>
      </c>
      <c r="K85" s="620">
        <f>'19'!M31</f>
        <v>400000</v>
      </c>
      <c r="L85" s="216">
        <f t="shared" si="35"/>
        <v>133.33333333333331</v>
      </c>
    </row>
    <row r="86" spans="3:12" ht="15" customHeight="1">
      <c r="C86" s="231" t="s">
        <v>206</v>
      </c>
      <c r="D86" s="310" t="s">
        <v>679</v>
      </c>
      <c r="E86" s="218" t="s">
        <v>586</v>
      </c>
      <c r="F86" s="287">
        <f>'19'!H32</f>
        <v>200000</v>
      </c>
      <c r="G86" s="287">
        <f>'19'!I32</f>
        <v>200000</v>
      </c>
      <c r="H86" s="287">
        <f>'19'!J32</f>
        <v>0</v>
      </c>
      <c r="I86" s="619">
        <f>'19'!K32</f>
        <v>26140</v>
      </c>
      <c r="J86" s="287">
        <f>'19'!L32</f>
        <v>193860</v>
      </c>
      <c r="K86" s="620">
        <f>'19'!M32</f>
        <v>220000</v>
      </c>
      <c r="L86" s="216">
        <f t="shared" si="35"/>
        <v>110.00000000000001</v>
      </c>
    </row>
    <row r="87" spans="3:12" s="48" customFormat="1" ht="15" customHeight="1">
      <c r="C87" s="240">
        <v>614800</v>
      </c>
      <c r="D87" s="314"/>
      <c r="E87" s="224" t="s">
        <v>593</v>
      </c>
      <c r="F87" s="264">
        <f t="shared" ref="F87:G87" si="38">SUM(F88:F89)</f>
        <v>80000</v>
      </c>
      <c r="G87" s="264">
        <f t="shared" si="38"/>
        <v>80000</v>
      </c>
      <c r="H87" s="264">
        <f t="shared" ref="H87" si="39">SUM(H88:H89)</f>
        <v>77835</v>
      </c>
      <c r="I87" s="626">
        <f t="shared" ref="I87:K87" si="40">SUM(I88:I89)</f>
        <v>108300</v>
      </c>
      <c r="J87" s="264">
        <f t="shared" si="40"/>
        <v>0</v>
      </c>
      <c r="K87" s="551">
        <f t="shared" si="40"/>
        <v>108300</v>
      </c>
      <c r="L87" s="84">
        <f t="shared" si="35"/>
        <v>135.375</v>
      </c>
    </row>
    <row r="88" spans="3:12" ht="15" customHeight="1">
      <c r="C88" s="231">
        <v>614800</v>
      </c>
      <c r="D88" s="310" t="s">
        <v>668</v>
      </c>
      <c r="E88" s="218" t="s">
        <v>587</v>
      </c>
      <c r="F88" s="287">
        <f>'16'!H34</f>
        <v>60000</v>
      </c>
      <c r="G88" s="287">
        <f>'16'!I34</f>
        <v>66000</v>
      </c>
      <c r="H88" s="287">
        <f>'16'!J34</f>
        <v>63840</v>
      </c>
      <c r="I88" s="619">
        <f>'16'!K34</f>
        <v>68000</v>
      </c>
      <c r="J88" s="287">
        <f>'16'!L34</f>
        <v>0</v>
      </c>
      <c r="K88" s="620">
        <f>'16'!M34</f>
        <v>68000</v>
      </c>
      <c r="L88" s="216">
        <f t="shared" si="35"/>
        <v>103.03030303030303</v>
      </c>
    </row>
    <row r="89" spans="3:12" ht="27" customHeight="1">
      <c r="C89" s="231">
        <v>614800</v>
      </c>
      <c r="D89" s="310" t="s">
        <v>669</v>
      </c>
      <c r="E89" s="223" t="s">
        <v>588</v>
      </c>
      <c r="F89" s="287">
        <f>'16'!H35</f>
        <v>20000</v>
      </c>
      <c r="G89" s="287">
        <f>'16'!I35</f>
        <v>14000</v>
      </c>
      <c r="H89" s="287">
        <f>'16'!J35</f>
        <v>13995</v>
      </c>
      <c r="I89" s="619">
        <f>'16'!K35</f>
        <v>40300</v>
      </c>
      <c r="J89" s="287">
        <f>'16'!L35</f>
        <v>0</v>
      </c>
      <c r="K89" s="620">
        <f>'16'!M35</f>
        <v>40300</v>
      </c>
      <c r="L89" s="216">
        <f t="shared" si="35"/>
        <v>287.85714285714283</v>
      </c>
    </row>
    <row r="90" spans="3:12" ht="13.5" customHeight="1">
      <c r="C90" s="233"/>
      <c r="D90" s="305"/>
      <c r="E90" s="8"/>
      <c r="F90" s="276"/>
      <c r="G90" s="276"/>
      <c r="H90" s="276"/>
      <c r="I90" s="558"/>
      <c r="J90" s="276"/>
      <c r="K90" s="553"/>
      <c r="L90" s="84" t="str">
        <f t="shared" si="35"/>
        <v/>
      </c>
    </row>
    <row r="91" spans="3:12" ht="15" customHeight="1">
      <c r="C91" s="385">
        <v>615000</v>
      </c>
      <c r="D91" s="386"/>
      <c r="E91" s="387" t="s">
        <v>89</v>
      </c>
      <c r="F91" s="383">
        <f t="shared" ref="F91:K91" si="41">SUM(F92:F93)</f>
        <v>400000</v>
      </c>
      <c r="G91" s="383">
        <f t="shared" si="41"/>
        <v>362000</v>
      </c>
      <c r="H91" s="383">
        <f t="shared" ref="H91" si="42">SUM(H92:H93)</f>
        <v>0</v>
      </c>
      <c r="I91" s="618">
        <f t="shared" si="41"/>
        <v>400000</v>
      </c>
      <c r="J91" s="383">
        <f t="shared" si="41"/>
        <v>0</v>
      </c>
      <c r="K91" s="553">
        <f t="shared" si="41"/>
        <v>400000</v>
      </c>
      <c r="L91" s="384">
        <f t="shared" si="35"/>
        <v>110.49723756906079</v>
      </c>
    </row>
    <row r="92" spans="3:12" ht="15" customHeight="1">
      <c r="C92" s="234" t="s">
        <v>208</v>
      </c>
      <c r="D92" s="314"/>
      <c r="E92" s="38" t="s">
        <v>89</v>
      </c>
      <c r="F92" s="279">
        <f>'3'!H48</f>
        <v>400000</v>
      </c>
      <c r="G92" s="279">
        <f>'3'!I48</f>
        <v>362000</v>
      </c>
      <c r="H92" s="279">
        <f>'3'!J48</f>
        <v>0</v>
      </c>
      <c r="I92" s="550">
        <f>'3'!K48</f>
        <v>400000</v>
      </c>
      <c r="J92" s="279">
        <f>'3'!L48</f>
        <v>0</v>
      </c>
      <c r="K92" s="551">
        <f>'3'!M48</f>
        <v>400000</v>
      </c>
      <c r="L92" s="84">
        <f t="shared" si="35"/>
        <v>110.49723756906079</v>
      </c>
    </row>
    <row r="93" spans="3:12" ht="12.75" customHeight="1">
      <c r="C93" s="235"/>
      <c r="D93" s="315"/>
      <c r="E93" s="21"/>
      <c r="F93" s="279"/>
      <c r="G93" s="279"/>
      <c r="H93" s="279"/>
      <c r="I93" s="550"/>
      <c r="J93" s="279"/>
      <c r="K93" s="551"/>
      <c r="L93" s="84" t="str">
        <f t="shared" si="35"/>
        <v/>
      </c>
    </row>
    <row r="94" spans="3:12" ht="15" customHeight="1">
      <c r="C94" s="388" t="s">
        <v>103</v>
      </c>
      <c r="D94" s="389"/>
      <c r="E94" s="387" t="s">
        <v>203</v>
      </c>
      <c r="F94" s="383">
        <f t="shared" ref="F94:K94" si="43">SUM(F95:F97)</f>
        <v>58860</v>
      </c>
      <c r="G94" s="383">
        <f t="shared" si="43"/>
        <v>58860</v>
      </c>
      <c r="H94" s="383">
        <f t="shared" ref="H94" si="44">SUM(H95:H97)</f>
        <v>45141</v>
      </c>
      <c r="I94" s="618">
        <f t="shared" si="43"/>
        <v>52000</v>
      </c>
      <c r="J94" s="383">
        <f t="shared" si="43"/>
        <v>0</v>
      </c>
      <c r="K94" s="553">
        <f t="shared" si="43"/>
        <v>52000</v>
      </c>
      <c r="L94" s="384">
        <f t="shared" si="35"/>
        <v>88.345225959904866</v>
      </c>
    </row>
    <row r="95" spans="3:12" ht="15" customHeight="1">
      <c r="C95" s="227">
        <v>616300</v>
      </c>
      <c r="D95" s="306"/>
      <c r="E95" s="38" t="s">
        <v>194</v>
      </c>
      <c r="F95" s="279">
        <f>'20'!H42</f>
        <v>2560</v>
      </c>
      <c r="G95" s="279">
        <f>'20'!I42</f>
        <v>2560</v>
      </c>
      <c r="H95" s="279">
        <f>'20'!J42</f>
        <v>2415</v>
      </c>
      <c r="I95" s="550">
        <f>'20'!K42</f>
        <v>2420</v>
      </c>
      <c r="J95" s="279">
        <f>'20'!L42</f>
        <v>0</v>
      </c>
      <c r="K95" s="551">
        <f>'20'!M42</f>
        <v>2420</v>
      </c>
      <c r="L95" s="84">
        <f t="shared" si="35"/>
        <v>94.53125</v>
      </c>
    </row>
    <row r="96" spans="3:12" ht="15" customHeight="1">
      <c r="C96" s="227">
        <v>616300</v>
      </c>
      <c r="D96" s="306" t="s">
        <v>670</v>
      </c>
      <c r="E96" s="38" t="s">
        <v>210</v>
      </c>
      <c r="F96" s="279">
        <f>'16'!H38</f>
        <v>23400</v>
      </c>
      <c r="G96" s="279">
        <f>'16'!I38</f>
        <v>23400</v>
      </c>
      <c r="H96" s="279">
        <f>'16'!J38</f>
        <v>21130</v>
      </c>
      <c r="I96" s="550">
        <f>'16'!K38</f>
        <v>21130</v>
      </c>
      <c r="J96" s="279">
        <f>'16'!L38</f>
        <v>0</v>
      </c>
      <c r="K96" s="551">
        <f>'16'!M38</f>
        <v>21130</v>
      </c>
      <c r="L96" s="84">
        <f t="shared" si="35"/>
        <v>90.299145299145295</v>
      </c>
    </row>
    <row r="97" spans="3:14" ht="15" customHeight="1">
      <c r="C97" s="227">
        <v>616300</v>
      </c>
      <c r="D97" s="306" t="s">
        <v>671</v>
      </c>
      <c r="E97" s="38" t="s">
        <v>214</v>
      </c>
      <c r="F97" s="279">
        <f>'16'!H39</f>
        <v>32900</v>
      </c>
      <c r="G97" s="279">
        <f>'16'!I39</f>
        <v>32900</v>
      </c>
      <c r="H97" s="279">
        <f>'16'!J39</f>
        <v>21596</v>
      </c>
      <c r="I97" s="550">
        <f>'16'!K39</f>
        <v>28450</v>
      </c>
      <c r="J97" s="279">
        <f>'16'!L39</f>
        <v>0</v>
      </c>
      <c r="K97" s="551">
        <f>'16'!M39</f>
        <v>28450</v>
      </c>
      <c r="L97" s="84">
        <f t="shared" si="35"/>
        <v>86.474164133738611</v>
      </c>
    </row>
    <row r="98" spans="3:14" ht="12" customHeight="1">
      <c r="C98" s="227"/>
      <c r="D98" s="306"/>
      <c r="E98" s="38"/>
      <c r="F98" s="279"/>
      <c r="G98" s="279"/>
      <c r="H98" s="279"/>
      <c r="I98" s="550"/>
      <c r="J98" s="279"/>
      <c r="K98" s="551"/>
      <c r="L98" s="84" t="str">
        <f t="shared" si="35"/>
        <v/>
      </c>
    </row>
    <row r="99" spans="3:14" ht="15" customHeight="1">
      <c r="C99" s="380">
        <v>821000</v>
      </c>
      <c r="D99" s="381"/>
      <c r="E99" s="382" t="s">
        <v>90</v>
      </c>
      <c r="F99" s="383">
        <f t="shared" ref="F99:K99" si="45">SUM(F100:F103)</f>
        <v>1348250</v>
      </c>
      <c r="G99" s="383">
        <f t="shared" si="45"/>
        <v>1368250</v>
      </c>
      <c r="H99" s="383">
        <f t="shared" ref="H99" si="46">SUM(H100:H103)</f>
        <v>245725</v>
      </c>
      <c r="I99" s="618">
        <f t="shared" si="45"/>
        <v>463540</v>
      </c>
      <c r="J99" s="383">
        <f t="shared" si="45"/>
        <v>1131050</v>
      </c>
      <c r="K99" s="553">
        <f t="shared" si="45"/>
        <v>1594590</v>
      </c>
      <c r="L99" s="384">
        <f t="shared" si="35"/>
        <v>116.54229855655034</v>
      </c>
    </row>
    <row r="100" spans="3:14" ht="15" customHeight="1">
      <c r="C100" s="229">
        <v>821200</v>
      </c>
      <c r="D100" s="308"/>
      <c r="E100" s="14" t="s">
        <v>91</v>
      </c>
      <c r="F100" s="283">
        <f>'1'!H29+'3'!H51+'4'!H32+'5'!H29+'6'!H29+'7'!H29+'8'!H29+'9'!H29+'10'!H29+'11'!H30+'12'!H29+'13'!H29+'14'!H29+'15'!H33+'16'!H42+'17'!H35+'18'!H34+'19'!H35+'20'!H45+'21'!H29+'22'!H29+'23'!H30+'24'!H29+'25'!H29+'26'!H29+'27'!H29+'28'!H29+'29'!H29+'30'!H29+'31'!H32+'32'!H29+'33'!H33+'34'!H29+'35'!H29+'36'!H29+'37'!H29</f>
        <v>46000</v>
      </c>
      <c r="G100" s="283">
        <f>'1'!I29+'3'!I51+'4'!I32+'5'!I29+'6'!I29+'7'!I29+'8'!I29+'9'!I29+'10'!I29+'11'!I30+'12'!I29+'13'!I29+'14'!I29+'15'!I33+'16'!I42+'17'!I35+'18'!I34+'19'!I35+'20'!I45+'21'!I29+'22'!I29+'23'!I30+'24'!I29+'25'!I29+'26'!I29+'27'!I29+'28'!I29+'29'!I29+'30'!I29+'31'!I32+'32'!I29+'33'!I33+'34'!I29+'35'!I29+'36'!I29+'37'!I29</f>
        <v>41630</v>
      </c>
      <c r="H100" s="283">
        <f>'1'!J29+'3'!J51+'4'!J32+'5'!J29+'6'!J29+'7'!J29+'8'!J29+'9'!J29+'10'!J29+'11'!J30+'12'!J29+'13'!J29+'14'!J29+'15'!J33+'16'!J42+'17'!J35+'18'!J34+'19'!J35+'20'!J45+'21'!J29+'22'!J29+'23'!J30+'24'!J29+'25'!J29+'26'!J29+'27'!J29+'28'!J29+'29'!J29+'30'!J29+'31'!J32+'32'!J29+'33'!J33+'34'!J29+'35'!J29+'36'!J29+'37'!J29</f>
        <v>17100</v>
      </c>
      <c r="I100" s="556">
        <f>'1'!K29+'3'!K51+'4'!K32+'5'!K29+'6'!K29+'7'!K29+'8'!K29+'9'!K29+'10'!K29+'11'!K30+'12'!K29+'13'!K29+'14'!K29+'15'!K33+'16'!K42+'17'!K35+'18'!K34+'19'!K35+'20'!K45+'21'!K29+'22'!K29+'23'!K30+'24'!K29+'25'!K29+'26'!K29+'27'!K29+'28'!K29+'29'!K29+'30'!K29+'31'!K32+'32'!K29+'33'!K33+'34'!K29+'35'!K29+'36'!K29+'37'!K29</f>
        <v>125280</v>
      </c>
      <c r="J100" s="283">
        <f>'1'!L29+'3'!L51+'4'!L32+'5'!L29+'6'!L29+'7'!L29+'8'!L29+'9'!L29+'10'!L29+'11'!L30+'12'!L29+'13'!L29+'14'!L29+'15'!L33+'16'!L42+'17'!L35+'18'!L34+'19'!L35+'20'!L45+'21'!L29+'22'!L29+'23'!L30+'24'!L29+'25'!L29+'26'!L29+'27'!L29+'28'!L29+'29'!L29+'30'!L29+'31'!L32+'32'!L29+'33'!L33+'34'!L29+'35'!L29+'36'!L29+'37'!L29</f>
        <v>102330</v>
      </c>
      <c r="K100" s="551">
        <f>'1'!M29+'3'!M51+'4'!M32+'5'!M29+'6'!M29+'7'!M29+'8'!M29+'9'!M29+'10'!M29+'11'!M30+'12'!M29+'13'!M29+'14'!M29+'15'!M33+'16'!M42+'17'!M35+'18'!M34+'19'!M35+'20'!M45+'21'!M29+'22'!M29+'23'!M30+'24'!M29+'25'!M29+'26'!M29+'27'!M29+'28'!M29+'29'!M29+'30'!M29+'31'!M32+'32'!M29+'33'!M33+'34'!M29+'35'!M29+'36'!M29+'37'!M29</f>
        <v>227610</v>
      </c>
      <c r="L100" s="84">
        <f t="shared" si="35"/>
        <v>546.74513571943305</v>
      </c>
    </row>
    <row r="101" spans="3:14" ht="15" customHeight="1">
      <c r="C101" s="229">
        <v>821300</v>
      </c>
      <c r="D101" s="308"/>
      <c r="E101" s="14" t="s">
        <v>92</v>
      </c>
      <c r="F101" s="283">
        <f>'1'!H30+'3'!H52+'4'!H33+'5'!H30+'6'!H30+'7'!H30+'8'!H30+'9'!H30+'10'!H30+'11'!H31+'12'!H30+'13'!H30+'14'!H30+'15'!H34+'16'!H43+'17'!H36+'18'!H35+'19'!H36+'20'!H46+'21'!H30+'22'!H30+'23'!H31+'24'!H30+'25'!H30+'26'!H30+'27'!H30+'28'!H30+'29'!H30+'30'!H30+'31'!H33+'32'!H30+'33'!H34+'34'!H30+'35'!H30+'36'!H30+'37'!H30</f>
        <v>360250</v>
      </c>
      <c r="G101" s="283">
        <f>'1'!I30+'3'!I52+'4'!I33+'5'!I30+'6'!I30+'7'!I30+'8'!I30+'9'!I30+'10'!I30+'11'!I31+'12'!I30+'13'!I30+'14'!I30+'15'!I34+'16'!I43+'17'!I36+'18'!I35+'19'!I36+'20'!I46+'21'!I30+'22'!I30+'23'!I31+'24'!I30+'25'!I30+'26'!I30+'27'!I30+'28'!I30+'29'!I30+'30'!I30+'31'!I33+'32'!I30+'33'!I34+'34'!I30+'35'!I30+'36'!I30+'37'!I30</f>
        <v>384620</v>
      </c>
      <c r="H101" s="283">
        <f>'1'!J30+'3'!J52+'4'!J33+'5'!J30+'6'!J30+'7'!J30+'8'!J30+'9'!J30+'10'!J30+'11'!J31+'12'!J30+'13'!J30+'14'!J30+'15'!J34+'16'!J43+'17'!J36+'18'!J35+'19'!J36+'20'!J46+'21'!J30+'22'!J30+'23'!J31+'24'!J30+'25'!J30+'26'!J30+'27'!J30+'28'!J30+'29'!J30+'30'!J30+'31'!J33+'32'!J30+'33'!J34+'34'!J30+'35'!J30+'36'!J30+'37'!J30</f>
        <v>221647</v>
      </c>
      <c r="I101" s="556">
        <f>'1'!K30+'3'!K52+'4'!K33+'5'!K30+'6'!K30+'7'!K30+'8'!K30+'9'!K30+'10'!K30+'11'!K31+'12'!K30+'13'!K30+'14'!K30+'15'!K34+'16'!K43+'17'!K36+'18'!K35+'19'!K36+'20'!K46+'21'!K30+'22'!K30+'23'!K31+'24'!K30+'25'!K30+'26'!K30+'27'!K30+'28'!K30+'29'!K30+'30'!K30+'31'!K33+'32'!K30+'33'!K34+'34'!K30+'35'!K30+'36'!K30+'37'!K30</f>
        <v>328260</v>
      </c>
      <c r="J101" s="283">
        <f>'1'!L30+'3'!L52+'4'!L33+'5'!L30+'6'!L30+'7'!L30+'8'!L30+'9'!L30+'10'!L30+'11'!L31+'12'!L30+'13'!L30+'14'!L30+'15'!L34+'16'!L43+'17'!L36+'18'!L35+'19'!L36+'20'!L46+'21'!L30+'22'!L30+'23'!L31+'24'!L30+'25'!L30+'26'!L30+'27'!L30+'28'!L30+'29'!L30+'30'!L30+'31'!L33+'32'!L30+'33'!L34+'34'!L30+'35'!L30+'36'!L30+'37'!L30</f>
        <v>136720</v>
      </c>
      <c r="K101" s="551">
        <f>'1'!M30+'3'!M52+'4'!M33+'5'!M30+'6'!M30+'7'!M30+'8'!M30+'9'!M30+'10'!M30+'11'!M31+'12'!M30+'13'!M30+'14'!M30+'15'!M34+'16'!M43+'17'!M36+'18'!M35+'19'!M36+'20'!M46+'21'!M30+'22'!M30+'23'!M31+'24'!M30+'25'!M30+'26'!M30+'27'!M30+'28'!M30+'29'!M30+'30'!M30+'31'!M33+'32'!M30+'33'!M34+'34'!M30+'35'!M30+'36'!M30+'37'!M30</f>
        <v>464980</v>
      </c>
      <c r="L101" s="84">
        <f t="shared" si="35"/>
        <v>120.89334927980863</v>
      </c>
    </row>
    <row r="102" spans="3:14" ht="15" customHeight="1">
      <c r="C102" s="229">
        <v>821500</v>
      </c>
      <c r="D102" s="308"/>
      <c r="E102" s="157" t="s">
        <v>521</v>
      </c>
      <c r="F102" s="283">
        <f>'3'!H53</f>
        <v>50000</v>
      </c>
      <c r="G102" s="283">
        <f>'3'!I53</f>
        <v>50000</v>
      </c>
      <c r="H102" s="283">
        <f>'3'!J53</f>
        <v>0</v>
      </c>
      <c r="I102" s="556">
        <f>'3'!K53</f>
        <v>10000</v>
      </c>
      <c r="J102" s="283">
        <f>'3'!L53</f>
        <v>0</v>
      </c>
      <c r="K102" s="551">
        <f>'3'!M53</f>
        <v>10000</v>
      </c>
      <c r="L102" s="84">
        <f t="shared" si="35"/>
        <v>20</v>
      </c>
    </row>
    <row r="103" spans="3:14" ht="15" customHeight="1">
      <c r="C103" s="229">
        <v>821600</v>
      </c>
      <c r="D103" s="308"/>
      <c r="E103" s="64" t="s">
        <v>104</v>
      </c>
      <c r="F103" s="283">
        <f>'18'!H36</f>
        <v>892000</v>
      </c>
      <c r="G103" s="283">
        <f>'18'!I36</f>
        <v>892000</v>
      </c>
      <c r="H103" s="283">
        <f>'18'!J36</f>
        <v>6978</v>
      </c>
      <c r="I103" s="556">
        <f>'18'!K36</f>
        <v>0</v>
      </c>
      <c r="J103" s="283">
        <f>'18'!L36</f>
        <v>892000</v>
      </c>
      <c r="K103" s="551">
        <f>'18'!M36</f>
        <v>892000</v>
      </c>
      <c r="L103" s="84">
        <f t="shared" si="35"/>
        <v>100</v>
      </c>
    </row>
    <row r="104" spans="3:14" ht="11.25" customHeight="1">
      <c r="C104" s="227"/>
      <c r="D104" s="306"/>
      <c r="E104" s="11"/>
      <c r="F104" s="267"/>
      <c r="G104" s="267"/>
      <c r="H104" s="267"/>
      <c r="I104" s="578"/>
      <c r="J104" s="267"/>
      <c r="K104" s="551"/>
      <c r="L104" s="84" t="str">
        <f t="shared" si="35"/>
        <v/>
      </c>
    </row>
    <row r="105" spans="3:14" ht="15" customHeight="1">
      <c r="C105" s="380">
        <v>823000</v>
      </c>
      <c r="D105" s="381"/>
      <c r="E105" s="382" t="s">
        <v>204</v>
      </c>
      <c r="F105" s="383">
        <f t="shared" ref="F105:G105" si="47">SUM(F106:F108)</f>
        <v>598890</v>
      </c>
      <c r="G105" s="383">
        <f t="shared" si="47"/>
        <v>598890</v>
      </c>
      <c r="H105" s="383">
        <f t="shared" ref="H105" si="48">SUM(H106:H108)</f>
        <v>591134</v>
      </c>
      <c r="I105" s="618">
        <f t="shared" ref="I105:J105" si="49">SUM(I106:I108)</f>
        <v>591150</v>
      </c>
      <c r="J105" s="383">
        <f t="shared" si="49"/>
        <v>0</v>
      </c>
      <c r="K105" s="553">
        <f t="shared" ref="K105" si="50">SUM(K106:K108)</f>
        <v>591150</v>
      </c>
      <c r="L105" s="384">
        <f t="shared" si="35"/>
        <v>98.707609076792068</v>
      </c>
    </row>
    <row r="106" spans="3:14" ht="15" customHeight="1">
      <c r="C106" s="227">
        <v>823300</v>
      </c>
      <c r="D106" s="306"/>
      <c r="E106" s="18" t="s">
        <v>213</v>
      </c>
      <c r="F106" s="267">
        <f>'20'!H49</f>
        <v>75000</v>
      </c>
      <c r="G106" s="267">
        <f>'20'!I49</f>
        <v>75000</v>
      </c>
      <c r="H106" s="267">
        <f>'20'!J49</f>
        <v>71436</v>
      </c>
      <c r="I106" s="578">
        <f>'20'!K49</f>
        <v>71440</v>
      </c>
      <c r="J106" s="267">
        <f>'20'!L49</f>
        <v>0</v>
      </c>
      <c r="K106" s="551">
        <f>'20'!M49</f>
        <v>71440</v>
      </c>
      <c r="L106" s="84">
        <f t="shared" si="35"/>
        <v>95.25333333333333</v>
      </c>
    </row>
    <row r="107" spans="3:14" ht="15" customHeight="1">
      <c r="C107" s="227">
        <v>823300</v>
      </c>
      <c r="D107" s="306" t="s">
        <v>670</v>
      </c>
      <c r="E107" s="18" t="s">
        <v>601</v>
      </c>
      <c r="F107" s="279">
        <f>'16'!H46</f>
        <v>93600</v>
      </c>
      <c r="G107" s="279">
        <f>'16'!I46</f>
        <v>93600</v>
      </c>
      <c r="H107" s="279">
        <f>'16'!J46</f>
        <v>89415</v>
      </c>
      <c r="I107" s="550">
        <f>'16'!K46</f>
        <v>89420</v>
      </c>
      <c r="J107" s="279">
        <f>'16'!L46</f>
        <v>0</v>
      </c>
      <c r="K107" s="551">
        <f>'16'!M46</f>
        <v>89420</v>
      </c>
      <c r="L107" s="84">
        <f t="shared" si="35"/>
        <v>95.534188034188034</v>
      </c>
    </row>
    <row r="108" spans="3:14" ht="15" customHeight="1">
      <c r="C108" s="227">
        <v>823300</v>
      </c>
      <c r="D108" s="306" t="s">
        <v>671</v>
      </c>
      <c r="E108" s="18" t="s">
        <v>600</v>
      </c>
      <c r="F108" s="279">
        <f>'16'!H47</f>
        <v>430290</v>
      </c>
      <c r="G108" s="279">
        <f>'16'!I47</f>
        <v>430290</v>
      </c>
      <c r="H108" s="279">
        <f>'16'!J47</f>
        <v>430283</v>
      </c>
      <c r="I108" s="550">
        <f>'16'!K47</f>
        <v>430290</v>
      </c>
      <c r="J108" s="279">
        <f>'16'!L47</f>
        <v>0</v>
      </c>
      <c r="K108" s="551">
        <f>'16'!M47</f>
        <v>430290</v>
      </c>
      <c r="L108" s="84">
        <f t="shared" si="35"/>
        <v>100</v>
      </c>
    </row>
    <row r="109" spans="3:14" ht="15" customHeight="1">
      <c r="C109" s="25"/>
      <c r="D109" s="316"/>
      <c r="E109" s="11"/>
      <c r="F109" s="267"/>
      <c r="G109" s="267"/>
      <c r="H109" s="267"/>
      <c r="I109" s="578"/>
      <c r="J109" s="267"/>
      <c r="K109" s="551"/>
      <c r="L109" s="84" t="str">
        <f t="shared" si="35"/>
        <v/>
      </c>
    </row>
    <row r="110" spans="3:14" ht="15" customHeight="1">
      <c r="C110" s="4"/>
      <c r="D110" s="304"/>
      <c r="E110" s="8" t="s">
        <v>93</v>
      </c>
      <c r="F110" s="284" t="s">
        <v>792</v>
      </c>
      <c r="G110" s="284" t="s">
        <v>792</v>
      </c>
      <c r="H110" s="284" t="s">
        <v>836</v>
      </c>
      <c r="I110" s="583" t="s">
        <v>873</v>
      </c>
      <c r="J110" s="284"/>
      <c r="K110" s="581" t="s">
        <v>873</v>
      </c>
      <c r="L110" s="84"/>
    </row>
    <row r="111" spans="3:14" ht="15" customHeight="1">
      <c r="C111" s="4"/>
      <c r="D111" s="304"/>
      <c r="E111" s="8" t="s">
        <v>113</v>
      </c>
      <c r="F111" s="276">
        <f>'1'!H33+'3'!H56+'4'!H36+'5'!H33+'6'!H33+'7'!H33+'8'!H33+'9'!H33+'10'!H33+'11'!H34+'12'!H33+'13'!H33+'14'!H33+'15'!H37+'16'!H50+'17'!H39+'18'!H39+'19'!H39+'20'!H52+'21'!H33+'22'!H33+'23'!H34+'24'!H33+'25'!H33+'26'!H33+'27'!H33+'28'!H33+'29'!H33+'30'!H33+'31'!H36+'32'!H33+'33'!H37+'34'!H33+'35'!H33+'36'!H33+'37'!H33</f>
        <v>41220340</v>
      </c>
      <c r="G111" s="276">
        <f>'1'!I33+'3'!I56+'4'!I36+'5'!I33+'6'!I33+'7'!I33+'8'!I33+'9'!I33+'10'!I33+'11'!I34+'12'!I33+'13'!I33+'14'!I33+'15'!I37+'16'!I50+'17'!I39+'18'!I39+'19'!I39+'20'!I52+'21'!I33+'22'!I33+'23'!I34+'24'!I33+'25'!I33+'26'!I33+'27'!I33+'28'!I33+'29'!I33+'30'!I33+'31'!I36+'32'!I33+'33'!I37+'34'!I33+'35'!I33+'36'!I33+'37'!I33</f>
        <v>41248500</v>
      </c>
      <c r="H111" s="276">
        <f>'1'!J33+'3'!J56+'4'!J36+'5'!J33+'6'!J33+'7'!J33+'8'!J33+'9'!J33+'10'!J33+'11'!J34+'12'!J33+'13'!J33+'14'!J33+'15'!J37+'16'!J50+'17'!J39+'18'!J39+'19'!J39+'20'!J52+'21'!J33+'22'!J33+'23'!J34+'24'!J33+'25'!J33+'26'!J33+'27'!J33+'28'!J33+'29'!J33+'30'!J33+'31'!J36+'32'!J33+'33'!J37+'34'!J33+'35'!J33+'36'!J33+'37'!J33</f>
        <v>27318957</v>
      </c>
      <c r="I111" s="558">
        <f>'1'!K33+'3'!K56+'4'!K36+'5'!K33+'6'!K33+'7'!K33+'8'!K33+'9'!K33+'10'!K33+'11'!K34+'12'!K33+'13'!K33+'14'!K33+'15'!K37+'16'!K50+'17'!K39+'18'!K39+'19'!K39+'20'!K52+'21'!K33+'22'!K33+'23'!K34+'24'!K33+'25'!K33+'26'!K33+'27'!K33+'28'!K33+'29'!K33+'30'!K33+'31'!K36+'32'!K33+'33'!K37+'34'!K33+'35'!K33+'36'!K33+'37'!K33</f>
        <v>39444090</v>
      </c>
      <c r="J111" s="276">
        <f>'1'!L33+'3'!L56+'4'!L36+'5'!L33+'6'!L33+'7'!L33+'8'!L33+'9'!L33+'10'!L33+'11'!L34+'12'!L33+'13'!L33+'14'!L33+'15'!L37+'16'!L50+'17'!L39+'18'!L39+'19'!L39+'20'!L52+'21'!L33+'22'!L33+'23'!L34+'24'!L33+'25'!L33+'26'!L33+'27'!L33+'28'!L33+'29'!L33+'30'!L33+'31'!L36+'32'!L33+'33'!L37+'34'!L33+'35'!L33+'36'!L33+'37'!L33</f>
        <v>2551790</v>
      </c>
      <c r="K111" s="553">
        <f>'1'!M33+'3'!M56+'4'!M36+'5'!M33+'6'!M33+'7'!M33+'8'!M33+'9'!M33+'10'!M33+'11'!M34+'12'!M33+'13'!M33+'14'!M33+'15'!M37+'16'!M50+'17'!M39+'18'!M39+'19'!M39+'20'!M52+'21'!M33+'22'!M33+'23'!M34+'24'!M33+'25'!M33+'26'!M33+'27'!M33+'28'!M33+'29'!M33+'30'!M33+'31'!M36+'32'!M33+'33'!M37+'34'!M33+'35'!M33+'36'!M33+'37'!M33</f>
        <v>41995880</v>
      </c>
      <c r="L111" s="252">
        <f t="shared" si="35"/>
        <v>101.81189619016449</v>
      </c>
      <c r="N111" s="54"/>
    </row>
    <row r="112" spans="3:14" ht="15" customHeight="1" thickBot="1">
      <c r="C112" s="26"/>
      <c r="D112" s="317"/>
      <c r="E112" s="16"/>
      <c r="F112" s="16"/>
      <c r="G112" s="16"/>
      <c r="H112" s="569"/>
      <c r="I112" s="15"/>
      <c r="J112" s="16"/>
      <c r="K112" s="574"/>
      <c r="L112" s="80"/>
    </row>
    <row r="113" spans="3:12" ht="15" customHeight="1" thickBot="1">
      <c r="C113" s="46"/>
      <c r="D113" s="291"/>
      <c r="E113" s="47"/>
      <c r="F113" s="47"/>
      <c r="G113" s="47"/>
      <c r="H113" s="627"/>
      <c r="I113" s="47"/>
      <c r="J113" s="47"/>
      <c r="K113" s="47"/>
      <c r="L113" s="78"/>
    </row>
    <row r="114" spans="3:12" ht="7.5" customHeight="1"/>
    <row r="115" spans="3:12" ht="8.25" customHeight="1">
      <c r="C115" s="28"/>
      <c r="D115" s="280"/>
    </row>
    <row r="116" spans="3:12" ht="12" customHeight="1">
      <c r="C116" s="709"/>
      <c r="D116" s="709"/>
      <c r="E116" s="709"/>
      <c r="F116" s="357"/>
      <c r="G116" s="357"/>
      <c r="H116" s="628"/>
      <c r="I116" s="486"/>
      <c r="J116" s="486"/>
      <c r="K116" s="486"/>
      <c r="L116" s="79"/>
    </row>
    <row r="117" spans="3:12" ht="18" customHeight="1">
      <c r="C117" s="502" t="s">
        <v>818</v>
      </c>
      <c r="D117" s="502"/>
      <c r="E117" s="503"/>
      <c r="F117" s="503"/>
      <c r="G117" s="503"/>
      <c r="H117" s="629"/>
      <c r="I117" s="503"/>
      <c r="J117" s="503"/>
      <c r="K117" s="503"/>
      <c r="L117" s="504"/>
    </row>
    <row r="118" spans="3:12" ht="12" customHeight="1">
      <c r="C118" s="505"/>
      <c r="D118" s="505"/>
      <c r="E118" s="503"/>
      <c r="F118" s="503"/>
      <c r="G118" s="503"/>
      <c r="H118" s="629"/>
      <c r="I118" s="503"/>
      <c r="J118" s="503"/>
      <c r="K118" s="503"/>
      <c r="L118" s="504"/>
    </row>
    <row r="119" spans="3:12" ht="12" customHeight="1">
      <c r="C119" s="704" t="s">
        <v>819</v>
      </c>
      <c r="D119" s="704"/>
      <c r="E119" s="704"/>
      <c r="F119" s="506"/>
      <c r="G119" s="506"/>
      <c r="H119" s="630"/>
      <c r="I119" s="506"/>
      <c r="J119" s="506"/>
      <c r="K119" s="506"/>
      <c r="L119" s="507"/>
    </row>
    <row r="120" spans="3:12" s="272" customFormat="1" ht="18" customHeight="1">
      <c r="C120" s="506" t="s">
        <v>820</v>
      </c>
      <c r="D120" s="506"/>
      <c r="E120" s="506"/>
      <c r="F120" s="506"/>
      <c r="G120" s="506"/>
      <c r="H120" s="630"/>
      <c r="I120" s="506"/>
      <c r="J120" s="506"/>
      <c r="K120" s="506"/>
      <c r="L120" s="507"/>
    </row>
    <row r="121" spans="3:12" ht="12" customHeight="1">
      <c r="C121" s="705" t="str">
        <f>CONCATENATE("     Rashodi i izdaci u Proračunu u iznosu od ",TEXT(K111,"#.##0")," KM raspoređuju se po korisnicima proračuna u Posebnom dijelu Proračuna kako slijedi:")</f>
        <v xml:space="preserve">     Rashodi i izdaci u Proračunu u iznosu od 41.995.880 KM raspoređuju se po korisnicima proračuna u Posebnom dijelu Proračuna kako slijedi:</v>
      </c>
      <c r="D121" s="705"/>
      <c r="E121" s="705"/>
      <c r="F121" s="705"/>
      <c r="G121" s="705"/>
      <c r="H121" s="705"/>
      <c r="I121" s="705"/>
      <c r="J121" s="705"/>
      <c r="K121" s="705"/>
      <c r="L121" s="705"/>
    </row>
  </sheetData>
  <mergeCells count="13">
    <mergeCell ref="C119:E119"/>
    <mergeCell ref="C121:L121"/>
    <mergeCell ref="H3:L3"/>
    <mergeCell ref="C3:E3"/>
    <mergeCell ref="C116:E116"/>
    <mergeCell ref="C4:C5"/>
    <mergeCell ref="D4:D5"/>
    <mergeCell ref="E4:E5"/>
    <mergeCell ref="L4:L5"/>
    <mergeCell ref="I4:K4"/>
    <mergeCell ref="F4:F5"/>
    <mergeCell ref="G4:G5"/>
    <mergeCell ref="H4:H5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86" firstPageNumber="7" orientation="landscape" r:id="rId1"/>
  <headerFooter alignWithMargins="0">
    <oddFooter>&amp;R&amp;P</oddFooter>
  </headerFooter>
  <rowBreaks count="2" manualBreakCount="2">
    <brk id="40" min="2" max="11" man="1"/>
    <brk id="105" min="2" max="11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R96"/>
  <sheetViews>
    <sheetView topLeftCell="A16" zoomScaleNormal="100" workbookViewId="0">
      <selection activeCell="K32" sqref="K32"/>
    </sheetView>
  </sheetViews>
  <sheetFormatPr defaultRowHeight="12.75"/>
  <cols>
    <col min="1" max="1" width="9.140625" style="272"/>
    <col min="2" max="2" width="4.7109375" style="9" customWidth="1"/>
    <col min="3" max="3" width="5.140625" style="9" customWidth="1"/>
    <col min="4" max="4" width="5" style="9" customWidth="1"/>
    <col min="5" max="5" width="8.7109375" style="17" customWidth="1"/>
    <col min="6" max="6" width="8.7109375" style="277" customWidth="1"/>
    <col min="7" max="7" width="50.7109375" style="9" customWidth="1"/>
    <col min="8" max="8" width="14.7109375" style="510" customWidth="1"/>
    <col min="9" max="9" width="14.7109375" style="272" customWidth="1"/>
    <col min="10" max="10" width="15.7109375" style="510" customWidth="1"/>
    <col min="11" max="12" width="14.7109375" style="272" customWidth="1"/>
    <col min="13" max="13" width="15.7109375" style="272" customWidth="1"/>
    <col min="14" max="14" width="7.7109375" style="337" customWidth="1"/>
    <col min="15" max="15" width="9.140625" style="9"/>
    <col min="16" max="16" width="9.5703125" style="9" bestFit="1" customWidth="1"/>
    <col min="17" max="16384" width="9.140625" style="9"/>
  </cols>
  <sheetData>
    <row r="1" spans="1:18" ht="13.5" thickBot="1">
      <c r="A1" s="66"/>
    </row>
    <row r="2" spans="1:18" s="93" customFormat="1" ht="20.100000000000001" customHeight="1" thickTop="1" thickBot="1">
      <c r="A2" s="363"/>
      <c r="B2" s="725" t="s">
        <v>116</v>
      </c>
      <c r="C2" s="726"/>
      <c r="D2" s="726"/>
      <c r="E2" s="726"/>
      <c r="F2" s="726"/>
      <c r="G2" s="726"/>
      <c r="H2" s="726"/>
      <c r="I2" s="726"/>
      <c r="J2" s="726"/>
      <c r="K2" s="726"/>
      <c r="L2" s="726"/>
      <c r="M2" s="726"/>
      <c r="N2" s="727"/>
    </row>
    <row r="3" spans="1:18" s="1" customFormat="1" ht="8.1" customHeight="1" thickTop="1" thickBot="1">
      <c r="A3" s="269"/>
      <c r="E3" s="2"/>
      <c r="F3" s="270"/>
      <c r="G3" s="488"/>
      <c r="H3" s="511"/>
      <c r="I3" s="87"/>
      <c r="J3" s="511"/>
      <c r="K3" s="87"/>
      <c r="L3" s="87"/>
      <c r="M3" s="87"/>
      <c r="N3" s="331"/>
    </row>
    <row r="4" spans="1:18" s="1" customFormat="1" ht="39" customHeight="1">
      <c r="A4" s="269"/>
      <c r="B4" s="728" t="s">
        <v>78</v>
      </c>
      <c r="C4" s="730" t="s">
        <v>79</v>
      </c>
      <c r="D4" s="732" t="s">
        <v>110</v>
      </c>
      <c r="E4" s="734" t="s">
        <v>594</v>
      </c>
      <c r="F4" s="733" t="s">
        <v>650</v>
      </c>
      <c r="G4" s="734" t="s">
        <v>80</v>
      </c>
      <c r="H4" s="740" t="s">
        <v>644</v>
      </c>
      <c r="I4" s="742" t="s">
        <v>821</v>
      </c>
      <c r="J4" s="744" t="s">
        <v>822</v>
      </c>
      <c r="K4" s="737" t="s">
        <v>863</v>
      </c>
      <c r="L4" s="738"/>
      <c r="M4" s="739"/>
      <c r="N4" s="735" t="s">
        <v>823</v>
      </c>
    </row>
    <row r="5" spans="1:18" s="269" customFormat="1" ht="27" customHeight="1">
      <c r="B5" s="729"/>
      <c r="C5" s="731"/>
      <c r="D5" s="731"/>
      <c r="E5" s="722"/>
      <c r="F5" s="731"/>
      <c r="G5" s="722"/>
      <c r="H5" s="741"/>
      <c r="I5" s="743"/>
      <c r="J5" s="745"/>
      <c r="K5" s="611" t="s">
        <v>701</v>
      </c>
      <c r="L5" s="358" t="s">
        <v>702</v>
      </c>
      <c r="M5" s="541" t="s">
        <v>413</v>
      </c>
      <c r="N5" s="736"/>
    </row>
    <row r="6" spans="1:18" s="2" customFormat="1" ht="12.75" customHeight="1">
      <c r="A6" s="270"/>
      <c r="B6" s="464">
        <v>1</v>
      </c>
      <c r="C6" s="318">
        <v>2</v>
      </c>
      <c r="D6" s="318">
        <v>3</v>
      </c>
      <c r="E6" s="318">
        <v>4</v>
      </c>
      <c r="F6" s="318">
        <v>5</v>
      </c>
      <c r="G6" s="318">
        <v>6</v>
      </c>
      <c r="H6" s="512">
        <v>7</v>
      </c>
      <c r="I6" s="318">
        <v>8</v>
      </c>
      <c r="J6" s="561">
        <v>9</v>
      </c>
      <c r="K6" s="464">
        <v>10</v>
      </c>
      <c r="L6" s="318">
        <v>11</v>
      </c>
      <c r="M6" s="542" t="s">
        <v>703</v>
      </c>
      <c r="N6" s="465">
        <v>13</v>
      </c>
    </row>
    <row r="7" spans="1:18" s="2" customFormat="1" ht="12.95" customHeight="1">
      <c r="A7" s="270"/>
      <c r="B7" s="6">
        <v>10</v>
      </c>
      <c r="C7" s="7" t="s">
        <v>81</v>
      </c>
      <c r="D7" s="7" t="s">
        <v>82</v>
      </c>
      <c r="E7" s="5"/>
      <c r="F7" s="271"/>
      <c r="G7" s="5"/>
      <c r="H7" s="513"/>
      <c r="I7" s="271"/>
      <c r="J7" s="568"/>
      <c r="K7" s="4"/>
      <c r="L7" s="271"/>
      <c r="M7" s="570"/>
      <c r="N7" s="332"/>
    </row>
    <row r="8" spans="1:18" s="1" customFormat="1" ht="12.95" customHeight="1">
      <c r="A8" s="269"/>
      <c r="B8" s="12"/>
      <c r="C8" s="8"/>
      <c r="D8" s="8"/>
      <c r="E8" s="292">
        <v>611000</v>
      </c>
      <c r="F8" s="318"/>
      <c r="G8" s="8" t="s">
        <v>163</v>
      </c>
      <c r="H8" s="514">
        <f t="shared" ref="H8" si="0">SUM(H9:H11)</f>
        <v>552600</v>
      </c>
      <c r="I8" s="514">
        <f t="shared" ref="I8" si="1">SUM(I9:I11)</f>
        <v>552600</v>
      </c>
      <c r="J8" s="563">
        <f>SUM(J9:J11)</f>
        <v>417245</v>
      </c>
      <c r="K8" s="545">
        <f t="shared" ref="K8:M8" si="2">SUM(K9:K11)</f>
        <v>574330</v>
      </c>
      <c r="L8" s="201">
        <f t="shared" si="2"/>
        <v>0</v>
      </c>
      <c r="M8" s="546">
        <f t="shared" si="2"/>
        <v>574330</v>
      </c>
      <c r="N8" s="333">
        <f>IF(I8=0,"",M8/I8*100)</f>
        <v>103.93231994209194</v>
      </c>
      <c r="P8" s="53"/>
    </row>
    <row r="9" spans="1:18" ht="12.95" customHeight="1">
      <c r="B9" s="10"/>
      <c r="C9" s="11"/>
      <c r="D9" s="11"/>
      <c r="E9" s="293">
        <v>611100</v>
      </c>
      <c r="F9" s="319"/>
      <c r="G9" s="18" t="s">
        <v>198</v>
      </c>
      <c r="H9" s="515">
        <v>471300</v>
      </c>
      <c r="I9" s="515">
        <v>471300</v>
      </c>
      <c r="J9" s="564">
        <v>363697</v>
      </c>
      <c r="K9" s="549">
        <f>498150-3750+1660-2*6610+740+3000</f>
        <v>486580</v>
      </c>
      <c r="L9" s="200">
        <v>0</v>
      </c>
      <c r="M9" s="548">
        <f>SUM(K9:L9)</f>
        <v>486580</v>
      </c>
      <c r="N9" s="334">
        <f t="shared" ref="N9:N35" si="3">IF(I9=0,"",M9/I9*100)</f>
        <v>103.24209632930193</v>
      </c>
      <c r="O9" s="48"/>
      <c r="P9" s="53"/>
      <c r="Q9" s="54"/>
      <c r="R9" s="54"/>
    </row>
    <row r="10" spans="1:18" ht="12.95" customHeight="1">
      <c r="B10" s="10"/>
      <c r="C10" s="11"/>
      <c r="D10" s="11"/>
      <c r="E10" s="293">
        <v>611200</v>
      </c>
      <c r="F10" s="319"/>
      <c r="G10" s="18" t="s">
        <v>199</v>
      </c>
      <c r="H10" s="515">
        <v>81300</v>
      </c>
      <c r="I10" s="515">
        <v>81300</v>
      </c>
      <c r="J10" s="564">
        <v>53548</v>
      </c>
      <c r="K10" s="549">
        <f>81500+25*250</f>
        <v>87750</v>
      </c>
      <c r="L10" s="200">
        <v>0</v>
      </c>
      <c r="M10" s="548">
        <f t="shared" ref="M10:M11" si="4">SUM(K10:L10)</f>
        <v>87750</v>
      </c>
      <c r="N10" s="334">
        <f t="shared" si="3"/>
        <v>107.93357933579335</v>
      </c>
      <c r="P10" s="53"/>
    </row>
    <row r="11" spans="1:18" ht="12.95" customHeight="1">
      <c r="B11" s="10"/>
      <c r="C11" s="11"/>
      <c r="D11" s="11"/>
      <c r="E11" s="293">
        <v>611200</v>
      </c>
      <c r="F11" s="319"/>
      <c r="G11" s="180" t="s">
        <v>534</v>
      </c>
      <c r="H11" s="515">
        <f t="shared" ref="H11:I11" si="5">SUM(F11:G11)</f>
        <v>0</v>
      </c>
      <c r="I11" s="515">
        <f t="shared" si="5"/>
        <v>0</v>
      </c>
      <c r="J11" s="564">
        <v>0</v>
      </c>
      <c r="K11" s="549">
        <v>0</v>
      </c>
      <c r="L11" s="200">
        <v>0</v>
      </c>
      <c r="M11" s="548">
        <f t="shared" si="4"/>
        <v>0</v>
      </c>
      <c r="N11" s="334" t="str">
        <f t="shared" si="3"/>
        <v/>
      </c>
      <c r="P11" s="53"/>
    </row>
    <row r="12" spans="1:18" ht="8.1" customHeight="1">
      <c r="B12" s="10"/>
      <c r="C12" s="11"/>
      <c r="D12" s="11"/>
      <c r="E12" s="293"/>
      <c r="F12" s="319"/>
      <c r="G12" s="180"/>
      <c r="H12" s="515"/>
      <c r="I12" s="515"/>
      <c r="J12" s="564"/>
      <c r="K12" s="549"/>
      <c r="L12" s="200"/>
      <c r="M12" s="548"/>
      <c r="N12" s="334" t="str">
        <f t="shared" si="3"/>
        <v/>
      </c>
      <c r="P12" s="53"/>
    </row>
    <row r="13" spans="1:18" ht="12.95" customHeight="1">
      <c r="B13" s="12"/>
      <c r="C13" s="8"/>
      <c r="D13" s="8"/>
      <c r="E13" s="292">
        <v>612000</v>
      </c>
      <c r="F13" s="318"/>
      <c r="G13" s="8" t="s">
        <v>162</v>
      </c>
      <c r="H13" s="514">
        <f t="shared" ref="H13:I13" si="6">H14+H15</f>
        <v>51900</v>
      </c>
      <c r="I13" s="514">
        <f t="shared" si="6"/>
        <v>51900</v>
      </c>
      <c r="J13" s="563">
        <f>J14</f>
        <v>38423</v>
      </c>
      <c r="K13" s="545">
        <f t="shared" ref="K13:M13" si="7">K14+K15</f>
        <v>52300</v>
      </c>
      <c r="L13" s="201">
        <f t="shared" si="7"/>
        <v>0</v>
      </c>
      <c r="M13" s="546">
        <f t="shared" si="7"/>
        <v>52300</v>
      </c>
      <c r="N13" s="333">
        <f t="shared" si="3"/>
        <v>100.77071290944124</v>
      </c>
      <c r="P13" s="53"/>
    </row>
    <row r="14" spans="1:18" s="1" customFormat="1" ht="12.95" customHeight="1">
      <c r="A14" s="269"/>
      <c r="B14" s="10"/>
      <c r="C14" s="11"/>
      <c r="D14" s="11"/>
      <c r="E14" s="293">
        <v>612100</v>
      </c>
      <c r="F14" s="319"/>
      <c r="G14" s="13" t="s">
        <v>83</v>
      </c>
      <c r="H14" s="515">
        <v>51900</v>
      </c>
      <c r="I14" s="515">
        <v>51900</v>
      </c>
      <c r="J14" s="564">
        <v>38423</v>
      </c>
      <c r="K14" s="549">
        <v>52300</v>
      </c>
      <c r="L14" s="200">
        <v>0</v>
      </c>
      <c r="M14" s="548">
        <f>SUM(K14:L14)</f>
        <v>52300</v>
      </c>
      <c r="N14" s="334">
        <f t="shared" si="3"/>
        <v>100.77071290944124</v>
      </c>
      <c r="P14" s="53"/>
    </row>
    <row r="15" spans="1:18" ht="8.1" customHeight="1">
      <c r="B15" s="10"/>
      <c r="C15" s="11"/>
      <c r="D15" s="11"/>
      <c r="E15" s="293"/>
      <c r="F15" s="319"/>
      <c r="G15" s="11"/>
      <c r="H15" s="516"/>
      <c r="I15" s="516"/>
      <c r="J15" s="566"/>
      <c r="K15" s="578"/>
      <c r="L15" s="267"/>
      <c r="M15" s="551"/>
      <c r="N15" s="334" t="str">
        <f t="shared" si="3"/>
        <v/>
      </c>
      <c r="P15" s="53"/>
    </row>
    <row r="16" spans="1:18" ht="12.95" customHeight="1">
      <c r="B16" s="12"/>
      <c r="C16" s="8"/>
      <c r="D16" s="8"/>
      <c r="E16" s="292">
        <v>613000</v>
      </c>
      <c r="F16" s="318"/>
      <c r="G16" s="8" t="s">
        <v>164</v>
      </c>
      <c r="H16" s="262">
        <f t="shared" ref="H16:I16" si="8">SUM(H17:H26)</f>
        <v>276720</v>
      </c>
      <c r="I16" s="262">
        <f t="shared" si="8"/>
        <v>276720</v>
      </c>
      <c r="J16" s="565">
        <f>SUM(J17:J26)</f>
        <v>179538</v>
      </c>
      <c r="K16" s="552">
        <f t="shared" ref="K16:M16" si="9">SUM(K17:K26)</f>
        <v>246880</v>
      </c>
      <c r="L16" s="281">
        <f t="shared" si="9"/>
        <v>0</v>
      </c>
      <c r="M16" s="553">
        <f t="shared" si="9"/>
        <v>246880</v>
      </c>
      <c r="N16" s="333">
        <f t="shared" si="3"/>
        <v>89.216536571263376</v>
      </c>
      <c r="P16" s="53"/>
    </row>
    <row r="17" spans="1:17" s="1" customFormat="1" ht="12.95" customHeight="1">
      <c r="A17" s="269"/>
      <c r="B17" s="10"/>
      <c r="C17" s="11"/>
      <c r="D17" s="11"/>
      <c r="E17" s="293">
        <v>613100</v>
      </c>
      <c r="F17" s="319"/>
      <c r="G17" s="11" t="s">
        <v>84</v>
      </c>
      <c r="H17" s="515">
        <v>6500</v>
      </c>
      <c r="I17" s="515">
        <v>6500</v>
      </c>
      <c r="J17" s="564">
        <v>3924</v>
      </c>
      <c r="K17" s="571">
        <v>6500</v>
      </c>
      <c r="L17" s="349">
        <v>0</v>
      </c>
      <c r="M17" s="548">
        <f t="shared" ref="M17:M26" si="10">SUM(K17:L17)</f>
        <v>6500</v>
      </c>
      <c r="N17" s="334">
        <f t="shared" si="3"/>
        <v>100</v>
      </c>
      <c r="P17" s="53"/>
    </row>
    <row r="18" spans="1:17" ht="12.95" customHeight="1">
      <c r="B18" s="10"/>
      <c r="C18" s="11"/>
      <c r="D18" s="11"/>
      <c r="E18" s="293">
        <v>613200</v>
      </c>
      <c r="F18" s="319"/>
      <c r="G18" s="11" t="s">
        <v>85</v>
      </c>
      <c r="H18" s="515">
        <v>12800</v>
      </c>
      <c r="I18" s="515">
        <v>12800</v>
      </c>
      <c r="J18" s="564">
        <v>5410</v>
      </c>
      <c r="K18" s="571">
        <v>10000</v>
      </c>
      <c r="L18" s="349">
        <v>0</v>
      </c>
      <c r="M18" s="548">
        <f t="shared" si="10"/>
        <v>10000</v>
      </c>
      <c r="N18" s="334">
        <f t="shared" si="3"/>
        <v>78.125</v>
      </c>
      <c r="P18" s="53"/>
    </row>
    <row r="19" spans="1:17" ht="12.95" customHeight="1">
      <c r="B19" s="10"/>
      <c r="C19" s="11"/>
      <c r="D19" s="11"/>
      <c r="E19" s="293">
        <v>613300</v>
      </c>
      <c r="F19" s="319"/>
      <c r="G19" s="18" t="s">
        <v>200</v>
      </c>
      <c r="H19" s="515">
        <v>8600</v>
      </c>
      <c r="I19" s="515">
        <v>8600</v>
      </c>
      <c r="J19" s="564">
        <v>5186</v>
      </c>
      <c r="K19" s="571">
        <v>8600</v>
      </c>
      <c r="L19" s="349">
        <v>0</v>
      </c>
      <c r="M19" s="548">
        <f t="shared" si="10"/>
        <v>8600</v>
      </c>
      <c r="N19" s="334">
        <f t="shared" si="3"/>
        <v>100</v>
      </c>
      <c r="P19" s="53"/>
    </row>
    <row r="20" spans="1:17" ht="12.95" customHeight="1">
      <c r="B20" s="10"/>
      <c r="C20" s="11"/>
      <c r="D20" s="11"/>
      <c r="E20" s="293">
        <v>613400</v>
      </c>
      <c r="F20" s="319"/>
      <c r="G20" s="18" t="s">
        <v>165</v>
      </c>
      <c r="H20" s="515">
        <v>5500</v>
      </c>
      <c r="I20" s="515">
        <v>5500</v>
      </c>
      <c r="J20" s="564">
        <v>3328</v>
      </c>
      <c r="K20" s="572">
        <v>5500</v>
      </c>
      <c r="L20" s="351">
        <v>0</v>
      </c>
      <c r="M20" s="548">
        <f t="shared" si="10"/>
        <v>5500</v>
      </c>
      <c r="N20" s="334">
        <f t="shared" si="3"/>
        <v>100</v>
      </c>
      <c r="P20" s="53"/>
    </row>
    <row r="21" spans="1:17" ht="12.95" customHeight="1">
      <c r="B21" s="10"/>
      <c r="C21" s="11"/>
      <c r="D21" s="11"/>
      <c r="E21" s="293">
        <v>613500</v>
      </c>
      <c r="F21" s="319"/>
      <c r="G21" s="11" t="s">
        <v>86</v>
      </c>
      <c r="H21" s="515">
        <v>10000</v>
      </c>
      <c r="I21" s="515">
        <v>10000</v>
      </c>
      <c r="J21" s="564">
        <v>4670</v>
      </c>
      <c r="K21" s="572">
        <v>8000</v>
      </c>
      <c r="L21" s="351">
        <v>0</v>
      </c>
      <c r="M21" s="548">
        <f t="shared" si="10"/>
        <v>8000</v>
      </c>
      <c r="N21" s="334">
        <f t="shared" si="3"/>
        <v>80</v>
      </c>
      <c r="P21" s="53"/>
    </row>
    <row r="22" spans="1:17" ht="12.95" customHeight="1">
      <c r="B22" s="10"/>
      <c r="C22" s="11"/>
      <c r="D22" s="11"/>
      <c r="E22" s="293">
        <v>613600</v>
      </c>
      <c r="F22" s="319"/>
      <c r="G22" s="18" t="s">
        <v>201</v>
      </c>
      <c r="H22" s="515">
        <v>0</v>
      </c>
      <c r="I22" s="515">
        <v>0</v>
      </c>
      <c r="J22" s="564">
        <v>0</v>
      </c>
      <c r="K22" s="571">
        <v>0</v>
      </c>
      <c r="L22" s="349">
        <v>0</v>
      </c>
      <c r="M22" s="548">
        <f t="shared" si="10"/>
        <v>0</v>
      </c>
      <c r="N22" s="334" t="str">
        <f t="shared" si="3"/>
        <v/>
      </c>
      <c r="P22" s="53"/>
    </row>
    <row r="23" spans="1:17" ht="12.95" customHeight="1">
      <c r="B23" s="10"/>
      <c r="C23" s="11"/>
      <c r="D23" s="11"/>
      <c r="E23" s="293">
        <v>613700</v>
      </c>
      <c r="F23" s="319"/>
      <c r="G23" s="11" t="s">
        <v>87</v>
      </c>
      <c r="H23" s="515">
        <v>6000</v>
      </c>
      <c r="I23" s="515">
        <v>6000</v>
      </c>
      <c r="J23" s="564">
        <v>4676</v>
      </c>
      <c r="K23" s="571">
        <v>6000</v>
      </c>
      <c r="L23" s="349">
        <v>0</v>
      </c>
      <c r="M23" s="548">
        <f t="shared" si="10"/>
        <v>6000</v>
      </c>
      <c r="N23" s="334">
        <f t="shared" si="3"/>
        <v>100</v>
      </c>
      <c r="P23" s="53"/>
    </row>
    <row r="24" spans="1:17" ht="12.95" customHeight="1">
      <c r="B24" s="10"/>
      <c r="C24" s="11"/>
      <c r="D24" s="11"/>
      <c r="E24" s="293">
        <v>613800</v>
      </c>
      <c r="F24" s="319"/>
      <c r="G24" s="18" t="s">
        <v>166</v>
      </c>
      <c r="H24" s="515">
        <v>2320</v>
      </c>
      <c r="I24" s="515">
        <v>2320</v>
      </c>
      <c r="J24" s="564">
        <v>2279</v>
      </c>
      <c r="K24" s="571">
        <v>2280</v>
      </c>
      <c r="L24" s="349">
        <v>0</v>
      </c>
      <c r="M24" s="548">
        <f t="shared" si="10"/>
        <v>2280</v>
      </c>
      <c r="N24" s="334">
        <f t="shared" si="3"/>
        <v>98.275862068965509</v>
      </c>
      <c r="P24" s="53"/>
    </row>
    <row r="25" spans="1:17" ht="12.95" customHeight="1">
      <c r="B25" s="10"/>
      <c r="C25" s="11"/>
      <c r="D25" s="11"/>
      <c r="E25" s="293">
        <v>613900</v>
      </c>
      <c r="F25" s="319"/>
      <c r="G25" s="18" t="s">
        <v>167</v>
      </c>
      <c r="H25" s="515">
        <v>225000</v>
      </c>
      <c r="I25" s="515">
        <v>225000</v>
      </c>
      <c r="J25" s="564">
        <v>150065</v>
      </c>
      <c r="K25" s="572">
        <v>200000</v>
      </c>
      <c r="L25" s="351">
        <v>0</v>
      </c>
      <c r="M25" s="548">
        <f t="shared" si="10"/>
        <v>200000</v>
      </c>
      <c r="N25" s="334">
        <f t="shared" si="3"/>
        <v>88.888888888888886</v>
      </c>
      <c r="O25" s="63"/>
      <c r="P25" s="53"/>
    </row>
    <row r="26" spans="1:17" ht="12.95" customHeight="1">
      <c r="B26" s="10"/>
      <c r="C26" s="11"/>
      <c r="D26" s="11"/>
      <c r="E26" s="293">
        <v>613900</v>
      </c>
      <c r="F26" s="319"/>
      <c r="G26" s="180" t="s">
        <v>535</v>
      </c>
      <c r="H26" s="515">
        <f t="shared" ref="H26:I26" si="11">SUM(F26:G26)</f>
        <v>0</v>
      </c>
      <c r="I26" s="515">
        <f t="shared" si="11"/>
        <v>0</v>
      </c>
      <c r="J26" s="564">
        <v>0</v>
      </c>
      <c r="K26" s="571"/>
      <c r="L26" s="349"/>
      <c r="M26" s="548">
        <f t="shared" si="10"/>
        <v>0</v>
      </c>
      <c r="N26" s="334" t="str">
        <f t="shared" si="3"/>
        <v/>
      </c>
      <c r="P26" s="53"/>
      <c r="Q26" s="48"/>
    </row>
    <row r="27" spans="1:17" ht="8.1" customHeight="1">
      <c r="B27" s="10"/>
      <c r="C27" s="11"/>
      <c r="D27" s="11"/>
      <c r="E27" s="293"/>
      <c r="F27" s="319"/>
      <c r="G27" s="11"/>
      <c r="H27" s="516"/>
      <c r="I27" s="516"/>
      <c r="J27" s="566"/>
      <c r="K27" s="578"/>
      <c r="L27" s="267"/>
      <c r="M27" s="551"/>
      <c r="N27" s="334" t="str">
        <f t="shared" si="3"/>
        <v/>
      </c>
      <c r="P27" s="53"/>
    </row>
    <row r="28" spans="1:17" ht="12.95" customHeight="1">
      <c r="B28" s="12"/>
      <c r="C28" s="8"/>
      <c r="D28" s="8"/>
      <c r="E28" s="292">
        <v>821000</v>
      </c>
      <c r="F28" s="318"/>
      <c r="G28" s="8" t="s">
        <v>90</v>
      </c>
      <c r="H28" s="262">
        <f t="shared" ref="H28:I28" si="12">SUM(H29:H30)</f>
        <v>10000</v>
      </c>
      <c r="I28" s="262">
        <f t="shared" si="12"/>
        <v>10000</v>
      </c>
      <c r="J28" s="565">
        <f>SUM(J29:J30)</f>
        <v>0</v>
      </c>
      <c r="K28" s="558">
        <f t="shared" ref="K28:M28" si="13">SUM(K29:K30)</f>
        <v>6000</v>
      </c>
      <c r="L28" s="276">
        <f t="shared" si="13"/>
        <v>0</v>
      </c>
      <c r="M28" s="553">
        <f t="shared" si="13"/>
        <v>6000</v>
      </c>
      <c r="N28" s="333">
        <f t="shared" si="3"/>
        <v>60</v>
      </c>
      <c r="P28" s="53"/>
    </row>
    <row r="29" spans="1:17" s="1" customFormat="1" ht="12.95" customHeight="1">
      <c r="A29" s="269"/>
      <c r="B29" s="10"/>
      <c r="C29" s="11"/>
      <c r="D29" s="11"/>
      <c r="E29" s="293">
        <v>821200</v>
      </c>
      <c r="F29" s="319"/>
      <c r="G29" s="11" t="s">
        <v>91</v>
      </c>
      <c r="H29" s="515">
        <v>5000</v>
      </c>
      <c r="I29" s="515">
        <v>5000</v>
      </c>
      <c r="J29" s="564">
        <v>0</v>
      </c>
      <c r="K29" s="573">
        <v>1000</v>
      </c>
      <c r="L29" s="268">
        <v>0</v>
      </c>
      <c r="M29" s="548">
        <f t="shared" ref="M29:M30" si="14">SUM(K29:L29)</f>
        <v>1000</v>
      </c>
      <c r="N29" s="334">
        <f t="shared" si="3"/>
        <v>20</v>
      </c>
      <c r="P29" s="53"/>
    </row>
    <row r="30" spans="1:17" ht="12.95" customHeight="1">
      <c r="B30" s="10"/>
      <c r="C30" s="11"/>
      <c r="D30" s="11"/>
      <c r="E30" s="293">
        <v>821300</v>
      </c>
      <c r="F30" s="319"/>
      <c r="G30" s="11" t="s">
        <v>92</v>
      </c>
      <c r="H30" s="515">
        <v>5000</v>
      </c>
      <c r="I30" s="515">
        <v>5000</v>
      </c>
      <c r="J30" s="564">
        <v>0</v>
      </c>
      <c r="K30" s="573">
        <v>5000</v>
      </c>
      <c r="L30" s="268">
        <v>0</v>
      </c>
      <c r="M30" s="548">
        <f t="shared" si="14"/>
        <v>5000</v>
      </c>
      <c r="N30" s="334">
        <f t="shared" si="3"/>
        <v>100</v>
      </c>
      <c r="O30" s="48"/>
      <c r="P30" s="53"/>
    </row>
    <row r="31" spans="1:17" ht="8.1" customHeight="1">
      <c r="B31" s="10"/>
      <c r="C31" s="11"/>
      <c r="D31" s="11"/>
      <c r="E31" s="293"/>
      <c r="F31" s="319"/>
      <c r="G31" s="11"/>
      <c r="H31" s="516"/>
      <c r="I31" s="516"/>
      <c r="J31" s="566"/>
      <c r="K31" s="578"/>
      <c r="L31" s="267"/>
      <c r="M31" s="551"/>
      <c r="N31" s="334" t="str">
        <f t="shared" si="3"/>
        <v/>
      </c>
      <c r="P31" s="53"/>
    </row>
    <row r="32" spans="1:17" ht="12.95" customHeight="1">
      <c r="B32" s="12"/>
      <c r="C32" s="8"/>
      <c r="D32" s="8"/>
      <c r="E32" s="292"/>
      <c r="F32" s="318"/>
      <c r="G32" s="8" t="s">
        <v>93</v>
      </c>
      <c r="H32" s="517">
        <v>23</v>
      </c>
      <c r="I32" s="517">
        <v>23</v>
      </c>
      <c r="J32" s="579">
        <v>25</v>
      </c>
      <c r="K32" s="583">
        <v>25</v>
      </c>
      <c r="L32" s="284"/>
      <c r="M32" s="581">
        <v>25</v>
      </c>
      <c r="N32" s="334"/>
      <c r="P32" s="53"/>
    </row>
    <row r="33" spans="1:16" s="1" customFormat="1" ht="12.95" customHeight="1">
      <c r="A33" s="269"/>
      <c r="B33" s="12"/>
      <c r="C33" s="8"/>
      <c r="D33" s="8"/>
      <c r="E33" s="292"/>
      <c r="F33" s="318"/>
      <c r="G33" s="8" t="s">
        <v>113</v>
      </c>
      <c r="H33" s="262">
        <f t="shared" ref="H33:J33" si="15">H8+H13+H16+H28</f>
        <v>891220</v>
      </c>
      <c r="I33" s="276">
        <f t="shared" si="15"/>
        <v>891220</v>
      </c>
      <c r="J33" s="565">
        <f t="shared" si="15"/>
        <v>635206</v>
      </c>
      <c r="K33" s="558">
        <f t="shared" ref="K33:M33" si="16">K8+K13+K16+K28</f>
        <v>879510</v>
      </c>
      <c r="L33" s="276">
        <f t="shared" si="16"/>
        <v>0</v>
      </c>
      <c r="M33" s="553">
        <f t="shared" si="16"/>
        <v>879510</v>
      </c>
      <c r="N33" s="333">
        <f t="shared" si="3"/>
        <v>98.686070779381069</v>
      </c>
      <c r="P33" s="53"/>
    </row>
    <row r="34" spans="1:16" s="1" customFormat="1" ht="12.95" customHeight="1">
      <c r="A34" s="269"/>
      <c r="B34" s="12"/>
      <c r="C34" s="8"/>
      <c r="D34" s="8"/>
      <c r="E34" s="292"/>
      <c r="F34" s="318"/>
      <c r="G34" s="8" t="s">
        <v>94</v>
      </c>
      <c r="H34" s="262">
        <f t="shared" ref="H34:H35" si="17">H33</f>
        <v>891220</v>
      </c>
      <c r="I34" s="276">
        <f>I33</f>
        <v>891220</v>
      </c>
      <c r="J34" s="565">
        <f>J33</f>
        <v>635206</v>
      </c>
      <c r="K34" s="558">
        <f t="shared" ref="K34:K35" si="18">K33</f>
        <v>879510</v>
      </c>
      <c r="L34" s="276">
        <f>L33</f>
        <v>0</v>
      </c>
      <c r="M34" s="553">
        <f>M33</f>
        <v>879510</v>
      </c>
      <c r="N34" s="334">
        <f t="shared" si="3"/>
        <v>98.686070779381069</v>
      </c>
    </row>
    <row r="35" spans="1:16" s="1" customFormat="1" ht="12.95" customHeight="1">
      <c r="A35" s="269"/>
      <c r="B35" s="12"/>
      <c r="C35" s="8"/>
      <c r="D35" s="8"/>
      <c r="E35" s="292"/>
      <c r="F35" s="318"/>
      <c r="G35" s="8" t="s">
        <v>95</v>
      </c>
      <c r="H35" s="262">
        <f t="shared" si="17"/>
        <v>891220</v>
      </c>
      <c r="I35" s="276">
        <f>I34</f>
        <v>891220</v>
      </c>
      <c r="J35" s="565">
        <f>J34</f>
        <v>635206</v>
      </c>
      <c r="K35" s="558">
        <f t="shared" si="18"/>
        <v>879510</v>
      </c>
      <c r="L35" s="276">
        <f>L34</f>
        <v>0</v>
      </c>
      <c r="M35" s="553">
        <f>M34</f>
        <v>879510</v>
      </c>
      <c r="N35" s="334">
        <f t="shared" si="3"/>
        <v>98.686070779381069</v>
      </c>
    </row>
    <row r="36" spans="1:16" s="1" customFormat="1" ht="8.1" customHeight="1" thickBot="1">
      <c r="A36" s="269"/>
      <c r="B36" s="15"/>
      <c r="C36" s="16"/>
      <c r="D36" s="16"/>
      <c r="E36" s="294"/>
      <c r="F36" s="320"/>
      <c r="G36" s="16"/>
      <c r="H36" s="518"/>
      <c r="I36" s="27"/>
      <c r="J36" s="567"/>
      <c r="K36" s="559"/>
      <c r="L36" s="27"/>
      <c r="M36" s="560"/>
      <c r="N36" s="336"/>
    </row>
    <row r="37" spans="1:16" ht="12.95" customHeight="1">
      <c r="E37" s="295"/>
      <c r="F37" s="321"/>
      <c r="M37" s="369"/>
    </row>
    <row r="38" spans="1:16" ht="12.95" customHeight="1">
      <c r="B38" s="48"/>
      <c r="E38" s="295"/>
      <c r="F38" s="321"/>
      <c r="M38" s="369"/>
    </row>
    <row r="39" spans="1:16" ht="12.95" customHeight="1">
      <c r="E39" s="295"/>
      <c r="F39" s="321"/>
      <c r="M39" s="369"/>
    </row>
    <row r="40" spans="1:16" ht="12.95" customHeight="1">
      <c r="E40" s="295"/>
      <c r="F40" s="321"/>
      <c r="M40" s="369"/>
    </row>
    <row r="41" spans="1:16" ht="12.95" customHeight="1">
      <c r="E41" s="295"/>
      <c r="F41" s="321"/>
      <c r="M41" s="369"/>
    </row>
    <row r="42" spans="1:16" ht="12.95" customHeight="1">
      <c r="E42" s="295"/>
      <c r="F42" s="321"/>
      <c r="M42" s="369"/>
    </row>
    <row r="43" spans="1:16" ht="12.95" customHeight="1">
      <c r="E43" s="295"/>
      <c r="F43" s="321"/>
      <c r="M43" s="369"/>
    </row>
    <row r="44" spans="1:16" ht="12.95" customHeight="1">
      <c r="E44" s="295"/>
      <c r="F44" s="321"/>
      <c r="M44" s="369"/>
    </row>
    <row r="45" spans="1:16" ht="12.95" customHeight="1">
      <c r="E45" s="295"/>
      <c r="F45" s="321"/>
      <c r="M45" s="369"/>
    </row>
    <row r="46" spans="1:16" ht="12.95" customHeight="1">
      <c r="E46" s="295"/>
      <c r="F46" s="321"/>
      <c r="M46" s="369"/>
    </row>
    <row r="47" spans="1:16" ht="12.95" customHeight="1">
      <c r="E47" s="295"/>
      <c r="F47" s="321"/>
      <c r="M47" s="369"/>
    </row>
    <row r="48" spans="1:16" ht="12.95" customHeight="1">
      <c r="E48" s="295"/>
      <c r="F48" s="321"/>
      <c r="M48" s="369"/>
    </row>
    <row r="49" spans="5:13" ht="12.95" customHeight="1">
      <c r="E49" s="295"/>
      <c r="F49" s="321"/>
      <c r="M49" s="369"/>
    </row>
    <row r="50" spans="5:13" ht="12.95" customHeight="1">
      <c r="E50" s="295"/>
      <c r="F50" s="321"/>
      <c r="M50" s="369"/>
    </row>
    <row r="51" spans="5:13" ht="12.95" customHeight="1">
      <c r="E51" s="295"/>
      <c r="F51" s="321"/>
      <c r="M51" s="369"/>
    </row>
    <row r="52" spans="5:13" ht="12.95" customHeight="1">
      <c r="E52" s="295"/>
      <c r="F52" s="321"/>
      <c r="M52" s="369"/>
    </row>
    <row r="53" spans="5:13" ht="12.95" customHeight="1">
      <c r="E53" s="295"/>
      <c r="F53" s="321"/>
      <c r="M53" s="369"/>
    </row>
    <row r="54" spans="5:13" ht="12.95" customHeight="1">
      <c r="E54" s="295"/>
      <c r="F54" s="321"/>
      <c r="M54" s="369"/>
    </row>
    <row r="55" spans="5:13" ht="12.95" customHeight="1">
      <c r="E55" s="295"/>
      <c r="F55" s="321"/>
      <c r="M55" s="369"/>
    </row>
    <row r="56" spans="5:13" ht="12.95" customHeight="1">
      <c r="E56" s="295"/>
      <c r="F56" s="321"/>
      <c r="M56" s="369"/>
    </row>
    <row r="57" spans="5:13" ht="12.95" customHeight="1">
      <c r="E57" s="295"/>
      <c r="F57" s="321"/>
      <c r="M57" s="369"/>
    </row>
    <row r="58" spans="5:13" ht="12.95" customHeight="1">
      <c r="E58" s="295"/>
      <c r="F58" s="321"/>
      <c r="M58" s="369"/>
    </row>
    <row r="59" spans="5:13" ht="12.95" customHeight="1">
      <c r="E59" s="295"/>
      <c r="F59" s="321"/>
      <c r="M59" s="369"/>
    </row>
    <row r="60" spans="5:13" ht="17.100000000000001" customHeight="1">
      <c r="E60" s="295"/>
      <c r="F60" s="321"/>
      <c r="M60" s="369"/>
    </row>
    <row r="61" spans="5:13" ht="14.25">
      <c r="E61" s="295"/>
      <c r="F61" s="321"/>
      <c r="M61" s="369"/>
    </row>
    <row r="62" spans="5:13" ht="14.25">
      <c r="E62" s="295"/>
      <c r="F62" s="321"/>
      <c r="M62" s="369"/>
    </row>
    <row r="63" spans="5:13" ht="14.25">
      <c r="E63" s="295"/>
      <c r="F63" s="321"/>
      <c r="M63" s="369"/>
    </row>
    <row r="64" spans="5:13" ht="14.25">
      <c r="E64" s="295"/>
      <c r="F64" s="321"/>
      <c r="M64" s="369"/>
    </row>
    <row r="65" spans="5:13" ht="14.25">
      <c r="E65" s="295"/>
      <c r="F65" s="321"/>
      <c r="M65" s="369"/>
    </row>
    <row r="66" spans="5:13" ht="14.25">
      <c r="E66" s="295"/>
      <c r="F66" s="321"/>
      <c r="M66" s="369"/>
    </row>
    <row r="67" spans="5:13" ht="14.25">
      <c r="E67" s="295"/>
      <c r="F67" s="321"/>
      <c r="M67" s="369"/>
    </row>
    <row r="68" spans="5:13" ht="14.25">
      <c r="E68" s="295"/>
      <c r="F68" s="321"/>
      <c r="M68" s="369"/>
    </row>
    <row r="69" spans="5:13" ht="14.25">
      <c r="E69" s="295"/>
      <c r="F69" s="321"/>
      <c r="M69" s="369"/>
    </row>
    <row r="70" spans="5:13" ht="14.25">
      <c r="E70" s="295"/>
      <c r="F70" s="321"/>
      <c r="M70" s="369"/>
    </row>
    <row r="71" spans="5:13" ht="14.25">
      <c r="E71" s="295"/>
      <c r="F71" s="321"/>
      <c r="M71" s="369"/>
    </row>
    <row r="72" spans="5:13" ht="14.25">
      <c r="E72" s="295"/>
      <c r="F72" s="321"/>
      <c r="M72" s="369"/>
    </row>
    <row r="73" spans="5:13" ht="14.25">
      <c r="E73" s="295"/>
      <c r="F73" s="321"/>
      <c r="M73" s="369"/>
    </row>
    <row r="74" spans="5:13" ht="14.25">
      <c r="E74" s="295"/>
      <c r="F74" s="295"/>
      <c r="M74" s="369"/>
    </row>
    <row r="75" spans="5:13" ht="14.25">
      <c r="E75" s="295"/>
      <c r="F75" s="295"/>
      <c r="M75" s="369"/>
    </row>
    <row r="76" spans="5:13" ht="14.25">
      <c r="E76" s="295"/>
      <c r="F76" s="295"/>
      <c r="M76" s="369"/>
    </row>
    <row r="77" spans="5:13" ht="14.25">
      <c r="E77" s="295"/>
      <c r="F77" s="295"/>
      <c r="M77" s="369"/>
    </row>
    <row r="78" spans="5:13" ht="14.25">
      <c r="E78" s="295"/>
      <c r="F78" s="295"/>
      <c r="M78" s="369"/>
    </row>
    <row r="79" spans="5:13" ht="14.25">
      <c r="E79" s="295"/>
      <c r="F79" s="295"/>
      <c r="M79" s="369"/>
    </row>
    <row r="80" spans="5:13" ht="14.25">
      <c r="E80" s="295"/>
      <c r="F80" s="295"/>
      <c r="M80" s="369"/>
    </row>
    <row r="81" spans="5:13" ht="14.25">
      <c r="E81" s="295"/>
      <c r="F81" s="295"/>
      <c r="M81" s="369"/>
    </row>
    <row r="82" spans="5:13" ht="14.25">
      <c r="E82" s="295"/>
      <c r="F82" s="295"/>
      <c r="M82" s="369"/>
    </row>
    <row r="83" spans="5:13" ht="14.25">
      <c r="E83" s="295"/>
      <c r="F83" s="295"/>
      <c r="M83" s="369"/>
    </row>
    <row r="84" spans="5:13" ht="14.25">
      <c r="E84" s="295"/>
      <c r="F84" s="295"/>
      <c r="M84" s="369"/>
    </row>
    <row r="85" spans="5:13" ht="14.25">
      <c r="E85" s="295"/>
      <c r="F85" s="295"/>
      <c r="M85" s="369"/>
    </row>
    <row r="86" spans="5:13" ht="14.25">
      <c r="E86" s="295"/>
      <c r="F86" s="295"/>
      <c r="M86" s="369"/>
    </row>
    <row r="87" spans="5:13" ht="14.25">
      <c r="E87" s="295"/>
      <c r="F87" s="295"/>
      <c r="M87" s="369"/>
    </row>
    <row r="88" spans="5:13" ht="14.25">
      <c r="E88" s="295"/>
      <c r="F88" s="295"/>
      <c r="M88" s="369"/>
    </row>
    <row r="89" spans="5:13" ht="14.25">
      <c r="E89" s="295"/>
      <c r="F89" s="295"/>
      <c r="M89" s="369"/>
    </row>
    <row r="90" spans="5:13" ht="14.25">
      <c r="E90" s="295"/>
      <c r="F90" s="295"/>
      <c r="M90" s="369"/>
    </row>
    <row r="91" spans="5:13">
      <c r="F91" s="295"/>
    </row>
    <row r="92" spans="5:13">
      <c r="F92" s="295"/>
    </row>
    <row r="93" spans="5:13">
      <c r="F93" s="295"/>
    </row>
    <row r="94" spans="5:13">
      <c r="F94" s="295"/>
    </row>
    <row r="95" spans="5:13">
      <c r="F95" s="295"/>
    </row>
    <row r="96" spans="5:13">
      <c r="F96" s="295"/>
    </row>
  </sheetData>
  <mergeCells count="12">
    <mergeCell ref="B2:N2"/>
    <mergeCell ref="B4:B5"/>
    <mergeCell ref="C4:C5"/>
    <mergeCell ref="D4:D5"/>
    <mergeCell ref="F4:F5"/>
    <mergeCell ref="E4:E5"/>
    <mergeCell ref="N4:N5"/>
    <mergeCell ref="G4:G5"/>
    <mergeCell ref="K4:M4"/>
    <mergeCell ref="H4:H5"/>
    <mergeCell ref="I4:I5"/>
    <mergeCell ref="J4:J5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orientation="landscape" r:id="rId1"/>
  <headerFooter alignWithMargins="0"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R96"/>
  <sheetViews>
    <sheetView topLeftCell="D19" zoomScaleNormal="100" workbookViewId="0">
      <selection activeCell="J59" sqref="J59"/>
    </sheetView>
  </sheetViews>
  <sheetFormatPr defaultRowHeight="12.75"/>
  <cols>
    <col min="1" max="1" width="9.140625" style="272"/>
    <col min="2" max="2" width="4.7109375" style="9" customWidth="1"/>
    <col min="3" max="3" width="5.140625" style="9" customWidth="1"/>
    <col min="4" max="4" width="5" style="9" customWidth="1"/>
    <col min="5" max="5" width="8.7109375" style="17" customWidth="1"/>
    <col min="6" max="6" width="8.7109375" style="277" customWidth="1"/>
    <col min="7" max="7" width="50.7109375" style="9" customWidth="1"/>
    <col min="8" max="8" width="14.7109375" style="510" customWidth="1"/>
    <col min="9" max="9" width="14.7109375" style="272" customWidth="1"/>
    <col min="10" max="10" width="15.7109375" style="510" customWidth="1"/>
    <col min="11" max="12" width="14.7109375" style="272" customWidth="1"/>
    <col min="13" max="13" width="15.7109375" style="272" customWidth="1"/>
    <col min="14" max="14" width="7.7109375" style="337" customWidth="1"/>
    <col min="15" max="16384" width="9.140625" style="9"/>
  </cols>
  <sheetData>
    <row r="1" spans="1:16" ht="13.5" thickBot="1"/>
    <row r="2" spans="1:16" s="93" customFormat="1" ht="20.100000000000001" customHeight="1" thickTop="1" thickBot="1">
      <c r="A2" s="363"/>
      <c r="B2" s="725" t="s">
        <v>118</v>
      </c>
      <c r="C2" s="726"/>
      <c r="D2" s="726"/>
      <c r="E2" s="726"/>
      <c r="F2" s="726"/>
      <c r="G2" s="726"/>
      <c r="H2" s="726"/>
      <c r="I2" s="726"/>
      <c r="J2" s="726"/>
      <c r="K2" s="487"/>
      <c r="L2" s="487"/>
      <c r="M2" s="487"/>
      <c r="N2" s="366"/>
    </row>
    <row r="3" spans="1:16" s="1" customFormat="1" ht="8.1" customHeight="1" thickTop="1" thickBot="1">
      <c r="A3" s="269"/>
      <c r="E3" s="2"/>
      <c r="F3" s="270"/>
      <c r="G3" s="488"/>
      <c r="H3" s="511"/>
      <c r="I3" s="87"/>
      <c r="J3" s="511"/>
      <c r="K3" s="87"/>
      <c r="L3" s="87"/>
      <c r="M3" s="87"/>
      <c r="N3" s="331"/>
    </row>
    <row r="4" spans="1:16" s="1" customFormat="1" ht="39" customHeight="1">
      <c r="A4" s="269"/>
      <c r="B4" s="728" t="s">
        <v>78</v>
      </c>
      <c r="C4" s="746" t="s">
        <v>79</v>
      </c>
      <c r="D4" s="747" t="s">
        <v>110</v>
      </c>
      <c r="E4" s="748" t="s">
        <v>594</v>
      </c>
      <c r="F4" s="733" t="s">
        <v>650</v>
      </c>
      <c r="G4" s="734" t="s">
        <v>80</v>
      </c>
      <c r="H4" s="740" t="s">
        <v>644</v>
      </c>
      <c r="I4" s="742" t="s">
        <v>821</v>
      </c>
      <c r="J4" s="744" t="s">
        <v>822</v>
      </c>
      <c r="K4" s="749" t="s">
        <v>863</v>
      </c>
      <c r="L4" s="738"/>
      <c r="M4" s="739"/>
      <c r="N4" s="735" t="s">
        <v>823</v>
      </c>
    </row>
    <row r="5" spans="1:16" s="269" customFormat="1" ht="27" customHeight="1">
      <c r="B5" s="729"/>
      <c r="C5" s="731"/>
      <c r="D5" s="731"/>
      <c r="E5" s="722"/>
      <c r="F5" s="731"/>
      <c r="G5" s="722"/>
      <c r="H5" s="741"/>
      <c r="I5" s="743"/>
      <c r="J5" s="745"/>
      <c r="K5" s="540" t="s">
        <v>701</v>
      </c>
      <c r="L5" s="359" t="s">
        <v>702</v>
      </c>
      <c r="M5" s="541" t="s">
        <v>413</v>
      </c>
      <c r="N5" s="736"/>
    </row>
    <row r="6" spans="1:16" s="2" customFormat="1" ht="12.95" customHeight="1">
      <c r="A6" s="270"/>
      <c r="B6" s="464">
        <v>1</v>
      </c>
      <c r="C6" s="318">
        <v>2</v>
      </c>
      <c r="D6" s="318">
        <v>3</v>
      </c>
      <c r="E6" s="318">
        <v>4</v>
      </c>
      <c r="F6" s="318">
        <v>5</v>
      </c>
      <c r="G6" s="318">
        <v>6</v>
      </c>
      <c r="H6" s="512">
        <v>7</v>
      </c>
      <c r="I6" s="318">
        <v>8</v>
      </c>
      <c r="J6" s="561">
        <v>9</v>
      </c>
      <c r="K6" s="464">
        <v>10</v>
      </c>
      <c r="L6" s="318">
        <v>11</v>
      </c>
      <c r="M6" s="542" t="s">
        <v>703</v>
      </c>
      <c r="N6" s="465">
        <v>13</v>
      </c>
    </row>
    <row r="7" spans="1:16" s="2" customFormat="1" ht="12.95" customHeight="1">
      <c r="A7" s="270"/>
      <c r="B7" s="6" t="s">
        <v>119</v>
      </c>
      <c r="C7" s="7" t="s">
        <v>81</v>
      </c>
      <c r="D7" s="7" t="s">
        <v>82</v>
      </c>
      <c r="E7" s="5"/>
      <c r="F7" s="271"/>
      <c r="G7" s="5"/>
      <c r="H7" s="528"/>
      <c r="I7" s="285"/>
      <c r="J7" s="603"/>
      <c r="K7" s="4"/>
      <c r="L7" s="285"/>
      <c r="M7" s="606"/>
      <c r="N7" s="332"/>
    </row>
    <row r="8" spans="1:16" s="2" customFormat="1" ht="12.95" customHeight="1">
      <c r="A8" s="270"/>
      <c r="B8" s="6"/>
      <c r="C8" s="7"/>
      <c r="D8" s="7"/>
      <c r="E8" s="292">
        <v>600000</v>
      </c>
      <c r="F8" s="318"/>
      <c r="G8" s="19" t="s">
        <v>120</v>
      </c>
      <c r="H8" s="529">
        <f t="shared" ref="H8:I8" si="0">H9+H10+H11</f>
        <v>445000</v>
      </c>
      <c r="I8" s="529">
        <f t="shared" si="0"/>
        <v>445000</v>
      </c>
      <c r="J8" s="604">
        <v>386716</v>
      </c>
      <c r="K8" s="583">
        <f t="shared" ref="K8:M8" si="1">K9+K10+K11</f>
        <v>595000</v>
      </c>
      <c r="L8" s="259">
        <f t="shared" si="1"/>
        <v>0</v>
      </c>
      <c r="M8" s="607">
        <f t="shared" si="1"/>
        <v>595000</v>
      </c>
      <c r="N8" s="333">
        <f>IF(I8=0,"",M8/I8*100)</f>
        <v>133.70786516853931</v>
      </c>
    </row>
    <row r="9" spans="1:16" s="2" customFormat="1" ht="12.95" customHeight="1">
      <c r="A9" s="270"/>
      <c r="B9" s="6"/>
      <c r="C9" s="7"/>
      <c r="D9" s="7"/>
      <c r="E9" s="293">
        <v>600000</v>
      </c>
      <c r="F9" s="319"/>
      <c r="G9" s="34" t="s">
        <v>97</v>
      </c>
      <c r="H9" s="530">
        <v>400000</v>
      </c>
      <c r="I9" s="530">
        <v>400000</v>
      </c>
      <c r="J9" s="605">
        <v>350716</v>
      </c>
      <c r="K9" s="573">
        <v>550000</v>
      </c>
      <c r="L9" s="258">
        <v>0</v>
      </c>
      <c r="M9" s="608">
        <f t="shared" ref="M9:M11" si="2">SUM(K9:L9)</f>
        <v>550000</v>
      </c>
      <c r="N9" s="334">
        <f t="shared" ref="N9:N72" si="3">IF(I9=0,"",M9/I9*100)</f>
        <v>137.5</v>
      </c>
    </row>
    <row r="10" spans="1:16" s="2" customFormat="1" ht="12.95" customHeight="1">
      <c r="A10" s="270"/>
      <c r="B10" s="6"/>
      <c r="C10" s="7"/>
      <c r="D10" s="7"/>
      <c r="E10" s="293">
        <v>600000</v>
      </c>
      <c r="F10" s="319"/>
      <c r="G10" s="34" t="s">
        <v>98</v>
      </c>
      <c r="H10" s="530">
        <v>30000</v>
      </c>
      <c r="I10" s="530">
        <v>30000</v>
      </c>
      <c r="J10" s="537">
        <v>21200</v>
      </c>
      <c r="K10" s="258">
        <v>30000</v>
      </c>
      <c r="L10" s="258">
        <v>0</v>
      </c>
      <c r="M10" s="608">
        <f t="shared" si="2"/>
        <v>30000</v>
      </c>
      <c r="N10" s="334">
        <f t="shared" si="3"/>
        <v>100</v>
      </c>
    </row>
    <row r="11" spans="1:16" s="2" customFormat="1" ht="12.95" customHeight="1">
      <c r="A11" s="270"/>
      <c r="B11" s="6"/>
      <c r="C11" s="7"/>
      <c r="D11" s="7"/>
      <c r="E11" s="293">
        <v>600000</v>
      </c>
      <c r="F11" s="319"/>
      <c r="G11" s="34" t="s">
        <v>121</v>
      </c>
      <c r="H11" s="530">
        <v>15000</v>
      </c>
      <c r="I11" s="530">
        <v>15000</v>
      </c>
      <c r="J11" s="537">
        <v>14800</v>
      </c>
      <c r="K11" s="258">
        <v>15000</v>
      </c>
      <c r="L11" s="258">
        <v>0</v>
      </c>
      <c r="M11" s="608">
        <f t="shared" si="2"/>
        <v>15000</v>
      </c>
      <c r="N11" s="334">
        <f t="shared" si="3"/>
        <v>100</v>
      </c>
    </row>
    <row r="12" spans="1:16" s="2" customFormat="1" ht="8.1" customHeight="1">
      <c r="A12" s="270"/>
      <c r="B12" s="6"/>
      <c r="C12" s="7"/>
      <c r="D12" s="7"/>
      <c r="E12" s="292"/>
      <c r="F12" s="319"/>
      <c r="G12" s="5"/>
      <c r="H12" s="531"/>
      <c r="I12" s="531"/>
      <c r="J12" s="538"/>
      <c r="K12" s="260"/>
      <c r="L12" s="260"/>
      <c r="M12" s="609"/>
      <c r="N12" s="334" t="str">
        <f t="shared" si="3"/>
        <v/>
      </c>
    </row>
    <row r="13" spans="1:16" s="1" customFormat="1" ht="12.95" customHeight="1">
      <c r="A13" s="269"/>
      <c r="B13" s="12"/>
      <c r="C13" s="8"/>
      <c r="D13" s="8"/>
      <c r="E13" s="292">
        <v>611000</v>
      </c>
      <c r="F13" s="318"/>
      <c r="G13" s="8" t="s">
        <v>163</v>
      </c>
      <c r="H13" s="532">
        <f t="shared" ref="H13:I13" si="4">SUM(H14:H17)</f>
        <v>273760</v>
      </c>
      <c r="I13" s="532">
        <f t="shared" si="4"/>
        <v>273760</v>
      </c>
      <c r="J13" s="535">
        <v>174772</v>
      </c>
      <c r="K13" s="205">
        <f t="shared" ref="K13:M13" si="5">SUM(K14:K17)</f>
        <v>219370</v>
      </c>
      <c r="L13" s="205">
        <f t="shared" si="5"/>
        <v>0</v>
      </c>
      <c r="M13" s="610">
        <f t="shared" si="5"/>
        <v>219370</v>
      </c>
      <c r="N13" s="333">
        <f t="shared" si="3"/>
        <v>80.132232612507309</v>
      </c>
    </row>
    <row r="14" spans="1:16" ht="12.95" customHeight="1">
      <c r="B14" s="10"/>
      <c r="C14" s="11"/>
      <c r="D14" s="11"/>
      <c r="E14" s="293">
        <v>611100</v>
      </c>
      <c r="F14" s="319"/>
      <c r="G14" s="18" t="s">
        <v>198</v>
      </c>
      <c r="H14" s="530">
        <v>130100</v>
      </c>
      <c r="I14" s="530">
        <v>130100</v>
      </c>
      <c r="J14" s="537">
        <v>95729</v>
      </c>
      <c r="K14" s="202">
        <f>127650+1000</f>
        <v>128650</v>
      </c>
      <c r="L14" s="202">
        <v>0</v>
      </c>
      <c r="M14" s="608">
        <f t="shared" ref="M14:M16" si="6">SUM(K14:L14)</f>
        <v>128650</v>
      </c>
      <c r="N14" s="334">
        <f t="shared" si="3"/>
        <v>98.88547271329746</v>
      </c>
    </row>
    <row r="15" spans="1:16" ht="12.95" customHeight="1">
      <c r="B15" s="10"/>
      <c r="C15" s="11"/>
      <c r="D15" s="11"/>
      <c r="E15" s="293">
        <v>611200</v>
      </c>
      <c r="F15" s="319"/>
      <c r="G15" s="11" t="s">
        <v>199</v>
      </c>
      <c r="H15" s="530">
        <v>25400</v>
      </c>
      <c r="I15" s="530">
        <v>25400</v>
      </c>
      <c r="J15" s="537">
        <v>18237</v>
      </c>
      <c r="K15" s="202">
        <f>24230+500+1900+6*250</f>
        <v>28130</v>
      </c>
      <c r="L15" s="202">
        <v>0</v>
      </c>
      <c r="M15" s="608">
        <f t="shared" si="6"/>
        <v>28130</v>
      </c>
      <c r="N15" s="334">
        <f t="shared" si="3"/>
        <v>110.74803149606298</v>
      </c>
    </row>
    <row r="16" spans="1:16" ht="12.95" customHeight="1">
      <c r="B16" s="10"/>
      <c r="C16" s="11"/>
      <c r="D16" s="11"/>
      <c r="E16" s="293">
        <v>611200</v>
      </c>
      <c r="F16" s="319" t="s">
        <v>651</v>
      </c>
      <c r="G16" s="343" t="s">
        <v>861</v>
      </c>
      <c r="H16" s="530">
        <v>118260</v>
      </c>
      <c r="I16" s="530">
        <v>118260</v>
      </c>
      <c r="J16" s="537">
        <v>60806</v>
      </c>
      <c r="K16" s="202">
        <v>62590</v>
      </c>
      <c r="L16" s="202">
        <v>0</v>
      </c>
      <c r="M16" s="608">
        <f t="shared" si="6"/>
        <v>62590</v>
      </c>
      <c r="N16" s="334">
        <f t="shared" si="3"/>
        <v>52.925756807035349</v>
      </c>
      <c r="P16" s="53"/>
    </row>
    <row r="17" spans="1:15" ht="8.1" customHeight="1">
      <c r="B17" s="10"/>
      <c r="C17" s="11"/>
      <c r="D17" s="11"/>
      <c r="E17" s="293"/>
      <c r="F17" s="319"/>
      <c r="G17" s="18"/>
      <c r="H17" s="532"/>
      <c r="I17" s="532"/>
      <c r="J17" s="535"/>
      <c r="K17" s="205"/>
      <c r="L17" s="205"/>
      <c r="M17" s="610"/>
      <c r="N17" s="334" t="str">
        <f t="shared" si="3"/>
        <v/>
      </c>
    </row>
    <row r="18" spans="1:15" s="1" customFormat="1" ht="12.95" customHeight="1">
      <c r="A18" s="269"/>
      <c r="B18" s="12"/>
      <c r="C18" s="8"/>
      <c r="D18" s="8"/>
      <c r="E18" s="292">
        <v>612000</v>
      </c>
      <c r="F18" s="319"/>
      <c r="G18" s="8" t="s">
        <v>162</v>
      </c>
      <c r="H18" s="532">
        <f t="shared" ref="H18:I18" si="7">H19+H20</f>
        <v>13850</v>
      </c>
      <c r="I18" s="532">
        <f t="shared" si="7"/>
        <v>13850</v>
      </c>
      <c r="J18" s="535">
        <v>10132</v>
      </c>
      <c r="K18" s="205">
        <f t="shared" ref="K18:M18" si="8">K19+K20</f>
        <v>13850</v>
      </c>
      <c r="L18" s="205">
        <f t="shared" si="8"/>
        <v>0</v>
      </c>
      <c r="M18" s="610">
        <f t="shared" si="8"/>
        <v>13850</v>
      </c>
      <c r="N18" s="333">
        <f t="shared" si="3"/>
        <v>100</v>
      </c>
    </row>
    <row r="19" spans="1:15" ht="12.95" customHeight="1">
      <c r="B19" s="10"/>
      <c r="C19" s="11"/>
      <c r="D19" s="11"/>
      <c r="E19" s="293">
        <v>612100</v>
      </c>
      <c r="F19" s="319"/>
      <c r="G19" s="13" t="s">
        <v>83</v>
      </c>
      <c r="H19" s="530">
        <v>13850</v>
      </c>
      <c r="I19" s="530">
        <v>13850</v>
      </c>
      <c r="J19" s="537">
        <v>10132</v>
      </c>
      <c r="K19" s="202">
        <f>13850</f>
        <v>13850</v>
      </c>
      <c r="L19" s="202">
        <v>0</v>
      </c>
      <c r="M19" s="608">
        <f>SUM(K19:L19)</f>
        <v>13850</v>
      </c>
      <c r="N19" s="334">
        <f t="shared" si="3"/>
        <v>100</v>
      </c>
    </row>
    <row r="20" spans="1:15" ht="8.1" customHeight="1">
      <c r="B20" s="10"/>
      <c r="C20" s="11"/>
      <c r="D20" s="11"/>
      <c r="E20" s="293"/>
      <c r="F20" s="319"/>
      <c r="G20" s="11"/>
      <c r="H20" s="530"/>
      <c r="I20" s="530"/>
      <c r="J20" s="537"/>
      <c r="K20" s="255"/>
      <c r="L20" s="255"/>
      <c r="M20" s="608"/>
      <c r="N20" s="334" t="str">
        <f t="shared" si="3"/>
        <v/>
      </c>
    </row>
    <row r="21" spans="1:15" s="1" customFormat="1" ht="12.95" customHeight="1">
      <c r="A21" s="269"/>
      <c r="B21" s="12"/>
      <c r="C21" s="8"/>
      <c r="D21" s="8"/>
      <c r="E21" s="292">
        <v>613000</v>
      </c>
      <c r="F21" s="319"/>
      <c r="G21" s="8" t="s">
        <v>164</v>
      </c>
      <c r="H21" s="531">
        <f t="shared" ref="H21:I21" si="9">SUM(H22:H32)</f>
        <v>344400</v>
      </c>
      <c r="I21" s="531">
        <f t="shared" si="9"/>
        <v>344400</v>
      </c>
      <c r="J21" s="538">
        <v>223720</v>
      </c>
      <c r="K21" s="256">
        <f t="shared" ref="K21:M21" si="10">SUM(K22:K32)</f>
        <v>297810</v>
      </c>
      <c r="L21" s="256">
        <f t="shared" si="10"/>
        <v>0</v>
      </c>
      <c r="M21" s="609">
        <f t="shared" si="10"/>
        <v>297810</v>
      </c>
      <c r="N21" s="333">
        <f t="shared" si="3"/>
        <v>86.472125435540065</v>
      </c>
    </row>
    <row r="22" spans="1:15" ht="12.95" customHeight="1">
      <c r="B22" s="10"/>
      <c r="C22" s="11"/>
      <c r="D22" s="11"/>
      <c r="E22" s="293">
        <v>613100</v>
      </c>
      <c r="F22" s="319"/>
      <c r="G22" s="11" t="s">
        <v>84</v>
      </c>
      <c r="H22" s="530">
        <v>14000</v>
      </c>
      <c r="I22" s="530">
        <v>14000</v>
      </c>
      <c r="J22" s="537">
        <v>9289</v>
      </c>
      <c r="K22" s="530">
        <v>14000</v>
      </c>
      <c r="L22" s="255">
        <v>0</v>
      </c>
      <c r="M22" s="608">
        <f t="shared" ref="M22:M32" si="11">SUM(K22:L22)</f>
        <v>14000</v>
      </c>
      <c r="N22" s="334">
        <f t="shared" si="3"/>
        <v>100</v>
      </c>
    </row>
    <row r="23" spans="1:15" ht="12.95" customHeight="1">
      <c r="B23" s="10"/>
      <c r="C23" s="11"/>
      <c r="D23" s="11"/>
      <c r="E23" s="293">
        <v>613200</v>
      </c>
      <c r="F23" s="319"/>
      <c r="G23" s="11" t="s">
        <v>85</v>
      </c>
      <c r="H23" s="530">
        <f t="shared" ref="H23:K23" si="12">SUM(F23:G23)</f>
        <v>0</v>
      </c>
      <c r="I23" s="530">
        <f t="shared" si="12"/>
        <v>0</v>
      </c>
      <c r="J23" s="537">
        <v>0</v>
      </c>
      <c r="K23" s="530">
        <f t="shared" si="12"/>
        <v>0</v>
      </c>
      <c r="L23" s="255">
        <v>0</v>
      </c>
      <c r="M23" s="608">
        <f t="shared" si="11"/>
        <v>0</v>
      </c>
      <c r="N23" s="334" t="str">
        <f t="shared" si="3"/>
        <v/>
      </c>
    </row>
    <row r="24" spans="1:15" ht="12.95" customHeight="1">
      <c r="B24" s="10"/>
      <c r="C24" s="11"/>
      <c r="D24" s="11"/>
      <c r="E24" s="293">
        <v>613300</v>
      </c>
      <c r="F24" s="319"/>
      <c r="G24" s="18" t="s">
        <v>200</v>
      </c>
      <c r="H24" s="530">
        <v>5500</v>
      </c>
      <c r="I24" s="530">
        <v>5500</v>
      </c>
      <c r="J24" s="537">
        <v>3058</v>
      </c>
      <c r="K24" s="530">
        <v>5500</v>
      </c>
      <c r="L24" s="255">
        <v>0</v>
      </c>
      <c r="M24" s="608">
        <f t="shared" si="11"/>
        <v>5500</v>
      </c>
      <c r="N24" s="334">
        <f t="shared" si="3"/>
        <v>100</v>
      </c>
    </row>
    <row r="25" spans="1:15" ht="12.95" customHeight="1">
      <c r="B25" s="10"/>
      <c r="C25" s="11"/>
      <c r="D25" s="11"/>
      <c r="E25" s="293">
        <v>613400</v>
      </c>
      <c r="F25" s="319"/>
      <c r="G25" s="11" t="s">
        <v>165</v>
      </c>
      <c r="H25" s="530">
        <v>1500</v>
      </c>
      <c r="I25" s="530">
        <v>1500</v>
      </c>
      <c r="J25" s="537">
        <v>275</v>
      </c>
      <c r="K25" s="530">
        <v>1200</v>
      </c>
      <c r="L25" s="255">
        <v>0</v>
      </c>
      <c r="M25" s="608">
        <f t="shared" si="11"/>
        <v>1200</v>
      </c>
      <c r="N25" s="334">
        <f t="shared" si="3"/>
        <v>80</v>
      </c>
    </row>
    <row r="26" spans="1:15" ht="12.95" customHeight="1">
      <c r="B26" s="10"/>
      <c r="C26" s="11"/>
      <c r="D26" s="11"/>
      <c r="E26" s="293">
        <v>613500</v>
      </c>
      <c r="F26" s="319"/>
      <c r="G26" s="11" t="s">
        <v>86</v>
      </c>
      <c r="H26" s="530">
        <v>500</v>
      </c>
      <c r="I26" s="530">
        <v>500</v>
      </c>
      <c r="J26" s="537">
        <v>346</v>
      </c>
      <c r="K26" s="530">
        <v>500</v>
      </c>
      <c r="L26" s="257">
        <v>0</v>
      </c>
      <c r="M26" s="608">
        <f t="shared" si="11"/>
        <v>500</v>
      </c>
      <c r="N26" s="334">
        <f t="shared" si="3"/>
        <v>100</v>
      </c>
    </row>
    <row r="27" spans="1:15" ht="12.95" customHeight="1">
      <c r="B27" s="10"/>
      <c r="C27" s="11"/>
      <c r="D27" s="11"/>
      <c r="E27" s="293">
        <v>613600</v>
      </c>
      <c r="F27" s="319"/>
      <c r="G27" s="18" t="s">
        <v>201</v>
      </c>
      <c r="H27" s="530">
        <v>0</v>
      </c>
      <c r="I27" s="530">
        <v>0</v>
      </c>
      <c r="J27" s="537">
        <v>0</v>
      </c>
      <c r="K27" s="530">
        <v>0</v>
      </c>
      <c r="L27" s="255">
        <v>0</v>
      </c>
      <c r="M27" s="608">
        <f t="shared" si="11"/>
        <v>0</v>
      </c>
      <c r="N27" s="334" t="str">
        <f t="shared" si="3"/>
        <v/>
      </c>
    </row>
    <row r="28" spans="1:15" ht="12.95" customHeight="1">
      <c r="B28" s="10"/>
      <c r="C28" s="11"/>
      <c r="D28" s="11"/>
      <c r="E28" s="293">
        <v>613700</v>
      </c>
      <c r="F28" s="319"/>
      <c r="G28" s="11" t="s">
        <v>87</v>
      </c>
      <c r="H28" s="530">
        <v>4000</v>
      </c>
      <c r="I28" s="530">
        <v>4000</v>
      </c>
      <c r="J28" s="537">
        <v>1127</v>
      </c>
      <c r="K28" s="530">
        <v>3000</v>
      </c>
      <c r="L28" s="255">
        <v>0</v>
      </c>
      <c r="M28" s="608">
        <f t="shared" si="11"/>
        <v>3000</v>
      </c>
      <c r="N28" s="334">
        <f t="shared" si="3"/>
        <v>75</v>
      </c>
    </row>
    <row r="29" spans="1:15" ht="12.95" customHeight="1">
      <c r="B29" s="10"/>
      <c r="C29" s="11"/>
      <c r="D29" s="11"/>
      <c r="E29" s="293">
        <v>613800</v>
      </c>
      <c r="F29" s="319"/>
      <c r="G29" s="11" t="s">
        <v>166</v>
      </c>
      <c r="H29" s="530">
        <v>2500</v>
      </c>
      <c r="I29" s="530">
        <v>2500</v>
      </c>
      <c r="J29" s="537">
        <v>420</v>
      </c>
      <c r="K29" s="530">
        <v>2500</v>
      </c>
      <c r="L29" s="258">
        <v>0</v>
      </c>
      <c r="M29" s="608">
        <f t="shared" si="11"/>
        <v>2500</v>
      </c>
      <c r="N29" s="334">
        <f t="shared" si="3"/>
        <v>100</v>
      </c>
    </row>
    <row r="30" spans="1:15" ht="12.95" customHeight="1">
      <c r="B30" s="10"/>
      <c r="C30" s="11"/>
      <c r="D30" s="11"/>
      <c r="E30" s="296">
        <v>613900</v>
      </c>
      <c r="F30" s="319"/>
      <c r="G30" s="14" t="s">
        <v>167</v>
      </c>
      <c r="H30" s="530">
        <v>150000</v>
      </c>
      <c r="I30" s="530">
        <v>150000</v>
      </c>
      <c r="J30" s="537">
        <v>122363</v>
      </c>
      <c r="K30" s="530">
        <v>161000</v>
      </c>
      <c r="L30" s="258">
        <v>0</v>
      </c>
      <c r="M30" s="608">
        <f t="shared" si="11"/>
        <v>161000</v>
      </c>
      <c r="N30" s="334">
        <f t="shared" si="3"/>
        <v>107.33333333333333</v>
      </c>
      <c r="O30" s="48"/>
    </row>
    <row r="31" spans="1:15" ht="12.95" customHeight="1">
      <c r="B31" s="10"/>
      <c r="C31" s="11"/>
      <c r="D31" s="11"/>
      <c r="E31" s="293">
        <v>613900</v>
      </c>
      <c r="F31" s="319" t="s">
        <v>652</v>
      </c>
      <c r="G31" s="18" t="s">
        <v>207</v>
      </c>
      <c r="H31" s="530">
        <v>44400</v>
      </c>
      <c r="I31" s="530">
        <v>44400</v>
      </c>
      <c r="J31" s="537">
        <v>17747</v>
      </c>
      <c r="K31" s="530">
        <f>44400-5200</f>
        <v>39200</v>
      </c>
      <c r="L31" s="258">
        <v>0</v>
      </c>
      <c r="M31" s="608">
        <f t="shared" si="11"/>
        <v>39200</v>
      </c>
      <c r="N31" s="334">
        <f t="shared" si="3"/>
        <v>88.288288288288285</v>
      </c>
    </row>
    <row r="32" spans="1:15" ht="12.95" customHeight="1">
      <c r="B32" s="10"/>
      <c r="C32" s="11"/>
      <c r="D32" s="11"/>
      <c r="E32" s="293">
        <v>613900</v>
      </c>
      <c r="F32" s="319" t="s">
        <v>651</v>
      </c>
      <c r="G32" s="343" t="s">
        <v>862</v>
      </c>
      <c r="H32" s="530">
        <v>122000</v>
      </c>
      <c r="I32" s="530">
        <v>122000</v>
      </c>
      <c r="J32" s="537">
        <v>69095</v>
      </c>
      <c r="K32" s="258">
        <v>70910</v>
      </c>
      <c r="L32" s="258">
        <v>0</v>
      </c>
      <c r="M32" s="608">
        <f t="shared" si="11"/>
        <v>70910</v>
      </c>
      <c r="N32" s="334">
        <f t="shared" si="3"/>
        <v>58.122950819672127</v>
      </c>
    </row>
    <row r="33" spans="1:18" ht="8.1" customHeight="1">
      <c r="B33" s="10"/>
      <c r="C33" s="11"/>
      <c r="D33" s="11"/>
      <c r="E33" s="293"/>
      <c r="F33" s="319"/>
      <c r="G33" s="11"/>
      <c r="H33" s="530"/>
      <c r="I33" s="530"/>
      <c r="J33" s="537"/>
      <c r="K33" s="255"/>
      <c r="L33" s="255"/>
      <c r="M33" s="608"/>
      <c r="N33" s="334" t="str">
        <f t="shared" si="3"/>
        <v/>
      </c>
    </row>
    <row r="34" spans="1:18" s="1" customFormat="1" ht="12.95" customHeight="1">
      <c r="A34" s="269"/>
      <c r="B34" s="12"/>
      <c r="C34" s="8"/>
      <c r="D34" s="8"/>
      <c r="E34" s="292">
        <v>614000</v>
      </c>
      <c r="F34" s="319"/>
      <c r="G34" s="8" t="s">
        <v>202</v>
      </c>
      <c r="H34" s="531">
        <f t="shared" ref="H34:M34" si="13">SUM(H35:H45)</f>
        <v>755000</v>
      </c>
      <c r="I34" s="531">
        <f t="shared" ref="I34" si="14">SUM(I35:I45)</f>
        <v>793000</v>
      </c>
      <c r="J34" s="538">
        <v>576096</v>
      </c>
      <c r="K34" s="260">
        <f t="shared" si="13"/>
        <v>790400</v>
      </c>
      <c r="L34" s="260">
        <f t="shared" si="13"/>
        <v>0</v>
      </c>
      <c r="M34" s="609">
        <f t="shared" si="13"/>
        <v>790400</v>
      </c>
      <c r="N34" s="333">
        <f t="shared" si="3"/>
        <v>99.672131147540995</v>
      </c>
    </row>
    <row r="35" spans="1:18" s="57" customFormat="1" ht="12.95" customHeight="1">
      <c r="B35" s="58"/>
      <c r="C35" s="13"/>
      <c r="D35" s="13"/>
      <c r="E35" s="293">
        <v>614100</v>
      </c>
      <c r="F35" s="319" t="s">
        <v>653</v>
      </c>
      <c r="G35" s="13" t="s">
        <v>272</v>
      </c>
      <c r="H35" s="632">
        <v>0</v>
      </c>
      <c r="I35" s="632">
        <v>0</v>
      </c>
      <c r="J35" s="537">
        <v>0</v>
      </c>
      <c r="K35" s="632">
        <v>0</v>
      </c>
      <c r="L35" s="344">
        <v>0</v>
      </c>
      <c r="M35" s="608">
        <f t="shared" ref="M35:M45" si="15">SUM(K35:L35)</f>
        <v>0</v>
      </c>
      <c r="N35" s="334" t="str">
        <f t="shared" si="3"/>
        <v/>
      </c>
    </row>
    <row r="36" spans="1:18" s="57" customFormat="1" ht="12.95" customHeight="1">
      <c r="B36" s="58"/>
      <c r="C36" s="13"/>
      <c r="D36" s="13"/>
      <c r="E36" s="293">
        <v>614100</v>
      </c>
      <c r="F36" s="319" t="s">
        <v>654</v>
      </c>
      <c r="G36" s="70" t="s">
        <v>273</v>
      </c>
      <c r="H36" s="632">
        <v>200000</v>
      </c>
      <c r="I36" s="632">
        <v>200000</v>
      </c>
      <c r="J36" s="537">
        <v>100000</v>
      </c>
      <c r="K36" s="632">
        <v>200000</v>
      </c>
      <c r="L36" s="344">
        <v>0</v>
      </c>
      <c r="M36" s="608">
        <f t="shared" si="15"/>
        <v>200000</v>
      </c>
      <c r="N36" s="334">
        <f t="shared" si="3"/>
        <v>100</v>
      </c>
    </row>
    <row r="37" spans="1:18" s="98" customFormat="1" ht="12.95" customHeight="1">
      <c r="B37" s="95"/>
      <c r="C37" s="96"/>
      <c r="D37" s="96"/>
      <c r="E37" s="297">
        <v>614200</v>
      </c>
      <c r="F37" s="319" t="s">
        <v>655</v>
      </c>
      <c r="G37" s="97" t="s">
        <v>624</v>
      </c>
      <c r="H37" s="633">
        <v>150000</v>
      </c>
      <c r="I37" s="633">
        <v>188000</v>
      </c>
      <c r="J37" s="537">
        <v>185400</v>
      </c>
      <c r="K37" s="633">
        <v>185400</v>
      </c>
      <c r="L37" s="368">
        <v>0</v>
      </c>
      <c r="M37" s="608">
        <f t="shared" si="15"/>
        <v>185400</v>
      </c>
      <c r="N37" s="334">
        <f t="shared" si="3"/>
        <v>98.617021276595736</v>
      </c>
      <c r="R37" s="99"/>
    </row>
    <row r="38" spans="1:18" ht="12.95" customHeight="1">
      <c r="B38" s="10"/>
      <c r="C38" s="11"/>
      <c r="D38" s="11"/>
      <c r="E38" s="293">
        <v>614300</v>
      </c>
      <c r="F38" s="319" t="s">
        <v>656</v>
      </c>
      <c r="G38" s="362" t="s">
        <v>705</v>
      </c>
      <c r="H38" s="632">
        <v>70000</v>
      </c>
      <c r="I38" s="632">
        <v>70000</v>
      </c>
      <c r="J38" s="537">
        <v>70000</v>
      </c>
      <c r="K38" s="632">
        <v>70000</v>
      </c>
      <c r="L38" s="345">
        <v>0</v>
      </c>
      <c r="M38" s="608">
        <f t="shared" si="15"/>
        <v>70000</v>
      </c>
      <c r="N38" s="334">
        <f t="shared" si="3"/>
        <v>100</v>
      </c>
    </row>
    <row r="39" spans="1:18" ht="12.95" customHeight="1">
      <c r="B39" s="10"/>
      <c r="C39" s="11"/>
      <c r="D39" s="11"/>
      <c r="E39" s="293">
        <v>614300</v>
      </c>
      <c r="F39" s="319" t="s">
        <v>657</v>
      </c>
      <c r="G39" s="64" t="s">
        <v>219</v>
      </c>
      <c r="H39" s="632">
        <v>35000</v>
      </c>
      <c r="I39" s="632">
        <v>35000</v>
      </c>
      <c r="J39" s="537">
        <v>23336</v>
      </c>
      <c r="K39" s="632">
        <v>35000</v>
      </c>
      <c r="L39" s="345">
        <v>0</v>
      </c>
      <c r="M39" s="608">
        <f t="shared" si="15"/>
        <v>35000</v>
      </c>
      <c r="N39" s="334">
        <f t="shared" si="3"/>
        <v>100</v>
      </c>
    </row>
    <row r="40" spans="1:18" ht="12.95" customHeight="1">
      <c r="B40" s="10"/>
      <c r="C40" s="11"/>
      <c r="D40" s="11"/>
      <c r="E40" s="293">
        <v>614300</v>
      </c>
      <c r="F40" s="319" t="s">
        <v>658</v>
      </c>
      <c r="G40" s="64" t="s">
        <v>267</v>
      </c>
      <c r="H40" s="632">
        <v>40000</v>
      </c>
      <c r="I40" s="632">
        <v>40000</v>
      </c>
      <c r="J40" s="537">
        <v>26668</v>
      </c>
      <c r="K40" s="632">
        <v>40000</v>
      </c>
      <c r="L40" s="345">
        <v>0</v>
      </c>
      <c r="M40" s="608">
        <f t="shared" si="15"/>
        <v>40000</v>
      </c>
      <c r="N40" s="334">
        <f t="shared" si="3"/>
        <v>100</v>
      </c>
    </row>
    <row r="41" spans="1:18" ht="12.95" customHeight="1">
      <c r="B41" s="10"/>
      <c r="C41" s="11"/>
      <c r="D41" s="11"/>
      <c r="E41" s="293">
        <v>614300</v>
      </c>
      <c r="F41" s="319" t="s">
        <v>659</v>
      </c>
      <c r="G41" s="361" t="s">
        <v>785</v>
      </c>
      <c r="H41" s="632">
        <v>40000</v>
      </c>
      <c r="I41" s="632">
        <v>40000</v>
      </c>
      <c r="J41" s="537">
        <v>26668</v>
      </c>
      <c r="K41" s="632">
        <v>40000</v>
      </c>
      <c r="L41" s="345">
        <v>0</v>
      </c>
      <c r="M41" s="608">
        <f t="shared" si="15"/>
        <v>40000</v>
      </c>
      <c r="N41" s="334">
        <f t="shared" si="3"/>
        <v>100</v>
      </c>
    </row>
    <row r="42" spans="1:18" ht="12.95" customHeight="1">
      <c r="B42" s="10"/>
      <c r="C42" s="11"/>
      <c r="D42" s="11"/>
      <c r="E42" s="293">
        <v>614300</v>
      </c>
      <c r="F42" s="319" t="s">
        <v>660</v>
      </c>
      <c r="G42" s="361" t="s">
        <v>784</v>
      </c>
      <c r="H42" s="632">
        <v>15000</v>
      </c>
      <c r="I42" s="632">
        <v>15000</v>
      </c>
      <c r="J42" s="537">
        <v>10000</v>
      </c>
      <c r="K42" s="632">
        <v>15000</v>
      </c>
      <c r="L42" s="345">
        <v>0</v>
      </c>
      <c r="M42" s="608">
        <f t="shared" si="15"/>
        <v>15000</v>
      </c>
      <c r="N42" s="334">
        <f t="shared" si="3"/>
        <v>100</v>
      </c>
    </row>
    <row r="43" spans="1:18" ht="12.95" customHeight="1">
      <c r="B43" s="10"/>
      <c r="C43" s="11"/>
      <c r="D43" s="11"/>
      <c r="E43" s="293">
        <v>614300</v>
      </c>
      <c r="F43" s="319" t="s">
        <v>661</v>
      </c>
      <c r="G43" s="64" t="s">
        <v>221</v>
      </c>
      <c r="H43" s="632">
        <v>30000</v>
      </c>
      <c r="I43" s="632">
        <v>30000</v>
      </c>
      <c r="J43" s="537">
        <v>22500</v>
      </c>
      <c r="K43" s="632">
        <v>30000</v>
      </c>
      <c r="L43" s="345">
        <v>0</v>
      </c>
      <c r="M43" s="608">
        <f t="shared" si="15"/>
        <v>30000</v>
      </c>
      <c r="N43" s="334">
        <f t="shared" si="3"/>
        <v>100</v>
      </c>
    </row>
    <row r="44" spans="1:18" ht="12.95" customHeight="1">
      <c r="B44" s="10"/>
      <c r="C44" s="11"/>
      <c r="D44" s="11"/>
      <c r="E44" s="293">
        <v>614300</v>
      </c>
      <c r="F44" s="319" t="s">
        <v>662</v>
      </c>
      <c r="G44" s="64" t="s">
        <v>622</v>
      </c>
      <c r="H44" s="632">
        <v>15000</v>
      </c>
      <c r="I44" s="632">
        <v>15000</v>
      </c>
      <c r="J44" s="537">
        <v>10000</v>
      </c>
      <c r="K44" s="632">
        <v>15000</v>
      </c>
      <c r="L44" s="345">
        <v>0</v>
      </c>
      <c r="M44" s="608">
        <f t="shared" si="15"/>
        <v>15000</v>
      </c>
      <c r="N44" s="334">
        <f t="shared" si="3"/>
        <v>100</v>
      </c>
    </row>
    <row r="45" spans="1:18" ht="12.95" customHeight="1">
      <c r="B45" s="10"/>
      <c r="C45" s="11"/>
      <c r="D45" s="11"/>
      <c r="E45" s="293">
        <v>614300</v>
      </c>
      <c r="F45" s="319" t="s">
        <v>860</v>
      </c>
      <c r="G45" s="157" t="s">
        <v>96</v>
      </c>
      <c r="H45" s="632">
        <v>160000</v>
      </c>
      <c r="I45" s="632">
        <v>160000</v>
      </c>
      <c r="J45" s="537">
        <v>101524</v>
      </c>
      <c r="K45" s="632">
        <v>160000</v>
      </c>
      <c r="L45" s="345">
        <v>0</v>
      </c>
      <c r="M45" s="608">
        <f t="shared" si="15"/>
        <v>160000</v>
      </c>
      <c r="N45" s="334">
        <f t="shared" si="3"/>
        <v>100</v>
      </c>
    </row>
    <row r="46" spans="1:18" ht="8.1" customHeight="1">
      <c r="B46" s="10"/>
      <c r="C46" s="11"/>
      <c r="D46" s="11"/>
      <c r="E46" s="293"/>
      <c r="F46" s="319"/>
      <c r="G46" s="64"/>
      <c r="H46" s="530"/>
      <c r="I46" s="530"/>
      <c r="J46" s="537"/>
      <c r="K46" s="261"/>
      <c r="L46" s="261"/>
      <c r="M46" s="608"/>
      <c r="N46" s="334" t="str">
        <f t="shared" si="3"/>
        <v/>
      </c>
    </row>
    <row r="47" spans="1:18" ht="12.95" customHeight="1">
      <c r="B47" s="10"/>
      <c r="C47" s="11"/>
      <c r="D47" s="11"/>
      <c r="E47" s="292">
        <v>615000</v>
      </c>
      <c r="F47" s="319"/>
      <c r="G47" s="8" t="s">
        <v>89</v>
      </c>
      <c r="H47" s="531">
        <f t="shared" ref="H47:M47" si="16">H48</f>
        <v>400000</v>
      </c>
      <c r="I47" s="531">
        <f t="shared" si="16"/>
        <v>362000</v>
      </c>
      <c r="J47" s="538">
        <v>0</v>
      </c>
      <c r="K47" s="260">
        <f t="shared" si="16"/>
        <v>400000</v>
      </c>
      <c r="L47" s="260">
        <f t="shared" si="16"/>
        <v>0</v>
      </c>
      <c r="M47" s="609">
        <f t="shared" si="16"/>
        <v>400000</v>
      </c>
      <c r="N47" s="333">
        <f t="shared" si="3"/>
        <v>110.49723756906079</v>
      </c>
    </row>
    <row r="48" spans="1:18" ht="12.95" customHeight="1">
      <c r="B48" s="10"/>
      <c r="C48" s="11"/>
      <c r="D48" s="11"/>
      <c r="E48" s="293">
        <v>615100</v>
      </c>
      <c r="F48" s="319"/>
      <c r="G48" s="13" t="s">
        <v>89</v>
      </c>
      <c r="H48" s="530">
        <v>400000</v>
      </c>
      <c r="I48" s="530">
        <v>362000</v>
      </c>
      <c r="J48" s="605">
        <v>0</v>
      </c>
      <c r="K48" s="550">
        <v>400000</v>
      </c>
      <c r="L48" s="257">
        <v>0</v>
      </c>
      <c r="M48" s="608">
        <f>SUM(K48:L48)</f>
        <v>400000</v>
      </c>
      <c r="N48" s="334">
        <f t="shared" si="3"/>
        <v>110.49723756906079</v>
      </c>
    </row>
    <row r="49" spans="1:14" ht="8.1" customHeight="1">
      <c r="B49" s="10"/>
      <c r="C49" s="11"/>
      <c r="D49" s="11"/>
      <c r="E49" s="293"/>
      <c r="F49" s="319"/>
      <c r="G49" s="14"/>
      <c r="H49" s="530"/>
      <c r="I49" s="530"/>
      <c r="J49" s="605"/>
      <c r="K49" s="573"/>
      <c r="L49" s="258"/>
      <c r="M49" s="608"/>
      <c r="N49" s="334" t="str">
        <f t="shared" si="3"/>
        <v/>
      </c>
    </row>
    <row r="50" spans="1:14" ht="12.95" customHeight="1">
      <c r="B50" s="12"/>
      <c r="C50" s="8"/>
      <c r="D50" s="8"/>
      <c r="E50" s="292">
        <v>821000</v>
      </c>
      <c r="F50" s="319"/>
      <c r="G50" s="8" t="s">
        <v>90</v>
      </c>
      <c r="H50" s="262">
        <f t="shared" ref="H50:M50" si="17">SUM(H51:H53)</f>
        <v>55000</v>
      </c>
      <c r="I50" s="262">
        <f t="shared" ref="I50" si="18">SUM(I51:I53)</f>
        <v>55000</v>
      </c>
      <c r="J50" s="565">
        <v>3775</v>
      </c>
      <c r="K50" s="558">
        <f t="shared" si="17"/>
        <v>15000</v>
      </c>
      <c r="L50" s="276">
        <f t="shared" si="17"/>
        <v>0</v>
      </c>
      <c r="M50" s="553">
        <f t="shared" si="17"/>
        <v>15000</v>
      </c>
      <c r="N50" s="333">
        <f t="shared" si="3"/>
        <v>27.27272727272727</v>
      </c>
    </row>
    <row r="51" spans="1:14" ht="12.95" customHeight="1">
      <c r="B51" s="10"/>
      <c r="C51" s="11"/>
      <c r="D51" s="11"/>
      <c r="E51" s="293">
        <v>821200</v>
      </c>
      <c r="F51" s="319"/>
      <c r="G51" s="11" t="s">
        <v>91</v>
      </c>
      <c r="H51" s="516">
        <v>0</v>
      </c>
      <c r="I51" s="516">
        <v>0</v>
      </c>
      <c r="J51" s="605">
        <v>0</v>
      </c>
      <c r="K51" s="573">
        <v>0</v>
      </c>
      <c r="L51" s="268">
        <v>0</v>
      </c>
      <c r="M51" s="608">
        <f t="shared" ref="M51:M53" si="19">SUM(K51:L51)</f>
        <v>0</v>
      </c>
      <c r="N51" s="334" t="str">
        <f t="shared" si="3"/>
        <v/>
      </c>
    </row>
    <row r="52" spans="1:14" ht="12.95" customHeight="1">
      <c r="B52" s="10"/>
      <c r="C52" s="11"/>
      <c r="D52" s="11"/>
      <c r="E52" s="293">
        <v>821300</v>
      </c>
      <c r="F52" s="319"/>
      <c r="G52" s="11" t="s">
        <v>92</v>
      </c>
      <c r="H52" s="516">
        <v>5000</v>
      </c>
      <c r="I52" s="516">
        <v>5000</v>
      </c>
      <c r="J52" s="605">
        <v>3775</v>
      </c>
      <c r="K52" s="556">
        <v>5000</v>
      </c>
      <c r="L52" s="283">
        <v>0</v>
      </c>
      <c r="M52" s="608">
        <f t="shared" si="19"/>
        <v>5000</v>
      </c>
      <c r="N52" s="334">
        <f t="shared" si="3"/>
        <v>100</v>
      </c>
    </row>
    <row r="53" spans="1:14" ht="12.95" customHeight="1">
      <c r="B53" s="10"/>
      <c r="C53" s="11"/>
      <c r="D53" s="11"/>
      <c r="E53" s="293">
        <v>821500</v>
      </c>
      <c r="F53" s="319"/>
      <c r="G53" s="11" t="s">
        <v>521</v>
      </c>
      <c r="H53" s="516">
        <v>50000</v>
      </c>
      <c r="I53" s="516">
        <v>50000</v>
      </c>
      <c r="J53" s="605">
        <v>0</v>
      </c>
      <c r="K53" s="602">
        <v>10000</v>
      </c>
      <c r="L53" s="82">
        <v>0</v>
      </c>
      <c r="M53" s="608">
        <f t="shared" si="19"/>
        <v>10000</v>
      </c>
      <c r="N53" s="334">
        <f t="shared" si="3"/>
        <v>20</v>
      </c>
    </row>
    <row r="54" spans="1:14" s="1" customFormat="1" ht="8.1" customHeight="1">
      <c r="A54" s="269"/>
      <c r="B54" s="10"/>
      <c r="C54" s="11"/>
      <c r="D54" s="11"/>
      <c r="E54" s="293"/>
      <c r="F54" s="319"/>
      <c r="G54" s="11"/>
      <c r="H54" s="262"/>
      <c r="I54" s="262"/>
      <c r="J54" s="565"/>
      <c r="K54" s="558"/>
      <c r="L54" s="276"/>
      <c r="M54" s="553"/>
      <c r="N54" s="334" t="str">
        <f t="shared" si="3"/>
        <v/>
      </c>
    </row>
    <row r="55" spans="1:14" ht="12.95" customHeight="1">
      <c r="B55" s="12"/>
      <c r="C55" s="8"/>
      <c r="D55" s="8"/>
      <c r="E55" s="292"/>
      <c r="F55" s="319"/>
      <c r="G55" s="8" t="s">
        <v>93</v>
      </c>
      <c r="H55" s="262">
        <v>6</v>
      </c>
      <c r="I55" s="262">
        <v>6</v>
      </c>
      <c r="J55" s="565">
        <v>6</v>
      </c>
      <c r="K55" s="558">
        <v>6</v>
      </c>
      <c r="L55" s="276"/>
      <c r="M55" s="553">
        <v>6</v>
      </c>
      <c r="N55" s="334"/>
    </row>
    <row r="56" spans="1:14" ht="12.95" customHeight="1">
      <c r="B56" s="12"/>
      <c r="C56" s="8"/>
      <c r="D56" s="8"/>
      <c r="E56" s="292"/>
      <c r="F56" s="319"/>
      <c r="G56" s="8" t="s">
        <v>113</v>
      </c>
      <c r="H56" s="262">
        <f t="shared" ref="H56:J56" si="20">H8+H13+H18+H21+H34+H47+H50</f>
        <v>2287010</v>
      </c>
      <c r="I56" s="276">
        <f t="shared" si="20"/>
        <v>2287010</v>
      </c>
      <c r="J56" s="565">
        <f t="shared" si="20"/>
        <v>1375211</v>
      </c>
      <c r="K56" s="558">
        <f t="shared" ref="K56:M56" si="21">K8+K13+K18+K21+K34+K47+K50</f>
        <v>2331430</v>
      </c>
      <c r="L56" s="276">
        <f t="shared" si="21"/>
        <v>0</v>
      </c>
      <c r="M56" s="553">
        <f t="shared" si="21"/>
        <v>2331430</v>
      </c>
      <c r="N56" s="333">
        <f t="shared" si="3"/>
        <v>101.94227397344132</v>
      </c>
    </row>
    <row r="57" spans="1:14" ht="12.95" customHeight="1">
      <c r="B57" s="12"/>
      <c r="C57" s="8"/>
      <c r="D57" s="8"/>
      <c r="E57" s="292"/>
      <c r="F57" s="319"/>
      <c r="G57" s="8" t="s">
        <v>94</v>
      </c>
      <c r="H57" s="525"/>
      <c r="I57" s="274"/>
      <c r="J57" s="589"/>
      <c r="K57" s="273"/>
      <c r="L57" s="274"/>
      <c r="M57" s="595"/>
      <c r="N57" s="335" t="str">
        <f t="shared" si="3"/>
        <v/>
      </c>
    </row>
    <row r="58" spans="1:14" ht="12.95" customHeight="1">
      <c r="B58" s="12"/>
      <c r="C58" s="8"/>
      <c r="D58" s="8"/>
      <c r="E58" s="292"/>
      <c r="F58" s="319"/>
      <c r="G58" s="8" t="s">
        <v>95</v>
      </c>
      <c r="H58" s="525"/>
      <c r="I58" s="274"/>
      <c r="J58" s="589"/>
      <c r="K58" s="273"/>
      <c r="L58" s="274"/>
      <c r="M58" s="595"/>
      <c r="N58" s="335" t="str">
        <f t="shared" si="3"/>
        <v/>
      </c>
    </row>
    <row r="59" spans="1:14" s="1" customFormat="1" ht="8.1" customHeight="1" thickBot="1">
      <c r="A59" s="269"/>
      <c r="B59" s="15"/>
      <c r="C59" s="16"/>
      <c r="D59" s="16"/>
      <c r="E59" s="294"/>
      <c r="F59" s="320"/>
      <c r="G59" s="16"/>
      <c r="H59" s="521"/>
      <c r="I59" s="16"/>
      <c r="J59" s="569"/>
      <c r="K59" s="15"/>
      <c r="L59" s="16"/>
      <c r="M59" s="574"/>
      <c r="N59" s="336" t="str">
        <f t="shared" si="3"/>
        <v/>
      </c>
    </row>
    <row r="60" spans="1:14" s="1" customFormat="1" ht="15.95" customHeight="1">
      <c r="A60" s="269"/>
      <c r="B60" s="9"/>
      <c r="C60" s="9"/>
      <c r="D60" s="9"/>
      <c r="E60" s="295"/>
      <c r="F60" s="321"/>
      <c r="G60" s="9"/>
      <c r="H60" s="510"/>
      <c r="I60" s="272"/>
      <c r="J60" s="510"/>
      <c r="K60" s="272"/>
      <c r="L60" s="272"/>
      <c r="M60" s="369"/>
      <c r="N60" s="337" t="str">
        <f t="shared" si="3"/>
        <v/>
      </c>
    </row>
    <row r="61" spans="1:14" s="1" customFormat="1" ht="15.95" customHeight="1">
      <c r="A61" s="269"/>
      <c r="B61" s="9"/>
      <c r="C61" s="9"/>
      <c r="D61" s="9"/>
      <c r="E61" s="295"/>
      <c r="F61" s="321"/>
      <c r="G61" s="9"/>
      <c r="H61" s="510"/>
      <c r="I61" s="272"/>
      <c r="J61" s="510"/>
      <c r="K61" s="272"/>
      <c r="L61" s="272"/>
      <c r="M61" s="369"/>
      <c r="N61" s="337" t="str">
        <f t="shared" si="3"/>
        <v/>
      </c>
    </row>
    <row r="62" spans="1:14" s="1" customFormat="1" ht="12.95" customHeight="1">
      <c r="A62" s="269"/>
      <c r="B62" s="9"/>
      <c r="C62" s="9"/>
      <c r="D62" s="9"/>
      <c r="E62" s="295"/>
      <c r="F62" s="321"/>
      <c r="G62" s="9"/>
      <c r="H62" s="510"/>
      <c r="I62" s="272"/>
      <c r="J62" s="510"/>
      <c r="K62" s="272"/>
      <c r="L62" s="272"/>
      <c r="M62" s="369"/>
      <c r="N62" s="337" t="str">
        <f t="shared" si="3"/>
        <v/>
      </c>
    </row>
    <row r="63" spans="1:14" ht="12.95" customHeight="1">
      <c r="E63" s="295"/>
      <c r="F63" s="321"/>
      <c r="M63" s="369"/>
      <c r="N63" s="337" t="str">
        <f t="shared" si="3"/>
        <v/>
      </c>
    </row>
    <row r="64" spans="1:14" ht="14.25">
      <c r="E64" s="295"/>
      <c r="F64" s="321"/>
      <c r="M64" s="369"/>
      <c r="N64" s="337" t="str">
        <f t="shared" si="3"/>
        <v/>
      </c>
    </row>
    <row r="65" spans="5:14" ht="14.25">
      <c r="E65" s="295"/>
      <c r="F65" s="321"/>
      <c r="M65" s="369"/>
      <c r="N65" s="337" t="str">
        <f t="shared" si="3"/>
        <v/>
      </c>
    </row>
    <row r="66" spans="5:14" ht="14.25">
      <c r="E66" s="295"/>
      <c r="F66" s="321"/>
      <c r="M66" s="369"/>
      <c r="N66" s="337" t="str">
        <f t="shared" si="3"/>
        <v/>
      </c>
    </row>
    <row r="67" spans="5:14" ht="14.25">
      <c r="E67" s="295"/>
      <c r="F67" s="321"/>
      <c r="M67" s="369"/>
      <c r="N67" s="337" t="str">
        <f t="shared" si="3"/>
        <v/>
      </c>
    </row>
    <row r="68" spans="5:14" ht="14.25">
      <c r="E68" s="295"/>
      <c r="F68" s="321"/>
      <c r="M68" s="369"/>
      <c r="N68" s="337" t="str">
        <f t="shared" si="3"/>
        <v/>
      </c>
    </row>
    <row r="69" spans="5:14" ht="14.25">
      <c r="E69" s="295"/>
      <c r="F69" s="321"/>
      <c r="M69" s="369"/>
      <c r="N69" s="337" t="str">
        <f t="shared" si="3"/>
        <v/>
      </c>
    </row>
    <row r="70" spans="5:14" ht="14.25">
      <c r="E70" s="295"/>
      <c r="F70" s="321"/>
      <c r="M70" s="369"/>
      <c r="N70" s="337" t="str">
        <f t="shared" si="3"/>
        <v/>
      </c>
    </row>
    <row r="71" spans="5:14" ht="14.25">
      <c r="E71" s="295"/>
      <c r="F71" s="321"/>
      <c r="M71" s="369"/>
      <c r="N71" s="337" t="str">
        <f t="shared" si="3"/>
        <v/>
      </c>
    </row>
    <row r="72" spans="5:14" ht="14.25">
      <c r="E72" s="295"/>
      <c r="F72" s="321"/>
      <c r="M72" s="369"/>
      <c r="N72" s="337" t="str">
        <f t="shared" si="3"/>
        <v/>
      </c>
    </row>
    <row r="73" spans="5:14" ht="14.25">
      <c r="E73" s="295"/>
      <c r="F73" s="321"/>
      <c r="M73" s="369"/>
      <c r="N73" s="337" t="str">
        <f t="shared" ref="N73:N77" si="22">IF(I73=0,"",M73/I73*100)</f>
        <v/>
      </c>
    </row>
    <row r="74" spans="5:14" ht="14.25">
      <c r="E74" s="295"/>
      <c r="F74" s="295"/>
      <c r="M74" s="369"/>
      <c r="N74" s="337" t="str">
        <f t="shared" si="22"/>
        <v/>
      </c>
    </row>
    <row r="75" spans="5:14" ht="14.25">
      <c r="E75" s="295"/>
      <c r="F75" s="295"/>
      <c r="M75" s="369"/>
      <c r="N75" s="337" t="str">
        <f t="shared" si="22"/>
        <v/>
      </c>
    </row>
    <row r="76" spans="5:14" ht="14.25">
      <c r="E76" s="295"/>
      <c r="F76" s="295"/>
      <c r="M76" s="369"/>
      <c r="N76" s="337" t="str">
        <f t="shared" si="22"/>
        <v/>
      </c>
    </row>
    <row r="77" spans="5:14" ht="14.25">
      <c r="E77" s="295"/>
      <c r="F77" s="295"/>
      <c r="M77" s="369"/>
      <c r="N77" s="337" t="str">
        <f t="shared" si="22"/>
        <v/>
      </c>
    </row>
    <row r="78" spans="5:14" ht="14.25">
      <c r="E78" s="295"/>
      <c r="F78" s="295"/>
      <c r="M78" s="369"/>
    </row>
    <row r="79" spans="5:14" ht="14.25">
      <c r="E79" s="295"/>
      <c r="F79" s="295"/>
      <c r="M79" s="369"/>
    </row>
    <row r="80" spans="5:14" ht="14.25">
      <c r="E80" s="295"/>
      <c r="F80" s="295"/>
      <c r="M80" s="369"/>
    </row>
    <row r="81" spans="5:13" ht="14.25">
      <c r="E81" s="295"/>
      <c r="F81" s="295"/>
      <c r="M81" s="369"/>
    </row>
    <row r="82" spans="5:13" ht="14.25">
      <c r="E82" s="295"/>
      <c r="F82" s="295"/>
      <c r="M82" s="369"/>
    </row>
    <row r="83" spans="5:13" ht="14.25">
      <c r="E83" s="295"/>
      <c r="F83" s="295"/>
      <c r="M83" s="369"/>
    </row>
    <row r="84" spans="5:13" ht="14.25">
      <c r="E84" s="295"/>
      <c r="F84" s="295"/>
      <c r="M84" s="369"/>
    </row>
    <row r="85" spans="5:13" ht="14.25">
      <c r="E85" s="295"/>
      <c r="F85" s="295"/>
      <c r="M85" s="369"/>
    </row>
    <row r="86" spans="5:13" ht="14.25">
      <c r="E86" s="295"/>
      <c r="F86" s="295"/>
      <c r="M86" s="369"/>
    </row>
    <row r="87" spans="5:13" ht="14.25">
      <c r="E87" s="295"/>
      <c r="F87" s="295"/>
      <c r="M87" s="369"/>
    </row>
    <row r="88" spans="5:13" ht="14.25">
      <c r="E88" s="295"/>
      <c r="F88" s="295"/>
      <c r="M88" s="369"/>
    </row>
    <row r="89" spans="5:13" ht="14.25">
      <c r="E89" s="295"/>
      <c r="F89" s="295"/>
      <c r="M89" s="369"/>
    </row>
    <row r="90" spans="5:13" ht="14.25">
      <c r="E90" s="295"/>
      <c r="F90" s="295"/>
      <c r="M90" s="369"/>
    </row>
    <row r="91" spans="5:13">
      <c r="F91" s="295"/>
    </row>
    <row r="92" spans="5:13">
      <c r="F92" s="295"/>
    </row>
    <row r="93" spans="5:13">
      <c r="F93" s="295"/>
    </row>
    <row r="94" spans="5:13">
      <c r="F94" s="295"/>
    </row>
    <row r="95" spans="5:13">
      <c r="F95" s="295"/>
    </row>
    <row r="96" spans="5:13">
      <c r="F96" s="295"/>
    </row>
  </sheetData>
  <mergeCells count="12">
    <mergeCell ref="N4:N5"/>
    <mergeCell ref="G4:G5"/>
    <mergeCell ref="B2:J2"/>
    <mergeCell ref="B4:B5"/>
    <mergeCell ref="C4:C5"/>
    <mergeCell ref="D4:D5"/>
    <mergeCell ref="F4:F5"/>
    <mergeCell ref="E4:E5"/>
    <mergeCell ref="K4:M4"/>
    <mergeCell ref="H4:H5"/>
    <mergeCell ref="I4:I5"/>
    <mergeCell ref="J4:J5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Q96"/>
  <sheetViews>
    <sheetView zoomScaleNormal="100" workbookViewId="0">
      <selection activeCell="Q19" sqref="Q19"/>
    </sheetView>
  </sheetViews>
  <sheetFormatPr defaultRowHeight="12.75"/>
  <cols>
    <col min="1" max="1" width="9.140625" style="272"/>
    <col min="2" max="2" width="4.7109375" style="9" customWidth="1"/>
    <col min="3" max="3" width="5.140625" style="9" customWidth="1"/>
    <col min="4" max="4" width="5" style="9" customWidth="1"/>
    <col min="5" max="5" width="8.7109375" style="17" customWidth="1"/>
    <col min="6" max="6" width="8.7109375" style="277" customWidth="1"/>
    <col min="7" max="7" width="50.7109375" style="9" customWidth="1"/>
    <col min="8" max="8" width="14.7109375" style="510" customWidth="1"/>
    <col min="9" max="9" width="14.7109375" style="272" customWidth="1"/>
    <col min="10" max="10" width="15.7109375" style="510" customWidth="1"/>
    <col min="11" max="12" width="14.7109375" style="272" customWidth="1"/>
    <col min="13" max="13" width="15.7109375" style="272" customWidth="1"/>
    <col min="14" max="14" width="7.7109375" style="337" customWidth="1"/>
    <col min="15" max="16384" width="9.140625" style="9"/>
  </cols>
  <sheetData>
    <row r="1" spans="1:17" ht="13.5" thickBot="1"/>
    <row r="2" spans="1:17" s="363" customFormat="1" ht="20.100000000000001" customHeight="1" thickTop="1" thickBot="1">
      <c r="B2" s="725" t="s">
        <v>122</v>
      </c>
      <c r="C2" s="726"/>
      <c r="D2" s="726"/>
      <c r="E2" s="726"/>
      <c r="F2" s="726"/>
      <c r="G2" s="726"/>
      <c r="H2" s="726"/>
      <c r="I2" s="726"/>
      <c r="J2" s="726"/>
      <c r="K2" s="487"/>
      <c r="L2" s="487"/>
      <c r="M2" s="487"/>
      <c r="N2" s="366"/>
    </row>
    <row r="3" spans="1:17" s="1" customFormat="1" ht="8.1" customHeight="1" thickTop="1" thickBot="1">
      <c r="A3" s="269"/>
      <c r="E3" s="2"/>
      <c r="F3" s="270"/>
      <c r="G3" s="488"/>
      <c r="H3" s="511"/>
      <c r="I3" s="87"/>
      <c r="J3" s="511"/>
      <c r="K3" s="87"/>
      <c r="L3" s="87"/>
      <c r="M3" s="87"/>
      <c r="N3" s="331"/>
    </row>
    <row r="4" spans="1:17" s="1" customFormat="1" ht="39" customHeight="1">
      <c r="A4" s="269"/>
      <c r="B4" s="728" t="s">
        <v>78</v>
      </c>
      <c r="C4" s="746" t="s">
        <v>79</v>
      </c>
      <c r="D4" s="747" t="s">
        <v>110</v>
      </c>
      <c r="E4" s="748" t="s">
        <v>594</v>
      </c>
      <c r="F4" s="733" t="s">
        <v>650</v>
      </c>
      <c r="G4" s="734" t="s">
        <v>80</v>
      </c>
      <c r="H4" s="740" t="s">
        <v>644</v>
      </c>
      <c r="I4" s="742" t="s">
        <v>821</v>
      </c>
      <c r="J4" s="744" t="s">
        <v>822</v>
      </c>
      <c r="K4" s="749" t="s">
        <v>863</v>
      </c>
      <c r="L4" s="738"/>
      <c r="M4" s="739"/>
      <c r="N4" s="735" t="s">
        <v>823</v>
      </c>
    </row>
    <row r="5" spans="1:17" s="269" customFormat="1" ht="27" customHeight="1">
      <c r="B5" s="729"/>
      <c r="C5" s="731"/>
      <c r="D5" s="731"/>
      <c r="E5" s="722"/>
      <c r="F5" s="731"/>
      <c r="G5" s="722"/>
      <c r="H5" s="741"/>
      <c r="I5" s="743"/>
      <c r="J5" s="745"/>
      <c r="K5" s="540" t="s">
        <v>701</v>
      </c>
      <c r="L5" s="359" t="s">
        <v>702</v>
      </c>
      <c r="M5" s="541" t="s">
        <v>413</v>
      </c>
      <c r="N5" s="736"/>
    </row>
    <row r="6" spans="1:17" s="2" customFormat="1" ht="12.95" customHeight="1">
      <c r="A6" s="270"/>
      <c r="B6" s="464">
        <v>1</v>
      </c>
      <c r="C6" s="318">
        <v>2</v>
      </c>
      <c r="D6" s="318">
        <v>3</v>
      </c>
      <c r="E6" s="318">
        <v>4</v>
      </c>
      <c r="F6" s="318">
        <v>5</v>
      </c>
      <c r="G6" s="318">
        <v>6</v>
      </c>
      <c r="H6" s="512">
        <v>7</v>
      </c>
      <c r="I6" s="318">
        <v>8</v>
      </c>
      <c r="J6" s="561">
        <v>9</v>
      </c>
      <c r="K6" s="464">
        <v>10</v>
      </c>
      <c r="L6" s="318">
        <v>11</v>
      </c>
      <c r="M6" s="542" t="s">
        <v>703</v>
      </c>
      <c r="N6" s="465">
        <v>13</v>
      </c>
    </row>
    <row r="7" spans="1:17" s="2" customFormat="1" ht="12.95" customHeight="1">
      <c r="A7" s="270"/>
      <c r="B7" s="6" t="s">
        <v>119</v>
      </c>
      <c r="C7" s="7" t="s">
        <v>81</v>
      </c>
      <c r="D7" s="7" t="s">
        <v>117</v>
      </c>
      <c r="E7" s="5"/>
      <c r="F7" s="271"/>
      <c r="G7" s="5"/>
      <c r="H7" s="513"/>
      <c r="I7" s="271"/>
      <c r="J7" s="568"/>
      <c r="K7" s="4"/>
      <c r="L7" s="271"/>
      <c r="M7" s="570"/>
      <c r="N7" s="332"/>
    </row>
    <row r="8" spans="1:17" s="1" customFormat="1" ht="12.95" customHeight="1">
      <c r="A8" s="269"/>
      <c r="B8" s="12"/>
      <c r="C8" s="8"/>
      <c r="D8" s="8"/>
      <c r="E8" s="292">
        <v>611000</v>
      </c>
      <c r="F8" s="318"/>
      <c r="G8" s="8" t="s">
        <v>163</v>
      </c>
      <c r="H8" s="514">
        <f t="shared" ref="H8:I8" si="0">SUM(H9:H12)</f>
        <v>54300</v>
      </c>
      <c r="I8" s="514">
        <f t="shared" si="0"/>
        <v>54300</v>
      </c>
      <c r="J8" s="563">
        <v>40368</v>
      </c>
      <c r="K8" s="545">
        <f t="shared" ref="K8:M8" si="1">SUM(K9:K12)</f>
        <v>54920</v>
      </c>
      <c r="L8" s="201">
        <f t="shared" si="1"/>
        <v>0</v>
      </c>
      <c r="M8" s="546">
        <f t="shared" si="1"/>
        <v>54920</v>
      </c>
      <c r="N8" s="333">
        <f>IF(I8=0,"",M8/I8*100)</f>
        <v>101.14180478821362</v>
      </c>
    </row>
    <row r="9" spans="1:17" ht="12.95" customHeight="1">
      <c r="B9" s="10"/>
      <c r="C9" s="11"/>
      <c r="D9" s="11"/>
      <c r="E9" s="293">
        <v>611100</v>
      </c>
      <c r="F9" s="319"/>
      <c r="G9" s="18" t="s">
        <v>198</v>
      </c>
      <c r="H9" s="515">
        <v>43250</v>
      </c>
      <c r="I9" s="515">
        <v>43250</v>
      </c>
      <c r="J9" s="564">
        <v>32898</v>
      </c>
      <c r="K9" s="549">
        <f>43900+200</f>
        <v>44100</v>
      </c>
      <c r="L9" s="200">
        <v>0</v>
      </c>
      <c r="M9" s="548">
        <f>SUM(K9:L9)</f>
        <v>44100</v>
      </c>
      <c r="N9" s="334">
        <f t="shared" ref="N9:N72" si="2">IF(I9=0,"",M9/I9*100)</f>
        <v>101.96531791907515</v>
      </c>
    </row>
    <row r="10" spans="1:17" ht="12.95" customHeight="1">
      <c r="B10" s="10"/>
      <c r="C10" s="11"/>
      <c r="D10" s="11"/>
      <c r="E10" s="293">
        <v>611200</v>
      </c>
      <c r="F10" s="319"/>
      <c r="G10" s="11" t="s">
        <v>199</v>
      </c>
      <c r="H10" s="515">
        <v>11050</v>
      </c>
      <c r="I10" s="515">
        <v>11050</v>
      </c>
      <c r="J10" s="564">
        <v>7470</v>
      </c>
      <c r="K10" s="549">
        <f>10120+200+2*250</f>
        <v>10820</v>
      </c>
      <c r="L10" s="200">
        <v>0</v>
      </c>
      <c r="M10" s="548">
        <f t="shared" ref="M10:M11" si="3">SUM(K10:L10)</f>
        <v>10820</v>
      </c>
      <c r="N10" s="334">
        <f t="shared" si="2"/>
        <v>97.918552036199088</v>
      </c>
    </row>
    <row r="11" spans="1:17" ht="12.95" customHeight="1">
      <c r="B11" s="10"/>
      <c r="C11" s="11"/>
      <c r="D11" s="11"/>
      <c r="E11" s="293">
        <v>611200</v>
      </c>
      <c r="F11" s="319"/>
      <c r="G11" s="180" t="s">
        <v>534</v>
      </c>
      <c r="H11" s="515">
        <f t="shared" ref="H11:I11" si="4">SUM(F11:G11)</f>
        <v>0</v>
      </c>
      <c r="I11" s="515">
        <f t="shared" si="4"/>
        <v>0</v>
      </c>
      <c r="J11" s="564">
        <v>0</v>
      </c>
      <c r="K11" s="549">
        <v>0</v>
      </c>
      <c r="L11" s="200">
        <v>0</v>
      </c>
      <c r="M11" s="548">
        <f t="shared" si="3"/>
        <v>0</v>
      </c>
      <c r="N11" s="334" t="str">
        <f t="shared" si="2"/>
        <v/>
      </c>
      <c r="P11" s="53"/>
    </row>
    <row r="12" spans="1:17" ht="8.1" customHeight="1">
      <c r="B12" s="10"/>
      <c r="C12" s="11"/>
      <c r="D12" s="11"/>
      <c r="E12" s="293"/>
      <c r="F12" s="319"/>
      <c r="G12" s="18"/>
      <c r="H12" s="515"/>
      <c r="I12" s="515"/>
      <c r="J12" s="564"/>
      <c r="K12" s="549"/>
      <c r="L12" s="200"/>
      <c r="M12" s="548"/>
      <c r="N12" s="334" t="str">
        <f t="shared" si="2"/>
        <v/>
      </c>
    </row>
    <row r="13" spans="1:17" s="1" customFormat="1" ht="12.95" customHeight="1">
      <c r="A13" s="269"/>
      <c r="B13" s="12"/>
      <c r="C13" s="8"/>
      <c r="D13" s="8"/>
      <c r="E13" s="292">
        <v>612000</v>
      </c>
      <c r="F13" s="318"/>
      <c r="G13" s="8" t="s">
        <v>162</v>
      </c>
      <c r="H13" s="514">
        <f t="shared" ref="H13:M13" si="5">H14</f>
        <v>4800</v>
      </c>
      <c r="I13" s="514">
        <f t="shared" si="5"/>
        <v>4800</v>
      </c>
      <c r="J13" s="563">
        <v>3481</v>
      </c>
      <c r="K13" s="545">
        <f t="shared" si="5"/>
        <v>4830</v>
      </c>
      <c r="L13" s="201">
        <f t="shared" si="5"/>
        <v>0</v>
      </c>
      <c r="M13" s="546">
        <f t="shared" si="5"/>
        <v>4830</v>
      </c>
      <c r="N13" s="333">
        <f t="shared" si="2"/>
        <v>100.62500000000001</v>
      </c>
      <c r="Q13" s="57"/>
    </row>
    <row r="14" spans="1:17" ht="12.95" customHeight="1">
      <c r="B14" s="10"/>
      <c r="C14" s="11"/>
      <c r="D14" s="11"/>
      <c r="E14" s="293">
        <v>612100</v>
      </c>
      <c r="F14" s="319"/>
      <c r="G14" s="13" t="s">
        <v>83</v>
      </c>
      <c r="H14" s="515">
        <v>4800</v>
      </c>
      <c r="I14" s="515">
        <v>4800</v>
      </c>
      <c r="J14" s="564">
        <v>3481</v>
      </c>
      <c r="K14" s="549">
        <v>4830</v>
      </c>
      <c r="L14" s="200">
        <v>0</v>
      </c>
      <c r="M14" s="548">
        <f>SUM(K14:L14)</f>
        <v>4830</v>
      </c>
      <c r="N14" s="334">
        <f t="shared" si="2"/>
        <v>100.62500000000001</v>
      </c>
      <c r="Q14" s="48"/>
    </row>
    <row r="15" spans="1:17" ht="8.1" customHeight="1">
      <c r="B15" s="10"/>
      <c r="C15" s="11"/>
      <c r="D15" s="11"/>
      <c r="E15" s="293"/>
      <c r="F15" s="319"/>
      <c r="G15" s="11"/>
      <c r="H15" s="516"/>
      <c r="I15" s="516"/>
      <c r="J15" s="566"/>
      <c r="K15" s="578"/>
      <c r="L15" s="267"/>
      <c r="M15" s="551"/>
      <c r="N15" s="334" t="str">
        <f t="shared" si="2"/>
        <v/>
      </c>
    </row>
    <row r="16" spans="1:17" s="1" customFormat="1" ht="12.95" customHeight="1">
      <c r="A16" s="269"/>
      <c r="B16" s="12"/>
      <c r="C16" s="8"/>
      <c r="D16" s="8"/>
      <c r="E16" s="292">
        <v>613000</v>
      </c>
      <c r="F16" s="318"/>
      <c r="G16" s="8" t="s">
        <v>164</v>
      </c>
      <c r="H16" s="262">
        <f t="shared" ref="H16:I16" si="6">SUM(H17:H26)</f>
        <v>4600</v>
      </c>
      <c r="I16" s="262">
        <f t="shared" si="6"/>
        <v>4600</v>
      </c>
      <c r="J16" s="565">
        <v>1308</v>
      </c>
      <c r="K16" s="552">
        <f t="shared" ref="K16:M16" si="7">SUM(K17:K26)</f>
        <v>3300</v>
      </c>
      <c r="L16" s="281">
        <f t="shared" si="7"/>
        <v>0</v>
      </c>
      <c r="M16" s="553">
        <f t="shared" si="7"/>
        <v>3300</v>
      </c>
      <c r="N16" s="333">
        <f t="shared" si="2"/>
        <v>71.739130434782609</v>
      </c>
    </row>
    <row r="17" spans="1:15" ht="12.95" customHeight="1">
      <c r="B17" s="10"/>
      <c r="C17" s="11"/>
      <c r="D17" s="11"/>
      <c r="E17" s="293">
        <v>613100</v>
      </c>
      <c r="F17" s="319"/>
      <c r="G17" s="11" t="s">
        <v>84</v>
      </c>
      <c r="H17" s="515">
        <v>1500</v>
      </c>
      <c r="I17" s="515">
        <v>1500</v>
      </c>
      <c r="J17" s="564">
        <v>465</v>
      </c>
      <c r="K17" s="571">
        <v>1000</v>
      </c>
      <c r="L17" s="349">
        <v>0</v>
      </c>
      <c r="M17" s="548">
        <f t="shared" ref="M17:M26" si="8">SUM(K17:L17)</f>
        <v>1000</v>
      </c>
      <c r="N17" s="334">
        <f t="shared" si="2"/>
        <v>66.666666666666657</v>
      </c>
    </row>
    <row r="18" spans="1:15" ht="12.95" customHeight="1">
      <c r="B18" s="10"/>
      <c r="C18" s="11"/>
      <c r="D18" s="11"/>
      <c r="E18" s="293">
        <v>613200</v>
      </c>
      <c r="F18" s="319"/>
      <c r="G18" s="11" t="s">
        <v>85</v>
      </c>
      <c r="H18" s="515">
        <f t="shared" ref="H18:I26" si="9">SUM(F18:G18)</f>
        <v>0</v>
      </c>
      <c r="I18" s="515">
        <f t="shared" si="9"/>
        <v>0</v>
      </c>
      <c r="J18" s="564">
        <v>0</v>
      </c>
      <c r="K18" s="571">
        <v>0</v>
      </c>
      <c r="L18" s="349">
        <v>0</v>
      </c>
      <c r="M18" s="548">
        <f t="shared" si="8"/>
        <v>0</v>
      </c>
      <c r="N18" s="334" t="str">
        <f t="shared" si="2"/>
        <v/>
      </c>
    </row>
    <row r="19" spans="1:15" ht="12.95" customHeight="1">
      <c r="B19" s="10"/>
      <c r="C19" s="11"/>
      <c r="D19" s="11"/>
      <c r="E19" s="293">
        <v>613300</v>
      </c>
      <c r="F19" s="319"/>
      <c r="G19" s="18" t="s">
        <v>200</v>
      </c>
      <c r="H19" s="515">
        <v>1700</v>
      </c>
      <c r="I19" s="515">
        <v>1700</v>
      </c>
      <c r="J19" s="564">
        <v>509</v>
      </c>
      <c r="K19" s="571">
        <v>800</v>
      </c>
      <c r="L19" s="349">
        <v>0</v>
      </c>
      <c r="M19" s="548">
        <f t="shared" si="8"/>
        <v>800</v>
      </c>
      <c r="N19" s="334">
        <f t="shared" si="2"/>
        <v>47.058823529411761</v>
      </c>
    </row>
    <row r="20" spans="1:15" ht="12.95" customHeight="1">
      <c r="B20" s="10"/>
      <c r="C20" s="11"/>
      <c r="D20" s="11"/>
      <c r="E20" s="293">
        <v>613400</v>
      </c>
      <c r="F20" s="319"/>
      <c r="G20" s="11" t="s">
        <v>165</v>
      </c>
      <c r="H20" s="515">
        <f t="shared" si="9"/>
        <v>0</v>
      </c>
      <c r="I20" s="515">
        <f t="shared" si="9"/>
        <v>0</v>
      </c>
      <c r="J20" s="564">
        <v>0</v>
      </c>
      <c r="K20" s="571">
        <v>0</v>
      </c>
      <c r="L20" s="349">
        <v>0</v>
      </c>
      <c r="M20" s="548">
        <f t="shared" si="8"/>
        <v>0</v>
      </c>
      <c r="N20" s="334" t="str">
        <f t="shared" si="2"/>
        <v/>
      </c>
    </row>
    <row r="21" spans="1:15" ht="12.95" customHeight="1">
      <c r="B21" s="10"/>
      <c r="C21" s="11"/>
      <c r="D21" s="11"/>
      <c r="E21" s="293">
        <v>613500</v>
      </c>
      <c r="F21" s="319"/>
      <c r="G21" s="11" t="s">
        <v>86</v>
      </c>
      <c r="H21" s="515">
        <f t="shared" si="9"/>
        <v>0</v>
      </c>
      <c r="I21" s="515">
        <f t="shared" si="9"/>
        <v>0</v>
      </c>
      <c r="J21" s="564">
        <v>0</v>
      </c>
      <c r="K21" s="571">
        <v>0</v>
      </c>
      <c r="L21" s="349">
        <v>0</v>
      </c>
      <c r="M21" s="548">
        <f t="shared" si="8"/>
        <v>0</v>
      </c>
      <c r="N21" s="334" t="str">
        <f t="shared" si="2"/>
        <v/>
      </c>
    </row>
    <row r="22" spans="1:15" ht="12.95" customHeight="1">
      <c r="B22" s="10"/>
      <c r="C22" s="11"/>
      <c r="D22" s="11"/>
      <c r="E22" s="293">
        <v>613600</v>
      </c>
      <c r="F22" s="319"/>
      <c r="G22" s="18" t="s">
        <v>201</v>
      </c>
      <c r="H22" s="515">
        <f t="shared" si="9"/>
        <v>0</v>
      </c>
      <c r="I22" s="515">
        <f t="shared" si="9"/>
        <v>0</v>
      </c>
      <c r="J22" s="564">
        <v>0</v>
      </c>
      <c r="K22" s="571">
        <v>0</v>
      </c>
      <c r="L22" s="349">
        <v>0</v>
      </c>
      <c r="M22" s="548">
        <f t="shared" si="8"/>
        <v>0</v>
      </c>
      <c r="N22" s="334" t="str">
        <f t="shared" si="2"/>
        <v/>
      </c>
    </row>
    <row r="23" spans="1:15" ht="12.95" customHeight="1">
      <c r="B23" s="10"/>
      <c r="C23" s="11"/>
      <c r="D23" s="11"/>
      <c r="E23" s="293">
        <v>613700</v>
      </c>
      <c r="F23" s="319"/>
      <c r="G23" s="11" t="s">
        <v>87</v>
      </c>
      <c r="H23" s="515">
        <v>400</v>
      </c>
      <c r="I23" s="515">
        <v>400</v>
      </c>
      <c r="J23" s="564">
        <v>53</v>
      </c>
      <c r="K23" s="571">
        <v>400</v>
      </c>
      <c r="L23" s="349">
        <v>0</v>
      </c>
      <c r="M23" s="548">
        <f t="shared" si="8"/>
        <v>400</v>
      </c>
      <c r="N23" s="334">
        <f t="shared" si="2"/>
        <v>100</v>
      </c>
    </row>
    <row r="24" spans="1:15" ht="12.95" customHeight="1">
      <c r="B24" s="10"/>
      <c r="C24" s="11"/>
      <c r="D24" s="11"/>
      <c r="E24" s="293">
        <v>613800</v>
      </c>
      <c r="F24" s="319"/>
      <c r="G24" s="11" t="s">
        <v>166</v>
      </c>
      <c r="H24" s="515">
        <f t="shared" si="9"/>
        <v>0</v>
      </c>
      <c r="I24" s="515">
        <f t="shared" si="9"/>
        <v>0</v>
      </c>
      <c r="J24" s="564">
        <v>0</v>
      </c>
      <c r="K24" s="571">
        <v>0</v>
      </c>
      <c r="L24" s="349">
        <v>0</v>
      </c>
      <c r="M24" s="548">
        <f t="shared" si="8"/>
        <v>0</v>
      </c>
      <c r="N24" s="334" t="str">
        <f t="shared" si="2"/>
        <v/>
      </c>
      <c r="O24" s="48"/>
    </row>
    <row r="25" spans="1:15" ht="12.95" customHeight="1">
      <c r="B25" s="10"/>
      <c r="C25" s="11"/>
      <c r="D25" s="11"/>
      <c r="E25" s="293">
        <v>613900</v>
      </c>
      <c r="F25" s="319"/>
      <c r="G25" s="11" t="s">
        <v>167</v>
      </c>
      <c r="H25" s="515">
        <v>1000</v>
      </c>
      <c r="I25" s="515">
        <v>1000</v>
      </c>
      <c r="J25" s="564">
        <v>281</v>
      </c>
      <c r="K25" s="572">
        <v>1100</v>
      </c>
      <c r="L25" s="351">
        <v>0</v>
      </c>
      <c r="M25" s="548">
        <f t="shared" si="8"/>
        <v>1100</v>
      </c>
      <c r="N25" s="334">
        <f t="shared" si="2"/>
        <v>110.00000000000001</v>
      </c>
    </row>
    <row r="26" spans="1:15" ht="12.95" customHeight="1">
      <c r="B26" s="10"/>
      <c r="C26" s="11"/>
      <c r="D26" s="11"/>
      <c r="E26" s="293">
        <v>613900</v>
      </c>
      <c r="F26" s="319"/>
      <c r="G26" s="180" t="s">
        <v>535</v>
      </c>
      <c r="H26" s="515">
        <f t="shared" si="9"/>
        <v>0</v>
      </c>
      <c r="I26" s="515">
        <f t="shared" si="9"/>
        <v>0</v>
      </c>
      <c r="J26" s="564">
        <v>0</v>
      </c>
      <c r="K26" s="571">
        <v>0</v>
      </c>
      <c r="L26" s="349">
        <v>0</v>
      </c>
      <c r="M26" s="548">
        <f t="shared" si="8"/>
        <v>0</v>
      </c>
      <c r="N26" s="334" t="str">
        <f t="shared" si="2"/>
        <v/>
      </c>
    </row>
    <row r="27" spans="1:15" ht="8.1" customHeight="1">
      <c r="B27" s="10"/>
      <c r="C27" s="11"/>
      <c r="D27" s="11"/>
      <c r="E27" s="293"/>
      <c r="F27" s="319"/>
      <c r="G27" s="11"/>
      <c r="H27" s="262"/>
      <c r="I27" s="262"/>
      <c r="J27" s="565"/>
      <c r="K27" s="558"/>
      <c r="L27" s="276"/>
      <c r="M27" s="553"/>
      <c r="N27" s="334" t="str">
        <f t="shared" si="2"/>
        <v/>
      </c>
    </row>
    <row r="28" spans="1:15" s="1" customFormat="1" ht="12.95" customHeight="1">
      <c r="A28" s="269"/>
      <c r="B28" s="12"/>
      <c r="C28" s="8"/>
      <c r="D28" s="8"/>
      <c r="E28" s="303">
        <v>614000</v>
      </c>
      <c r="F28" s="330"/>
      <c r="G28" s="8" t="s">
        <v>202</v>
      </c>
      <c r="H28" s="262">
        <f t="shared" ref="H28:M28" si="10">H29</f>
        <v>20000</v>
      </c>
      <c r="I28" s="262">
        <f t="shared" si="10"/>
        <v>20000</v>
      </c>
      <c r="J28" s="565">
        <v>0</v>
      </c>
      <c r="K28" s="558">
        <f t="shared" si="10"/>
        <v>20000</v>
      </c>
      <c r="L28" s="276">
        <f t="shared" si="10"/>
        <v>0</v>
      </c>
      <c r="M28" s="553">
        <f t="shared" si="10"/>
        <v>20000</v>
      </c>
      <c r="N28" s="333">
        <f t="shared" si="2"/>
        <v>100</v>
      </c>
    </row>
    <row r="29" spans="1:15" ht="12.95" customHeight="1">
      <c r="B29" s="10"/>
      <c r="C29" s="11"/>
      <c r="D29" s="22"/>
      <c r="E29" s="341">
        <v>614200</v>
      </c>
      <c r="F29" s="327" t="s">
        <v>663</v>
      </c>
      <c r="G29" s="35" t="s">
        <v>99</v>
      </c>
      <c r="H29" s="515">
        <v>20000</v>
      </c>
      <c r="I29" s="515">
        <v>20000</v>
      </c>
      <c r="J29" s="564">
        <v>0</v>
      </c>
      <c r="K29" s="573">
        <v>20000</v>
      </c>
      <c r="L29" s="268">
        <v>0</v>
      </c>
      <c r="M29" s="548">
        <f>SUM(K29:L29)</f>
        <v>20000</v>
      </c>
      <c r="N29" s="334">
        <f t="shared" si="2"/>
        <v>100</v>
      </c>
    </row>
    <row r="30" spans="1:15" ht="8.1" customHeight="1">
      <c r="B30" s="10"/>
      <c r="C30" s="11"/>
      <c r="D30" s="11"/>
      <c r="E30" s="301"/>
      <c r="F30" s="326"/>
      <c r="G30" s="11"/>
      <c r="H30" s="516"/>
      <c r="I30" s="516"/>
      <c r="J30" s="566"/>
      <c r="K30" s="578"/>
      <c r="L30" s="267"/>
      <c r="M30" s="551"/>
      <c r="N30" s="334" t="str">
        <f t="shared" si="2"/>
        <v/>
      </c>
    </row>
    <row r="31" spans="1:15" s="1" customFormat="1" ht="12.95" customHeight="1">
      <c r="A31" s="269"/>
      <c r="B31" s="12"/>
      <c r="C31" s="8"/>
      <c r="D31" s="8"/>
      <c r="E31" s="292">
        <v>821000</v>
      </c>
      <c r="F31" s="318"/>
      <c r="G31" s="8" t="s">
        <v>90</v>
      </c>
      <c r="H31" s="262">
        <f t="shared" ref="H31:I31" si="11">SUM(H32:H33)</f>
        <v>1000</v>
      </c>
      <c r="I31" s="262">
        <f t="shared" si="11"/>
        <v>1000</v>
      </c>
      <c r="J31" s="565">
        <v>953</v>
      </c>
      <c r="K31" s="558">
        <f t="shared" ref="K31:M31" si="12">SUM(K32:K33)</f>
        <v>1000</v>
      </c>
      <c r="L31" s="276">
        <f t="shared" si="12"/>
        <v>0</v>
      </c>
      <c r="M31" s="553">
        <f t="shared" si="12"/>
        <v>1000</v>
      </c>
      <c r="N31" s="333">
        <f t="shared" si="2"/>
        <v>100</v>
      </c>
    </row>
    <row r="32" spans="1:15" ht="12.95" customHeight="1">
      <c r="B32" s="10"/>
      <c r="C32" s="11"/>
      <c r="D32" s="11"/>
      <c r="E32" s="293">
        <v>821200</v>
      </c>
      <c r="F32" s="319"/>
      <c r="G32" s="11" t="s">
        <v>91</v>
      </c>
      <c r="H32" s="515">
        <f t="shared" ref="H32:I32" si="13">SUM(F32:G32)</f>
        <v>0</v>
      </c>
      <c r="I32" s="515">
        <f t="shared" si="13"/>
        <v>0</v>
      </c>
      <c r="J32" s="564">
        <v>0</v>
      </c>
      <c r="K32" s="573">
        <v>0</v>
      </c>
      <c r="L32" s="268">
        <v>0</v>
      </c>
      <c r="M32" s="548">
        <f t="shared" ref="M32:M33" si="14">SUM(K32:L32)</f>
        <v>0</v>
      </c>
      <c r="N32" s="334" t="str">
        <f t="shared" si="2"/>
        <v/>
      </c>
    </row>
    <row r="33" spans="1:14" ht="12.95" customHeight="1">
      <c r="B33" s="10"/>
      <c r="C33" s="11"/>
      <c r="D33" s="11"/>
      <c r="E33" s="293">
        <v>821300</v>
      </c>
      <c r="F33" s="319"/>
      <c r="G33" s="11" t="s">
        <v>92</v>
      </c>
      <c r="H33" s="516">
        <v>1000</v>
      </c>
      <c r="I33" s="516">
        <v>1000</v>
      </c>
      <c r="J33" s="564">
        <v>953</v>
      </c>
      <c r="K33" s="578">
        <v>1000</v>
      </c>
      <c r="L33" s="267">
        <v>0</v>
      </c>
      <c r="M33" s="548">
        <f t="shared" si="14"/>
        <v>1000</v>
      </c>
      <c r="N33" s="334">
        <f t="shared" si="2"/>
        <v>100</v>
      </c>
    </row>
    <row r="34" spans="1:14" ht="8.1" customHeight="1">
      <c r="B34" s="10"/>
      <c r="C34" s="11"/>
      <c r="D34" s="11"/>
      <c r="E34" s="293"/>
      <c r="F34" s="319"/>
      <c r="G34" s="11"/>
      <c r="H34" s="516"/>
      <c r="I34" s="516"/>
      <c r="J34" s="566"/>
      <c r="K34" s="578"/>
      <c r="L34" s="267"/>
      <c r="M34" s="551"/>
      <c r="N34" s="334" t="str">
        <f t="shared" si="2"/>
        <v/>
      </c>
    </row>
    <row r="35" spans="1:14" s="1" customFormat="1" ht="12.95" customHeight="1">
      <c r="A35" s="269"/>
      <c r="B35" s="12"/>
      <c r="C35" s="8"/>
      <c r="D35" s="8"/>
      <c r="E35" s="292"/>
      <c r="F35" s="318"/>
      <c r="G35" s="8" t="s">
        <v>93</v>
      </c>
      <c r="H35" s="262">
        <v>2</v>
      </c>
      <c r="I35" s="262">
        <v>2</v>
      </c>
      <c r="J35" s="565">
        <v>2</v>
      </c>
      <c r="K35" s="557">
        <v>3</v>
      </c>
      <c r="L35" s="282"/>
      <c r="M35" s="553">
        <v>3</v>
      </c>
      <c r="N35" s="334"/>
    </row>
    <row r="36" spans="1:14" s="1" customFormat="1" ht="12.95" customHeight="1">
      <c r="A36" s="269"/>
      <c r="B36" s="12"/>
      <c r="C36" s="8"/>
      <c r="D36" s="8"/>
      <c r="E36" s="292"/>
      <c r="F36" s="318"/>
      <c r="G36" s="8" t="s">
        <v>113</v>
      </c>
      <c r="H36" s="262">
        <f t="shared" ref="H36:M36" si="15">H31+H28+H16+H13+H8</f>
        <v>84700</v>
      </c>
      <c r="I36" s="276">
        <f t="shared" si="15"/>
        <v>84700</v>
      </c>
      <c r="J36" s="565">
        <f t="shared" si="15"/>
        <v>46110</v>
      </c>
      <c r="K36" s="558">
        <f t="shared" si="15"/>
        <v>84050</v>
      </c>
      <c r="L36" s="276">
        <f t="shared" si="15"/>
        <v>0</v>
      </c>
      <c r="M36" s="553">
        <f t="shared" si="15"/>
        <v>84050</v>
      </c>
      <c r="N36" s="333">
        <f t="shared" si="2"/>
        <v>99.232585596221952</v>
      </c>
    </row>
    <row r="37" spans="1:14" s="1" customFormat="1" ht="12.95" customHeight="1">
      <c r="A37" s="269"/>
      <c r="B37" s="12"/>
      <c r="C37" s="8"/>
      <c r="D37" s="8"/>
      <c r="E37" s="292"/>
      <c r="F37" s="318"/>
      <c r="G37" s="8" t="s">
        <v>94</v>
      </c>
      <c r="H37" s="262"/>
      <c r="I37" s="276"/>
      <c r="J37" s="565"/>
      <c r="K37" s="558"/>
      <c r="L37" s="276"/>
      <c r="M37" s="553"/>
      <c r="N37" s="340" t="str">
        <f t="shared" si="2"/>
        <v/>
      </c>
    </row>
    <row r="38" spans="1:14" s="1" customFormat="1" ht="12.95" customHeight="1">
      <c r="A38" s="269"/>
      <c r="B38" s="12"/>
      <c r="C38" s="8"/>
      <c r="D38" s="8"/>
      <c r="E38" s="292"/>
      <c r="F38" s="318"/>
      <c r="G38" s="8" t="s">
        <v>95</v>
      </c>
      <c r="H38" s="516"/>
      <c r="I38" s="267"/>
      <c r="J38" s="566"/>
      <c r="K38" s="578"/>
      <c r="L38" s="267"/>
      <c r="M38" s="551"/>
      <c r="N38" s="335" t="str">
        <f t="shared" si="2"/>
        <v/>
      </c>
    </row>
    <row r="39" spans="1:14" ht="8.1" customHeight="1" thickBot="1">
      <c r="B39" s="15"/>
      <c r="C39" s="16"/>
      <c r="D39" s="16"/>
      <c r="E39" s="294"/>
      <c r="F39" s="320"/>
      <c r="G39" s="16"/>
      <c r="H39" s="521"/>
      <c r="I39" s="16"/>
      <c r="J39" s="569"/>
      <c r="K39" s="15"/>
      <c r="L39" s="16"/>
      <c r="M39" s="574"/>
      <c r="N39" s="336" t="str">
        <f t="shared" si="2"/>
        <v/>
      </c>
    </row>
    <row r="40" spans="1:14" ht="12.95" customHeight="1">
      <c r="E40" s="295"/>
      <c r="F40" s="321"/>
      <c r="M40" s="369"/>
      <c r="N40" s="337" t="str">
        <f t="shared" si="2"/>
        <v/>
      </c>
    </row>
    <row r="41" spans="1:14" ht="12.95" customHeight="1">
      <c r="B41" s="48"/>
      <c r="E41" s="295"/>
      <c r="F41" s="321"/>
      <c r="M41" s="369"/>
      <c r="N41" s="337" t="str">
        <f t="shared" si="2"/>
        <v/>
      </c>
    </row>
    <row r="42" spans="1:14" ht="12.95" customHeight="1">
      <c r="E42" s="295"/>
      <c r="F42" s="321"/>
      <c r="M42" s="369"/>
      <c r="N42" s="337" t="str">
        <f t="shared" si="2"/>
        <v/>
      </c>
    </row>
    <row r="43" spans="1:14" ht="12.95" customHeight="1">
      <c r="E43" s="295"/>
      <c r="F43" s="321"/>
      <c r="M43" s="369"/>
      <c r="N43" s="337" t="str">
        <f t="shared" si="2"/>
        <v/>
      </c>
    </row>
    <row r="44" spans="1:14" ht="12.95" customHeight="1">
      <c r="E44" s="295"/>
      <c r="F44" s="321"/>
      <c r="M44" s="369"/>
      <c r="N44" s="337" t="str">
        <f t="shared" si="2"/>
        <v/>
      </c>
    </row>
    <row r="45" spans="1:14" ht="12.95" customHeight="1">
      <c r="E45" s="295"/>
      <c r="F45" s="321"/>
      <c r="M45" s="369"/>
      <c r="N45" s="337" t="str">
        <f t="shared" si="2"/>
        <v/>
      </c>
    </row>
    <row r="46" spans="1:14" ht="12.95" customHeight="1">
      <c r="E46" s="295"/>
      <c r="F46" s="321"/>
      <c r="M46" s="369"/>
      <c r="N46" s="337" t="str">
        <f t="shared" si="2"/>
        <v/>
      </c>
    </row>
    <row r="47" spans="1:14" ht="12.95" customHeight="1">
      <c r="E47" s="295"/>
      <c r="F47" s="321"/>
      <c r="M47" s="369"/>
      <c r="N47" s="337" t="str">
        <f t="shared" si="2"/>
        <v/>
      </c>
    </row>
    <row r="48" spans="1:14" ht="12.95" customHeight="1">
      <c r="E48" s="295"/>
      <c r="F48" s="321"/>
      <c r="M48" s="369"/>
      <c r="N48" s="337" t="str">
        <f t="shared" si="2"/>
        <v/>
      </c>
    </row>
    <row r="49" spans="5:14" ht="12.95" customHeight="1">
      <c r="E49" s="295"/>
      <c r="F49" s="321"/>
      <c r="M49" s="369"/>
      <c r="N49" s="337" t="str">
        <f t="shared" si="2"/>
        <v/>
      </c>
    </row>
    <row r="50" spans="5:14" ht="12.95" customHeight="1">
      <c r="E50" s="295"/>
      <c r="F50" s="321"/>
      <c r="M50" s="369"/>
      <c r="N50" s="337" t="str">
        <f t="shared" si="2"/>
        <v/>
      </c>
    </row>
    <row r="51" spans="5:14" ht="12.95" customHeight="1">
      <c r="E51" s="295"/>
      <c r="F51" s="321"/>
      <c r="M51" s="369"/>
      <c r="N51" s="337" t="str">
        <f t="shared" si="2"/>
        <v/>
      </c>
    </row>
    <row r="52" spans="5:14" ht="12.95" customHeight="1">
      <c r="E52" s="295"/>
      <c r="F52" s="321"/>
      <c r="M52" s="369"/>
      <c r="N52" s="337" t="str">
        <f t="shared" si="2"/>
        <v/>
      </c>
    </row>
    <row r="53" spans="5:14" ht="12.95" customHeight="1">
      <c r="E53" s="295"/>
      <c r="F53" s="321"/>
      <c r="M53" s="369"/>
      <c r="N53" s="337" t="str">
        <f t="shared" si="2"/>
        <v/>
      </c>
    </row>
    <row r="54" spans="5:14" ht="12.95" customHeight="1">
      <c r="E54" s="295"/>
      <c r="F54" s="321"/>
      <c r="M54" s="369"/>
      <c r="N54" s="337" t="str">
        <f t="shared" si="2"/>
        <v/>
      </c>
    </row>
    <row r="55" spans="5:14" ht="12.95" customHeight="1">
      <c r="E55" s="295"/>
      <c r="F55" s="321"/>
      <c r="M55" s="369"/>
      <c r="N55" s="337" t="str">
        <f t="shared" si="2"/>
        <v/>
      </c>
    </row>
    <row r="56" spans="5:14" ht="12.95" customHeight="1">
      <c r="E56" s="295"/>
      <c r="F56" s="321"/>
      <c r="M56" s="369"/>
      <c r="N56" s="337" t="str">
        <f t="shared" si="2"/>
        <v/>
      </c>
    </row>
    <row r="57" spans="5:14" ht="12.95" customHeight="1">
      <c r="E57" s="295"/>
      <c r="F57" s="321"/>
      <c r="M57" s="369"/>
      <c r="N57" s="337" t="str">
        <f t="shared" si="2"/>
        <v/>
      </c>
    </row>
    <row r="58" spans="5:14" ht="12.95" customHeight="1">
      <c r="E58" s="295"/>
      <c r="F58" s="321"/>
      <c r="M58" s="369"/>
      <c r="N58" s="337" t="str">
        <f t="shared" si="2"/>
        <v/>
      </c>
    </row>
    <row r="59" spans="5:14" ht="12.95" customHeight="1">
      <c r="E59" s="295"/>
      <c r="F59" s="321"/>
      <c r="M59" s="369"/>
      <c r="N59" s="337" t="str">
        <f t="shared" si="2"/>
        <v/>
      </c>
    </row>
    <row r="60" spans="5:14" ht="17.100000000000001" customHeight="1">
      <c r="E60" s="295"/>
      <c r="F60" s="321"/>
      <c r="M60" s="369"/>
      <c r="N60" s="337" t="str">
        <f t="shared" si="2"/>
        <v/>
      </c>
    </row>
    <row r="61" spans="5:14" ht="14.25">
      <c r="E61" s="295"/>
      <c r="F61" s="321"/>
      <c r="M61" s="369"/>
      <c r="N61" s="337" t="str">
        <f t="shared" si="2"/>
        <v/>
      </c>
    </row>
    <row r="62" spans="5:14" ht="14.25">
      <c r="E62" s="295"/>
      <c r="F62" s="321"/>
      <c r="M62" s="369"/>
      <c r="N62" s="337" t="str">
        <f t="shared" si="2"/>
        <v/>
      </c>
    </row>
    <row r="63" spans="5:14" ht="14.25">
      <c r="E63" s="295"/>
      <c r="F63" s="321"/>
      <c r="M63" s="369"/>
      <c r="N63" s="337" t="str">
        <f t="shared" si="2"/>
        <v/>
      </c>
    </row>
    <row r="64" spans="5:14" ht="14.25">
      <c r="E64" s="295"/>
      <c r="F64" s="321"/>
      <c r="M64" s="369"/>
      <c r="N64" s="337" t="str">
        <f t="shared" si="2"/>
        <v/>
      </c>
    </row>
    <row r="65" spans="5:14" ht="14.25">
      <c r="E65" s="295"/>
      <c r="F65" s="321"/>
      <c r="M65" s="369"/>
      <c r="N65" s="337" t="str">
        <f t="shared" si="2"/>
        <v/>
      </c>
    </row>
    <row r="66" spans="5:14" ht="14.25">
      <c r="E66" s="295"/>
      <c r="F66" s="321"/>
      <c r="M66" s="369"/>
      <c r="N66" s="337" t="str">
        <f t="shared" si="2"/>
        <v/>
      </c>
    </row>
    <row r="67" spans="5:14" ht="14.25">
      <c r="E67" s="295"/>
      <c r="F67" s="321"/>
      <c r="M67" s="369"/>
      <c r="N67" s="337" t="str">
        <f t="shared" si="2"/>
        <v/>
      </c>
    </row>
    <row r="68" spans="5:14" ht="14.25">
      <c r="E68" s="295"/>
      <c r="F68" s="321"/>
      <c r="M68" s="369"/>
      <c r="N68" s="337" t="str">
        <f t="shared" si="2"/>
        <v/>
      </c>
    </row>
    <row r="69" spans="5:14" ht="14.25">
      <c r="E69" s="295"/>
      <c r="F69" s="321"/>
      <c r="M69" s="369"/>
      <c r="N69" s="337" t="str">
        <f t="shared" si="2"/>
        <v/>
      </c>
    </row>
    <row r="70" spans="5:14" ht="14.25">
      <c r="E70" s="295"/>
      <c r="F70" s="321"/>
      <c r="M70" s="369"/>
      <c r="N70" s="337" t="str">
        <f t="shared" si="2"/>
        <v/>
      </c>
    </row>
    <row r="71" spans="5:14" ht="14.25">
      <c r="E71" s="295"/>
      <c r="F71" s="321"/>
      <c r="M71" s="369"/>
      <c r="N71" s="337" t="str">
        <f t="shared" si="2"/>
        <v/>
      </c>
    </row>
    <row r="72" spans="5:14" ht="14.25">
      <c r="E72" s="295"/>
      <c r="F72" s="321"/>
      <c r="M72" s="369"/>
      <c r="N72" s="337" t="str">
        <f t="shared" si="2"/>
        <v/>
      </c>
    </row>
    <row r="73" spans="5:14" ht="14.25">
      <c r="E73" s="295"/>
      <c r="F73" s="321"/>
      <c r="M73" s="369"/>
      <c r="N73" s="337" t="str">
        <f t="shared" ref="N73:N77" si="16">IF(I73=0,"",M73/I73*100)</f>
        <v/>
      </c>
    </row>
    <row r="74" spans="5:14" ht="14.25">
      <c r="E74" s="295"/>
      <c r="F74" s="295"/>
      <c r="M74" s="369"/>
      <c r="N74" s="337" t="str">
        <f t="shared" si="16"/>
        <v/>
      </c>
    </row>
    <row r="75" spans="5:14" ht="14.25">
      <c r="E75" s="295"/>
      <c r="F75" s="295"/>
      <c r="M75" s="369"/>
      <c r="N75" s="337" t="str">
        <f t="shared" si="16"/>
        <v/>
      </c>
    </row>
    <row r="76" spans="5:14" ht="14.25">
      <c r="E76" s="295"/>
      <c r="F76" s="295"/>
      <c r="M76" s="369"/>
      <c r="N76" s="337" t="str">
        <f t="shared" si="16"/>
        <v/>
      </c>
    </row>
    <row r="77" spans="5:14" ht="14.25">
      <c r="E77" s="295"/>
      <c r="F77" s="295"/>
      <c r="M77" s="369"/>
      <c r="N77" s="337" t="str">
        <f t="shared" si="16"/>
        <v/>
      </c>
    </row>
    <row r="78" spans="5:14" ht="14.25">
      <c r="E78" s="295"/>
      <c r="F78" s="295"/>
      <c r="M78" s="369"/>
    </row>
    <row r="79" spans="5:14" ht="14.25">
      <c r="E79" s="295"/>
      <c r="F79" s="295"/>
      <c r="M79" s="369"/>
    </row>
    <row r="80" spans="5:14" ht="14.25">
      <c r="E80" s="295"/>
      <c r="F80" s="295"/>
      <c r="M80" s="369"/>
    </row>
    <row r="81" spans="5:13" ht="14.25">
      <c r="E81" s="295"/>
      <c r="F81" s="295"/>
      <c r="M81" s="369"/>
    </row>
    <row r="82" spans="5:13" ht="14.25">
      <c r="E82" s="295"/>
      <c r="F82" s="295"/>
      <c r="M82" s="369"/>
    </row>
    <row r="83" spans="5:13" ht="14.25">
      <c r="E83" s="295"/>
      <c r="F83" s="295"/>
      <c r="M83" s="369"/>
    </row>
    <row r="84" spans="5:13" ht="14.25">
      <c r="E84" s="295"/>
      <c r="F84" s="295"/>
      <c r="M84" s="369"/>
    </row>
    <row r="85" spans="5:13" ht="14.25">
      <c r="E85" s="295"/>
      <c r="F85" s="295"/>
      <c r="M85" s="369"/>
    </row>
    <row r="86" spans="5:13" ht="14.25">
      <c r="E86" s="295"/>
      <c r="F86" s="295"/>
      <c r="M86" s="369"/>
    </row>
    <row r="87" spans="5:13" ht="14.25">
      <c r="E87" s="295"/>
      <c r="F87" s="295"/>
      <c r="M87" s="369"/>
    </row>
    <row r="88" spans="5:13" ht="14.25">
      <c r="E88" s="295"/>
      <c r="F88" s="295"/>
      <c r="M88" s="369"/>
    </row>
    <row r="89" spans="5:13" ht="14.25">
      <c r="E89" s="295"/>
      <c r="F89" s="295"/>
      <c r="M89" s="369"/>
    </row>
    <row r="90" spans="5:13" ht="14.25">
      <c r="E90" s="295"/>
      <c r="F90" s="295"/>
      <c r="M90" s="369"/>
    </row>
    <row r="91" spans="5:13">
      <c r="F91" s="295"/>
    </row>
    <row r="92" spans="5:13">
      <c r="F92" s="295"/>
    </row>
    <row r="93" spans="5:13">
      <c r="F93" s="295"/>
    </row>
    <row r="94" spans="5:13">
      <c r="F94" s="295"/>
    </row>
    <row r="95" spans="5:13">
      <c r="F95" s="295"/>
    </row>
    <row r="96" spans="5:13">
      <c r="F96" s="295"/>
    </row>
  </sheetData>
  <mergeCells count="12">
    <mergeCell ref="N4:N5"/>
    <mergeCell ref="G4:G5"/>
    <mergeCell ref="B2:J2"/>
    <mergeCell ref="B4:B5"/>
    <mergeCell ref="C4:C5"/>
    <mergeCell ref="D4:D5"/>
    <mergeCell ref="F4:F5"/>
    <mergeCell ref="E4:E5"/>
    <mergeCell ref="K4:M4"/>
    <mergeCell ref="H4:H5"/>
    <mergeCell ref="I4:I5"/>
    <mergeCell ref="J4:J5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45</vt:i4>
      </vt:variant>
      <vt:variant>
        <vt:lpstr>Imenovani rasponi</vt:lpstr>
      </vt:variant>
      <vt:variant>
        <vt:i4>44</vt:i4>
      </vt:variant>
    </vt:vector>
  </HeadingPairs>
  <TitlesOfParts>
    <vt:vector size="89" baseType="lpstr">
      <vt:lpstr>Naslovnica</vt:lpstr>
      <vt:lpstr>Sadrzaj</vt:lpstr>
      <vt:lpstr>Uvod</vt:lpstr>
      <vt:lpstr>Prihodi</vt:lpstr>
      <vt:lpstr>Rashodi</vt:lpstr>
      <vt:lpstr>1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Sumarno</vt:lpstr>
      <vt:lpstr>Funkcijska</vt:lpstr>
      <vt:lpstr>Kap.pror.</vt:lpstr>
      <vt:lpstr>Kraj</vt:lpstr>
      <vt:lpstr>Funkcijska!Ispis_naslova</vt:lpstr>
      <vt:lpstr>Prihodi!Ispis_naslova</vt:lpstr>
      <vt:lpstr>Rashodi!Ispis_naslova</vt:lpstr>
      <vt:lpstr>'10'!Podrucje_ispisa</vt:lpstr>
      <vt:lpstr>'11'!Podrucje_ispisa</vt:lpstr>
      <vt:lpstr>'12'!Podrucje_ispisa</vt:lpstr>
      <vt:lpstr>'13'!Podrucje_ispisa</vt:lpstr>
      <vt:lpstr>'14'!Podrucje_ispisa</vt:lpstr>
      <vt:lpstr>'15'!Podrucje_ispisa</vt:lpstr>
      <vt:lpstr>'16'!Podrucje_ispisa</vt:lpstr>
      <vt:lpstr>'17'!Podrucje_ispisa</vt:lpstr>
      <vt:lpstr>'18'!Podrucje_ispisa</vt:lpstr>
      <vt:lpstr>'19'!Podrucje_ispisa</vt:lpstr>
      <vt:lpstr>'20'!Podrucje_ispisa</vt:lpstr>
      <vt:lpstr>'21'!Podrucje_ispisa</vt:lpstr>
      <vt:lpstr>'22'!Podrucje_ispisa</vt:lpstr>
      <vt:lpstr>'23'!Podrucje_ispisa</vt:lpstr>
      <vt:lpstr>'24'!Podrucje_ispisa</vt:lpstr>
      <vt:lpstr>'25'!Podrucje_ispisa</vt:lpstr>
      <vt:lpstr>'26'!Podrucje_ispisa</vt:lpstr>
      <vt:lpstr>'27'!Podrucje_ispisa</vt:lpstr>
      <vt:lpstr>'28'!Podrucje_ispisa</vt:lpstr>
      <vt:lpstr>'29'!Podrucje_ispisa</vt:lpstr>
      <vt:lpstr>'3'!Podrucje_ispisa</vt:lpstr>
      <vt:lpstr>'30'!Podrucje_ispisa</vt:lpstr>
      <vt:lpstr>'31'!Podrucje_ispisa</vt:lpstr>
      <vt:lpstr>'32'!Podrucje_ispisa</vt:lpstr>
      <vt:lpstr>'33'!Podrucje_ispisa</vt:lpstr>
      <vt:lpstr>'34'!Podrucje_ispisa</vt:lpstr>
      <vt:lpstr>'35'!Podrucje_ispisa</vt:lpstr>
      <vt:lpstr>'36'!Podrucje_ispisa</vt:lpstr>
      <vt:lpstr>'37'!Podrucje_ispisa</vt:lpstr>
      <vt:lpstr>'4'!Podrucje_ispisa</vt:lpstr>
      <vt:lpstr>'5'!Podrucje_ispisa</vt:lpstr>
      <vt:lpstr>'6'!Podrucje_ispisa</vt:lpstr>
      <vt:lpstr>'7'!Podrucje_ispisa</vt:lpstr>
      <vt:lpstr>'8'!Podrucje_ispisa</vt:lpstr>
      <vt:lpstr>'9'!Podrucje_ispisa</vt:lpstr>
      <vt:lpstr>Funkcijska!Podrucje_ispisa</vt:lpstr>
      <vt:lpstr>Kraj!Podrucje_ispisa</vt:lpstr>
      <vt:lpstr>Prihodi!Podrucje_ispisa</vt:lpstr>
      <vt:lpstr>Rashodi!Podrucje_ispisa</vt:lpstr>
      <vt:lpstr>Sadrzaj!Podrucje_ispisa</vt:lpstr>
      <vt:lpstr>Uvod!Podrucje_ispisa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operater</dc:creator>
  <cp:lastModifiedBy>Ružica Živković</cp:lastModifiedBy>
  <cp:lastPrinted>2020-01-08T10:44:03Z</cp:lastPrinted>
  <dcterms:created xsi:type="dcterms:W3CDTF">2004-07-23T11:14:23Z</dcterms:created>
  <dcterms:modified xsi:type="dcterms:W3CDTF">2020-01-08T12:36:52Z</dcterms:modified>
</cp:coreProperties>
</file>